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vi\Nextcloud\2025\Cátedras\Reservorios III\Recuperación Secundaria\Clases\"/>
    </mc:Choice>
  </mc:AlternateContent>
  <xr:revisionPtr revIDLastSave="0" documentId="13_ncr:1_{E684F6F3-D5D8-4196-A33A-EE33852DBA1E}" xr6:coauthVersionLast="47" xr6:coauthVersionMax="47" xr10:uidLastSave="{00000000-0000-0000-0000-000000000000}"/>
  <bookViews>
    <workbookView xWindow="-108" yWindow="-108" windowWidth="23256" windowHeight="12456" xr2:uid="{FAAA2F78-7814-4CC4-8C55-7EC6F5E57CE6}"/>
  </bookViews>
  <sheets>
    <sheet name="Initial Calculations" sheetId="1" r:id="rId1"/>
    <sheet name="Stage I" sheetId="2" r:id="rId2"/>
    <sheet name="Stage II" sheetId="3" r:id="rId3"/>
    <sheet name="Stage III" sheetId="4" r:id="rId4"/>
    <sheet name="Stage IV" sheetId="5" r:id="rId5"/>
    <sheet name="Cumulative Responses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" l="1"/>
  <c r="B26" i="1"/>
  <c r="M62" i="5"/>
  <c r="M63" i="5"/>
  <c r="M64" i="5"/>
  <c r="M65" i="5"/>
  <c r="M66" i="5"/>
  <c r="M67" i="5"/>
  <c r="M68" i="5"/>
  <c r="M69" i="5"/>
  <c r="B17" i="12"/>
  <c r="K10" i="5"/>
  <c r="A62" i="5"/>
  <c r="A63" i="5"/>
  <c r="A64" i="5"/>
  <c r="A65" i="5"/>
  <c r="A66" i="5"/>
  <c r="A67" i="5"/>
  <c r="A68" i="5"/>
  <c r="B68" i="5" s="1"/>
  <c r="L62" i="5"/>
  <c r="L63" i="5"/>
  <c r="L64" i="5"/>
  <c r="L65" i="5"/>
  <c r="L66" i="5"/>
  <c r="L67" i="5"/>
  <c r="L68" i="5"/>
  <c r="K62" i="5"/>
  <c r="K63" i="5"/>
  <c r="K64" i="5"/>
  <c r="K65" i="5"/>
  <c r="K66" i="5"/>
  <c r="K67" i="5"/>
  <c r="K68" i="5"/>
  <c r="J63" i="5"/>
  <c r="J64" i="5" s="1"/>
  <c r="J65" i="5" s="1"/>
  <c r="J66" i="5" s="1"/>
  <c r="J67" i="5" s="1"/>
  <c r="J62" i="5"/>
  <c r="J61" i="5"/>
  <c r="I63" i="5"/>
  <c r="I64" i="5"/>
  <c r="I65" i="5"/>
  <c r="I66" i="5"/>
  <c r="I67" i="5"/>
  <c r="H63" i="5"/>
  <c r="H64" i="5"/>
  <c r="H65" i="5"/>
  <c r="H66" i="5"/>
  <c r="H67" i="5"/>
  <c r="H68" i="5"/>
  <c r="I68" i="5" s="1"/>
  <c r="H69" i="5"/>
  <c r="I69" i="5" s="1"/>
  <c r="I62" i="5"/>
  <c r="H62" i="5"/>
  <c r="G63" i="5"/>
  <c r="G64" i="5"/>
  <c r="G65" i="5"/>
  <c r="G66" i="5"/>
  <c r="G67" i="5"/>
  <c r="G68" i="5"/>
  <c r="G69" i="5"/>
  <c r="G62" i="5"/>
  <c r="F62" i="5"/>
  <c r="F63" i="5"/>
  <c r="F64" i="5"/>
  <c r="F65" i="5"/>
  <c r="F66" i="5"/>
  <c r="F67" i="5"/>
  <c r="F68" i="5"/>
  <c r="F69" i="5"/>
  <c r="F61" i="5"/>
  <c r="C62" i="5"/>
  <c r="C63" i="5"/>
  <c r="C64" i="5"/>
  <c r="C65" i="5"/>
  <c r="C66" i="5"/>
  <c r="C67" i="5"/>
  <c r="C68" i="5"/>
  <c r="C69" i="5"/>
  <c r="C61" i="5"/>
  <c r="B62" i="5"/>
  <c r="B63" i="5"/>
  <c r="B64" i="5"/>
  <c r="B65" i="5"/>
  <c r="B66" i="5"/>
  <c r="B67" i="5"/>
  <c r="L11" i="5"/>
  <c r="E11" i="5"/>
  <c r="F11" i="5" s="1"/>
  <c r="E12" i="5"/>
  <c r="F12" i="5" s="1"/>
  <c r="E13" i="5"/>
  <c r="I13" i="5" s="1"/>
  <c r="E14" i="5"/>
  <c r="F14" i="5" s="1"/>
  <c r="E15" i="5"/>
  <c r="F15" i="5" s="1"/>
  <c r="E16" i="5"/>
  <c r="F16" i="5" s="1"/>
  <c r="E17" i="5"/>
  <c r="F17" i="5" s="1"/>
  <c r="E10" i="5"/>
  <c r="F10" i="5" s="1"/>
  <c r="J11" i="5"/>
  <c r="K11" i="5" s="1"/>
  <c r="J12" i="5"/>
  <c r="K12" i="5" s="1"/>
  <c r="L12" i="5" s="1"/>
  <c r="J13" i="5"/>
  <c r="K13" i="5" s="1"/>
  <c r="L13" i="5" s="1"/>
  <c r="J14" i="5"/>
  <c r="K14" i="5" s="1"/>
  <c r="L14" i="5" s="1"/>
  <c r="J15" i="5"/>
  <c r="K15" i="5" s="1"/>
  <c r="L15" i="5" s="1"/>
  <c r="J16" i="5"/>
  <c r="K16" i="5" s="1"/>
  <c r="L16" i="5" s="1"/>
  <c r="J17" i="5"/>
  <c r="K17" i="5" s="1"/>
  <c r="L17" i="5" s="1"/>
  <c r="J18" i="5"/>
  <c r="L18" i="5" s="1"/>
  <c r="L69" i="5" s="1"/>
  <c r="J10" i="5"/>
  <c r="L10" i="5" s="1"/>
  <c r="L61" i="5" s="1"/>
  <c r="E22" i="5"/>
  <c r="D18" i="5" s="1"/>
  <c r="E18" i="5" s="1"/>
  <c r="F18" i="5" s="1"/>
  <c r="C10" i="5"/>
  <c r="C11" i="5"/>
  <c r="C12" i="5"/>
  <c r="C13" i="5"/>
  <c r="C14" i="5"/>
  <c r="C15" i="5"/>
  <c r="C16" i="5"/>
  <c r="C17" i="5"/>
  <c r="C18" i="5"/>
  <c r="J7" i="2"/>
  <c r="J8" i="4"/>
  <c r="J9" i="4"/>
  <c r="J10" i="4"/>
  <c r="J11" i="4"/>
  <c r="J7" i="4"/>
  <c r="I8" i="4"/>
  <c r="I9" i="4"/>
  <c r="I10" i="4"/>
  <c r="I11" i="4"/>
  <c r="I7" i="4"/>
  <c r="H11" i="4"/>
  <c r="H6" i="4"/>
  <c r="G6" i="4"/>
  <c r="D7" i="4"/>
  <c r="E8" i="4" s="1"/>
  <c r="F8" i="4" s="1"/>
  <c r="D8" i="4"/>
  <c r="E9" i="4" s="1"/>
  <c r="F9" i="4" s="1"/>
  <c r="D9" i="4"/>
  <c r="E10" i="4" s="1"/>
  <c r="F10" i="4" s="1"/>
  <c r="D10" i="4"/>
  <c r="H10" i="4" s="1"/>
  <c r="D11" i="4"/>
  <c r="D6" i="4"/>
  <c r="B7" i="4"/>
  <c r="B8" i="4"/>
  <c r="B9" i="4"/>
  <c r="B10" i="4"/>
  <c r="B11" i="4"/>
  <c r="B6" i="4"/>
  <c r="C69" i="3"/>
  <c r="C65" i="3"/>
  <c r="C56" i="3"/>
  <c r="C50" i="3"/>
  <c r="C30" i="3"/>
  <c r="C21" i="3"/>
  <c r="C17" i="3"/>
  <c r="B69" i="1"/>
  <c r="C9" i="3"/>
  <c r="C5" i="3"/>
  <c r="H8" i="2"/>
  <c r="H9" i="2"/>
  <c r="I10" i="2" s="1"/>
  <c r="J10" i="2" s="1"/>
  <c r="H10" i="2"/>
  <c r="I11" i="2" s="1"/>
  <c r="J11" i="2" s="1"/>
  <c r="H11" i="2"/>
  <c r="H12" i="2"/>
  <c r="H13" i="2"/>
  <c r="H7" i="2"/>
  <c r="I8" i="2" s="1"/>
  <c r="J8" i="2" s="1"/>
  <c r="K7" i="2"/>
  <c r="I12" i="2"/>
  <c r="J12" i="2" s="1"/>
  <c r="I13" i="2"/>
  <c r="J13" i="2" s="1"/>
  <c r="I9" i="2"/>
  <c r="J9" i="2" s="1"/>
  <c r="I7" i="2"/>
  <c r="F13" i="2"/>
  <c r="D8" i="2"/>
  <c r="E8" i="2" s="1"/>
  <c r="D9" i="2"/>
  <c r="E9" i="2" s="1"/>
  <c r="G9" i="2" s="1"/>
  <c r="D13" i="2"/>
  <c r="E13" i="2"/>
  <c r="G13" i="2" s="1"/>
  <c r="C8" i="2"/>
  <c r="F8" i="2" s="1"/>
  <c r="C9" i="2"/>
  <c r="F9" i="2" s="1"/>
  <c r="C10" i="2"/>
  <c r="D10" i="2" s="1"/>
  <c r="E10" i="2" s="1"/>
  <c r="C11" i="2"/>
  <c r="D11" i="2" s="1"/>
  <c r="E11" i="2" s="1"/>
  <c r="C12" i="2"/>
  <c r="D12" i="2" s="1"/>
  <c r="E12" i="2" s="1"/>
  <c r="C13" i="2"/>
  <c r="C7" i="2"/>
  <c r="D7" i="2" s="1"/>
  <c r="E7" i="2" s="1"/>
  <c r="B8" i="2"/>
  <c r="B9" i="2"/>
  <c r="B10" i="2"/>
  <c r="B11" i="2"/>
  <c r="B12" i="2"/>
  <c r="B13" i="2"/>
  <c r="B7" i="2"/>
  <c r="B62" i="1"/>
  <c r="B43" i="1"/>
  <c r="B47" i="1" s="1"/>
  <c r="B34" i="1"/>
  <c r="D34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6" i="1"/>
  <c r="I6" i="1"/>
  <c r="K69" i="5" l="1"/>
  <c r="A69" i="5"/>
  <c r="B69" i="5" s="1"/>
  <c r="K61" i="5"/>
  <c r="A61" i="5"/>
  <c r="B61" i="5" s="1"/>
  <c r="J68" i="5"/>
  <c r="J69" i="5" s="1"/>
  <c r="F13" i="5"/>
  <c r="I12" i="5"/>
  <c r="I11" i="5"/>
  <c r="I18" i="5"/>
  <c r="I17" i="5"/>
  <c r="I10" i="5"/>
  <c r="I16" i="5"/>
  <c r="I15" i="5"/>
  <c r="I14" i="5"/>
  <c r="H8" i="4"/>
  <c r="E7" i="4"/>
  <c r="F7" i="4" s="1"/>
  <c r="G7" i="4" s="1"/>
  <c r="G8" i="4" s="1"/>
  <c r="G9" i="4" s="1"/>
  <c r="G10" i="4" s="1"/>
  <c r="G11" i="4" s="1"/>
  <c r="E11" i="4"/>
  <c r="F11" i="4" s="1"/>
  <c r="H9" i="4"/>
  <c r="H7" i="4"/>
  <c r="K8" i="2"/>
  <c r="K9" i="2" s="1"/>
  <c r="K10" i="2" s="1"/>
  <c r="K11" i="2" s="1"/>
  <c r="K12" i="2" s="1"/>
  <c r="K13" i="2" s="1"/>
  <c r="G8" i="2"/>
  <c r="F7" i="2"/>
  <c r="G7" i="2" s="1"/>
  <c r="F12" i="2"/>
  <c r="G12" i="2" s="1"/>
  <c r="F11" i="2"/>
  <c r="G11" i="2" s="1"/>
  <c r="F10" i="2"/>
  <c r="G10" i="2" s="1"/>
  <c r="D26" i="1"/>
</calcChain>
</file>

<file path=xl/sharedStrings.xml><?xml version="1.0" encoding="utf-8"?>
<sst xmlns="http://schemas.openxmlformats.org/spreadsheetml/2006/main" count="114" uniqueCount="107">
  <si>
    <t>A (acres)</t>
  </si>
  <si>
    <t>Pattern Area</t>
  </si>
  <si>
    <t>Bo (RB/STB)</t>
  </si>
  <si>
    <t>Oil formation volume factor</t>
  </si>
  <si>
    <t>Bw(RB/STB)</t>
  </si>
  <si>
    <t>Water formation volume factor</t>
  </si>
  <si>
    <t>Oil viscosity</t>
  </si>
  <si>
    <t>Water viscosity</t>
  </si>
  <si>
    <t>Injection Pressure (psig)</t>
  </si>
  <si>
    <t>Average reservoir pressure (psig)</t>
  </si>
  <si>
    <t>rw(ft)</t>
  </si>
  <si>
    <t>Injection well skin factor</t>
  </si>
  <si>
    <t>Production well skin factor</t>
  </si>
  <si>
    <t>h(ft)</t>
  </si>
  <si>
    <t>Formation thickness</t>
  </si>
  <si>
    <t>Permeability</t>
  </si>
  <si>
    <t>Porosity</t>
  </si>
  <si>
    <t>j</t>
  </si>
  <si>
    <t>So</t>
  </si>
  <si>
    <t>Sg</t>
  </si>
  <si>
    <t>Swc</t>
  </si>
  <si>
    <t>Oil production rate at beginning of flood (BOPD)</t>
  </si>
  <si>
    <t>Sw</t>
  </si>
  <si>
    <t>kro</t>
  </si>
  <si>
    <t>krw</t>
  </si>
  <si>
    <t>fw</t>
  </si>
  <si>
    <r>
      <rPr>
        <b/>
        <sz val="11"/>
        <color theme="1"/>
        <rFont val="Franklin Gothic Book"/>
        <family val="2"/>
      </rPr>
      <t>(kro/krw)(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Franklin Gothic Book"/>
        <family val="2"/>
      </rPr>
      <t>w/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Franklin Gothic Book"/>
        <family val="2"/>
      </rPr>
      <t>o)</t>
    </r>
  </si>
  <si>
    <t>_</t>
  </si>
  <si>
    <t>1-Pore Volume</t>
  </si>
  <si>
    <t>Vp (bbl)</t>
  </si>
  <si>
    <r>
      <rPr>
        <b/>
        <sz val="9"/>
        <color theme="1"/>
        <rFont val="Symbol"/>
        <family val="1"/>
        <charset val="2"/>
      </rPr>
      <t>m</t>
    </r>
    <r>
      <rPr>
        <b/>
        <sz val="9"/>
        <color theme="1"/>
        <rFont val="Aptos Narrow"/>
        <family val="2"/>
      </rPr>
      <t>o(cP)</t>
    </r>
  </si>
  <si>
    <r>
      <rPr>
        <b/>
        <sz val="9"/>
        <color theme="1"/>
        <rFont val="Symbol"/>
        <family val="1"/>
        <charset val="2"/>
      </rPr>
      <t>mw</t>
    </r>
    <r>
      <rPr>
        <b/>
        <sz val="9"/>
        <color theme="1"/>
        <rFont val="Aptos Narrow"/>
        <family val="2"/>
      </rPr>
      <t>(cP)</t>
    </r>
  </si>
  <si>
    <r>
      <t>(ko)</t>
    </r>
    <r>
      <rPr>
        <b/>
        <vertAlign val="subscript"/>
        <sz val="9"/>
        <color theme="1"/>
        <rFont val="Aptos Narrow"/>
        <family val="2"/>
        <scheme val="minor"/>
      </rPr>
      <t>Swir</t>
    </r>
    <r>
      <rPr>
        <b/>
        <sz val="9"/>
        <color theme="1"/>
        <rFont val="Aptos Narrow"/>
        <family val="2"/>
        <scheme val="minor"/>
      </rPr>
      <t xml:space="preserve">  (mD)</t>
    </r>
  </si>
  <si>
    <t>2-Stock Tank Oil at Start of Waterflood</t>
  </si>
  <si>
    <t>No (STB)</t>
  </si>
  <si>
    <t>3-Mobility Ratio Prior to Breakthrough</t>
  </si>
  <si>
    <t>M</t>
  </si>
  <si>
    <t>4- Sweep Efficiency at Breakthrough</t>
  </si>
  <si>
    <r>
      <t>E</t>
    </r>
    <r>
      <rPr>
        <b/>
        <vertAlign val="subscript"/>
        <sz val="11"/>
        <color theme="1"/>
        <rFont val="Aptos Narrow"/>
        <family val="2"/>
        <scheme val="minor"/>
      </rPr>
      <t>Abt</t>
    </r>
  </si>
  <si>
    <t>Vp (Mbbl)</t>
  </si>
  <si>
    <t>No(Mbbl)</t>
  </si>
  <si>
    <t>5-Water Injected at time of interference, Wii</t>
  </si>
  <si>
    <t>6-Cumulative Water Injected at Gas Fillup</t>
  </si>
  <si>
    <t>Wif (bbl W)</t>
  </si>
  <si>
    <t>Wii(bbl W)</t>
  </si>
  <si>
    <t>7-Water Injected at time of Water Breakthrough</t>
  </si>
  <si>
    <t>Wibt (bbl W)</t>
  </si>
  <si>
    <t>Table 1: Summary of Stage 1 Calculations</t>
  </si>
  <si>
    <t>r, ft</t>
  </si>
  <si>
    <t>5+6</t>
  </si>
  <si>
    <r>
      <t>i</t>
    </r>
    <r>
      <rPr>
        <b/>
        <vertAlign val="subscript"/>
        <sz val="14"/>
        <color theme="1"/>
        <rFont val="Aptos Narrow"/>
        <family val="2"/>
        <scheme val="minor"/>
      </rPr>
      <t>w</t>
    </r>
    <r>
      <rPr>
        <b/>
        <sz val="14"/>
        <color theme="1"/>
        <rFont val="Aptos Narrow"/>
        <family val="2"/>
        <scheme val="minor"/>
      </rPr>
      <t>, bbl/D</t>
    </r>
  </si>
  <si>
    <r>
      <t>i</t>
    </r>
    <r>
      <rPr>
        <b/>
        <vertAlign val="subscript"/>
        <sz val="14"/>
        <color theme="1"/>
        <rFont val="Aptos Narrow"/>
        <family val="2"/>
        <scheme val="minor"/>
      </rPr>
      <t>w</t>
    </r>
    <r>
      <rPr>
        <b/>
        <sz val="14"/>
        <color theme="1"/>
        <rFont val="Aptos Narrow"/>
        <family val="2"/>
        <scheme val="minor"/>
      </rPr>
      <t>, avg</t>
    </r>
  </si>
  <si>
    <t>Tabla 1 Relative permeabilities data and fw calculations</t>
  </si>
  <si>
    <t>4- Mobility Ratio</t>
  </si>
  <si>
    <r>
      <t>5- Conductance Ratio ,</t>
    </r>
    <r>
      <rPr>
        <b/>
        <sz val="16"/>
        <color theme="1"/>
        <rFont val="Symbol"/>
        <family val="1"/>
        <charset val="2"/>
      </rPr>
      <t xml:space="preserve"> g</t>
    </r>
    <r>
      <rPr>
        <b/>
        <sz val="16"/>
        <color theme="1"/>
        <rFont val="Aptos Narrow"/>
        <family val="2"/>
      </rPr>
      <t xml:space="preserve"> , </t>
    </r>
    <r>
      <rPr>
        <b/>
        <sz val="16"/>
        <color theme="1"/>
        <rFont val="Aptos Narrow"/>
        <family val="2"/>
        <scheme val="minor"/>
      </rPr>
      <t>(from Figure CGM-5)</t>
    </r>
  </si>
  <si>
    <r>
      <t>rw '(ft)=radio efectivo del pozo=rw*e^</t>
    </r>
    <r>
      <rPr>
        <vertAlign val="superscript"/>
        <sz val="11"/>
        <color theme="1"/>
        <rFont val="Aptos Narrow"/>
        <family val="2"/>
        <scheme val="minor"/>
      </rPr>
      <t>-s</t>
    </r>
  </si>
  <si>
    <r>
      <t>6-i</t>
    </r>
    <r>
      <rPr>
        <vertAlign val="subscript"/>
        <sz val="11"/>
        <color theme="1"/>
        <rFont val="Aptos Narrow"/>
        <family val="2"/>
        <scheme val="minor"/>
      </rPr>
      <t>base</t>
    </r>
    <r>
      <rPr>
        <b/>
        <sz val="16"/>
        <color theme="1"/>
        <rFont val="Aptos Narrow"/>
        <family val="2"/>
        <scheme val="minor"/>
      </rPr>
      <t xml:space="preserve"> (bbl/D)</t>
    </r>
  </si>
  <si>
    <t>bbl W/D</t>
  </si>
  <si>
    <t>bbl de agua/día</t>
  </si>
  <si>
    <t>7.Time interval of Stage II (days)</t>
  </si>
  <si>
    <t>8-Cumulative Time to fillup</t>
  </si>
  <si>
    <t>Table 2: Summary of Stage III Calculations</t>
  </si>
  <si>
    <t>g</t>
  </si>
  <si>
    <r>
      <t>i</t>
    </r>
    <r>
      <rPr>
        <b/>
        <vertAlign val="subscript"/>
        <sz val="14"/>
        <color theme="1"/>
        <rFont val="Aptos Narrow"/>
        <family val="2"/>
        <scheme val="minor"/>
      </rPr>
      <t>w</t>
    </r>
  </si>
  <si>
    <r>
      <t>E</t>
    </r>
    <r>
      <rPr>
        <b/>
        <vertAlign val="subscript"/>
        <sz val="14"/>
        <color theme="1"/>
        <rFont val="Aptos Narrow"/>
        <family val="2"/>
        <scheme val="minor"/>
      </rPr>
      <t xml:space="preserve">A </t>
    </r>
  </si>
  <si>
    <r>
      <t>W</t>
    </r>
    <r>
      <rPr>
        <b/>
        <vertAlign val="subscript"/>
        <sz val="14"/>
        <color theme="1"/>
        <rFont val="Aptos Narrow"/>
        <family val="2"/>
        <scheme val="minor"/>
      </rPr>
      <t>i</t>
    </r>
    <r>
      <rPr>
        <b/>
        <sz val="14"/>
        <color theme="1"/>
        <rFont val="Aptos Narrow"/>
        <family val="2"/>
        <scheme val="minor"/>
      </rPr>
      <t>(bbl)</t>
    </r>
  </si>
  <si>
    <r>
      <t>q</t>
    </r>
    <r>
      <rPr>
        <b/>
        <vertAlign val="subscript"/>
        <sz val="14"/>
        <color theme="1"/>
        <rFont val="Aptos Narrow"/>
        <family val="2"/>
        <scheme val="minor"/>
      </rPr>
      <t>o</t>
    </r>
    <r>
      <rPr>
        <b/>
        <sz val="14"/>
        <color theme="1"/>
        <rFont val="Aptos Narrow"/>
        <family val="2"/>
        <scheme val="minor"/>
      </rPr>
      <t>,STB/D
(4)/B</t>
    </r>
    <r>
      <rPr>
        <b/>
        <vertAlign val="subscript"/>
        <sz val="14"/>
        <color theme="1"/>
        <rFont val="Aptos Narrow"/>
        <family val="2"/>
        <scheme val="minor"/>
      </rPr>
      <t>o</t>
    </r>
  </si>
  <si>
    <r>
      <t>W</t>
    </r>
    <r>
      <rPr>
        <b/>
        <vertAlign val="subscript"/>
        <sz val="14"/>
        <color theme="1"/>
        <rFont val="Aptos Narrow"/>
        <family val="2"/>
        <scheme val="minor"/>
      </rPr>
      <t>i</t>
    </r>
    <r>
      <rPr>
        <b/>
        <sz val="14"/>
        <color theme="1"/>
        <rFont val="Aptos Narrow"/>
        <family val="2"/>
        <scheme val="minor"/>
      </rPr>
      <t>-W</t>
    </r>
    <r>
      <rPr>
        <b/>
        <vertAlign val="subscript"/>
        <sz val="14"/>
        <color theme="1"/>
        <rFont val="Aptos Narrow"/>
        <family val="2"/>
        <scheme val="minor"/>
      </rPr>
      <t>if</t>
    </r>
    <r>
      <rPr>
        <b/>
        <sz val="14"/>
        <color theme="1"/>
        <rFont val="Aptos Narrow"/>
        <family val="2"/>
        <scheme val="minor"/>
      </rPr>
      <t xml:space="preserve">
(1)-W</t>
    </r>
    <r>
      <rPr>
        <b/>
        <vertAlign val="subscript"/>
        <sz val="14"/>
        <color theme="1"/>
        <rFont val="Aptos Narrow"/>
        <family val="2"/>
        <scheme val="minor"/>
      </rPr>
      <t>if</t>
    </r>
    <r>
      <rPr>
        <b/>
        <sz val="14"/>
        <color theme="1"/>
        <rFont val="Aptos Narrow"/>
        <family val="2"/>
        <scheme val="minor"/>
      </rPr>
      <t>, bbl</t>
    </r>
  </si>
  <si>
    <r>
      <t>N</t>
    </r>
    <r>
      <rPr>
        <b/>
        <vertAlign val="subscript"/>
        <sz val="14"/>
        <color theme="1"/>
        <rFont val="Aptos Narrow"/>
        <family val="2"/>
        <scheme val="minor"/>
      </rPr>
      <t>p</t>
    </r>
    <r>
      <rPr>
        <b/>
        <sz val="14"/>
        <color theme="1"/>
        <rFont val="Aptos Narrow"/>
        <family val="2"/>
        <scheme val="minor"/>
      </rPr>
      <t>, STB
(9)/B</t>
    </r>
    <r>
      <rPr>
        <b/>
        <vertAlign val="subscript"/>
        <sz val="14"/>
        <color theme="1"/>
        <rFont val="Aptos Narrow"/>
        <family val="2"/>
        <scheme val="minor"/>
      </rPr>
      <t>o</t>
    </r>
  </si>
  <si>
    <t>Initial Calculations</t>
  </si>
  <si>
    <t>Stage I-Perfomance prior to interference</t>
  </si>
  <si>
    <t>Stage II-Perfomance from interference to fillup</t>
  </si>
  <si>
    <t>Stage III-</t>
  </si>
  <si>
    <t>Stage IV-Perfomance after Breakthrough</t>
  </si>
  <si>
    <r>
      <t>W</t>
    </r>
    <r>
      <rPr>
        <b/>
        <vertAlign val="subscript"/>
        <sz val="14"/>
        <color theme="1"/>
        <rFont val="Aptos Narrow"/>
        <family val="2"/>
        <scheme val="minor"/>
      </rPr>
      <t>i</t>
    </r>
    <r>
      <rPr>
        <b/>
        <sz val="14"/>
        <color theme="1"/>
        <rFont val="Aptos Narrow"/>
        <family val="2"/>
        <scheme val="minor"/>
      </rPr>
      <t>/W</t>
    </r>
    <r>
      <rPr>
        <b/>
        <vertAlign val="subscript"/>
        <sz val="14"/>
        <color theme="1"/>
        <rFont val="Aptos Narrow"/>
        <family val="2"/>
        <scheme val="minor"/>
      </rPr>
      <t>ibt</t>
    </r>
  </si>
  <si>
    <r>
      <t>E</t>
    </r>
    <r>
      <rPr>
        <b/>
        <vertAlign val="subscript"/>
        <sz val="14"/>
        <color theme="1"/>
        <rFont val="Aptos Narrow"/>
        <family val="2"/>
        <scheme val="minor"/>
      </rPr>
      <t>A</t>
    </r>
  </si>
  <si>
    <t>l</t>
  </si>
  <si>
    <r>
      <t>f</t>
    </r>
    <r>
      <rPr>
        <b/>
        <vertAlign val="subscript"/>
        <sz val="14"/>
        <color theme="1"/>
        <rFont val="Aptos Narrow"/>
        <family val="2"/>
        <scheme val="minor"/>
      </rPr>
      <t>o2</t>
    </r>
  </si>
  <si>
    <r>
      <t>i</t>
    </r>
    <r>
      <rPr>
        <b/>
        <vertAlign val="subscript"/>
        <sz val="14"/>
        <color theme="1"/>
        <rFont val="Aptos Narrow"/>
        <family val="2"/>
        <scheme val="minor"/>
      </rPr>
      <t>w</t>
    </r>
    <r>
      <rPr>
        <b/>
        <sz val="14"/>
        <color theme="1"/>
        <rFont val="Aptos Narrow"/>
        <family val="2"/>
        <scheme val="minor"/>
      </rPr>
      <t xml:space="preserve"> </t>
    </r>
    <r>
      <rPr>
        <b/>
        <vertAlign val="subscript"/>
        <sz val="14"/>
        <color theme="1"/>
        <rFont val="Aptos Narrow"/>
        <family val="2"/>
        <scheme val="minor"/>
      </rPr>
      <t>avg</t>
    </r>
  </si>
  <si>
    <r>
      <t>1-W</t>
    </r>
    <r>
      <rPr>
        <b/>
        <vertAlign val="subscript"/>
        <sz val="16"/>
        <color theme="1"/>
        <rFont val="Aptos Narrow"/>
        <family val="2"/>
        <scheme val="minor"/>
      </rPr>
      <t xml:space="preserve">ii </t>
    </r>
    <r>
      <rPr>
        <b/>
        <sz val="16"/>
        <color theme="1"/>
        <rFont val="Aptos Narrow"/>
        <family val="2"/>
        <scheme val="minor"/>
      </rPr>
      <t>(bbl W)</t>
    </r>
  </si>
  <si>
    <r>
      <t>2-W</t>
    </r>
    <r>
      <rPr>
        <b/>
        <vertAlign val="subscript"/>
        <sz val="16"/>
        <color theme="1"/>
        <rFont val="Aptos Narrow"/>
        <family val="2"/>
        <scheme val="minor"/>
      </rPr>
      <t>if</t>
    </r>
    <r>
      <rPr>
        <b/>
        <sz val="16"/>
        <color theme="1"/>
        <rFont val="Aptos Narrow"/>
        <family val="2"/>
        <scheme val="minor"/>
      </rPr>
      <t xml:space="preserve"> (bbl W)</t>
    </r>
  </si>
  <si>
    <r>
      <t>3- E</t>
    </r>
    <r>
      <rPr>
        <b/>
        <vertAlign val="subscript"/>
        <sz val="16"/>
        <color theme="1"/>
        <rFont val="Aptos Narrow"/>
        <family val="2"/>
        <scheme val="minor"/>
      </rPr>
      <t>A</t>
    </r>
    <r>
      <rPr>
        <b/>
        <sz val="16"/>
        <color theme="1"/>
        <rFont val="Aptos Narrow"/>
        <family val="2"/>
        <scheme val="minor"/>
      </rPr>
      <t xml:space="preserve">  al fillup</t>
    </r>
  </si>
  <si>
    <t>rotura</t>
  </si>
  <si>
    <r>
      <t>Q</t>
    </r>
    <r>
      <rPr>
        <b/>
        <vertAlign val="subscript"/>
        <sz val="12"/>
        <color theme="1"/>
        <rFont val="Aptos Narrow"/>
        <family val="2"/>
        <scheme val="minor"/>
      </rPr>
      <t>i</t>
    </r>
    <r>
      <rPr>
        <b/>
        <sz val="12"/>
        <color theme="1"/>
        <rFont val="Aptos Narrow"/>
        <family val="2"/>
        <scheme val="minor"/>
      </rPr>
      <t>/Q</t>
    </r>
    <r>
      <rPr>
        <b/>
        <vertAlign val="subscript"/>
        <sz val="12"/>
        <color theme="1"/>
        <rFont val="Aptos Narrow"/>
        <family val="2"/>
        <scheme val="minor"/>
      </rPr>
      <t>ibt</t>
    </r>
    <r>
      <rPr>
        <b/>
        <sz val="12"/>
        <color theme="1"/>
        <rFont val="Aptos Narrow"/>
        <family val="2"/>
        <scheme val="minor"/>
      </rPr>
      <t xml:space="preserve">
Ver Tablas CGM-3</t>
    </r>
  </si>
  <si>
    <r>
      <t>df</t>
    </r>
    <r>
      <rPr>
        <b/>
        <vertAlign val="subscript"/>
        <sz val="14"/>
        <color theme="1"/>
        <rFont val="Aptos Narrow"/>
        <family val="2"/>
        <scheme val="minor"/>
      </rPr>
      <t>w</t>
    </r>
    <r>
      <rPr>
        <b/>
        <sz val="14"/>
        <color theme="1"/>
        <rFont val="Aptos Narrow"/>
        <family val="2"/>
        <scheme val="minor"/>
      </rPr>
      <t>/dS</t>
    </r>
    <r>
      <rPr>
        <b/>
        <vertAlign val="subscript"/>
        <sz val="14"/>
        <color theme="1"/>
        <rFont val="Aptos Narrow"/>
        <family val="2"/>
        <scheme val="minor"/>
      </rPr>
      <t>w</t>
    </r>
    <r>
      <rPr>
        <b/>
        <sz val="14"/>
        <color theme="1"/>
        <rFont val="Aptos Narrow"/>
        <family val="2"/>
        <scheme val="minor"/>
      </rPr>
      <t xml:space="preserve">
</t>
    </r>
    <r>
      <rPr>
        <b/>
        <sz val="12"/>
        <color theme="1"/>
        <rFont val="Aptos Narrow"/>
        <family val="2"/>
        <scheme val="minor"/>
      </rPr>
      <t>1/(5)</t>
    </r>
  </si>
  <si>
    <t>Qi</t>
  </si>
  <si>
    <r>
      <t>S</t>
    </r>
    <r>
      <rPr>
        <b/>
        <vertAlign val="subscript"/>
        <sz val="14"/>
        <color theme="1"/>
        <rFont val="Aptos Narrow"/>
        <family val="2"/>
        <scheme val="minor"/>
      </rPr>
      <t>w2</t>
    </r>
    <r>
      <rPr>
        <b/>
        <sz val="14"/>
        <color theme="1"/>
        <rFont val="Aptos Narrow"/>
        <family val="2"/>
        <scheme val="minor"/>
      </rPr>
      <t xml:space="preserve">
</t>
    </r>
    <r>
      <rPr>
        <b/>
        <sz val="12"/>
        <color theme="1"/>
        <rFont val="Aptos Narrow"/>
        <family val="2"/>
        <scheme val="minor"/>
      </rPr>
      <t>De gráfica CGM-6</t>
    </r>
  </si>
  <si>
    <t>WOR</t>
  </si>
  <si>
    <r>
      <t>WOR</t>
    </r>
    <r>
      <rPr>
        <b/>
        <vertAlign val="subscript"/>
        <sz val="14"/>
        <color theme="1"/>
        <rFont val="Aptos Narrow"/>
        <family val="2"/>
        <scheme val="minor"/>
      </rPr>
      <t>p</t>
    </r>
  </si>
  <si>
    <r>
      <t>N</t>
    </r>
    <r>
      <rPr>
        <b/>
        <vertAlign val="subscript"/>
        <sz val="14"/>
        <color theme="1"/>
        <rFont val="Aptos Narrow"/>
        <family val="2"/>
        <scheme val="minor"/>
      </rPr>
      <t>p</t>
    </r>
  </si>
  <si>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Aptos Narrow"/>
        <family val="2"/>
      </rPr>
      <t>t=</t>
    </r>
    <r>
      <rPr>
        <b/>
        <sz val="14"/>
        <color theme="1"/>
        <rFont val="Aptos Narrow"/>
        <family val="2"/>
        <scheme val="minor"/>
      </rPr>
      <t>(20)/(19)</t>
    </r>
  </si>
  <si>
    <r>
      <t>q</t>
    </r>
    <r>
      <rPr>
        <b/>
        <vertAlign val="subscript"/>
        <sz val="14"/>
        <color theme="1"/>
        <rFont val="Aptos Narrow"/>
        <family val="2"/>
        <scheme val="minor"/>
      </rPr>
      <t>o</t>
    </r>
    <r>
      <rPr>
        <b/>
        <sz val="14"/>
        <color theme="1"/>
        <rFont val="Aptos Narrow"/>
        <family val="2"/>
        <scheme val="minor"/>
      </rPr>
      <t>, STB/D</t>
    </r>
  </si>
  <si>
    <r>
      <t>q</t>
    </r>
    <r>
      <rPr>
        <b/>
        <vertAlign val="subscript"/>
        <sz val="14"/>
        <color theme="1"/>
        <rFont val="Aptos Narrow"/>
        <family val="2"/>
        <scheme val="minor"/>
      </rPr>
      <t>w</t>
    </r>
    <r>
      <rPr>
        <b/>
        <sz val="14"/>
        <color theme="1"/>
        <rFont val="Aptos Narrow"/>
        <family val="2"/>
        <scheme val="minor"/>
      </rPr>
      <t>,bbl/D</t>
    </r>
  </si>
  <si>
    <r>
      <t>W</t>
    </r>
    <r>
      <rPr>
        <b/>
        <vertAlign val="subscript"/>
        <sz val="14"/>
        <color theme="1"/>
        <rFont val="Aptos Narrow"/>
        <family val="2"/>
        <scheme val="minor"/>
      </rPr>
      <t>p</t>
    </r>
    <r>
      <rPr>
        <b/>
        <sz val="14"/>
        <color theme="1"/>
        <rFont val="Aptos Narrow"/>
        <family val="2"/>
        <scheme val="minor"/>
      </rPr>
      <t>, bbl</t>
    </r>
  </si>
  <si>
    <r>
      <t>W</t>
    </r>
    <r>
      <rPr>
        <b/>
        <vertAlign val="subscript"/>
        <sz val="14"/>
        <color theme="1"/>
        <rFont val="Aptos Narrow"/>
        <family val="2"/>
        <scheme val="minor"/>
      </rPr>
      <t>i</t>
    </r>
    <r>
      <rPr>
        <b/>
        <sz val="14"/>
        <color theme="1"/>
        <rFont val="Aptos Narrow"/>
        <family val="2"/>
        <scheme val="minor"/>
      </rPr>
      <t>, (10</t>
    </r>
    <r>
      <rPr>
        <b/>
        <vertAlign val="superscript"/>
        <sz val="14"/>
        <color theme="1"/>
        <rFont val="Aptos Narrow"/>
        <family val="2"/>
        <scheme val="minor"/>
      </rPr>
      <t xml:space="preserve">3 </t>
    </r>
    <r>
      <rPr>
        <b/>
        <sz val="14"/>
        <color theme="1"/>
        <rFont val="Aptos Narrow"/>
        <family val="2"/>
        <scheme val="minor"/>
      </rPr>
      <t>bbl)</t>
    </r>
  </si>
  <si>
    <t>Cumulative Responses of Stages 1-4</t>
  </si>
  <si>
    <t>CGM Waterflood Perfomance-Layer 1</t>
  </si>
  <si>
    <t>Time, days</t>
  </si>
  <si>
    <r>
      <t>W</t>
    </r>
    <r>
      <rPr>
        <b/>
        <vertAlign val="subscript"/>
        <sz val="14"/>
        <color theme="1"/>
        <rFont val="Aptos Narrow"/>
        <family val="2"/>
        <scheme val="minor"/>
      </rPr>
      <t>i</t>
    </r>
    <r>
      <rPr>
        <b/>
        <sz val="14"/>
        <color theme="1"/>
        <rFont val="Aptos Narrow"/>
        <family val="2"/>
        <scheme val="minor"/>
      </rPr>
      <t>, BW</t>
    </r>
  </si>
  <si>
    <r>
      <t>N</t>
    </r>
    <r>
      <rPr>
        <b/>
        <vertAlign val="subscript"/>
        <sz val="14"/>
        <color theme="1"/>
        <rFont val="Aptos Narrow"/>
        <family val="2"/>
        <scheme val="minor"/>
      </rPr>
      <t>p</t>
    </r>
    <r>
      <rPr>
        <b/>
        <sz val="14"/>
        <color theme="1"/>
        <rFont val="Aptos Narrow"/>
        <family val="2"/>
        <scheme val="minor"/>
      </rPr>
      <t>, BO</t>
    </r>
  </si>
  <si>
    <r>
      <t>W</t>
    </r>
    <r>
      <rPr>
        <b/>
        <vertAlign val="subscript"/>
        <sz val="14"/>
        <color theme="1"/>
        <rFont val="Aptos Narrow"/>
        <family val="2"/>
        <scheme val="minor"/>
      </rPr>
      <t>p</t>
    </r>
    <r>
      <rPr>
        <b/>
        <sz val="14"/>
        <color theme="1"/>
        <rFont val="Aptos Narrow"/>
        <family val="2"/>
        <scheme val="minor"/>
      </rPr>
      <t>, BW</t>
    </r>
  </si>
  <si>
    <r>
      <t>i</t>
    </r>
    <r>
      <rPr>
        <b/>
        <vertAlign val="subscript"/>
        <sz val="14"/>
        <color theme="1"/>
        <rFont val="Aptos Narrow"/>
        <family val="2"/>
        <scheme val="minor"/>
      </rPr>
      <t>w</t>
    </r>
    <r>
      <rPr>
        <b/>
        <sz val="14"/>
        <color theme="1"/>
        <rFont val="Aptos Narrow"/>
        <family val="2"/>
        <scheme val="minor"/>
      </rPr>
      <t>; BWPD</t>
    </r>
  </si>
  <si>
    <r>
      <t>q</t>
    </r>
    <r>
      <rPr>
        <b/>
        <vertAlign val="subscript"/>
        <sz val="14"/>
        <color theme="1"/>
        <rFont val="Aptos Narrow"/>
        <family val="2"/>
        <scheme val="minor"/>
      </rPr>
      <t>o</t>
    </r>
    <r>
      <rPr>
        <b/>
        <sz val="14"/>
        <color theme="1"/>
        <rFont val="Aptos Narrow"/>
        <family val="2"/>
        <scheme val="minor"/>
      </rPr>
      <t>, BOPD</t>
    </r>
  </si>
  <si>
    <r>
      <t>q</t>
    </r>
    <r>
      <rPr>
        <b/>
        <vertAlign val="subscript"/>
        <sz val="14"/>
        <color theme="1"/>
        <rFont val="Aptos Narrow"/>
        <family val="2"/>
        <scheme val="minor"/>
      </rPr>
      <t>w</t>
    </r>
    <r>
      <rPr>
        <b/>
        <sz val="14"/>
        <color theme="1"/>
        <rFont val="Aptos Narrow"/>
        <family val="2"/>
        <scheme val="minor"/>
      </rPr>
      <t>, BWPD</t>
    </r>
  </si>
  <si>
    <r>
      <t>W</t>
    </r>
    <r>
      <rPr>
        <b/>
        <vertAlign val="subscript"/>
        <sz val="14"/>
        <color theme="1"/>
        <rFont val="Aptos Narrow"/>
        <family val="2"/>
        <scheme val="minor"/>
      </rPr>
      <t>i</t>
    </r>
    <r>
      <rPr>
        <b/>
        <sz val="14"/>
        <color theme="1"/>
        <rFont val="Aptos Narrow"/>
        <family val="2"/>
        <scheme val="minor"/>
      </rPr>
      <t>, bbl</t>
    </r>
  </si>
  <si>
    <r>
      <t>r</t>
    </r>
    <r>
      <rPr>
        <b/>
        <vertAlign val="subscript"/>
        <sz val="14"/>
        <color theme="1"/>
        <rFont val="Aptos Narrow"/>
        <family val="2"/>
        <scheme val="minor"/>
      </rPr>
      <t>e</t>
    </r>
    <r>
      <rPr>
        <b/>
        <sz val="14"/>
        <color theme="1"/>
        <rFont val="Aptos Narrow"/>
        <family val="2"/>
        <scheme val="minor"/>
      </rPr>
      <t>^</t>
    </r>
    <r>
      <rPr>
        <b/>
        <vertAlign val="superscript"/>
        <sz val="14"/>
        <color theme="1"/>
        <rFont val="Aptos Narrow"/>
        <family val="2"/>
        <scheme val="minor"/>
      </rPr>
      <t>2</t>
    </r>
  </si>
  <si>
    <r>
      <t>r</t>
    </r>
    <r>
      <rPr>
        <b/>
        <vertAlign val="subscript"/>
        <sz val="14"/>
        <color theme="1"/>
        <rFont val="Aptos Narrow"/>
        <family val="2"/>
        <scheme val="minor"/>
      </rPr>
      <t>e</t>
    </r>
    <r>
      <rPr>
        <b/>
        <sz val="14"/>
        <color theme="1"/>
        <rFont val="Aptos Narrow"/>
        <family val="2"/>
        <scheme val="minor"/>
      </rPr>
      <t>, ft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</si>
</sst>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#,##0.0000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Aptos Narrow"/>
      <family val="2"/>
    </font>
    <font>
      <b/>
      <sz val="11"/>
      <color theme="1"/>
      <name val="Franklin Gothic Book"/>
      <family val="2"/>
    </font>
    <font>
      <b/>
      <vertAlign val="subscript"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1"/>
      <name val="Aptos Narrow"/>
      <family val="1"/>
      <charset val="2"/>
    </font>
    <font>
      <b/>
      <sz val="9"/>
      <color theme="1"/>
      <name val="Symbol"/>
      <family val="1"/>
      <charset val="2"/>
    </font>
    <font>
      <b/>
      <sz val="9"/>
      <color theme="1"/>
      <name val="Aptos Narrow"/>
      <family val="2"/>
    </font>
    <font>
      <b/>
      <vertAlign val="subscript"/>
      <sz val="9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vertAlign val="superscript"/>
      <sz val="14"/>
      <color theme="1"/>
      <name val="Aptos Narrow"/>
      <family val="2"/>
      <scheme val="minor"/>
    </font>
    <font>
      <b/>
      <vertAlign val="subscript"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Symbol"/>
      <family val="1"/>
      <charset val="2"/>
    </font>
    <font>
      <b/>
      <sz val="16"/>
      <color theme="1"/>
      <name val="Aptos Narrow"/>
      <family val="2"/>
    </font>
    <font>
      <vertAlign val="sub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4"/>
      <color theme="1"/>
      <name val="Symbol"/>
      <family val="1"/>
      <charset val="2"/>
    </font>
    <font>
      <sz val="9"/>
      <color theme="1"/>
      <name val="Aptos Narrow"/>
      <family val="2"/>
      <scheme val="minor"/>
    </font>
    <font>
      <b/>
      <vertAlign val="subscript"/>
      <sz val="16"/>
      <color theme="1"/>
      <name val="Aptos Narrow"/>
      <family val="2"/>
      <scheme val="minor"/>
    </font>
    <font>
      <b/>
      <vertAlign val="subscript"/>
      <sz val="12"/>
      <color theme="1"/>
      <name val="Aptos Narrow"/>
      <family val="2"/>
      <scheme val="minor"/>
    </font>
    <font>
      <b/>
      <sz val="14"/>
      <color theme="1"/>
      <name val="Aptos Narrow"/>
      <family val="1"/>
      <charset val="2"/>
      <scheme val="minor"/>
    </font>
    <font>
      <b/>
      <sz val="14"/>
      <color theme="1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0" borderId="0" xfId="0" applyFont="1"/>
    <xf numFmtId="166" fontId="0" fillId="0" borderId="0" xfId="0" applyNumberFormat="1"/>
    <xf numFmtId="0" fontId="8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1" fontId="1" fillId="3" borderId="4" xfId="0" applyNumberFormat="1" applyFont="1" applyFill="1" applyBorder="1"/>
    <xf numFmtId="166" fontId="1" fillId="3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2" fontId="7" fillId="5" borderId="0" xfId="0" applyNumberFormat="1" applyFont="1" applyFill="1" applyAlignment="1">
      <alignment horizontal="center"/>
    </xf>
    <xf numFmtId="166" fontId="7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7" borderId="1" xfId="0" applyFont="1" applyFill="1" applyBorder="1" applyAlignment="1">
      <alignment horizontal="center"/>
    </xf>
    <xf numFmtId="167" fontId="0" fillId="0" borderId="0" xfId="0" applyNumberFormat="1"/>
    <xf numFmtId="0" fontId="13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6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0" fillId="9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emf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emf"/><Relationship Id="rId10" Type="http://schemas.openxmlformats.org/officeDocument/2006/relationships/image" Target="../media/image21.png"/><Relationship Id="rId4" Type="http://schemas.openxmlformats.org/officeDocument/2006/relationships/image" Target="../media/image15.emf"/><Relationship Id="rId9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29.emf"/><Relationship Id="rId2" Type="http://schemas.openxmlformats.org/officeDocument/2006/relationships/image" Target="../media/image24.emf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4.png"/><Relationship Id="rId5" Type="http://schemas.openxmlformats.org/officeDocument/2006/relationships/image" Target="../media/image25.png"/><Relationship Id="rId4" Type="http://schemas.openxmlformats.org/officeDocument/2006/relationships/image" Target="../media/image3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image" Target="../media/image47.png"/><Relationship Id="rId18" Type="http://schemas.openxmlformats.org/officeDocument/2006/relationships/image" Target="../media/image52.png"/><Relationship Id="rId26" Type="http://schemas.openxmlformats.org/officeDocument/2006/relationships/image" Target="../media/image33.png"/><Relationship Id="rId3" Type="http://schemas.openxmlformats.org/officeDocument/2006/relationships/image" Target="../media/image37.png"/><Relationship Id="rId21" Type="http://schemas.openxmlformats.org/officeDocument/2006/relationships/image" Target="../media/image55.png"/><Relationship Id="rId7" Type="http://schemas.openxmlformats.org/officeDocument/2006/relationships/image" Target="../media/image41.png"/><Relationship Id="rId12" Type="http://schemas.openxmlformats.org/officeDocument/2006/relationships/image" Target="../media/image46.png"/><Relationship Id="rId17" Type="http://schemas.openxmlformats.org/officeDocument/2006/relationships/image" Target="../media/image51.png"/><Relationship Id="rId25" Type="http://schemas.openxmlformats.org/officeDocument/2006/relationships/image" Target="../media/image59.png"/><Relationship Id="rId2" Type="http://schemas.openxmlformats.org/officeDocument/2006/relationships/image" Target="../media/image36.png"/><Relationship Id="rId16" Type="http://schemas.openxmlformats.org/officeDocument/2006/relationships/image" Target="../media/image50.png"/><Relationship Id="rId20" Type="http://schemas.openxmlformats.org/officeDocument/2006/relationships/image" Target="../media/image54.png"/><Relationship Id="rId29" Type="http://schemas.openxmlformats.org/officeDocument/2006/relationships/image" Target="../media/image61.png"/><Relationship Id="rId1" Type="http://schemas.openxmlformats.org/officeDocument/2006/relationships/image" Target="../media/image35.png"/><Relationship Id="rId6" Type="http://schemas.openxmlformats.org/officeDocument/2006/relationships/image" Target="../media/image40.png"/><Relationship Id="rId11" Type="http://schemas.openxmlformats.org/officeDocument/2006/relationships/image" Target="../media/image45.png"/><Relationship Id="rId24" Type="http://schemas.openxmlformats.org/officeDocument/2006/relationships/image" Target="../media/image58.png"/><Relationship Id="rId5" Type="http://schemas.openxmlformats.org/officeDocument/2006/relationships/image" Target="../media/image39.png"/><Relationship Id="rId15" Type="http://schemas.openxmlformats.org/officeDocument/2006/relationships/image" Target="../media/image49.png"/><Relationship Id="rId23" Type="http://schemas.openxmlformats.org/officeDocument/2006/relationships/image" Target="../media/image57.png"/><Relationship Id="rId28" Type="http://schemas.openxmlformats.org/officeDocument/2006/relationships/image" Target="../media/image60.png"/><Relationship Id="rId10" Type="http://schemas.openxmlformats.org/officeDocument/2006/relationships/image" Target="../media/image44.png"/><Relationship Id="rId19" Type="http://schemas.openxmlformats.org/officeDocument/2006/relationships/image" Target="../media/image53.png"/><Relationship Id="rId4" Type="http://schemas.openxmlformats.org/officeDocument/2006/relationships/image" Target="../media/image38.png"/><Relationship Id="rId9" Type="http://schemas.openxmlformats.org/officeDocument/2006/relationships/image" Target="../media/image43.png"/><Relationship Id="rId14" Type="http://schemas.openxmlformats.org/officeDocument/2006/relationships/image" Target="../media/image48.png"/><Relationship Id="rId22" Type="http://schemas.openxmlformats.org/officeDocument/2006/relationships/image" Target="../media/image56.png"/><Relationship Id="rId27" Type="http://schemas.openxmlformats.org/officeDocument/2006/relationships/image" Target="../media/image25.png"/><Relationship Id="rId30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608428</xdr:colOff>
      <xdr:row>22</xdr:row>
      <xdr:rowOff>121550</xdr:rowOff>
    </xdr:from>
    <xdr:to>
      <xdr:col>2</xdr:col>
      <xdr:colOff>1191652</xdr:colOff>
      <xdr:row>24</xdr:row>
      <xdr:rowOff>68052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806B558-2DD7-BC10-4E96-784FA0D0A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7128" y="5364110"/>
          <a:ext cx="1284264" cy="312262"/>
        </a:xfrm>
        <a:prstGeom prst="rect">
          <a:avLst/>
        </a:prstGeom>
      </xdr:spPr>
    </xdr:pic>
    <xdr:clientData/>
  </xdr:twoCellAnchor>
  <xdr:twoCellAnchor editAs="oneCell">
    <xdr:from>
      <xdr:col>0</xdr:col>
      <xdr:colOff>908538</xdr:colOff>
      <xdr:row>29</xdr:row>
      <xdr:rowOff>74682</xdr:rowOff>
    </xdr:from>
    <xdr:to>
      <xdr:col>2</xdr:col>
      <xdr:colOff>111370</xdr:colOff>
      <xdr:row>32</xdr:row>
      <xdr:rowOff>36503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6EC43BD-E0F4-EEEF-30C6-0E65AF554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538" y="6299636"/>
          <a:ext cx="937847" cy="506944"/>
        </a:xfrm>
        <a:prstGeom prst="rect">
          <a:avLst/>
        </a:prstGeom>
      </xdr:spPr>
    </xdr:pic>
    <xdr:clientData/>
  </xdr:twoCellAnchor>
  <xdr:twoCellAnchor editAs="oneCell">
    <xdr:from>
      <xdr:col>0</xdr:col>
      <xdr:colOff>732693</xdr:colOff>
      <xdr:row>36</xdr:row>
      <xdr:rowOff>178178</xdr:rowOff>
    </xdr:from>
    <xdr:to>
      <xdr:col>2</xdr:col>
      <xdr:colOff>375140</xdr:colOff>
      <xdr:row>40</xdr:row>
      <xdr:rowOff>110306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84C0F4D-1E1D-4998-A747-F957D75AE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2693" y="7680947"/>
          <a:ext cx="1377462" cy="658959"/>
        </a:xfrm>
        <a:prstGeom prst="rect">
          <a:avLst/>
        </a:prstGeom>
      </xdr:spPr>
    </xdr:pic>
    <xdr:clientData/>
  </xdr:twoCellAnchor>
  <xdr:twoCellAnchor editAs="oneCell">
    <xdr:from>
      <xdr:col>3</xdr:col>
      <xdr:colOff>243987</xdr:colOff>
      <xdr:row>36</xdr:row>
      <xdr:rowOff>57150</xdr:rowOff>
    </xdr:from>
    <xdr:to>
      <xdr:col>3</xdr:col>
      <xdr:colOff>642410</xdr:colOff>
      <xdr:row>37</xdr:row>
      <xdr:rowOff>148047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52C2BD2-4E7D-A8B9-3AC8-5634DA64D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39612" y="7724775"/>
          <a:ext cx="398423" cy="271872"/>
        </a:xfrm>
        <a:prstGeom prst="rect">
          <a:avLst/>
        </a:prstGeom>
      </xdr:spPr>
    </xdr:pic>
    <xdr:clientData/>
  </xdr:twoCellAnchor>
  <xdr:twoCellAnchor editAs="oneCell">
    <xdr:from>
      <xdr:col>4</xdr:col>
      <xdr:colOff>152399</xdr:colOff>
      <xdr:row>36</xdr:row>
      <xdr:rowOff>72713</xdr:rowOff>
    </xdr:from>
    <xdr:to>
      <xdr:col>4</xdr:col>
      <xdr:colOff>756137</xdr:colOff>
      <xdr:row>37</xdr:row>
      <xdr:rowOff>172971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551CC7-7A3F-84F6-0412-DDE2997C5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44461" y="7569621"/>
          <a:ext cx="603738" cy="281966"/>
        </a:xfrm>
        <a:prstGeom prst="rect">
          <a:avLst/>
        </a:prstGeom>
      </xdr:spPr>
    </xdr:pic>
    <xdr:clientData/>
  </xdr:twoCellAnchor>
  <xdr:twoCellAnchor editAs="oneCell">
    <xdr:from>
      <xdr:col>3</xdr:col>
      <xdr:colOff>504092</xdr:colOff>
      <xdr:row>44</xdr:row>
      <xdr:rowOff>72553</xdr:rowOff>
    </xdr:from>
    <xdr:to>
      <xdr:col>6</xdr:col>
      <xdr:colOff>527538</xdr:colOff>
      <xdr:row>53</xdr:row>
      <xdr:rowOff>137892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C1784379-72B7-A3D9-9FC1-4D8FE4A6F2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81" t="-1" r="422" b="1111"/>
        <a:stretch/>
      </xdr:blipFill>
      <xdr:spPr>
        <a:xfrm>
          <a:off x="3604846" y="9204830"/>
          <a:ext cx="2397369" cy="1762108"/>
        </a:xfrm>
        <a:prstGeom prst="rect">
          <a:avLst/>
        </a:prstGeom>
      </xdr:spPr>
    </xdr:pic>
    <xdr:clientData/>
  </xdr:twoCellAnchor>
  <xdr:twoCellAnchor editAs="oneCell">
    <xdr:from>
      <xdr:col>0</xdr:col>
      <xdr:colOff>423984</xdr:colOff>
      <xdr:row>56</xdr:row>
      <xdr:rowOff>46893</xdr:rowOff>
    </xdr:from>
    <xdr:to>
      <xdr:col>2</xdr:col>
      <xdr:colOff>217224</xdr:colOff>
      <xdr:row>59</xdr:row>
      <xdr:rowOff>156736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E996F4A-6217-FDBC-69C9-AE1EF682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3984" y="11377247"/>
          <a:ext cx="1528255" cy="654966"/>
        </a:xfrm>
        <a:prstGeom prst="rect">
          <a:avLst/>
        </a:prstGeom>
      </xdr:spPr>
    </xdr:pic>
    <xdr:clientData/>
  </xdr:twoCellAnchor>
  <xdr:twoCellAnchor editAs="oneCell">
    <xdr:from>
      <xdr:col>0</xdr:col>
      <xdr:colOff>791308</xdr:colOff>
      <xdr:row>64</xdr:row>
      <xdr:rowOff>160730</xdr:rowOff>
    </xdr:from>
    <xdr:to>
      <xdr:col>2</xdr:col>
      <xdr:colOff>175847</xdr:colOff>
      <xdr:row>66</xdr:row>
      <xdr:rowOff>180585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784D4A2E-45A9-D676-0F98-3DD4DD240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1308" y="12944745"/>
          <a:ext cx="1119554" cy="383271"/>
        </a:xfrm>
        <a:prstGeom prst="rect">
          <a:avLst/>
        </a:prstGeom>
      </xdr:spPr>
    </xdr:pic>
    <xdr:clientData/>
  </xdr:twoCellAnchor>
  <xdr:twoCellAnchor editAs="oneCell">
    <xdr:from>
      <xdr:col>0</xdr:col>
      <xdr:colOff>463062</xdr:colOff>
      <xdr:row>72</xdr:row>
      <xdr:rowOff>132159</xdr:rowOff>
    </xdr:from>
    <xdr:to>
      <xdr:col>2</xdr:col>
      <xdr:colOff>820617</xdr:colOff>
      <xdr:row>74</xdr:row>
      <xdr:rowOff>100283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FA59F706-151B-9711-CB67-E028DEE29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3062" y="14369836"/>
          <a:ext cx="2092570" cy="331539"/>
        </a:xfrm>
        <a:prstGeom prst="rect">
          <a:avLst/>
        </a:prstGeom>
      </xdr:spPr>
    </xdr:pic>
    <xdr:clientData/>
  </xdr:twoCellAnchor>
  <xdr:twoCellAnchor editAs="oneCell">
    <xdr:from>
      <xdr:col>7</xdr:col>
      <xdr:colOff>211750</xdr:colOff>
      <xdr:row>15</xdr:row>
      <xdr:rowOff>76200</xdr:rowOff>
    </xdr:from>
    <xdr:to>
      <xdr:col>9</xdr:col>
      <xdr:colOff>453587</xdr:colOff>
      <xdr:row>28</xdr:row>
      <xdr:rowOff>99060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8D3745-19C4-877A-FEBB-5297EBD7A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014630" y="3672840"/>
          <a:ext cx="2276377" cy="2811780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</xdr:colOff>
      <xdr:row>15</xdr:row>
      <xdr:rowOff>60960</xdr:rowOff>
    </xdr:from>
    <xdr:to>
      <xdr:col>6</xdr:col>
      <xdr:colOff>746759</xdr:colOff>
      <xdr:row>28</xdr:row>
      <xdr:rowOff>81838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685851-B770-9295-1A86-0B8808BE3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54980" y="3657600"/>
          <a:ext cx="2202179" cy="2809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45721</xdr:colOff>
      <xdr:row>4</xdr:row>
      <xdr:rowOff>38576</xdr:rowOff>
    </xdr:from>
    <xdr:to>
      <xdr:col>4</xdr:col>
      <xdr:colOff>678180</xdr:colOff>
      <xdr:row>6</xdr:row>
      <xdr:rowOff>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6C56FD-CE32-6547-E1B4-1DBF40E0F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641" y="930116"/>
          <a:ext cx="632459" cy="395825"/>
        </a:xfrm>
        <a:prstGeom prst="rect">
          <a:avLst/>
        </a:prstGeom>
      </xdr:spPr>
    </xdr:pic>
    <xdr:clientData/>
  </xdr:twoCellAnchor>
  <xdr:twoCellAnchor editAs="oneCell">
    <xdr:from>
      <xdr:col>5</xdr:col>
      <xdr:colOff>106681</xdr:colOff>
      <xdr:row>4</xdr:row>
      <xdr:rowOff>16402</xdr:rowOff>
    </xdr:from>
    <xdr:to>
      <xdr:col>5</xdr:col>
      <xdr:colOff>640081</xdr:colOff>
      <xdr:row>5</xdr:row>
      <xdr:rowOff>152455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1481BC-71DC-A8EE-9E3E-ED69E4F1C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9081" y="907942"/>
          <a:ext cx="533400" cy="387513"/>
        </a:xfrm>
        <a:prstGeom prst="rect">
          <a:avLst/>
        </a:prstGeom>
      </xdr:spPr>
    </xdr:pic>
    <xdr:clientData/>
  </xdr:twoCellAnchor>
  <xdr:twoCellAnchor editAs="oneCell">
    <xdr:from>
      <xdr:col>0</xdr:col>
      <xdr:colOff>701040</xdr:colOff>
      <xdr:row>14</xdr:row>
      <xdr:rowOff>26146</xdr:rowOff>
    </xdr:from>
    <xdr:to>
      <xdr:col>2</xdr:col>
      <xdr:colOff>121920</xdr:colOff>
      <xdr:row>17</xdr:row>
      <xdr:rowOff>30480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D5ED0D-BEA6-5401-EF24-5A84C6136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" y="2952226"/>
          <a:ext cx="1005840" cy="55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670560</xdr:colOff>
      <xdr:row>16</xdr:row>
      <xdr:rowOff>160288</xdr:rowOff>
    </xdr:from>
    <xdr:to>
      <xdr:col>3</xdr:col>
      <xdr:colOff>259080</xdr:colOff>
      <xdr:row>20</xdr:row>
      <xdr:rowOff>68579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17172C3-923B-34ED-55B8-9113110AD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" y="3452128"/>
          <a:ext cx="1173480" cy="662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13</xdr:row>
      <xdr:rowOff>15810</xdr:rowOff>
    </xdr:from>
    <xdr:to>
      <xdr:col>4</xdr:col>
      <xdr:colOff>434340</xdr:colOff>
      <xdr:row>16</xdr:row>
      <xdr:rowOff>182879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10CC29D-14E4-CC1A-1A4D-EAD3CEDD9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" y="2759010"/>
          <a:ext cx="1478280" cy="71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60960</xdr:colOff>
      <xdr:row>4</xdr:row>
      <xdr:rowOff>45720</xdr:rowOff>
    </xdr:from>
    <xdr:to>
      <xdr:col>9</xdr:col>
      <xdr:colOff>938382</xdr:colOff>
      <xdr:row>5</xdr:row>
      <xdr:rowOff>167708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A2B007E-CB1C-B52D-6236-BACD5A247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93280" y="937260"/>
          <a:ext cx="877422" cy="373448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</xdr:colOff>
      <xdr:row>4</xdr:row>
      <xdr:rowOff>145950</xdr:rowOff>
    </xdr:from>
    <xdr:to>
      <xdr:col>10</xdr:col>
      <xdr:colOff>906780</xdr:colOff>
      <xdr:row>5</xdr:row>
      <xdr:rowOff>129569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6FD79D4-79B2-479A-C532-27BBF68E8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68640" y="991770"/>
          <a:ext cx="853440" cy="235079"/>
        </a:xfrm>
        <a:prstGeom prst="rect">
          <a:avLst/>
        </a:prstGeom>
      </xdr:spPr>
    </xdr:pic>
    <xdr:clientData/>
  </xdr:twoCellAnchor>
  <xdr:twoCellAnchor editAs="oneCell">
    <xdr:from>
      <xdr:col>6</xdr:col>
      <xdr:colOff>251460</xdr:colOff>
      <xdr:row>13</xdr:row>
      <xdr:rowOff>90870</xdr:rowOff>
    </xdr:from>
    <xdr:to>
      <xdr:col>8</xdr:col>
      <xdr:colOff>388620</xdr:colOff>
      <xdr:row>17</xdr:row>
      <xdr:rowOff>137255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C0B357A-6BDB-304F-7098-B36F93E75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06340" y="2879790"/>
          <a:ext cx="1722120" cy="777905"/>
        </a:xfrm>
        <a:prstGeom prst="rect">
          <a:avLst/>
        </a:prstGeom>
      </xdr:spPr>
    </xdr:pic>
    <xdr:clientData/>
  </xdr:twoCellAnchor>
  <xdr:twoCellAnchor>
    <xdr:from>
      <xdr:col>1</xdr:col>
      <xdr:colOff>251460</xdr:colOff>
      <xdr:row>13</xdr:row>
      <xdr:rowOff>45720</xdr:rowOff>
    </xdr:from>
    <xdr:to>
      <xdr:col>1</xdr:col>
      <xdr:colOff>297179</xdr:colOff>
      <xdr:row>14</xdr:row>
      <xdr:rowOff>22860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9BA75A1E-D9B3-7290-DB98-3431415D32E3}"/>
            </a:ext>
          </a:extLst>
        </xdr:cNvPr>
        <xdr:cNvSpPr/>
      </xdr:nvSpPr>
      <xdr:spPr>
        <a:xfrm>
          <a:off x="1043940" y="2651760"/>
          <a:ext cx="45719" cy="16002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403860</xdr:colOff>
      <xdr:row>13</xdr:row>
      <xdr:rowOff>38100</xdr:rowOff>
    </xdr:from>
    <xdr:to>
      <xdr:col>3</xdr:col>
      <xdr:colOff>449579</xdr:colOff>
      <xdr:row>14</xdr:row>
      <xdr:rowOff>15240</xdr:rowOff>
    </xdr:to>
    <xdr:sp macro="" textlink="">
      <xdr:nvSpPr>
        <xdr:cNvPr id="9" name="Flecha: hacia arriba 8">
          <a:extLst>
            <a:ext uri="{FF2B5EF4-FFF2-40B4-BE49-F238E27FC236}">
              <a16:creationId xmlns:a16="http://schemas.microsoft.com/office/drawing/2014/main" id="{67CE18D8-EB3F-491C-9632-82B88EB37317}"/>
            </a:ext>
          </a:extLst>
        </xdr:cNvPr>
        <xdr:cNvSpPr/>
      </xdr:nvSpPr>
      <xdr:spPr>
        <a:xfrm>
          <a:off x="2781300" y="2644140"/>
          <a:ext cx="45719" cy="16002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320039</xdr:colOff>
      <xdr:row>13</xdr:row>
      <xdr:rowOff>45720</xdr:rowOff>
    </xdr:from>
    <xdr:to>
      <xdr:col>2</xdr:col>
      <xdr:colOff>381000</xdr:colOff>
      <xdr:row>17</xdr:row>
      <xdr:rowOff>38100</xdr:rowOff>
    </xdr:to>
    <xdr:sp macro="" textlink="">
      <xdr:nvSpPr>
        <xdr:cNvPr id="13" name="Flecha: hacia arriba 12">
          <a:extLst>
            <a:ext uri="{FF2B5EF4-FFF2-40B4-BE49-F238E27FC236}">
              <a16:creationId xmlns:a16="http://schemas.microsoft.com/office/drawing/2014/main" id="{2B6F7841-3C9B-4650-8419-B3D591300821}"/>
            </a:ext>
          </a:extLst>
        </xdr:cNvPr>
        <xdr:cNvSpPr/>
      </xdr:nvSpPr>
      <xdr:spPr>
        <a:xfrm flipH="1">
          <a:off x="1904999" y="2651760"/>
          <a:ext cx="60961" cy="7239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388620</xdr:colOff>
      <xdr:row>13</xdr:row>
      <xdr:rowOff>7620</xdr:rowOff>
    </xdr:from>
    <xdr:to>
      <xdr:col>7</xdr:col>
      <xdr:colOff>434339</xdr:colOff>
      <xdr:row>13</xdr:row>
      <xdr:rowOff>167640</xdr:rowOff>
    </xdr:to>
    <xdr:sp macro="" textlink="">
      <xdr:nvSpPr>
        <xdr:cNvPr id="14" name="Flecha: hacia arriba 13">
          <a:extLst>
            <a:ext uri="{FF2B5EF4-FFF2-40B4-BE49-F238E27FC236}">
              <a16:creationId xmlns:a16="http://schemas.microsoft.com/office/drawing/2014/main" id="{D60E4025-697D-43FE-8455-2DE39086D39D}"/>
            </a:ext>
          </a:extLst>
        </xdr:cNvPr>
        <xdr:cNvSpPr/>
      </xdr:nvSpPr>
      <xdr:spPr>
        <a:xfrm>
          <a:off x="5935980" y="2613660"/>
          <a:ext cx="45719" cy="16002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304800</xdr:colOff>
      <xdr:row>17</xdr:row>
      <xdr:rowOff>152400</xdr:rowOff>
    </xdr:from>
    <xdr:to>
      <xdr:col>7</xdr:col>
      <xdr:colOff>350519</xdr:colOff>
      <xdr:row>19</xdr:row>
      <xdr:rowOff>7620</xdr:rowOff>
    </xdr:to>
    <xdr:sp macro="" textlink="">
      <xdr:nvSpPr>
        <xdr:cNvPr id="15" name="Flecha: hacia arriba 14">
          <a:extLst>
            <a:ext uri="{FF2B5EF4-FFF2-40B4-BE49-F238E27FC236}">
              <a16:creationId xmlns:a16="http://schemas.microsoft.com/office/drawing/2014/main" id="{A87AFC15-A1E4-4888-AEB2-63CCE8DEE9BB}"/>
            </a:ext>
          </a:extLst>
        </xdr:cNvPr>
        <xdr:cNvSpPr/>
      </xdr:nvSpPr>
      <xdr:spPr>
        <a:xfrm>
          <a:off x="5852160" y="3489960"/>
          <a:ext cx="45719" cy="22098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3</xdr:col>
      <xdr:colOff>212931</xdr:colOff>
      <xdr:row>20</xdr:row>
      <xdr:rowOff>110067</xdr:rowOff>
    </xdr:from>
    <xdr:to>
      <xdr:col>6</xdr:col>
      <xdr:colOff>693004</xdr:colOff>
      <xdr:row>29</xdr:row>
      <xdr:rowOff>127001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27150F0-623C-337A-69C5-6F8C4FCA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00531" y="4072467"/>
          <a:ext cx="2867673" cy="1693334"/>
        </a:xfrm>
        <a:prstGeom prst="rect">
          <a:avLst/>
        </a:prstGeom>
      </xdr:spPr>
    </xdr:pic>
    <xdr:clientData/>
  </xdr:twoCellAnchor>
  <xdr:twoCellAnchor editAs="oneCell">
    <xdr:from>
      <xdr:col>3</xdr:col>
      <xdr:colOff>465668</xdr:colOff>
      <xdr:row>30</xdr:row>
      <xdr:rowOff>64858</xdr:rowOff>
    </xdr:from>
    <xdr:to>
      <xdr:col>7</xdr:col>
      <xdr:colOff>76201</xdr:colOff>
      <xdr:row>32</xdr:row>
      <xdr:rowOff>110120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CC5E237-A5B4-30A9-3E1D-38AA8CC83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3268" y="5889925"/>
          <a:ext cx="2794000" cy="417795"/>
        </a:xfrm>
        <a:prstGeom prst="rect">
          <a:avLst/>
        </a:prstGeom>
      </xdr:spPr>
    </xdr:pic>
    <xdr:clientData/>
  </xdr:twoCellAnchor>
  <xdr:twoCellAnchor editAs="oneCell">
    <xdr:from>
      <xdr:col>7</xdr:col>
      <xdr:colOff>246798</xdr:colOff>
      <xdr:row>21</xdr:row>
      <xdr:rowOff>76200</xdr:rowOff>
    </xdr:from>
    <xdr:to>
      <xdr:col>10</xdr:col>
      <xdr:colOff>227504</xdr:colOff>
      <xdr:row>29</xdr:row>
      <xdr:rowOff>105419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BB65415-AB74-944F-2DAD-7C0A283FD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17865" y="4224867"/>
          <a:ext cx="2554572" cy="1519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403861</xdr:colOff>
      <xdr:row>12</xdr:row>
      <xdr:rowOff>1</xdr:rowOff>
    </xdr:from>
    <xdr:to>
      <xdr:col>3</xdr:col>
      <xdr:colOff>678181</xdr:colOff>
      <xdr:row>15</xdr:row>
      <xdr:rowOff>18599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CFD03A-E4B4-906B-AC70-45BFC1DBE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1" y="2651761"/>
          <a:ext cx="1859280" cy="567238"/>
        </a:xfrm>
        <a:prstGeom prst="rect">
          <a:avLst/>
        </a:prstGeom>
      </xdr:spPr>
    </xdr:pic>
    <xdr:clientData/>
  </xdr:twoCellAnchor>
  <xdr:twoCellAnchor editAs="oneCell">
    <xdr:from>
      <xdr:col>0</xdr:col>
      <xdr:colOff>464820</xdr:colOff>
      <xdr:row>40</xdr:row>
      <xdr:rowOff>175050</xdr:rowOff>
    </xdr:from>
    <xdr:to>
      <xdr:col>4</xdr:col>
      <xdr:colOff>91440</xdr:colOff>
      <xdr:row>45</xdr:row>
      <xdr:rowOff>99060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DBDD5C-0D6D-23F6-AAA1-7F10ACD4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8336070"/>
          <a:ext cx="2796540" cy="838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24</xdr:row>
      <xdr:rowOff>106526</xdr:rowOff>
    </xdr:from>
    <xdr:to>
      <xdr:col>9</xdr:col>
      <xdr:colOff>107154</xdr:colOff>
      <xdr:row>37</xdr:row>
      <xdr:rowOff>123818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5A8214-52F6-5606-91DC-1CBB40783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0" y="5211926"/>
          <a:ext cx="3277074" cy="2440452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51</xdr:row>
      <xdr:rowOff>160020</xdr:rowOff>
    </xdr:from>
    <xdr:to>
      <xdr:col>3</xdr:col>
      <xdr:colOff>179548</xdr:colOff>
      <xdr:row>53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CF6C10-9385-2699-CA9A-D61825AD2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1580" y="10378440"/>
          <a:ext cx="1345408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403860</xdr:colOff>
      <xdr:row>59</xdr:row>
      <xdr:rowOff>46412</xdr:rowOff>
    </xdr:from>
    <xdr:to>
      <xdr:col>3</xdr:col>
      <xdr:colOff>259080</xdr:colOff>
      <xdr:row>62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3A6D25-30A5-745D-5CDC-5F5BCA40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6340" y="11819312"/>
          <a:ext cx="1440180" cy="654628"/>
        </a:xfrm>
        <a:prstGeom prst="rect">
          <a:avLst/>
        </a:prstGeom>
      </xdr:spPr>
    </xdr:pic>
    <xdr:clientData/>
  </xdr:twoCellAnchor>
  <xdr:twoCellAnchor editAs="oneCell">
    <xdr:from>
      <xdr:col>5</xdr:col>
      <xdr:colOff>618069</xdr:colOff>
      <xdr:row>5</xdr:row>
      <xdr:rowOff>71372</xdr:rowOff>
    </xdr:from>
    <xdr:to>
      <xdr:col>10</xdr:col>
      <xdr:colOff>762001</xdr:colOff>
      <xdr:row>14</xdr:row>
      <xdr:rowOff>20557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1B48A30-1688-C05A-8FF1-9B65FBF42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97402" y="1282105"/>
          <a:ext cx="4123266" cy="1921919"/>
        </a:xfrm>
        <a:prstGeom prst="rect">
          <a:avLst/>
        </a:prstGeom>
      </xdr:spPr>
    </xdr:pic>
    <xdr:clientData/>
  </xdr:twoCellAnchor>
  <xdr:twoCellAnchor editAs="oneCell">
    <xdr:from>
      <xdr:col>6</xdr:col>
      <xdr:colOff>373188</xdr:colOff>
      <xdr:row>16</xdr:row>
      <xdr:rowOff>43723</xdr:rowOff>
    </xdr:from>
    <xdr:to>
      <xdr:col>10</xdr:col>
      <xdr:colOff>343327</xdr:colOff>
      <xdr:row>18</xdr:row>
      <xdr:rowOff>122766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155A808-8018-531F-E18E-35C1E6192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48388" y="3599723"/>
          <a:ext cx="3153606" cy="4939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</xdr:colOff>
      <xdr:row>3</xdr:row>
      <xdr:rowOff>60960</xdr:rowOff>
    </xdr:from>
    <xdr:to>
      <xdr:col>5</xdr:col>
      <xdr:colOff>882399</xdr:colOff>
      <xdr:row>4</xdr:row>
      <xdr:rowOff>266701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AC295D-0CB5-DF64-9E11-0F21277D8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5740" y="655320"/>
          <a:ext cx="829059" cy="388621"/>
        </a:xfrm>
        <a:prstGeom prst="rect">
          <a:avLst/>
        </a:prstGeom>
      </xdr:spPr>
    </xdr:pic>
    <xdr:clientData/>
  </xdr:twoCellAnchor>
  <xdr:twoCellAnchor editAs="oneCell">
    <xdr:from>
      <xdr:col>6</xdr:col>
      <xdr:colOff>83819</xdr:colOff>
      <xdr:row>3</xdr:row>
      <xdr:rowOff>152400</xdr:rowOff>
    </xdr:from>
    <xdr:to>
      <xdr:col>6</xdr:col>
      <xdr:colOff>843916</xdr:colOff>
      <xdr:row>4</xdr:row>
      <xdr:rowOff>129540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13084B2-4CAE-141A-B0CA-7C86CED85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8719" y="746760"/>
          <a:ext cx="760097" cy="160020"/>
        </a:xfrm>
        <a:prstGeom prst="rect">
          <a:avLst/>
        </a:prstGeom>
      </xdr:spPr>
    </xdr:pic>
    <xdr:clientData/>
  </xdr:twoCellAnchor>
  <xdr:twoCellAnchor editAs="oneCell">
    <xdr:from>
      <xdr:col>0</xdr:col>
      <xdr:colOff>426721</xdr:colOff>
      <xdr:row>12</xdr:row>
      <xdr:rowOff>63658</xdr:rowOff>
    </xdr:from>
    <xdr:to>
      <xdr:col>2</xdr:col>
      <xdr:colOff>236221</xdr:colOff>
      <xdr:row>15</xdr:row>
      <xdr:rowOff>48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DB2024A-B8C4-35CA-2B82-A244B8E9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6721" y="2456338"/>
          <a:ext cx="1394460" cy="485030"/>
        </a:xfrm>
        <a:prstGeom prst="rect">
          <a:avLst/>
        </a:prstGeom>
      </xdr:spPr>
    </xdr:pic>
    <xdr:clientData/>
  </xdr:twoCellAnchor>
  <xdr:twoCellAnchor>
    <xdr:from>
      <xdr:col>1</xdr:col>
      <xdr:colOff>373380</xdr:colOff>
      <xdr:row>11</xdr:row>
      <xdr:rowOff>91440</xdr:rowOff>
    </xdr:from>
    <xdr:to>
      <xdr:col>1</xdr:col>
      <xdr:colOff>419099</xdr:colOff>
      <xdr:row>12</xdr:row>
      <xdr:rowOff>68580</xdr:rowOff>
    </xdr:to>
    <xdr:sp macro="" textlink="">
      <xdr:nvSpPr>
        <xdr:cNvPr id="10" name="Flecha: hacia arriba 9">
          <a:extLst>
            <a:ext uri="{FF2B5EF4-FFF2-40B4-BE49-F238E27FC236}">
              <a16:creationId xmlns:a16="http://schemas.microsoft.com/office/drawing/2014/main" id="{DA921447-A68A-4525-8F87-E4E2C5F6712B}"/>
            </a:ext>
          </a:extLst>
        </xdr:cNvPr>
        <xdr:cNvSpPr/>
      </xdr:nvSpPr>
      <xdr:spPr>
        <a:xfrm>
          <a:off x="1165860" y="2301240"/>
          <a:ext cx="45719" cy="16002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2</xdr:col>
      <xdr:colOff>685800</xdr:colOff>
      <xdr:row>12</xdr:row>
      <xdr:rowOff>129540</xdr:rowOff>
    </xdr:from>
    <xdr:to>
      <xdr:col>4</xdr:col>
      <xdr:colOff>106767</xdr:colOff>
      <xdr:row>14</xdr:row>
      <xdr:rowOff>91468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A5089E6-F68D-7A1D-AF5A-074EC56E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70760" y="2522220"/>
          <a:ext cx="1005927" cy="327688"/>
        </a:xfrm>
        <a:prstGeom prst="rect">
          <a:avLst/>
        </a:prstGeom>
      </xdr:spPr>
    </xdr:pic>
    <xdr:clientData/>
  </xdr:twoCellAnchor>
  <xdr:twoCellAnchor>
    <xdr:from>
      <xdr:col>3</xdr:col>
      <xdr:colOff>320040</xdr:colOff>
      <xdr:row>11</xdr:row>
      <xdr:rowOff>91440</xdr:rowOff>
    </xdr:from>
    <xdr:to>
      <xdr:col>3</xdr:col>
      <xdr:colOff>365759</xdr:colOff>
      <xdr:row>12</xdr:row>
      <xdr:rowOff>68580</xdr:rowOff>
    </xdr:to>
    <xdr:sp macro="" textlink="">
      <xdr:nvSpPr>
        <xdr:cNvPr id="12" name="Flecha: hacia arriba 11">
          <a:extLst>
            <a:ext uri="{FF2B5EF4-FFF2-40B4-BE49-F238E27FC236}">
              <a16:creationId xmlns:a16="http://schemas.microsoft.com/office/drawing/2014/main" id="{EC3AE1D6-8B83-40BC-A956-6D0F5B23A325}"/>
            </a:ext>
          </a:extLst>
        </xdr:cNvPr>
        <xdr:cNvSpPr/>
      </xdr:nvSpPr>
      <xdr:spPr>
        <a:xfrm>
          <a:off x="2697480" y="2301240"/>
          <a:ext cx="45719" cy="16002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190500</xdr:colOff>
      <xdr:row>15</xdr:row>
      <xdr:rowOff>101333</xdr:rowOff>
    </xdr:from>
    <xdr:to>
      <xdr:col>5</xdr:col>
      <xdr:colOff>586740</xdr:colOff>
      <xdr:row>33</xdr:row>
      <xdr:rowOff>55392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A26CD74-FB26-48F8-9498-41F78D770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" y="3042653"/>
          <a:ext cx="4358640" cy="3245899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11</xdr:row>
      <xdr:rowOff>76200</xdr:rowOff>
    </xdr:from>
    <xdr:to>
      <xdr:col>2</xdr:col>
      <xdr:colOff>449579</xdr:colOff>
      <xdr:row>15</xdr:row>
      <xdr:rowOff>121920</xdr:rowOff>
    </xdr:to>
    <xdr:sp macro="" textlink="">
      <xdr:nvSpPr>
        <xdr:cNvPr id="15" name="Flecha: hacia arriba 14">
          <a:extLst>
            <a:ext uri="{FF2B5EF4-FFF2-40B4-BE49-F238E27FC236}">
              <a16:creationId xmlns:a16="http://schemas.microsoft.com/office/drawing/2014/main" id="{3CD5888E-A5AB-488D-BD6A-8C7987E1255B}"/>
            </a:ext>
          </a:extLst>
        </xdr:cNvPr>
        <xdr:cNvSpPr/>
      </xdr:nvSpPr>
      <xdr:spPr>
        <a:xfrm>
          <a:off x="1965960" y="2286000"/>
          <a:ext cx="68579" cy="77724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6</xdr:col>
      <xdr:colOff>499534</xdr:colOff>
      <xdr:row>15</xdr:row>
      <xdr:rowOff>33866</xdr:rowOff>
    </xdr:from>
    <xdr:to>
      <xdr:col>11</xdr:col>
      <xdr:colOff>758638</xdr:colOff>
      <xdr:row>29</xdr:row>
      <xdr:rowOff>34038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0E6FBF-0450-AD73-03F4-DDAC28599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35601" y="3132666"/>
          <a:ext cx="4323104" cy="2607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213360</xdr:colOff>
      <xdr:row>7</xdr:row>
      <xdr:rowOff>78122</xdr:rowOff>
    </xdr:from>
    <xdr:to>
      <xdr:col>8</xdr:col>
      <xdr:colOff>563880</xdr:colOff>
      <xdr:row>8</xdr:row>
      <xdr:rowOff>114318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373C45A-2DFD-ED5C-AE78-764A3442C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741062"/>
          <a:ext cx="350520" cy="219076"/>
        </a:xfrm>
        <a:prstGeom prst="rect">
          <a:avLst/>
        </a:prstGeom>
      </xdr:spPr>
    </xdr:pic>
    <xdr:clientData/>
  </xdr:twoCellAnchor>
  <xdr:twoCellAnchor editAs="oneCell">
    <xdr:from>
      <xdr:col>10</xdr:col>
      <xdr:colOff>144780</xdr:colOff>
      <xdr:row>7</xdr:row>
      <xdr:rowOff>38100</xdr:rowOff>
    </xdr:from>
    <xdr:to>
      <xdr:col>10</xdr:col>
      <xdr:colOff>723934</xdr:colOff>
      <xdr:row>8</xdr:row>
      <xdr:rowOff>144797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2DB15E9-51EB-F23F-9697-516198697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69580" y="701040"/>
          <a:ext cx="579154" cy="289577"/>
        </a:xfrm>
        <a:prstGeom prst="rect">
          <a:avLst/>
        </a:prstGeom>
      </xdr:spPr>
    </xdr:pic>
    <xdr:clientData/>
  </xdr:twoCellAnchor>
  <xdr:twoCellAnchor editAs="oneCell">
    <xdr:from>
      <xdr:col>11</xdr:col>
      <xdr:colOff>175261</xdr:colOff>
      <xdr:row>7</xdr:row>
      <xdr:rowOff>41052</xdr:rowOff>
    </xdr:from>
    <xdr:to>
      <xdr:col>11</xdr:col>
      <xdr:colOff>703385</xdr:colOff>
      <xdr:row>8</xdr:row>
      <xdr:rowOff>193147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E5331FF-CB6D-A8C9-FA76-4FADB247F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54430" y="1664698"/>
          <a:ext cx="528124" cy="333803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18</xdr:row>
      <xdr:rowOff>68580</xdr:rowOff>
    </xdr:from>
    <xdr:to>
      <xdr:col>2</xdr:col>
      <xdr:colOff>312419</xdr:colOff>
      <xdr:row>19</xdr:row>
      <xdr:rowOff>167640</xdr:rowOff>
    </xdr:to>
    <xdr:sp macro="" textlink="">
      <xdr:nvSpPr>
        <xdr:cNvPr id="11" name="Flecha: hacia arriba 10">
          <a:extLst>
            <a:ext uri="{FF2B5EF4-FFF2-40B4-BE49-F238E27FC236}">
              <a16:creationId xmlns:a16="http://schemas.microsoft.com/office/drawing/2014/main" id="{B07C3326-D188-A2C6-79F2-FB7A191793A1}"/>
            </a:ext>
          </a:extLst>
        </xdr:cNvPr>
        <xdr:cNvSpPr/>
      </xdr:nvSpPr>
      <xdr:spPr>
        <a:xfrm>
          <a:off x="1851660" y="2743200"/>
          <a:ext cx="45719" cy="28194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13</xdr:col>
      <xdr:colOff>289560</xdr:colOff>
      <xdr:row>31</xdr:row>
      <xdr:rowOff>53340</xdr:rowOff>
    </xdr:from>
    <xdr:to>
      <xdr:col>18</xdr:col>
      <xdr:colOff>533766</xdr:colOff>
      <xdr:row>51</xdr:row>
      <xdr:rowOff>30795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3ABACAF-FDE0-DFFE-5A44-C4E21AC39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99320" y="5105400"/>
          <a:ext cx="4206605" cy="3635055"/>
        </a:xfrm>
        <a:prstGeom prst="rect">
          <a:avLst/>
        </a:prstGeom>
      </xdr:spPr>
    </xdr:pic>
    <xdr:clientData/>
  </xdr:twoCellAnchor>
  <xdr:twoCellAnchor editAs="oneCell">
    <xdr:from>
      <xdr:col>13</xdr:col>
      <xdr:colOff>289560</xdr:colOff>
      <xdr:row>5</xdr:row>
      <xdr:rowOff>30480</xdr:rowOff>
    </xdr:from>
    <xdr:to>
      <xdr:col>18</xdr:col>
      <xdr:colOff>457559</xdr:colOff>
      <xdr:row>29</xdr:row>
      <xdr:rowOff>400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3E7F568-1456-C06C-81D1-724B24C7F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99320" y="693420"/>
          <a:ext cx="4130398" cy="4610500"/>
        </a:xfrm>
        <a:prstGeom prst="rect">
          <a:avLst/>
        </a:prstGeom>
      </xdr:spPr>
    </xdr:pic>
    <xdr:clientData/>
  </xdr:twoCellAnchor>
  <xdr:twoCellAnchor editAs="oneCell">
    <xdr:from>
      <xdr:col>18</xdr:col>
      <xdr:colOff>533400</xdr:colOff>
      <xdr:row>6</xdr:row>
      <xdr:rowOff>144780</xdr:rowOff>
    </xdr:from>
    <xdr:to>
      <xdr:col>23</xdr:col>
      <xdr:colOff>648053</xdr:colOff>
      <xdr:row>22</xdr:row>
      <xdr:rowOff>167917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C71A318-037F-335B-FC20-DDDEF3448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05560" y="624840"/>
          <a:ext cx="4077053" cy="3200677"/>
        </a:xfrm>
        <a:prstGeom prst="rect">
          <a:avLst/>
        </a:prstGeom>
      </xdr:spPr>
    </xdr:pic>
    <xdr:clientData/>
  </xdr:twoCellAnchor>
  <xdr:twoCellAnchor editAs="oneCell">
    <xdr:from>
      <xdr:col>18</xdr:col>
      <xdr:colOff>457200</xdr:colOff>
      <xdr:row>24</xdr:row>
      <xdr:rowOff>114300</xdr:rowOff>
    </xdr:from>
    <xdr:to>
      <xdr:col>23</xdr:col>
      <xdr:colOff>655681</xdr:colOff>
      <xdr:row>36</xdr:row>
      <xdr:rowOff>106870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1720343-ECE7-14F3-1B96-A304869CE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929360" y="3886200"/>
          <a:ext cx="4160881" cy="2187130"/>
        </a:xfrm>
        <a:prstGeom prst="rect">
          <a:avLst/>
        </a:prstGeom>
      </xdr:spPr>
    </xdr:pic>
    <xdr:clientData/>
  </xdr:twoCellAnchor>
  <xdr:twoCellAnchor editAs="oneCell">
    <xdr:from>
      <xdr:col>23</xdr:col>
      <xdr:colOff>655320</xdr:colOff>
      <xdr:row>7</xdr:row>
      <xdr:rowOff>30480</xdr:rowOff>
    </xdr:from>
    <xdr:to>
      <xdr:col>29</xdr:col>
      <xdr:colOff>15596</xdr:colOff>
      <xdr:row>14</xdr:row>
      <xdr:rowOff>137302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C9B38FF-E55B-D468-F0AB-F83E53F3D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89880" y="693420"/>
          <a:ext cx="4115157" cy="1638442"/>
        </a:xfrm>
        <a:prstGeom prst="rect">
          <a:avLst/>
        </a:prstGeom>
      </xdr:spPr>
    </xdr:pic>
    <xdr:clientData/>
  </xdr:twoCellAnchor>
  <xdr:twoCellAnchor editAs="oneCell">
    <xdr:from>
      <xdr:col>9</xdr:col>
      <xdr:colOff>388620</xdr:colOff>
      <xdr:row>19</xdr:row>
      <xdr:rowOff>99060</xdr:rowOff>
    </xdr:from>
    <xdr:to>
      <xdr:col>11</xdr:col>
      <xdr:colOff>368522</xdr:colOff>
      <xdr:row>21</xdr:row>
      <xdr:rowOff>152459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67C02C3-93F9-1AD7-0476-1D534A7B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20940" y="2956560"/>
          <a:ext cx="1564861" cy="419159"/>
        </a:xfrm>
        <a:prstGeom prst="rect">
          <a:avLst/>
        </a:prstGeom>
      </xdr:spPr>
    </xdr:pic>
    <xdr:clientData/>
  </xdr:twoCellAnchor>
  <xdr:twoCellAnchor>
    <xdr:from>
      <xdr:col>10</xdr:col>
      <xdr:colOff>386862</xdr:colOff>
      <xdr:row>18</xdr:row>
      <xdr:rowOff>3516</xdr:rowOff>
    </xdr:from>
    <xdr:to>
      <xdr:col>10</xdr:col>
      <xdr:colOff>432581</xdr:colOff>
      <xdr:row>19</xdr:row>
      <xdr:rowOff>101404</xdr:rowOff>
    </xdr:to>
    <xdr:sp macro="" textlink="">
      <xdr:nvSpPr>
        <xdr:cNvPr id="20" name="Flecha: hacia arriba 19">
          <a:extLst>
            <a:ext uri="{FF2B5EF4-FFF2-40B4-BE49-F238E27FC236}">
              <a16:creationId xmlns:a16="http://schemas.microsoft.com/office/drawing/2014/main" id="{72C55D1B-6C29-4DAB-A5F6-180EE76C613A}"/>
            </a:ext>
          </a:extLst>
        </xdr:cNvPr>
        <xdr:cNvSpPr/>
      </xdr:nvSpPr>
      <xdr:spPr>
        <a:xfrm>
          <a:off x="8299939" y="3877993"/>
          <a:ext cx="45719" cy="27959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464820</xdr:colOff>
      <xdr:row>18</xdr:row>
      <xdr:rowOff>15240</xdr:rowOff>
    </xdr:from>
    <xdr:to>
      <xdr:col>3</xdr:col>
      <xdr:colOff>510539</xdr:colOff>
      <xdr:row>19</xdr:row>
      <xdr:rowOff>114300</xdr:rowOff>
    </xdr:to>
    <xdr:sp macro="" textlink="">
      <xdr:nvSpPr>
        <xdr:cNvPr id="23" name="Flecha: hacia arriba 22">
          <a:extLst>
            <a:ext uri="{FF2B5EF4-FFF2-40B4-BE49-F238E27FC236}">
              <a16:creationId xmlns:a16="http://schemas.microsoft.com/office/drawing/2014/main" id="{0CDD2B47-5927-4C00-86FF-77544053D12B}"/>
            </a:ext>
          </a:extLst>
        </xdr:cNvPr>
        <xdr:cNvSpPr/>
      </xdr:nvSpPr>
      <xdr:spPr>
        <a:xfrm>
          <a:off x="2842260" y="2689860"/>
          <a:ext cx="45719" cy="28194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2</xdr:col>
      <xdr:colOff>685801</xdr:colOff>
      <xdr:row>19</xdr:row>
      <xdr:rowOff>22860</xdr:rowOff>
    </xdr:from>
    <xdr:to>
      <xdr:col>6</xdr:col>
      <xdr:colOff>434341</xdr:colOff>
      <xdr:row>20</xdr:row>
      <xdr:rowOff>108344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9683187-BA3E-6E72-F7F9-F429917C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70761" y="2880360"/>
          <a:ext cx="2918460" cy="268364"/>
        </a:xfrm>
        <a:prstGeom prst="rect">
          <a:avLst/>
        </a:prstGeom>
      </xdr:spPr>
    </xdr:pic>
    <xdr:clientData/>
  </xdr:twoCellAnchor>
  <xdr:twoCellAnchor editAs="oneCell">
    <xdr:from>
      <xdr:col>1</xdr:col>
      <xdr:colOff>236220</xdr:colOff>
      <xdr:row>20</xdr:row>
      <xdr:rowOff>68618</xdr:rowOff>
    </xdr:from>
    <xdr:to>
      <xdr:col>3</xdr:col>
      <xdr:colOff>586740</xdr:colOff>
      <xdr:row>21</xdr:row>
      <xdr:rowOff>175298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8C136E7-89B9-759A-8923-11164F24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8700" y="3108998"/>
          <a:ext cx="1935480" cy="289560"/>
        </a:xfrm>
        <a:prstGeom prst="rect">
          <a:avLst/>
        </a:prstGeom>
      </xdr:spPr>
    </xdr:pic>
    <xdr:clientData/>
  </xdr:twoCellAnchor>
  <xdr:twoCellAnchor>
    <xdr:from>
      <xdr:col>4</xdr:col>
      <xdr:colOff>502921</xdr:colOff>
      <xdr:row>20</xdr:row>
      <xdr:rowOff>53340</xdr:rowOff>
    </xdr:from>
    <xdr:to>
      <xdr:col>4</xdr:col>
      <xdr:colOff>548640</xdr:colOff>
      <xdr:row>21</xdr:row>
      <xdr:rowOff>38100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D42698A7-7061-7707-88F9-830565A46FD4}"/>
            </a:ext>
          </a:extLst>
        </xdr:cNvPr>
        <xdr:cNvSpPr/>
      </xdr:nvSpPr>
      <xdr:spPr>
        <a:xfrm>
          <a:off x="3672841" y="3093720"/>
          <a:ext cx="45719" cy="1676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4</xdr:col>
      <xdr:colOff>251460</xdr:colOff>
      <xdr:row>5</xdr:row>
      <xdr:rowOff>15240</xdr:rowOff>
    </xdr:from>
    <xdr:to>
      <xdr:col>4</xdr:col>
      <xdr:colOff>297179</xdr:colOff>
      <xdr:row>6</xdr:row>
      <xdr:rowOff>0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B11CBFF4-CF3C-4A4A-985B-D03C0FC37259}"/>
            </a:ext>
          </a:extLst>
        </xdr:cNvPr>
        <xdr:cNvSpPr/>
      </xdr:nvSpPr>
      <xdr:spPr>
        <a:xfrm>
          <a:off x="3421380" y="678180"/>
          <a:ext cx="45719" cy="1676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76201</xdr:colOff>
      <xdr:row>5</xdr:row>
      <xdr:rowOff>15240</xdr:rowOff>
    </xdr:from>
    <xdr:to>
      <xdr:col>0</xdr:col>
      <xdr:colOff>121920</xdr:colOff>
      <xdr:row>9</xdr:row>
      <xdr:rowOff>137160</xdr:rowOff>
    </xdr:to>
    <xdr:sp macro="" textlink="">
      <xdr:nvSpPr>
        <xdr:cNvPr id="33" name="Flecha: hacia abajo 32">
          <a:extLst>
            <a:ext uri="{FF2B5EF4-FFF2-40B4-BE49-F238E27FC236}">
              <a16:creationId xmlns:a16="http://schemas.microsoft.com/office/drawing/2014/main" id="{ADA31B78-FE23-4CC8-B5F8-FFBE431915C9}"/>
            </a:ext>
          </a:extLst>
        </xdr:cNvPr>
        <xdr:cNvSpPr/>
      </xdr:nvSpPr>
      <xdr:spPr>
        <a:xfrm flipH="1">
          <a:off x="76201" y="678180"/>
          <a:ext cx="45719" cy="8534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8</xdr:col>
      <xdr:colOff>509178</xdr:colOff>
      <xdr:row>1</xdr:row>
      <xdr:rowOff>236220</xdr:rowOff>
    </xdr:from>
    <xdr:to>
      <xdr:col>9</xdr:col>
      <xdr:colOff>753261</xdr:colOff>
      <xdr:row>4</xdr:row>
      <xdr:rowOff>45801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9A7B6CEF-7A30-848E-313D-DB276F8EE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49018" y="533400"/>
          <a:ext cx="1178413" cy="586821"/>
        </a:xfrm>
        <a:prstGeom prst="rect">
          <a:avLst/>
        </a:prstGeom>
      </xdr:spPr>
    </xdr:pic>
    <xdr:clientData/>
  </xdr:twoCellAnchor>
  <xdr:twoCellAnchor>
    <xdr:from>
      <xdr:col>9</xdr:col>
      <xdr:colOff>213360</xdr:colOff>
      <xdr:row>3</xdr:row>
      <xdr:rowOff>129540</xdr:rowOff>
    </xdr:from>
    <xdr:to>
      <xdr:col>9</xdr:col>
      <xdr:colOff>259079</xdr:colOff>
      <xdr:row>5</xdr:row>
      <xdr:rowOff>121920</xdr:rowOff>
    </xdr:to>
    <xdr:sp macro="" textlink="">
      <xdr:nvSpPr>
        <xdr:cNvPr id="35" name="Flecha: hacia abajo 34">
          <a:extLst>
            <a:ext uri="{FF2B5EF4-FFF2-40B4-BE49-F238E27FC236}">
              <a16:creationId xmlns:a16="http://schemas.microsoft.com/office/drawing/2014/main" id="{BF1C10FF-2D35-4CE3-94BF-342C8DB26709}"/>
            </a:ext>
          </a:extLst>
        </xdr:cNvPr>
        <xdr:cNvSpPr/>
      </xdr:nvSpPr>
      <xdr:spPr>
        <a:xfrm>
          <a:off x="7345680" y="1021080"/>
          <a:ext cx="45719" cy="3581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3</xdr:col>
      <xdr:colOff>144780</xdr:colOff>
      <xdr:row>3</xdr:row>
      <xdr:rowOff>91440</xdr:rowOff>
    </xdr:from>
    <xdr:to>
      <xdr:col>5</xdr:col>
      <xdr:colOff>142069</xdr:colOff>
      <xdr:row>4</xdr:row>
      <xdr:rowOff>152400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98813FBF-3316-1EE9-B83A-620B357EB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22220" y="982980"/>
          <a:ext cx="1582249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60961</xdr:colOff>
      <xdr:row>23</xdr:row>
      <xdr:rowOff>76200</xdr:rowOff>
    </xdr:from>
    <xdr:to>
      <xdr:col>11</xdr:col>
      <xdr:colOff>742070</xdr:colOff>
      <xdr:row>53</xdr:row>
      <xdr:rowOff>137723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21DEF77A-2145-BC5A-AE33-977C359EC3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1087" r="1262"/>
        <a:stretch/>
      </xdr:blipFill>
      <xdr:spPr>
        <a:xfrm>
          <a:off x="5608321" y="4282440"/>
          <a:ext cx="3992880" cy="5547923"/>
        </a:xfrm>
        <a:prstGeom prst="rect">
          <a:avLst/>
        </a:prstGeom>
      </xdr:spPr>
    </xdr:pic>
    <xdr:clientData/>
  </xdr:twoCellAnchor>
  <xdr:twoCellAnchor editAs="oneCell">
    <xdr:from>
      <xdr:col>4</xdr:col>
      <xdr:colOff>708661</xdr:colOff>
      <xdr:row>1</xdr:row>
      <xdr:rowOff>137160</xdr:rowOff>
    </xdr:from>
    <xdr:to>
      <xdr:col>6</xdr:col>
      <xdr:colOff>368729</xdr:colOff>
      <xdr:row>3</xdr:row>
      <xdr:rowOff>83888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2520D763-036B-BC5F-8B91-2989B6DA6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78581" y="434340"/>
          <a:ext cx="1245028" cy="541088"/>
        </a:xfrm>
        <a:prstGeom prst="rect">
          <a:avLst/>
        </a:prstGeom>
      </xdr:spPr>
    </xdr:pic>
    <xdr:clientData/>
  </xdr:twoCellAnchor>
  <xdr:twoCellAnchor>
    <xdr:from>
      <xdr:col>5</xdr:col>
      <xdr:colOff>434341</xdr:colOff>
      <xdr:row>3</xdr:row>
      <xdr:rowOff>99060</xdr:rowOff>
    </xdr:from>
    <xdr:to>
      <xdr:col>5</xdr:col>
      <xdr:colOff>480060</xdr:colOff>
      <xdr:row>5</xdr:row>
      <xdr:rowOff>137160</xdr:rowOff>
    </xdr:to>
    <xdr:sp macro="" textlink="">
      <xdr:nvSpPr>
        <xdr:cNvPr id="42" name="Flecha: hacia abajo 41">
          <a:extLst>
            <a:ext uri="{FF2B5EF4-FFF2-40B4-BE49-F238E27FC236}">
              <a16:creationId xmlns:a16="http://schemas.microsoft.com/office/drawing/2014/main" id="{EB343570-43A1-4B42-888B-220E29EBA8E5}"/>
            </a:ext>
          </a:extLst>
        </xdr:cNvPr>
        <xdr:cNvSpPr/>
      </xdr:nvSpPr>
      <xdr:spPr>
        <a:xfrm flipH="1">
          <a:off x="4396741" y="990600"/>
          <a:ext cx="45719" cy="40386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6</xdr:col>
      <xdr:colOff>190501</xdr:colOff>
      <xdr:row>4</xdr:row>
      <xdr:rowOff>7620</xdr:rowOff>
    </xdr:from>
    <xdr:to>
      <xdr:col>8</xdr:col>
      <xdr:colOff>436266</xdr:colOff>
      <xdr:row>5</xdr:row>
      <xdr:rowOff>26575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50F3A0D-0036-5E99-B329-48D767B16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45381" y="1082040"/>
          <a:ext cx="2306682" cy="201835"/>
        </a:xfrm>
        <a:prstGeom prst="rect">
          <a:avLst/>
        </a:prstGeom>
      </xdr:spPr>
    </xdr:pic>
    <xdr:clientData/>
  </xdr:twoCellAnchor>
  <xdr:twoCellAnchor>
    <xdr:from>
      <xdr:col>7</xdr:col>
      <xdr:colOff>373380</xdr:colOff>
      <xdr:row>5</xdr:row>
      <xdr:rowOff>22860</xdr:rowOff>
    </xdr:from>
    <xdr:to>
      <xdr:col>7</xdr:col>
      <xdr:colOff>419100</xdr:colOff>
      <xdr:row>5</xdr:row>
      <xdr:rowOff>160020</xdr:rowOff>
    </xdr:to>
    <xdr:sp macro="" textlink="">
      <xdr:nvSpPr>
        <xdr:cNvPr id="44" name="Flecha: hacia abajo 43">
          <a:extLst>
            <a:ext uri="{FF2B5EF4-FFF2-40B4-BE49-F238E27FC236}">
              <a16:creationId xmlns:a16="http://schemas.microsoft.com/office/drawing/2014/main" id="{ACE4A2DD-253E-4DC6-954A-DDA8AC9A810B}"/>
            </a:ext>
          </a:extLst>
        </xdr:cNvPr>
        <xdr:cNvSpPr/>
      </xdr:nvSpPr>
      <xdr:spPr>
        <a:xfrm>
          <a:off x="5920740" y="1280160"/>
          <a:ext cx="45720" cy="13716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10</xdr:col>
      <xdr:colOff>597878</xdr:colOff>
      <xdr:row>2</xdr:row>
      <xdr:rowOff>257441</xdr:rowOff>
    </xdr:from>
    <xdr:to>
      <xdr:col>12</xdr:col>
      <xdr:colOff>117232</xdr:colOff>
      <xdr:row>4</xdr:row>
      <xdr:rowOff>23504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DD1763-A4FE-A59E-AB49-FE5B40B4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10955" y="855318"/>
          <a:ext cx="1101969" cy="246709"/>
        </a:xfrm>
        <a:prstGeom prst="rect">
          <a:avLst/>
        </a:prstGeom>
      </xdr:spPr>
    </xdr:pic>
    <xdr:clientData/>
  </xdr:twoCellAnchor>
  <xdr:twoCellAnchor>
    <xdr:from>
      <xdr:col>11</xdr:col>
      <xdr:colOff>504093</xdr:colOff>
      <xdr:row>3</xdr:row>
      <xdr:rowOff>175847</xdr:rowOff>
    </xdr:from>
    <xdr:to>
      <xdr:col>11</xdr:col>
      <xdr:colOff>549812</xdr:colOff>
      <xdr:row>5</xdr:row>
      <xdr:rowOff>168227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1D53A8A8-1E8D-4309-B2EA-A72F4AAC388C}"/>
            </a:ext>
          </a:extLst>
        </xdr:cNvPr>
        <xdr:cNvSpPr/>
      </xdr:nvSpPr>
      <xdr:spPr>
        <a:xfrm>
          <a:off x="9683262" y="1072662"/>
          <a:ext cx="45719" cy="35579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7</xdr:col>
      <xdr:colOff>603738</xdr:colOff>
      <xdr:row>19</xdr:row>
      <xdr:rowOff>80183</xdr:rowOff>
    </xdr:from>
    <xdr:to>
      <xdr:col>9</xdr:col>
      <xdr:colOff>70336</xdr:colOff>
      <xdr:row>21</xdr:row>
      <xdr:rowOff>11782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165F612-F789-268A-5A00-D67156CD8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142892" y="4136368"/>
          <a:ext cx="1189892" cy="295014"/>
        </a:xfrm>
        <a:prstGeom prst="rect">
          <a:avLst/>
        </a:prstGeom>
      </xdr:spPr>
    </xdr:pic>
    <xdr:clientData/>
  </xdr:twoCellAnchor>
  <xdr:twoCellAnchor>
    <xdr:from>
      <xdr:col>8</xdr:col>
      <xdr:colOff>386862</xdr:colOff>
      <xdr:row>18</xdr:row>
      <xdr:rowOff>17585</xdr:rowOff>
    </xdr:from>
    <xdr:to>
      <xdr:col>8</xdr:col>
      <xdr:colOff>432581</xdr:colOff>
      <xdr:row>19</xdr:row>
      <xdr:rowOff>115473</xdr:rowOff>
    </xdr:to>
    <xdr:sp macro="" textlink="">
      <xdr:nvSpPr>
        <xdr:cNvPr id="10" name="Flecha: hacia arriba 9">
          <a:extLst>
            <a:ext uri="{FF2B5EF4-FFF2-40B4-BE49-F238E27FC236}">
              <a16:creationId xmlns:a16="http://schemas.microsoft.com/office/drawing/2014/main" id="{07CAC4D0-E21A-44E2-85D6-4E852C2DEA8B}"/>
            </a:ext>
          </a:extLst>
        </xdr:cNvPr>
        <xdr:cNvSpPr/>
      </xdr:nvSpPr>
      <xdr:spPr>
        <a:xfrm>
          <a:off x="6717324" y="3892062"/>
          <a:ext cx="45719" cy="279596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562706</xdr:colOff>
      <xdr:row>54</xdr:row>
      <xdr:rowOff>41031</xdr:rowOff>
    </xdr:from>
    <xdr:to>
      <xdr:col>0</xdr:col>
      <xdr:colOff>644768</xdr:colOff>
      <xdr:row>58</xdr:row>
      <xdr:rowOff>23447</xdr:rowOff>
    </xdr:to>
    <xdr:sp macro="" textlink="">
      <xdr:nvSpPr>
        <xdr:cNvPr id="22" name="Flecha: hacia abajo 21">
          <a:extLst>
            <a:ext uri="{FF2B5EF4-FFF2-40B4-BE49-F238E27FC236}">
              <a16:creationId xmlns:a16="http://schemas.microsoft.com/office/drawing/2014/main" id="{F7FCF5F4-9AE6-4FE5-8F10-CDCBFC3CB875}"/>
            </a:ext>
          </a:extLst>
        </xdr:cNvPr>
        <xdr:cNvSpPr/>
      </xdr:nvSpPr>
      <xdr:spPr>
        <a:xfrm flipH="1">
          <a:off x="562706" y="10456985"/>
          <a:ext cx="82062" cy="70924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6</xdr:col>
      <xdr:colOff>123093</xdr:colOff>
      <xdr:row>58</xdr:row>
      <xdr:rowOff>41029</xdr:rowOff>
    </xdr:from>
    <xdr:to>
      <xdr:col>6</xdr:col>
      <xdr:colOff>1176809</xdr:colOff>
      <xdr:row>59</xdr:row>
      <xdr:rowOff>151907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9ED19AD1-1827-F0AF-772B-FED163EA8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70939" y="11183814"/>
          <a:ext cx="1053716" cy="292585"/>
        </a:xfrm>
        <a:prstGeom prst="rect">
          <a:avLst/>
        </a:prstGeom>
      </xdr:spPr>
    </xdr:pic>
    <xdr:clientData/>
  </xdr:twoCellAnchor>
  <xdr:twoCellAnchor editAs="oneCell">
    <xdr:from>
      <xdr:col>7</xdr:col>
      <xdr:colOff>87923</xdr:colOff>
      <xdr:row>58</xdr:row>
      <xdr:rowOff>99646</xdr:rowOff>
    </xdr:from>
    <xdr:to>
      <xdr:col>7</xdr:col>
      <xdr:colOff>696384</xdr:colOff>
      <xdr:row>59</xdr:row>
      <xdr:rowOff>107307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0AADE02-AB91-EEBC-D2AD-0852D8BC8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01861" y="11242431"/>
          <a:ext cx="608461" cy="189368"/>
        </a:xfrm>
        <a:prstGeom prst="rect">
          <a:avLst/>
        </a:prstGeom>
      </xdr:spPr>
    </xdr:pic>
    <xdr:clientData/>
  </xdr:twoCellAnchor>
  <xdr:twoCellAnchor editAs="oneCell">
    <xdr:from>
      <xdr:col>9</xdr:col>
      <xdr:colOff>123092</xdr:colOff>
      <xdr:row>58</xdr:row>
      <xdr:rowOff>111072</xdr:rowOff>
    </xdr:from>
    <xdr:to>
      <xdr:col>9</xdr:col>
      <xdr:colOff>674076</xdr:colOff>
      <xdr:row>59</xdr:row>
      <xdr:rowOff>77986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A9A61DC4-D171-67A1-F991-069C80A2E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19646" y="11253857"/>
          <a:ext cx="550984" cy="148621"/>
        </a:xfrm>
        <a:prstGeom prst="rect">
          <a:avLst/>
        </a:prstGeom>
      </xdr:spPr>
    </xdr:pic>
    <xdr:clientData/>
  </xdr:twoCellAnchor>
  <xdr:twoCellAnchor editAs="oneCell">
    <xdr:from>
      <xdr:col>0</xdr:col>
      <xdr:colOff>41031</xdr:colOff>
      <xdr:row>52</xdr:row>
      <xdr:rowOff>4468</xdr:rowOff>
    </xdr:from>
    <xdr:to>
      <xdr:col>1</xdr:col>
      <xdr:colOff>332565</xdr:colOff>
      <xdr:row>54</xdr:row>
      <xdr:rowOff>4058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F4119F18-B13F-C928-6CE5-76B90D928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031" y="10057006"/>
          <a:ext cx="1219200" cy="363006"/>
        </a:xfrm>
        <a:prstGeom prst="rect">
          <a:avLst/>
        </a:prstGeom>
      </xdr:spPr>
    </xdr:pic>
    <xdr:clientData/>
  </xdr:twoCellAnchor>
  <xdr:twoCellAnchor editAs="oneCell">
    <xdr:from>
      <xdr:col>1</xdr:col>
      <xdr:colOff>70338</xdr:colOff>
      <xdr:row>54</xdr:row>
      <xdr:rowOff>128954</xdr:rowOff>
    </xdr:from>
    <xdr:to>
      <xdr:col>2</xdr:col>
      <xdr:colOff>52729</xdr:colOff>
      <xdr:row>56</xdr:row>
      <xdr:rowOff>24117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98234948-2D8E-364B-4E18-12EBBE813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61646" y="10544908"/>
          <a:ext cx="773698" cy="258578"/>
        </a:xfrm>
        <a:prstGeom prst="rect">
          <a:avLst/>
        </a:prstGeom>
      </xdr:spPr>
    </xdr:pic>
    <xdr:clientData/>
  </xdr:twoCellAnchor>
  <xdr:twoCellAnchor>
    <xdr:from>
      <xdr:col>5</xdr:col>
      <xdr:colOff>440203</xdr:colOff>
      <xdr:row>3</xdr:row>
      <xdr:rowOff>93785</xdr:rowOff>
    </xdr:from>
    <xdr:to>
      <xdr:col>5</xdr:col>
      <xdr:colOff>485922</xdr:colOff>
      <xdr:row>5</xdr:row>
      <xdr:rowOff>131885</xdr:rowOff>
    </xdr:to>
    <xdr:sp macro="" textlink="">
      <xdr:nvSpPr>
        <xdr:cNvPr id="46" name="Flecha: hacia abajo 45">
          <a:extLst>
            <a:ext uri="{FF2B5EF4-FFF2-40B4-BE49-F238E27FC236}">
              <a16:creationId xmlns:a16="http://schemas.microsoft.com/office/drawing/2014/main" id="{8DB4F286-F3EC-4992-BDB6-069B0E8A1D85}"/>
            </a:ext>
          </a:extLst>
        </xdr:cNvPr>
        <xdr:cNvSpPr/>
      </xdr:nvSpPr>
      <xdr:spPr>
        <a:xfrm flipH="1">
          <a:off x="4396741" y="990600"/>
          <a:ext cx="45719" cy="40151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533401</xdr:colOff>
      <xdr:row>56</xdr:row>
      <xdr:rowOff>5863</xdr:rowOff>
    </xdr:from>
    <xdr:to>
      <xdr:col>1</xdr:col>
      <xdr:colOff>579120</xdr:colOff>
      <xdr:row>58</xdr:row>
      <xdr:rowOff>43963</xdr:rowOff>
    </xdr:to>
    <xdr:sp macro="" textlink="">
      <xdr:nvSpPr>
        <xdr:cNvPr id="49" name="Flecha: hacia abajo 48">
          <a:extLst>
            <a:ext uri="{FF2B5EF4-FFF2-40B4-BE49-F238E27FC236}">
              <a16:creationId xmlns:a16="http://schemas.microsoft.com/office/drawing/2014/main" id="{B2BD53DA-4456-4C06-A286-C58DD9C4851B}"/>
            </a:ext>
          </a:extLst>
        </xdr:cNvPr>
        <xdr:cNvSpPr/>
      </xdr:nvSpPr>
      <xdr:spPr>
        <a:xfrm flipH="1">
          <a:off x="1324709" y="10785232"/>
          <a:ext cx="45719" cy="40151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587328</xdr:colOff>
      <xdr:row>54</xdr:row>
      <xdr:rowOff>23445</xdr:rowOff>
    </xdr:from>
    <xdr:to>
      <xdr:col>2</xdr:col>
      <xdr:colOff>633047</xdr:colOff>
      <xdr:row>58</xdr:row>
      <xdr:rowOff>41029</xdr:rowOff>
    </xdr:to>
    <xdr:sp macro="" textlink="">
      <xdr:nvSpPr>
        <xdr:cNvPr id="50" name="Flecha: hacia abajo 49">
          <a:extLst>
            <a:ext uri="{FF2B5EF4-FFF2-40B4-BE49-F238E27FC236}">
              <a16:creationId xmlns:a16="http://schemas.microsoft.com/office/drawing/2014/main" id="{ABDEFFE2-4A7A-426C-A0FD-F9600F35FEF4}"/>
            </a:ext>
          </a:extLst>
        </xdr:cNvPr>
        <xdr:cNvSpPr/>
      </xdr:nvSpPr>
      <xdr:spPr>
        <a:xfrm>
          <a:off x="2169943" y="10439399"/>
          <a:ext cx="45719" cy="74441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720968</xdr:colOff>
      <xdr:row>51</xdr:row>
      <xdr:rowOff>99645</xdr:rowOff>
    </xdr:from>
    <xdr:to>
      <xdr:col>4</xdr:col>
      <xdr:colOff>219254</xdr:colOff>
      <xdr:row>54</xdr:row>
      <xdr:rowOff>44659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6FA4D80B-AE4F-1B87-925C-022CD123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12276" y="9970476"/>
          <a:ext cx="1872209" cy="490137"/>
        </a:xfrm>
        <a:prstGeom prst="rect">
          <a:avLst/>
        </a:prstGeom>
      </xdr:spPr>
    </xdr:pic>
    <xdr:clientData/>
  </xdr:twoCellAnchor>
  <xdr:twoCellAnchor editAs="oneCell">
    <xdr:from>
      <xdr:col>3</xdr:col>
      <xdr:colOff>46524</xdr:colOff>
      <xdr:row>54</xdr:row>
      <xdr:rowOff>34493</xdr:rowOff>
    </xdr:from>
    <xdr:to>
      <xdr:col>4</xdr:col>
      <xdr:colOff>160422</xdr:colOff>
      <xdr:row>56</xdr:row>
      <xdr:rowOff>142021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EBB21517-38A0-2391-D00F-E0566D4FA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428777" y="10582177"/>
          <a:ext cx="907982" cy="476497"/>
        </a:xfrm>
        <a:prstGeom prst="rect">
          <a:avLst/>
        </a:prstGeom>
      </xdr:spPr>
    </xdr:pic>
    <xdr:clientData/>
  </xdr:twoCellAnchor>
  <xdr:twoCellAnchor>
    <xdr:from>
      <xdr:col>3</xdr:col>
      <xdr:colOff>140676</xdr:colOff>
      <xdr:row>55</xdr:row>
      <xdr:rowOff>146539</xdr:rowOff>
    </xdr:from>
    <xdr:to>
      <xdr:col>3</xdr:col>
      <xdr:colOff>186395</xdr:colOff>
      <xdr:row>58</xdr:row>
      <xdr:rowOff>70338</xdr:rowOff>
    </xdr:to>
    <xdr:sp macro="" textlink="">
      <xdr:nvSpPr>
        <xdr:cNvPr id="53" name="Flecha: hacia abajo 52">
          <a:extLst>
            <a:ext uri="{FF2B5EF4-FFF2-40B4-BE49-F238E27FC236}">
              <a16:creationId xmlns:a16="http://schemas.microsoft.com/office/drawing/2014/main" id="{0CDAE76F-1E9D-4DD8-83B7-F120F9C3C176}"/>
            </a:ext>
          </a:extLst>
        </xdr:cNvPr>
        <xdr:cNvSpPr/>
      </xdr:nvSpPr>
      <xdr:spPr>
        <a:xfrm flipH="1">
          <a:off x="2514599" y="10744201"/>
          <a:ext cx="45719" cy="46892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4</xdr:col>
      <xdr:colOff>761999</xdr:colOff>
      <xdr:row>54</xdr:row>
      <xdr:rowOff>5861</xdr:rowOff>
    </xdr:from>
    <xdr:to>
      <xdr:col>6</xdr:col>
      <xdr:colOff>113337</xdr:colOff>
      <xdr:row>55</xdr:row>
      <xdr:rowOff>128395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E5E12BF0-F64E-40B0-B8A9-D485524E1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927230" y="10421815"/>
          <a:ext cx="933953" cy="304242"/>
        </a:xfrm>
        <a:prstGeom prst="rect">
          <a:avLst/>
        </a:prstGeom>
      </xdr:spPr>
    </xdr:pic>
    <xdr:clientData/>
  </xdr:twoCellAnchor>
  <xdr:twoCellAnchor editAs="oneCell">
    <xdr:from>
      <xdr:col>2</xdr:col>
      <xdr:colOff>386862</xdr:colOff>
      <xdr:row>71</xdr:row>
      <xdr:rowOff>82060</xdr:rowOff>
    </xdr:from>
    <xdr:to>
      <xdr:col>6</xdr:col>
      <xdr:colOff>13952</xdr:colOff>
      <xdr:row>82</xdr:row>
      <xdr:rowOff>162730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80F39A31-BF4A-40C0-B7F0-08D86AD5C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69477" y="13587045"/>
          <a:ext cx="2792321" cy="2079454"/>
        </a:xfrm>
        <a:prstGeom prst="rect">
          <a:avLst/>
        </a:prstGeom>
      </xdr:spPr>
    </xdr:pic>
    <xdr:clientData/>
  </xdr:twoCellAnchor>
  <xdr:twoCellAnchor>
    <xdr:from>
      <xdr:col>4</xdr:col>
      <xdr:colOff>334108</xdr:colOff>
      <xdr:row>69</xdr:row>
      <xdr:rowOff>17585</xdr:rowOff>
    </xdr:from>
    <xdr:to>
      <xdr:col>4</xdr:col>
      <xdr:colOff>379827</xdr:colOff>
      <xdr:row>71</xdr:row>
      <xdr:rowOff>123091</xdr:rowOff>
    </xdr:to>
    <xdr:sp macro="" textlink="">
      <xdr:nvSpPr>
        <xdr:cNvPr id="56" name="Flecha: hacia abajo 55">
          <a:extLst>
            <a:ext uri="{FF2B5EF4-FFF2-40B4-BE49-F238E27FC236}">
              <a16:creationId xmlns:a16="http://schemas.microsoft.com/office/drawing/2014/main" id="{ED630B4A-DA5F-424E-95AA-44A6AA20DCC1}"/>
            </a:ext>
          </a:extLst>
        </xdr:cNvPr>
        <xdr:cNvSpPr/>
      </xdr:nvSpPr>
      <xdr:spPr>
        <a:xfrm rot="10800000" flipH="1">
          <a:off x="3499339" y="13159154"/>
          <a:ext cx="45719" cy="468922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375138</xdr:colOff>
      <xdr:row>55</xdr:row>
      <xdr:rowOff>128953</xdr:rowOff>
    </xdr:from>
    <xdr:to>
      <xdr:col>5</xdr:col>
      <xdr:colOff>420857</xdr:colOff>
      <xdr:row>56</xdr:row>
      <xdr:rowOff>152400</xdr:rowOff>
    </xdr:to>
    <xdr:sp macro="" textlink="">
      <xdr:nvSpPr>
        <xdr:cNvPr id="57" name="Flecha: hacia abajo 56">
          <a:extLst>
            <a:ext uri="{FF2B5EF4-FFF2-40B4-BE49-F238E27FC236}">
              <a16:creationId xmlns:a16="http://schemas.microsoft.com/office/drawing/2014/main" id="{3E923C97-9636-4C80-BC02-C1017B77F976}"/>
            </a:ext>
          </a:extLst>
        </xdr:cNvPr>
        <xdr:cNvSpPr/>
      </xdr:nvSpPr>
      <xdr:spPr>
        <a:xfrm flipH="1">
          <a:off x="4331676" y="10726615"/>
          <a:ext cx="45719" cy="205154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9</xdr:col>
      <xdr:colOff>351694</xdr:colOff>
      <xdr:row>54</xdr:row>
      <xdr:rowOff>24849</xdr:rowOff>
    </xdr:from>
    <xdr:to>
      <xdr:col>11</xdr:col>
      <xdr:colOff>275493</xdr:colOff>
      <xdr:row>56</xdr:row>
      <xdr:rowOff>154251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F703BD6E-57B0-F8E0-FE63-BFDA90B56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948248" y="10440803"/>
          <a:ext cx="1506414" cy="492817"/>
        </a:xfrm>
        <a:prstGeom prst="rect">
          <a:avLst/>
        </a:prstGeom>
      </xdr:spPr>
    </xdr:pic>
    <xdr:clientData/>
  </xdr:twoCellAnchor>
  <xdr:twoCellAnchor>
    <xdr:from>
      <xdr:col>10</xdr:col>
      <xdr:colOff>105507</xdr:colOff>
      <xdr:row>55</xdr:row>
      <xdr:rowOff>111369</xdr:rowOff>
    </xdr:from>
    <xdr:to>
      <xdr:col>10</xdr:col>
      <xdr:colOff>152399</xdr:colOff>
      <xdr:row>57</xdr:row>
      <xdr:rowOff>23445</xdr:rowOff>
    </xdr:to>
    <xdr:sp macro="" textlink="">
      <xdr:nvSpPr>
        <xdr:cNvPr id="59" name="Flecha: hacia abajo 58">
          <a:extLst>
            <a:ext uri="{FF2B5EF4-FFF2-40B4-BE49-F238E27FC236}">
              <a16:creationId xmlns:a16="http://schemas.microsoft.com/office/drawing/2014/main" id="{CB5FEFC2-BA39-44E2-9A9A-7C72F592FA51}"/>
            </a:ext>
          </a:extLst>
        </xdr:cNvPr>
        <xdr:cNvSpPr/>
      </xdr:nvSpPr>
      <xdr:spPr>
        <a:xfrm flipH="1">
          <a:off x="8493369" y="10709031"/>
          <a:ext cx="46892" cy="27549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10</xdr:col>
      <xdr:colOff>568570</xdr:colOff>
      <xdr:row>51</xdr:row>
      <xdr:rowOff>174470</xdr:rowOff>
    </xdr:from>
    <xdr:to>
      <xdr:col>12</xdr:col>
      <xdr:colOff>566091</xdr:colOff>
      <xdr:row>54</xdr:row>
      <xdr:rowOff>111368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FD479B5F-DEEA-73C4-A656-D20352086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956432" y="10045301"/>
          <a:ext cx="1580136" cy="482021"/>
        </a:xfrm>
        <a:prstGeom prst="rect">
          <a:avLst/>
        </a:prstGeom>
      </xdr:spPr>
    </xdr:pic>
    <xdr:clientData/>
  </xdr:twoCellAnchor>
  <xdr:twoCellAnchor>
    <xdr:from>
      <xdr:col>11</xdr:col>
      <xdr:colOff>568570</xdr:colOff>
      <xdr:row>54</xdr:row>
      <xdr:rowOff>87924</xdr:rowOff>
    </xdr:from>
    <xdr:to>
      <xdr:col>11</xdr:col>
      <xdr:colOff>614289</xdr:colOff>
      <xdr:row>56</xdr:row>
      <xdr:rowOff>175847</xdr:rowOff>
    </xdr:to>
    <xdr:sp macro="" textlink="">
      <xdr:nvSpPr>
        <xdr:cNvPr id="61" name="Flecha: hacia abajo 60">
          <a:extLst>
            <a:ext uri="{FF2B5EF4-FFF2-40B4-BE49-F238E27FC236}">
              <a16:creationId xmlns:a16="http://schemas.microsoft.com/office/drawing/2014/main" id="{1882C8AD-65B4-4A6A-96D1-3B7947CC43AE}"/>
            </a:ext>
          </a:extLst>
        </xdr:cNvPr>
        <xdr:cNvSpPr/>
      </xdr:nvSpPr>
      <xdr:spPr>
        <a:xfrm flipH="1">
          <a:off x="9747739" y="10503878"/>
          <a:ext cx="45719" cy="451338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11</xdr:col>
      <xdr:colOff>756138</xdr:colOff>
      <xdr:row>54</xdr:row>
      <xdr:rowOff>32089</xdr:rowOff>
    </xdr:from>
    <xdr:to>
      <xdr:col>13</xdr:col>
      <xdr:colOff>603738</xdr:colOff>
      <xdr:row>56</xdr:row>
      <xdr:rowOff>123192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3D9C90A1-981C-23B7-927C-3D3B895B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935307" y="10448043"/>
          <a:ext cx="1430216" cy="454518"/>
        </a:xfrm>
        <a:prstGeom prst="rect">
          <a:avLst/>
        </a:prstGeom>
      </xdr:spPr>
    </xdr:pic>
    <xdr:clientData/>
  </xdr:twoCellAnchor>
  <xdr:twoCellAnchor>
    <xdr:from>
      <xdr:col>12</xdr:col>
      <xdr:colOff>322384</xdr:colOff>
      <xdr:row>55</xdr:row>
      <xdr:rowOff>164123</xdr:rowOff>
    </xdr:from>
    <xdr:to>
      <xdr:col>12</xdr:col>
      <xdr:colOff>368103</xdr:colOff>
      <xdr:row>56</xdr:row>
      <xdr:rowOff>158262</xdr:rowOff>
    </xdr:to>
    <xdr:sp macro="" textlink="">
      <xdr:nvSpPr>
        <xdr:cNvPr id="63" name="Flecha: hacia abajo 62">
          <a:extLst>
            <a:ext uri="{FF2B5EF4-FFF2-40B4-BE49-F238E27FC236}">
              <a16:creationId xmlns:a16="http://schemas.microsoft.com/office/drawing/2014/main" id="{27B524A2-9782-4FA3-A774-EC4840FE2570}"/>
            </a:ext>
          </a:extLst>
        </xdr:cNvPr>
        <xdr:cNvSpPr/>
      </xdr:nvSpPr>
      <xdr:spPr>
        <a:xfrm flipH="1">
          <a:off x="10292861" y="10761785"/>
          <a:ext cx="45719" cy="17584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6D2B-3967-4082-A6C3-0DCE2F183995}">
  <dimension ref="A1:O77"/>
  <sheetViews>
    <sheetView tabSelected="1" topLeftCell="A14" zoomScaleNormal="100" workbookViewId="0">
      <selection activeCell="B78" sqref="B78"/>
    </sheetView>
  </sheetViews>
  <sheetFormatPr baseColWidth="10" defaultRowHeight="14.4" x14ac:dyDescent="0.3"/>
  <cols>
    <col min="1" max="1" width="15" customWidth="1"/>
    <col min="2" max="2" width="10.21875" customWidth="1"/>
    <col min="3" max="3" width="42.33203125" customWidth="1"/>
    <col min="8" max="8" width="18.109375" customWidth="1"/>
    <col min="14" max="14" width="7.21875" customWidth="1"/>
    <col min="15" max="15" width="7.77734375" customWidth="1"/>
  </cols>
  <sheetData>
    <row r="1" spans="1:15" ht="23.4" x14ac:dyDescent="0.45">
      <c r="A1" s="53" t="s">
        <v>69</v>
      </c>
      <c r="B1" s="53"/>
      <c r="C1" s="53"/>
      <c r="D1" s="53"/>
      <c r="E1" s="53"/>
      <c r="F1" s="53"/>
      <c r="G1" s="53"/>
      <c r="H1" s="53"/>
      <c r="I1" s="53"/>
    </row>
    <row r="3" spans="1:15" x14ac:dyDescent="0.3">
      <c r="A3" s="10" t="s">
        <v>0</v>
      </c>
      <c r="B3" s="2">
        <v>40</v>
      </c>
      <c r="C3" s="10" t="s">
        <v>1</v>
      </c>
    </row>
    <row r="4" spans="1:15" ht="24" x14ac:dyDescent="0.35">
      <c r="A4" s="18" t="s">
        <v>2</v>
      </c>
      <c r="B4" s="19">
        <v>1.056</v>
      </c>
      <c r="C4" s="20" t="s">
        <v>3</v>
      </c>
      <c r="E4" s="24" t="s">
        <v>22</v>
      </c>
      <c r="F4" s="24" t="s">
        <v>23</v>
      </c>
      <c r="G4" s="24" t="s">
        <v>24</v>
      </c>
      <c r="H4" s="25" t="s">
        <v>26</v>
      </c>
      <c r="I4" s="25" t="s">
        <v>25</v>
      </c>
      <c r="N4" s="15"/>
      <c r="O4" s="3"/>
    </row>
    <row r="5" spans="1:15" ht="24" x14ac:dyDescent="0.3">
      <c r="A5" s="18" t="s">
        <v>4</v>
      </c>
      <c r="B5" s="19">
        <v>1</v>
      </c>
      <c r="C5" s="20" t="s">
        <v>5</v>
      </c>
      <c r="E5" s="5">
        <v>0.2</v>
      </c>
      <c r="F5" s="6">
        <v>1</v>
      </c>
      <c r="G5" s="6">
        <v>0</v>
      </c>
      <c r="H5" s="6" t="s">
        <v>27</v>
      </c>
      <c r="I5" s="7">
        <v>0</v>
      </c>
      <c r="J5" s="9"/>
      <c r="N5" s="4"/>
      <c r="O5" s="3"/>
    </row>
    <row r="6" spans="1:15" ht="15" x14ac:dyDescent="0.35">
      <c r="A6" s="21" t="s">
        <v>30</v>
      </c>
      <c r="B6" s="19">
        <v>0.85299999999999998</v>
      </c>
      <c r="C6" s="18" t="s">
        <v>6</v>
      </c>
      <c r="E6" s="5">
        <v>0.35</v>
      </c>
      <c r="F6" s="6">
        <v>0.41199999999999998</v>
      </c>
      <c r="G6" s="6">
        <v>6.7799999999999999E-2</v>
      </c>
      <c r="H6" s="6">
        <f>(F6/G6)*($B$7/$B$6)</f>
        <v>2.671466661133532</v>
      </c>
      <c r="I6" s="7">
        <f>1/(1+H6)</f>
        <v>0.27237071511123545</v>
      </c>
      <c r="J6" s="9"/>
      <c r="N6" s="8"/>
    </row>
    <row r="7" spans="1:15" x14ac:dyDescent="0.3">
      <c r="A7" s="21" t="s">
        <v>31</v>
      </c>
      <c r="B7" s="19">
        <v>0.375</v>
      </c>
      <c r="C7" s="18" t="s">
        <v>7</v>
      </c>
      <c r="E7" s="5">
        <v>0.4</v>
      </c>
      <c r="F7" s="6">
        <v>0.27200000000000002</v>
      </c>
      <c r="G7" s="6">
        <v>0.104</v>
      </c>
      <c r="H7" s="6">
        <f t="shared" ref="H7:H13" si="0">(F7/G7)*($B$7/$B$6)</f>
        <v>1.149788078275769</v>
      </c>
      <c r="I7" s="7">
        <f t="shared" ref="I7:I13" si="1">1/(1+H7)</f>
        <v>0.4651621292839464</v>
      </c>
      <c r="J7" s="9"/>
      <c r="N7" s="1"/>
    </row>
    <row r="8" spans="1:15" ht="24" x14ac:dyDescent="0.3">
      <c r="A8" s="20" t="s">
        <v>8</v>
      </c>
      <c r="B8" s="19">
        <v>3200</v>
      </c>
      <c r="C8" s="18"/>
      <c r="E8" s="5">
        <v>0.45</v>
      </c>
      <c r="F8" s="6">
        <v>0.17699999999999999</v>
      </c>
      <c r="G8" s="6">
        <v>0.13</v>
      </c>
      <c r="H8" s="6">
        <f t="shared" si="0"/>
        <v>0.59856614663179719</v>
      </c>
      <c r="I8" s="7">
        <f t="shared" si="1"/>
        <v>0.62556060135954639</v>
      </c>
      <c r="J8" s="9"/>
    </row>
    <row r="9" spans="1:15" ht="24" x14ac:dyDescent="0.3">
      <c r="A9" s="20" t="s">
        <v>9</v>
      </c>
      <c r="B9" s="19">
        <v>100</v>
      </c>
      <c r="C9" s="18"/>
      <c r="E9" s="5">
        <v>0.5</v>
      </c>
      <c r="F9" s="6">
        <v>0.109</v>
      </c>
      <c r="G9" s="6">
        <v>0.16300000000000001</v>
      </c>
      <c r="H9" s="6">
        <f t="shared" si="0"/>
        <v>0.29398226396910221</v>
      </c>
      <c r="I9" s="7">
        <f t="shared" si="1"/>
        <v>0.77280811943484107</v>
      </c>
      <c r="J9" s="9"/>
    </row>
    <row r="10" spans="1:15" x14ac:dyDescent="0.3">
      <c r="A10" s="18" t="s">
        <v>10</v>
      </c>
      <c r="B10" s="19">
        <v>0.5</v>
      </c>
      <c r="C10" s="18"/>
      <c r="E10" s="5">
        <v>0.55000000000000004</v>
      </c>
      <c r="F10" s="6">
        <v>6.2700000000000006E-2</v>
      </c>
      <c r="G10" s="6">
        <v>0.20300000000000001</v>
      </c>
      <c r="H10" s="6">
        <f t="shared" si="0"/>
        <v>0.13578560744749046</v>
      </c>
      <c r="I10" s="7">
        <f t="shared" si="1"/>
        <v>0.88044785340021314</v>
      </c>
      <c r="J10" s="9"/>
    </row>
    <row r="11" spans="1:15" ht="24" x14ac:dyDescent="0.3">
      <c r="A11" s="20" t="s">
        <v>11</v>
      </c>
      <c r="B11" s="19">
        <v>0</v>
      </c>
      <c r="C11" s="18"/>
      <c r="E11" s="5">
        <v>0.6</v>
      </c>
      <c r="F11" s="6">
        <v>3.1699999999999999E-2</v>
      </c>
      <c r="G11" s="6">
        <v>0.254</v>
      </c>
      <c r="H11" s="6">
        <f t="shared" si="0"/>
        <v>5.4866566356813841E-2</v>
      </c>
      <c r="I11" s="7">
        <f t="shared" si="1"/>
        <v>0.9479871975217623</v>
      </c>
      <c r="J11" s="9"/>
    </row>
    <row r="12" spans="1:15" ht="24" x14ac:dyDescent="0.3">
      <c r="A12" s="20" t="s">
        <v>12</v>
      </c>
      <c r="B12" s="19">
        <v>0</v>
      </c>
      <c r="C12" s="18"/>
      <c r="E12" s="5">
        <v>0.65</v>
      </c>
      <c r="F12" s="6">
        <v>1.11E-2</v>
      </c>
      <c r="G12" s="6">
        <v>0.318</v>
      </c>
      <c r="H12" s="6">
        <f t="shared" si="0"/>
        <v>1.5345395828264285E-2</v>
      </c>
      <c r="I12" s="7">
        <f t="shared" si="1"/>
        <v>0.98488652640636998</v>
      </c>
      <c r="J12" s="9"/>
    </row>
    <row r="13" spans="1:15" x14ac:dyDescent="0.3">
      <c r="A13" s="18" t="s">
        <v>13</v>
      </c>
      <c r="B13" s="19">
        <v>1.5</v>
      </c>
      <c r="C13" s="18" t="s">
        <v>14</v>
      </c>
      <c r="E13" s="5">
        <v>0.7</v>
      </c>
      <c r="F13" s="6">
        <v>0</v>
      </c>
      <c r="G13" s="6">
        <v>0.39700000000000002</v>
      </c>
      <c r="H13" s="6">
        <f t="shared" si="0"/>
        <v>0</v>
      </c>
      <c r="I13" s="7">
        <f t="shared" si="1"/>
        <v>1</v>
      </c>
      <c r="J13" s="9"/>
    </row>
    <row r="14" spans="1:15" x14ac:dyDescent="0.3">
      <c r="A14" s="18" t="s">
        <v>32</v>
      </c>
      <c r="B14" s="19">
        <v>20</v>
      </c>
      <c r="C14" s="18" t="s">
        <v>15</v>
      </c>
      <c r="E14" s="55" t="s">
        <v>52</v>
      </c>
      <c r="F14" s="55"/>
      <c r="G14" s="55"/>
      <c r="H14" s="55"/>
      <c r="I14" s="55"/>
    </row>
    <row r="15" spans="1:15" x14ac:dyDescent="0.3">
      <c r="A15" s="22" t="s">
        <v>17</v>
      </c>
      <c r="B15" s="19">
        <v>0.16</v>
      </c>
      <c r="C15" s="18" t="s">
        <v>16</v>
      </c>
    </row>
    <row r="16" spans="1:15" ht="15" x14ac:dyDescent="0.35">
      <c r="A16" s="18" t="s">
        <v>18</v>
      </c>
      <c r="B16" s="19">
        <v>0.7</v>
      </c>
      <c r="C16" s="18"/>
      <c r="H16" s="8"/>
      <c r="I16" s="3"/>
    </row>
    <row r="17" spans="1:9" x14ac:dyDescent="0.3">
      <c r="A17" s="18" t="s">
        <v>19</v>
      </c>
      <c r="B17" s="19">
        <v>0.1</v>
      </c>
      <c r="C17" s="18"/>
      <c r="H17" s="1"/>
      <c r="I17" s="3"/>
    </row>
    <row r="18" spans="1:9" x14ac:dyDescent="0.3">
      <c r="A18" s="18" t="s">
        <v>20</v>
      </c>
      <c r="B18" s="19">
        <v>0.2</v>
      </c>
      <c r="C18" s="18"/>
    </row>
    <row r="19" spans="1:9" ht="39" customHeight="1" x14ac:dyDescent="0.3">
      <c r="A19" s="20" t="s">
        <v>21</v>
      </c>
      <c r="B19" s="19">
        <v>1</v>
      </c>
      <c r="C19" s="18"/>
    </row>
    <row r="22" spans="1:9" ht="18" x14ac:dyDescent="0.35">
      <c r="A22" s="54" t="s">
        <v>28</v>
      </c>
      <c r="B22" s="54"/>
      <c r="C22" s="54"/>
    </row>
    <row r="26" spans="1:9" x14ac:dyDescent="0.3">
      <c r="A26" s="11" t="s">
        <v>29</v>
      </c>
      <c r="B26" s="12">
        <f>7758*B3*B13*B15</f>
        <v>74476.800000000003</v>
      </c>
      <c r="C26" s="11" t="s">
        <v>39</v>
      </c>
      <c r="D26" s="14">
        <f>B26/1000</f>
        <v>74.476799999999997</v>
      </c>
    </row>
    <row r="27" spans="1:9" x14ac:dyDescent="0.3">
      <c r="A27" s="4"/>
    </row>
    <row r="28" spans="1:9" ht="18" x14ac:dyDescent="0.35">
      <c r="A28" s="54" t="s">
        <v>33</v>
      </c>
      <c r="B28" s="54"/>
      <c r="C28" s="54"/>
    </row>
    <row r="34" spans="1:5" x14ac:dyDescent="0.3">
      <c r="A34" s="11" t="s">
        <v>34</v>
      </c>
      <c r="B34" s="13">
        <f>B26*B16/B4</f>
        <v>49369.090909090912</v>
      </c>
      <c r="C34" s="11" t="s">
        <v>40</v>
      </c>
      <c r="D34" s="14">
        <f>B34/1000</f>
        <v>49.369090909090914</v>
      </c>
    </row>
    <row r="36" spans="1:5" ht="18" x14ac:dyDescent="0.35">
      <c r="A36" s="54" t="s">
        <v>35</v>
      </c>
      <c r="B36" s="54"/>
      <c r="C36" s="54"/>
    </row>
    <row r="39" spans="1:5" x14ac:dyDescent="0.3">
      <c r="D39" s="46">
        <v>0.58499999999999996</v>
      </c>
      <c r="E39" s="46">
        <v>0.24199999999999999</v>
      </c>
    </row>
    <row r="43" spans="1:5" x14ac:dyDescent="0.3">
      <c r="A43" s="11" t="s">
        <v>36</v>
      </c>
      <c r="B43" s="16">
        <f>E39*B6/(1*B7)</f>
        <v>0.55046933333333337</v>
      </c>
    </row>
    <row r="45" spans="1:5" ht="18" x14ac:dyDescent="0.35">
      <c r="A45" s="54" t="s">
        <v>37</v>
      </c>
      <c r="B45" s="54"/>
      <c r="C45" s="54"/>
    </row>
    <row r="47" spans="1:5" ht="15.6" x14ac:dyDescent="0.35">
      <c r="A47" s="11" t="s">
        <v>38</v>
      </c>
      <c r="B47" s="16">
        <f>0.546+(0.0317/B43)+(0.3022/2.71^B43)-(0.0051*B43)</f>
        <v>0.7753452189710478</v>
      </c>
    </row>
    <row r="55" spans="1:3" ht="18" x14ac:dyDescent="0.35">
      <c r="A55" s="54" t="s">
        <v>41</v>
      </c>
      <c r="B55" s="54"/>
      <c r="C55" s="54"/>
    </row>
    <row r="62" spans="1:3" x14ac:dyDescent="0.3">
      <c r="A62" s="11" t="s">
        <v>44</v>
      </c>
      <c r="B62" s="12">
        <f>(3.14)*(660)^2*(B13)*(B15)*(B17)/5.615</f>
        <v>5846.271772039182</v>
      </c>
    </row>
    <row r="64" spans="1:3" ht="18" x14ac:dyDescent="0.35">
      <c r="A64" s="54" t="s">
        <v>42</v>
      </c>
      <c r="B64" s="54"/>
      <c r="C64" s="54"/>
    </row>
    <row r="69" spans="1:3" x14ac:dyDescent="0.3">
      <c r="A69" s="11" t="s">
        <v>43</v>
      </c>
      <c r="B69" s="12">
        <f>B26*B17</f>
        <v>7447.68</v>
      </c>
    </row>
    <row r="72" spans="1:3" ht="18" x14ac:dyDescent="0.35">
      <c r="A72" s="54" t="s">
        <v>45</v>
      </c>
      <c r="B72" s="54"/>
      <c r="C72" s="54"/>
    </row>
    <row r="77" spans="1:3" x14ac:dyDescent="0.3">
      <c r="A77" s="11" t="s">
        <v>46</v>
      </c>
      <c r="B77" s="17">
        <f>D26*B47*(D39-B18)</f>
        <v>22.231913859641224</v>
      </c>
    </row>
  </sheetData>
  <mergeCells count="9">
    <mergeCell ref="A1:I1"/>
    <mergeCell ref="A55:C55"/>
    <mergeCell ref="A64:C64"/>
    <mergeCell ref="A72:C72"/>
    <mergeCell ref="E14:I14"/>
    <mergeCell ref="A22:C22"/>
    <mergeCell ref="A28:C28"/>
    <mergeCell ref="A36:C36"/>
    <mergeCell ref="A45:C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1120-CF26-4D24-BCD8-855F3C7D1B04}">
  <dimension ref="A1:L20"/>
  <sheetViews>
    <sheetView topLeftCell="A23" zoomScale="90" zoomScaleNormal="90" workbookViewId="0">
      <selection activeCell="N24" sqref="N24"/>
    </sheetView>
  </sheetViews>
  <sheetFormatPr baseColWidth="10" defaultRowHeight="14.4" x14ac:dyDescent="0.3"/>
  <cols>
    <col min="10" max="10" width="14.33203125" customWidth="1"/>
    <col min="11" max="11" width="13.77734375" customWidth="1"/>
  </cols>
  <sheetData>
    <row r="1" spans="1:12" ht="23.4" x14ac:dyDescent="0.45">
      <c r="A1" s="53" t="s">
        <v>70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3" spans="1:12" ht="18" x14ac:dyDescent="0.35">
      <c r="A3" s="57" t="s">
        <v>47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x14ac:dyDescent="0.3">
      <c r="A4" s="35">
        <v>1</v>
      </c>
      <c r="B4" s="35">
        <v>2</v>
      </c>
      <c r="C4" s="35">
        <v>3</v>
      </c>
      <c r="D4" s="35">
        <v>4</v>
      </c>
      <c r="E4" s="35">
        <v>5</v>
      </c>
      <c r="F4" s="35">
        <v>6</v>
      </c>
      <c r="G4" s="35">
        <v>7</v>
      </c>
      <c r="H4" s="35">
        <v>8</v>
      </c>
      <c r="I4" s="35">
        <v>9</v>
      </c>
      <c r="J4" s="35">
        <v>10</v>
      </c>
      <c r="K4" s="35">
        <v>11</v>
      </c>
    </row>
    <row r="5" spans="1:12" ht="19.8" customHeight="1" x14ac:dyDescent="0.3">
      <c r="A5" s="56" t="s">
        <v>104</v>
      </c>
      <c r="B5" s="56" t="s">
        <v>105</v>
      </c>
      <c r="C5" s="56" t="s">
        <v>106</v>
      </c>
      <c r="D5" s="56" t="s">
        <v>48</v>
      </c>
      <c r="E5" s="58"/>
      <c r="F5" s="58"/>
      <c r="G5" s="56" t="s">
        <v>49</v>
      </c>
      <c r="H5" s="56" t="s">
        <v>50</v>
      </c>
      <c r="I5" s="56" t="s">
        <v>51</v>
      </c>
      <c r="J5" s="60"/>
      <c r="K5" s="60"/>
      <c r="L5" s="23"/>
    </row>
    <row r="6" spans="1:12" x14ac:dyDescent="0.3">
      <c r="A6" s="56"/>
      <c r="B6" s="56"/>
      <c r="C6" s="56"/>
      <c r="D6" s="56"/>
      <c r="E6" s="59"/>
      <c r="F6" s="59"/>
      <c r="G6" s="56"/>
      <c r="H6" s="56"/>
      <c r="I6" s="56"/>
      <c r="J6" s="60"/>
      <c r="K6" s="60"/>
      <c r="L6" s="23"/>
    </row>
    <row r="7" spans="1:12" x14ac:dyDescent="0.3">
      <c r="A7" s="2">
        <v>500</v>
      </c>
      <c r="B7" s="26">
        <f>5.615*A7/(3.14*'Initial Calculations'!$B$13*'Initial Calculations'!$B$15*'Initial Calculations'!$B$17)</f>
        <v>37254.511677282375</v>
      </c>
      <c r="C7" s="26">
        <f>((5.615*A7)/(3.14*'Initial Calculations'!$B$13*'Initial Calculations'!$B$15*'Initial Calculations'!$B$17))^0.5</f>
        <v>193.01427842852036</v>
      </c>
      <c r="D7" s="26">
        <f>C7*(('Initial Calculations'!$B$17/('Initial Calculations'!$D$39-'Initial Calculations'!$B$18)))^0.5</f>
        <v>98.369184908455281</v>
      </c>
      <c r="E7" s="5">
        <f>('Initial Calculations'!$B$7/'Initial Calculations'!$E$39)*(LN('Stage I'!D7/'Initial Calculations'!$B$10))</f>
        <v>8.1847233069319412</v>
      </c>
      <c r="F7" s="5">
        <f>('Initial Calculations'!$B$6/'Initial Calculations'!$F$5)*LN(C7/D7)</f>
        <v>0.57495319774981901</v>
      </c>
      <c r="G7" s="5">
        <f>E7+F7</f>
        <v>8.7596765046817602</v>
      </c>
      <c r="H7" s="26">
        <f>0.00708*'Initial Calculations'!$B$14*'Initial Calculations'!$B$13*('Initial Calculations'!$B$8-'Initial Calculations'!$B$9)/(G7)</f>
        <v>75.167159386318147</v>
      </c>
      <c r="I7" s="26">
        <f>H7</f>
        <v>75.167159386318147</v>
      </c>
      <c r="J7" s="27">
        <f>(A7)/I7</f>
        <v>6.6518410976563986</v>
      </c>
      <c r="K7" s="27">
        <f>J7</f>
        <v>6.6518410976563986</v>
      </c>
    </row>
    <row r="8" spans="1:12" x14ac:dyDescent="0.3">
      <c r="A8" s="2">
        <v>1000</v>
      </c>
      <c r="B8" s="26">
        <f>5.615*A8/(3.14*'Initial Calculations'!$B$13*'Initial Calculations'!$B$15*'Initial Calculations'!$B$17)</f>
        <v>74509.02335456475</v>
      </c>
      <c r="C8" s="26">
        <f>((5.615*A8)/(3.14*'Initial Calculations'!$B$13*'Initial Calculations'!$B$15*'Initial Calculations'!$B$17))^0.5</f>
        <v>272.96341028527019</v>
      </c>
      <c r="D8" s="26">
        <f>C8*(('Initial Calculations'!$B$17/('Initial Calculations'!$D$39-'Initial Calculations'!$B$18)))^0.5</f>
        <v>139.11503541712423</v>
      </c>
      <c r="E8" s="5">
        <f>('Initial Calculations'!$B$7/'Initial Calculations'!$E$39)*(LN('Stage I'!D8/'Initial Calculations'!$B$10))</f>
        <v>8.7217691596385105</v>
      </c>
      <c r="F8" s="5">
        <f>('Initial Calculations'!$B$6/'Initial Calculations'!$F$5)*LN(C8/D8)</f>
        <v>0.57495319774981901</v>
      </c>
      <c r="G8" s="5">
        <f t="shared" ref="G8:G13" si="0">E8+F8</f>
        <v>9.2967223573883295</v>
      </c>
      <c r="H8" s="26">
        <f>0.00708*'Initial Calculations'!$B$14*'Initial Calculations'!$B$13*('Initial Calculations'!$B$8-'Initial Calculations'!$B$9)/(G8)</f>
        <v>70.824961173194751</v>
      </c>
      <c r="I8" s="26">
        <f>(H7+H8)/2</f>
        <v>72.996060279756449</v>
      </c>
      <c r="J8" s="27">
        <f>(A8-A7)/I8</f>
        <v>6.8496847375564727</v>
      </c>
      <c r="K8" s="27">
        <f>J8+K7</f>
        <v>13.50152583521287</v>
      </c>
    </row>
    <row r="9" spans="1:12" x14ac:dyDescent="0.3">
      <c r="A9" s="2">
        <v>2000</v>
      </c>
      <c r="B9" s="26">
        <f>5.615*A9/(3.14*'Initial Calculations'!$B$13*'Initial Calculations'!$B$15*'Initial Calculations'!$B$17)</f>
        <v>149018.0467091295</v>
      </c>
      <c r="C9" s="26">
        <f>((5.615*A9)/(3.14*'Initial Calculations'!$B$13*'Initial Calculations'!$B$15*'Initial Calculations'!$B$17))^0.5</f>
        <v>386.02855685704071</v>
      </c>
      <c r="D9" s="26">
        <f>C9*(('Initial Calculations'!$B$17/('Initial Calculations'!$D$39-'Initial Calculations'!$B$18)))^0.5</f>
        <v>196.73836981691056</v>
      </c>
      <c r="E9" s="5">
        <f>('Initial Calculations'!$B$7/'Initial Calculations'!$E$39)*(LN('Stage I'!D9/'Initial Calculations'!$B$10))</f>
        <v>9.2588150123450799</v>
      </c>
      <c r="F9" s="5">
        <f>('Initial Calculations'!$B$6/'Initial Calculations'!$F$5)*LN(C9/D9)</f>
        <v>0.57495319774981901</v>
      </c>
      <c r="G9" s="5">
        <f t="shared" si="0"/>
        <v>9.8337682100948989</v>
      </c>
      <c r="H9" s="26">
        <f>0.00708*'Initial Calculations'!$B$14*'Initial Calculations'!$B$13*('Initial Calculations'!$B$8-'Initial Calculations'!$B$9)/(G9)</f>
        <v>66.95703884133404</v>
      </c>
      <c r="I9" s="26">
        <f t="shared" ref="I9:I13" si="1">(H8+H9)/2</f>
        <v>68.891000007264395</v>
      </c>
      <c r="J9" s="27">
        <f t="shared" ref="J9:J13" si="2">(A9-A8)/I9</f>
        <v>14.515684195243971</v>
      </c>
      <c r="K9" s="27">
        <f t="shared" ref="K9:K13" si="3">J9+K8</f>
        <v>28.017210030456841</v>
      </c>
    </row>
    <row r="10" spans="1:12" x14ac:dyDescent="0.3">
      <c r="A10" s="2">
        <v>3000</v>
      </c>
      <c r="B10" s="26">
        <f>5.615*A10/(3.14*'Initial Calculations'!$B$13*'Initial Calculations'!$B$15*'Initial Calculations'!$B$17)</f>
        <v>223527.07006369423</v>
      </c>
      <c r="C10" s="26">
        <f>((5.615*A10)/(3.14*'Initial Calculations'!$B$13*'Initial Calculations'!$B$15*'Initial Calculations'!$B$17))^0.5</f>
        <v>472.78649522135703</v>
      </c>
      <c r="D10" s="26">
        <f>C10*(('Initial Calculations'!$B$17/('Initial Calculations'!$D$39-'Initial Calculations'!$B$18)))^0.5</f>
        <v>240.954309439203</v>
      </c>
      <c r="E10" s="5">
        <f>('Initial Calculations'!$B$7/'Initial Calculations'!$E$39)*(LN('Stage I'!D10/'Initial Calculations'!$B$10))</f>
        <v>9.5729666973462404</v>
      </c>
      <c r="F10" s="5">
        <f>('Initial Calculations'!$B$6/'Initial Calculations'!$F$5)*LN(C10/D10)</f>
        <v>0.57495319774981901</v>
      </c>
      <c r="G10" s="5">
        <f t="shared" si="0"/>
        <v>10.147919895096059</v>
      </c>
      <c r="H10" s="26">
        <f>0.00708*'Initial Calculations'!$B$14*'Initial Calculations'!$B$13*('Initial Calculations'!$B$8-'Initial Calculations'!$B$9)/(G10)</f>
        <v>64.884233104578257</v>
      </c>
      <c r="I10" s="26">
        <f t="shared" si="1"/>
        <v>65.920635972956148</v>
      </c>
      <c r="J10" s="27">
        <f t="shared" si="2"/>
        <v>15.169756560149823</v>
      </c>
      <c r="K10" s="27">
        <f t="shared" si="3"/>
        <v>43.186966590606666</v>
      </c>
    </row>
    <row r="11" spans="1:12" x14ac:dyDescent="0.3">
      <c r="A11" s="2">
        <v>4000</v>
      </c>
      <c r="B11" s="26">
        <f>5.615*A11/(3.14*'Initial Calculations'!$B$13*'Initial Calculations'!$B$15*'Initial Calculations'!$B$17)</f>
        <v>298036.093418259</v>
      </c>
      <c r="C11" s="26">
        <f>((5.615*A11)/(3.14*'Initial Calculations'!$B$13*'Initial Calculations'!$B$15*'Initial Calculations'!$B$17))^0.5</f>
        <v>545.92682057054037</v>
      </c>
      <c r="D11" s="26">
        <f>C11*(('Initial Calculations'!$B$17/('Initial Calculations'!$D$39-'Initial Calculations'!$B$18)))^0.5</f>
        <v>278.23007083424847</v>
      </c>
      <c r="E11" s="5">
        <f>('Initial Calculations'!$B$7/'Initial Calculations'!$E$39)*(LN('Stage I'!D11/'Initial Calculations'!$B$10))</f>
        <v>9.7958608650516492</v>
      </c>
      <c r="F11" s="5">
        <f>('Initial Calculations'!$B$6/'Initial Calculations'!$F$5)*LN(C11/D11)</f>
        <v>0.57495319774981901</v>
      </c>
      <c r="G11" s="5">
        <f t="shared" si="0"/>
        <v>10.370814062801468</v>
      </c>
      <c r="H11" s="26">
        <f>0.00708*'Initial Calculations'!$B$14*'Initial Calculations'!$B$13*('Initial Calculations'!$B$8-'Initial Calculations'!$B$9)/(G11)</f>
        <v>63.489712187756226</v>
      </c>
      <c r="I11" s="26">
        <f t="shared" si="1"/>
        <v>64.186972646167249</v>
      </c>
      <c r="J11" s="27">
        <f t="shared" si="2"/>
        <v>15.579485349971748</v>
      </c>
      <c r="K11" s="27">
        <f t="shared" si="3"/>
        <v>58.766451940578413</v>
      </c>
    </row>
    <row r="12" spans="1:12" x14ac:dyDescent="0.3">
      <c r="A12" s="2">
        <v>5000</v>
      </c>
      <c r="B12" s="26">
        <f>5.615*A12/(3.14*'Initial Calculations'!$B$13*'Initial Calculations'!$B$15*'Initial Calculations'!$B$17)</f>
        <v>372545.11677282373</v>
      </c>
      <c r="C12" s="26">
        <f>((5.615*A12)/(3.14*'Initial Calculations'!$B$13*'Initial Calculations'!$B$15*'Initial Calculations'!$B$17))^0.5</f>
        <v>610.36474076802938</v>
      </c>
      <c r="D12" s="26">
        <f>C12*(('Initial Calculations'!$B$17/('Initial Calculations'!$D$39-'Initial Calculations'!$B$18)))^0.5</f>
        <v>311.07067588498057</v>
      </c>
      <c r="E12" s="5">
        <f>('Initial Calculations'!$B$7/'Initial Calculations'!$E$39)*(LN('Stage I'!D12/'Initial Calculations'!$B$10))</f>
        <v>9.9687510132806327</v>
      </c>
      <c r="F12" s="5">
        <f>('Initial Calculations'!$B$6/'Initial Calculations'!$F$5)*LN(C12/D12)</f>
        <v>0.57495319774981901</v>
      </c>
      <c r="G12" s="5">
        <f t="shared" si="0"/>
        <v>10.543704211030452</v>
      </c>
      <c r="H12" s="26">
        <f>0.00708*'Initial Calculations'!$B$14*'Initial Calculations'!$B$13*('Initial Calculations'!$B$8-'Initial Calculations'!$B$9)/(G12)</f>
        <v>62.448641086797878</v>
      </c>
      <c r="I12" s="26">
        <f t="shared" si="1"/>
        <v>62.969176637277052</v>
      </c>
      <c r="J12" s="27">
        <f t="shared" si="2"/>
        <v>15.880785701873242</v>
      </c>
      <c r="K12" s="27">
        <f t="shared" si="3"/>
        <v>74.647237642451657</v>
      </c>
    </row>
    <row r="13" spans="1:12" x14ac:dyDescent="0.3">
      <c r="A13" s="30">
        <v>5846</v>
      </c>
      <c r="B13" s="26">
        <f>5.615*A13/(3.14*'Initial Calculations'!$B$13*'Initial Calculations'!$B$15*'Initial Calculations'!$B$17)</f>
        <v>435579.75053078553</v>
      </c>
      <c r="C13" s="31">
        <f>((5.615*A13)/(3.14*'Initial Calculations'!$B$13*'Initial Calculations'!$B$15*'Initial Calculations'!$B$17))^0.5</f>
        <v>659.98465931473402</v>
      </c>
      <c r="D13" s="26">
        <f>C13*(('Initial Calculations'!$B$17/('Initial Calculations'!$D$39-'Initial Calculations'!$B$18)))^0.5</f>
        <v>336.35932801167235</v>
      </c>
      <c r="E13" s="5">
        <f>('Initial Calculations'!$B$7/'Initial Calculations'!$E$39)*(LN('Stage I'!D13/'Initial Calculations'!$B$10))</f>
        <v>10.089866525358337</v>
      </c>
      <c r="F13" s="5">
        <f>('Initial Calculations'!$B$6/'Initial Calculations'!$F$5)*LN(C13/D13)</f>
        <v>0.57495319774981901</v>
      </c>
      <c r="G13" s="5">
        <f t="shared" si="0"/>
        <v>10.664819723108156</v>
      </c>
      <c r="H13" s="26">
        <f>0.00708*'Initial Calculations'!$B$14*'Initial Calculations'!$B$13*('Initial Calculations'!$B$8-'Initial Calculations'!$B$9)/(G13)</f>
        <v>61.739440243262194</v>
      </c>
      <c r="I13" s="26">
        <f t="shared" si="1"/>
        <v>62.094040665030036</v>
      </c>
      <c r="J13" s="27">
        <f t="shared" si="2"/>
        <v>13.624495860461021</v>
      </c>
      <c r="K13" s="32">
        <f t="shared" si="3"/>
        <v>88.271733502912682</v>
      </c>
    </row>
    <row r="20" spans="8:8" ht="16.2" x14ac:dyDescent="0.3">
      <c r="H20" t="s">
        <v>55</v>
      </c>
    </row>
  </sheetData>
  <mergeCells count="13">
    <mergeCell ref="A1:K1"/>
    <mergeCell ref="A5:A6"/>
    <mergeCell ref="B5:B6"/>
    <mergeCell ref="C5:C6"/>
    <mergeCell ref="D5:D6"/>
    <mergeCell ref="A3:K3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6C47-C1E5-445D-ABF5-F8B066026587}">
  <dimension ref="A1:K69"/>
  <sheetViews>
    <sheetView topLeftCell="A55" zoomScale="90" zoomScaleNormal="90" workbookViewId="0">
      <selection activeCell="Q12" sqref="Q12"/>
    </sheetView>
  </sheetViews>
  <sheetFormatPr baseColWidth="10" defaultRowHeight="14.4" x14ac:dyDescent="0.3"/>
  <sheetData>
    <row r="1" spans="1:11" ht="23.4" x14ac:dyDescent="0.45">
      <c r="A1" s="53" t="s">
        <v>71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3" spans="1:11" ht="24.6" x14ac:dyDescent="0.55000000000000004">
      <c r="A3" s="62" t="s">
        <v>79</v>
      </c>
      <c r="B3" s="62"/>
      <c r="C3" s="62"/>
      <c r="D3" s="62"/>
      <c r="E3" s="62"/>
    </row>
    <row r="5" spans="1:11" ht="18" x14ac:dyDescent="0.35">
      <c r="C5" s="28">
        <f>'Initial Calculations'!B62</f>
        <v>5846.271772039182</v>
      </c>
    </row>
    <row r="7" spans="1:11" ht="24.6" x14ac:dyDescent="0.55000000000000004">
      <c r="A7" s="62" t="s">
        <v>80</v>
      </c>
      <c r="B7" s="62"/>
      <c r="C7" s="62"/>
      <c r="D7" s="62"/>
      <c r="E7" s="62"/>
    </row>
    <row r="9" spans="1:11" ht="18" x14ac:dyDescent="0.35">
      <c r="C9" s="28">
        <f>'Initial Calculations'!B69</f>
        <v>7447.68</v>
      </c>
    </row>
    <row r="11" spans="1:11" ht="24.6" x14ac:dyDescent="0.55000000000000004">
      <c r="A11" s="62" t="s">
        <v>81</v>
      </c>
      <c r="B11" s="62"/>
      <c r="C11" s="62"/>
      <c r="D11" s="62"/>
      <c r="E11" s="62"/>
    </row>
    <row r="17" spans="1:5" ht="18" x14ac:dyDescent="0.35">
      <c r="C17" s="29">
        <f>C9/('Initial Calculations'!B26*('Initial Calculations'!D39-'Initial Calculations'!B18))</f>
        <v>0.25974025974025977</v>
      </c>
    </row>
    <row r="19" spans="1:5" ht="21" x14ac:dyDescent="0.4">
      <c r="A19" s="62" t="s">
        <v>53</v>
      </c>
      <c r="B19" s="62"/>
      <c r="C19" s="62"/>
      <c r="D19" s="62"/>
      <c r="E19" s="62"/>
    </row>
    <row r="21" spans="1:5" ht="18" x14ac:dyDescent="0.35">
      <c r="C21" s="29">
        <f>'Initial Calculations'!B43</f>
        <v>0.55046933333333337</v>
      </c>
    </row>
    <row r="24" spans="1:5" ht="21" x14ac:dyDescent="0.4">
      <c r="A24" s="62" t="s">
        <v>54</v>
      </c>
      <c r="B24" s="62"/>
      <c r="C24" s="62"/>
      <c r="D24" s="62"/>
      <c r="E24" s="62"/>
    </row>
    <row r="30" spans="1:5" ht="18" x14ac:dyDescent="0.35">
      <c r="C30" s="33">
        <f>0.82</f>
        <v>0.82</v>
      </c>
    </row>
    <row r="39" spans="1:5" ht="21" x14ac:dyDescent="0.4">
      <c r="A39" s="62" t="s">
        <v>56</v>
      </c>
      <c r="B39" s="62"/>
      <c r="C39" s="62"/>
      <c r="D39" s="62"/>
      <c r="E39" s="62"/>
    </row>
    <row r="50" spans="1:5" ht="18" x14ac:dyDescent="0.35">
      <c r="C50" s="28">
        <f>(0.00354*('Initial Calculations'!B14)*('Initial Calculations'!B13)*('Initial Calculations'!B8-'Initial Calculations'!B9))/(('Initial Calculations'!B6)*(LN(933/'Initial Calculations'!B10)-0.619+0.5*(0+0)))</f>
        <v>55.834000243714364</v>
      </c>
    </row>
    <row r="56" spans="1:5" ht="18" x14ac:dyDescent="0.35">
      <c r="C56" s="28">
        <f>C30*C50</f>
        <v>45.783880199845775</v>
      </c>
      <c r="D56" t="s">
        <v>57</v>
      </c>
      <c r="E56" t="s">
        <v>58</v>
      </c>
    </row>
    <row r="58" spans="1:5" ht="18" x14ac:dyDescent="0.35">
      <c r="A58" s="61" t="s">
        <v>59</v>
      </c>
      <c r="B58" s="61"/>
      <c r="C58" s="61"/>
      <c r="D58" s="61"/>
      <c r="E58" s="61"/>
    </row>
    <row r="65" spans="1:5" ht="18" x14ac:dyDescent="0.35">
      <c r="C65" s="34">
        <f>(C9-C5)/(0.5*('Stage I'!H13+C56))</f>
        <v>29.787179587857779</v>
      </c>
    </row>
    <row r="67" spans="1:5" ht="18" x14ac:dyDescent="0.35">
      <c r="A67" s="61" t="s">
        <v>60</v>
      </c>
      <c r="B67" s="61"/>
      <c r="C67" s="61"/>
      <c r="D67" s="61"/>
      <c r="E67" s="61"/>
    </row>
    <row r="69" spans="1:5" ht="18" x14ac:dyDescent="0.35">
      <c r="C69" s="28">
        <f>'Stage I'!K13+'Stage II'!C65</f>
        <v>118.05891309077046</v>
      </c>
    </row>
  </sheetData>
  <mergeCells count="9">
    <mergeCell ref="A58:E58"/>
    <mergeCell ref="A67:E67"/>
    <mergeCell ref="A24:E24"/>
    <mergeCell ref="A39:E39"/>
    <mergeCell ref="A1:K1"/>
    <mergeCell ref="A3:E3"/>
    <mergeCell ref="A7:E7"/>
    <mergeCell ref="A11:E11"/>
    <mergeCell ref="A19:E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A9FB-A2B2-45CB-809F-43356FDD708B}">
  <dimension ref="A1:K11"/>
  <sheetViews>
    <sheetView topLeftCell="A26" zoomScale="90" zoomScaleNormal="90" workbookViewId="0">
      <selection activeCell="P25" sqref="P25"/>
    </sheetView>
  </sheetViews>
  <sheetFormatPr baseColWidth="10" defaultRowHeight="14.4" x14ac:dyDescent="0.3"/>
  <cols>
    <col min="6" max="6" width="13.88671875" customWidth="1"/>
    <col min="7" max="7" width="12.77734375" customWidth="1"/>
  </cols>
  <sheetData>
    <row r="1" spans="1:11" ht="23.4" x14ac:dyDescent="0.45">
      <c r="A1" s="53" t="s">
        <v>72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8" x14ac:dyDescent="0.35">
      <c r="A2" s="57" t="s">
        <v>61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x14ac:dyDescent="0.3">
      <c r="A3" s="35">
        <v>1</v>
      </c>
      <c r="B3" s="35">
        <v>2</v>
      </c>
      <c r="C3" s="35">
        <v>3</v>
      </c>
      <c r="D3" s="35">
        <v>4</v>
      </c>
      <c r="E3" s="35">
        <v>5</v>
      </c>
      <c r="F3" s="35">
        <v>6</v>
      </c>
      <c r="G3" s="35">
        <v>7</v>
      </c>
      <c r="H3" s="35">
        <v>8</v>
      </c>
      <c r="I3" s="35">
        <v>9</v>
      </c>
      <c r="J3" s="35">
        <v>10</v>
      </c>
    </row>
    <row r="4" spans="1:11" x14ac:dyDescent="0.3">
      <c r="A4" s="56" t="s">
        <v>65</v>
      </c>
      <c r="B4" s="56" t="s">
        <v>64</v>
      </c>
      <c r="C4" s="64" t="s">
        <v>62</v>
      </c>
      <c r="D4" s="56" t="s">
        <v>63</v>
      </c>
      <c r="E4" s="65" t="s">
        <v>78</v>
      </c>
      <c r="F4" s="65"/>
      <c r="G4" s="56"/>
      <c r="H4" s="63" t="s">
        <v>66</v>
      </c>
      <c r="I4" s="63" t="s">
        <v>67</v>
      </c>
      <c r="J4" s="63" t="s">
        <v>68</v>
      </c>
    </row>
    <row r="5" spans="1:11" ht="26.4" customHeight="1" x14ac:dyDescent="0.3">
      <c r="A5" s="56"/>
      <c r="B5" s="56"/>
      <c r="C5" s="56"/>
      <c r="D5" s="56"/>
      <c r="E5" s="66"/>
      <c r="F5" s="66"/>
      <c r="G5" s="56"/>
      <c r="H5" s="56"/>
      <c r="I5" s="56"/>
      <c r="J5" s="56"/>
    </row>
    <row r="6" spans="1:11" x14ac:dyDescent="0.3">
      <c r="A6" s="2">
        <v>7450</v>
      </c>
      <c r="B6" s="5">
        <f>A6/('Initial Calculations'!$B$26*('Initial Calculations'!$D$39-'Initial Calculations'!$B$18))</f>
        <v>0.25982117049402431</v>
      </c>
      <c r="C6" s="5">
        <v>0.82</v>
      </c>
      <c r="D6" s="26">
        <f>C6*'Stage II'!$C$50</f>
        <v>45.783880199845775</v>
      </c>
      <c r="E6" s="5" t="s">
        <v>27</v>
      </c>
      <c r="F6" s="5" t="s">
        <v>27</v>
      </c>
      <c r="G6" s="26">
        <f>'Stage II'!$C$69</f>
        <v>118.05891309077046</v>
      </c>
      <c r="H6" s="26">
        <f>D6/'Initial Calculations'!$B$4</f>
        <v>43.355947158944858</v>
      </c>
      <c r="I6" s="26" t="s">
        <v>27</v>
      </c>
      <c r="J6" s="36"/>
    </row>
    <row r="7" spans="1:11" x14ac:dyDescent="0.3">
      <c r="A7" s="2">
        <v>9000</v>
      </c>
      <c r="B7" s="5">
        <f>A7/('Initial Calculations'!$B$26*('Initial Calculations'!$D$39-'Initial Calculations'!$B$18))</f>
        <v>0.31387792408674081</v>
      </c>
      <c r="C7" s="5">
        <v>0.79</v>
      </c>
      <c r="D7" s="26">
        <f>C7*'Stage II'!$C$50</f>
        <v>44.108860192534351</v>
      </c>
      <c r="E7" s="26">
        <f>(D6+D7)/2</f>
        <v>44.94637019619006</v>
      </c>
      <c r="F7" s="26">
        <f>(A7-A6)/E7</f>
        <v>34.485543398371867</v>
      </c>
      <c r="G7" s="26">
        <f>G6+F7</f>
        <v>152.54445648914233</v>
      </c>
      <c r="H7" s="26">
        <f>D7/'Initial Calculations'!$B$4</f>
        <v>41.769753970202984</v>
      </c>
      <c r="I7" s="26">
        <f>A7-'Stage II'!$C$9</f>
        <v>1552.3199999999997</v>
      </c>
      <c r="J7" s="26">
        <f>(I7/'Initial Calculations'!$B$4)</f>
        <v>1469.9999999999995</v>
      </c>
    </row>
    <row r="8" spans="1:11" x14ac:dyDescent="0.3">
      <c r="A8" s="2">
        <v>12000</v>
      </c>
      <c r="B8" s="5">
        <f>A8/('Initial Calculations'!$B$26*('Initial Calculations'!$D$39-'Initial Calculations'!$B$18))</f>
        <v>0.41850389878232108</v>
      </c>
      <c r="C8" s="5">
        <v>0.78</v>
      </c>
      <c r="D8" s="26">
        <f>C8*'Stage II'!$C$50</f>
        <v>43.550520190097203</v>
      </c>
      <c r="E8" s="26">
        <f t="shared" ref="E8:E11" si="0">(D7+D8)/2</f>
        <v>43.829690191315777</v>
      </c>
      <c r="F8" s="26">
        <f t="shared" ref="F8:F11" si="1">(A8-A7)/E8</f>
        <v>68.446753488447129</v>
      </c>
      <c r="G8" s="26">
        <f t="shared" ref="G8:G11" si="2">G7+F8</f>
        <v>220.99120997758945</v>
      </c>
      <c r="H8" s="26">
        <f>D8/'Initial Calculations'!$B$4</f>
        <v>41.241022907289015</v>
      </c>
      <c r="I8" s="26">
        <f>A8-'Stage II'!$C$9</f>
        <v>4552.32</v>
      </c>
      <c r="J8" s="26">
        <f>(I8/'Initial Calculations'!$B$4)</f>
        <v>4310.9090909090901</v>
      </c>
    </row>
    <row r="9" spans="1:11" x14ac:dyDescent="0.3">
      <c r="A9" s="2">
        <v>15000</v>
      </c>
      <c r="B9" s="5">
        <f>A9/('Initial Calculations'!$B$26*('Initial Calculations'!$D$39-'Initial Calculations'!$B$18))</f>
        <v>0.5231298734779013</v>
      </c>
      <c r="C9" s="5">
        <v>0.76</v>
      </c>
      <c r="D9" s="26">
        <f>C9*'Stage II'!$C$50</f>
        <v>42.43384018522292</v>
      </c>
      <c r="E9" s="26">
        <f t="shared" si="0"/>
        <v>42.992180187660061</v>
      </c>
      <c r="F9" s="26">
        <f t="shared" si="1"/>
        <v>69.780131803157133</v>
      </c>
      <c r="G9" s="26">
        <f t="shared" si="2"/>
        <v>290.77134178074658</v>
      </c>
      <c r="H9" s="26">
        <f>D9/'Initial Calculations'!$B$4</f>
        <v>40.183560781461097</v>
      </c>
      <c r="I9" s="26">
        <f>A9-'Stage II'!$C$9</f>
        <v>7552.32</v>
      </c>
      <c r="J9" s="26">
        <f>(I9/'Initial Calculations'!$B$4)</f>
        <v>7151.8181818181811</v>
      </c>
    </row>
    <row r="10" spans="1:11" x14ac:dyDescent="0.3">
      <c r="A10" s="2">
        <v>18000</v>
      </c>
      <c r="B10" s="5">
        <f>A10/('Initial Calculations'!$B$26*('Initial Calculations'!$D$39-'Initial Calculations'!$B$18))</f>
        <v>0.62775584817348162</v>
      </c>
      <c r="C10" s="5">
        <v>0.74</v>
      </c>
      <c r="D10" s="26">
        <f>C10*'Stage II'!$C$50</f>
        <v>41.31716018034863</v>
      </c>
      <c r="E10" s="26">
        <f t="shared" si="0"/>
        <v>41.875500182785771</v>
      </c>
      <c r="F10" s="26">
        <f t="shared" si="1"/>
        <v>71.640935317908003</v>
      </c>
      <c r="G10" s="26">
        <f t="shared" si="2"/>
        <v>362.41227709865461</v>
      </c>
      <c r="H10" s="26">
        <f>D10/'Initial Calculations'!$B$4</f>
        <v>39.126098655633172</v>
      </c>
      <c r="I10" s="26">
        <f>A10-'Stage II'!$C$9</f>
        <v>10552.32</v>
      </c>
      <c r="J10" s="26">
        <f>(I10/'Initial Calculations'!$B$4)</f>
        <v>9992.7272727272721</v>
      </c>
    </row>
    <row r="11" spans="1:11" x14ac:dyDescent="0.3">
      <c r="A11" s="2">
        <v>22085</v>
      </c>
      <c r="B11" s="37">
        <f>A11/('Initial Calculations'!$B$26*('Initial Calculations'!$D$39-'Initial Calculations'!$B$18))</f>
        <v>0.77022155038396345</v>
      </c>
      <c r="C11" s="5">
        <v>0.72</v>
      </c>
      <c r="D11" s="26">
        <f>C11*'Stage II'!$C$50</f>
        <v>40.20048017547434</v>
      </c>
      <c r="E11" s="26">
        <f t="shared" si="0"/>
        <v>40.758820177911488</v>
      </c>
      <c r="F11" s="26">
        <f t="shared" si="1"/>
        <v>100.22370574440211</v>
      </c>
      <c r="G11" s="26">
        <f t="shared" si="2"/>
        <v>462.63598284305669</v>
      </c>
      <c r="H11" s="38">
        <f>D11/'Initial Calculations'!$B$4</f>
        <v>38.068636529805246</v>
      </c>
      <c r="I11" s="38">
        <f>A11-'Stage II'!$C$9</f>
        <v>14637.32</v>
      </c>
      <c r="J11" s="38">
        <f>(I11/'Initial Calculations'!$B$4)</f>
        <v>13861.098484848484</v>
      </c>
    </row>
  </sheetData>
  <mergeCells count="12">
    <mergeCell ref="J4:J5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4973-93D3-4145-9D0A-97C7AAD9256A}">
  <dimension ref="A1:P83"/>
  <sheetViews>
    <sheetView topLeftCell="A2" zoomScale="90" zoomScaleNormal="90" workbookViewId="0">
      <selection activeCell="G10" sqref="G10"/>
    </sheetView>
  </sheetViews>
  <sheetFormatPr baseColWidth="10" defaultRowHeight="14.4" x14ac:dyDescent="0.3"/>
  <cols>
    <col min="1" max="1" width="13.5546875" customWidth="1"/>
    <col min="7" max="7" width="18.44140625" customWidth="1"/>
    <col min="9" max="9" width="13.5546875" customWidth="1"/>
  </cols>
  <sheetData>
    <row r="1" spans="1:13" ht="23.4" x14ac:dyDescent="0.45">
      <c r="A1" s="53" t="s">
        <v>73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44"/>
    </row>
    <row r="2" spans="1:13" ht="23.4" x14ac:dyDescent="0.4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23.4" x14ac:dyDescent="0.4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3" x14ac:dyDescent="0.3">
      <c r="A5" s="42" t="s">
        <v>82</v>
      </c>
    </row>
    <row r="7" spans="1:13" x14ac:dyDescent="0.3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47"/>
    </row>
    <row r="8" spans="1:13" x14ac:dyDescent="0.3">
      <c r="A8" s="72" t="s">
        <v>94</v>
      </c>
      <c r="B8" s="56" t="s">
        <v>74</v>
      </c>
      <c r="C8" s="56" t="s">
        <v>75</v>
      </c>
      <c r="D8" s="73" t="s">
        <v>83</v>
      </c>
      <c r="E8" s="65" t="s">
        <v>85</v>
      </c>
      <c r="F8" s="69" t="s">
        <v>84</v>
      </c>
      <c r="G8" s="63" t="s">
        <v>86</v>
      </c>
      <c r="H8" s="56" t="s">
        <v>77</v>
      </c>
      <c r="I8" s="56"/>
      <c r="J8" s="64" t="s">
        <v>76</v>
      </c>
      <c r="K8" s="67"/>
      <c r="L8" s="67"/>
      <c r="M8" s="48"/>
    </row>
    <row r="9" spans="1:13" ht="34.200000000000003" customHeight="1" x14ac:dyDescent="0.3">
      <c r="A9" s="72"/>
      <c r="B9" s="56"/>
      <c r="C9" s="56"/>
      <c r="D9" s="74"/>
      <c r="E9" s="66"/>
      <c r="F9" s="66"/>
      <c r="G9" s="56"/>
      <c r="H9" s="56"/>
      <c r="I9" s="56"/>
      <c r="J9" s="56"/>
      <c r="K9" s="68"/>
      <c r="L9" s="68"/>
      <c r="M9" s="48"/>
    </row>
    <row r="10" spans="1:13" x14ac:dyDescent="0.3">
      <c r="A10" s="41">
        <v>22.1</v>
      </c>
      <c r="B10" s="27">
        <v>1</v>
      </c>
      <c r="C10" s="40">
        <f>(0.2749*LN(B10))+'Initial Calculations'!$B$47</f>
        <v>0.7753452189710478</v>
      </c>
      <c r="D10" s="7">
        <v>1</v>
      </c>
      <c r="E10" s="7">
        <f>('Initial Calculations'!$D$39-'Initial Calculations'!$B$18)*D10</f>
        <v>0.38499999999999995</v>
      </c>
      <c r="F10" s="5">
        <f>1/E10</f>
        <v>2.5974025974025978</v>
      </c>
      <c r="G10" s="45">
        <v>0.47</v>
      </c>
      <c r="H10" s="7">
        <v>0.3</v>
      </c>
      <c r="I10" s="7">
        <f>G10+(E10*H10)</f>
        <v>0.58549999999999991</v>
      </c>
      <c r="J10" s="7">
        <f>0.2749*(B10)^-1</f>
        <v>0.27489999999999998</v>
      </c>
      <c r="K10" s="7">
        <f>J10*((($G$10-'Initial Calculations'!$B$18)/('Initial Calculations'!$B$47*('Initial Calculations'!$D$39-'Initial Calculations'!$B$18))))</f>
        <v>0.24864667798281972</v>
      </c>
      <c r="L10" s="7">
        <f>H10*(1-K10)</f>
        <v>0.22540599660515409</v>
      </c>
      <c r="M10" s="49"/>
    </row>
    <row r="11" spans="1:13" x14ac:dyDescent="0.3">
      <c r="A11" s="27">
        <v>26.5</v>
      </c>
      <c r="B11" s="27">
        <v>1.2</v>
      </c>
      <c r="C11" s="5">
        <f>(0.2749*LN(B11))+'Initial Calculations'!$B$47</f>
        <v>0.82546541493370595</v>
      </c>
      <c r="D11" s="7">
        <v>1.194</v>
      </c>
      <c r="E11" s="7">
        <f>('Initial Calculations'!$D$39-'Initial Calculations'!$B$18)*D11</f>
        <v>0.45968999999999993</v>
      </c>
      <c r="F11" s="5">
        <f t="shared" ref="F11:F18" si="0">1/E11</f>
        <v>2.1753790598011706</v>
      </c>
      <c r="G11" s="7">
        <v>0.52100000000000002</v>
      </c>
      <c r="H11" s="7">
        <v>0.182</v>
      </c>
      <c r="I11" s="7">
        <f t="shared" ref="I11:I18" si="1">G11+(E11*H11)</f>
        <v>0.60466357999999998</v>
      </c>
      <c r="J11" s="7">
        <f t="shared" ref="J11:J18" si="2">0.2749*(B11)^-1</f>
        <v>0.22908333333333333</v>
      </c>
      <c r="K11" s="7">
        <f>J11*((($G$10-'Initial Calculations'!$B$18)/('Initial Calculations'!$B$47*('Initial Calculations'!$D$39-'Initial Calculations'!$B$18))))</f>
        <v>0.20720556498568313</v>
      </c>
      <c r="L11" s="7">
        <f t="shared" ref="L11:L18" si="3">H11*(1-K11)</f>
        <v>0.14428858717260568</v>
      </c>
      <c r="M11" s="49"/>
    </row>
    <row r="12" spans="1:13" x14ac:dyDescent="0.3">
      <c r="A12" s="27">
        <v>30.9</v>
      </c>
      <c r="B12" s="27">
        <v>1.4</v>
      </c>
      <c r="C12" s="5">
        <f>(0.2749*LN(B12))+'Initial Calculations'!$B$47</f>
        <v>0.86784143681821924</v>
      </c>
      <c r="D12" s="7">
        <v>1.377</v>
      </c>
      <c r="E12" s="7">
        <f>('Initial Calculations'!$D$39-'Initial Calculations'!$B$18)*D12</f>
        <v>0.53014499999999998</v>
      </c>
      <c r="F12" s="5">
        <f t="shared" si="0"/>
        <v>1.8862763960803177</v>
      </c>
      <c r="G12" s="7">
        <v>0.54</v>
      </c>
      <c r="H12" s="7">
        <v>0.14099999999999999</v>
      </c>
      <c r="I12" s="7">
        <f t="shared" si="1"/>
        <v>0.61475044499999998</v>
      </c>
      <c r="J12" s="7">
        <f t="shared" si="2"/>
        <v>0.19635714285714284</v>
      </c>
      <c r="K12" s="7">
        <f>J12*((($G$10-'Initial Calculations'!$B$18)/('Initial Calculations'!$B$47*('Initial Calculations'!$D$39-'Initial Calculations'!$B$18))))</f>
        <v>0.17760476998772839</v>
      </c>
      <c r="L12" s="7">
        <f t="shared" si="3"/>
        <v>0.11595772743173029</v>
      </c>
      <c r="M12" s="49"/>
    </row>
    <row r="13" spans="1:13" x14ac:dyDescent="0.3">
      <c r="A13" s="27">
        <v>35.4</v>
      </c>
      <c r="B13" s="27">
        <v>1.6</v>
      </c>
      <c r="C13" s="5">
        <f>(0.2749*LN(B13))+'Initial Calculations'!$B$47</f>
        <v>0.90454921665070054</v>
      </c>
      <c r="D13" s="7">
        <v>1.552</v>
      </c>
      <c r="E13" s="7">
        <f>('Initial Calculations'!$D$39-'Initial Calculations'!$B$18)*D13</f>
        <v>0.59751999999999994</v>
      </c>
      <c r="F13" s="5">
        <f t="shared" si="0"/>
        <v>1.6735841478109521</v>
      </c>
      <c r="G13" s="7">
        <v>0.55300000000000005</v>
      </c>
      <c r="H13" s="7">
        <v>0.11600000000000001</v>
      </c>
      <c r="I13" s="7">
        <f t="shared" si="1"/>
        <v>0.62231232000000003</v>
      </c>
      <c r="J13" s="7">
        <f t="shared" si="2"/>
        <v>0.17181249999999998</v>
      </c>
      <c r="K13" s="7">
        <f>J13*((($G$10-'Initial Calculations'!$B$18)/('Initial Calculations'!$B$47*('Initial Calculations'!$D$39-'Initial Calculations'!$B$18))))</f>
        <v>0.15540417373926232</v>
      </c>
      <c r="L13" s="7">
        <f t="shared" si="3"/>
        <v>9.7973115846245573E-2</v>
      </c>
      <c r="M13" s="49"/>
    </row>
    <row r="14" spans="1:13" x14ac:dyDescent="0.3">
      <c r="A14" s="27">
        <v>39.799999999999997</v>
      </c>
      <c r="B14" s="27">
        <v>1.8</v>
      </c>
      <c r="C14" s="5">
        <f>(0.2749*LN(B14))+'Initial Calculations'!$B$47</f>
        <v>0.93692777315264031</v>
      </c>
      <c r="D14" s="7">
        <v>1.72</v>
      </c>
      <c r="E14" s="7">
        <f>('Initial Calculations'!$D$39-'Initial Calculations'!$B$18)*D14</f>
        <v>0.6621999999999999</v>
      </c>
      <c r="F14" s="5">
        <f t="shared" si="0"/>
        <v>1.5101177891875568</v>
      </c>
      <c r="G14" s="7">
        <v>0.56399999999999995</v>
      </c>
      <c r="H14" s="7">
        <v>0.10100000000000001</v>
      </c>
      <c r="I14" s="7">
        <f t="shared" si="1"/>
        <v>0.63088219999999995</v>
      </c>
      <c r="J14" s="7">
        <f t="shared" si="2"/>
        <v>0.1527222222222222</v>
      </c>
      <c r="K14" s="7">
        <f>J14*((($G$10-'Initial Calculations'!$B$18)/('Initial Calculations'!$B$47*('Initial Calculations'!$D$39-'Initial Calculations'!$B$18))))</f>
        <v>0.13813704332378873</v>
      </c>
      <c r="L14" s="7">
        <f t="shared" si="3"/>
        <v>8.704815862429735E-2</v>
      </c>
      <c r="M14" s="49"/>
    </row>
    <row r="15" spans="1:13" x14ac:dyDescent="0.3">
      <c r="A15" s="27">
        <v>44.2</v>
      </c>
      <c r="B15" s="27">
        <v>2</v>
      </c>
      <c r="C15" s="5">
        <f>(0.2749*LN(B15))+'Initial Calculations'!$B$47</f>
        <v>0.96589137890697674</v>
      </c>
      <c r="D15" s="7">
        <v>1.8839999999999999</v>
      </c>
      <c r="E15" s="7">
        <f>('Initial Calculations'!$D$39-'Initial Calculations'!$B$18)*D15</f>
        <v>0.72533999999999987</v>
      </c>
      <c r="F15" s="5">
        <f t="shared" si="0"/>
        <v>1.3786637990459649</v>
      </c>
      <c r="G15" s="7">
        <v>0.57399999999999995</v>
      </c>
      <c r="H15" s="7">
        <v>8.6999999999999994E-2</v>
      </c>
      <c r="I15" s="7">
        <f t="shared" si="1"/>
        <v>0.63710457999999992</v>
      </c>
      <c r="J15" s="7">
        <f t="shared" si="2"/>
        <v>0.13744999999999999</v>
      </c>
      <c r="K15" s="7">
        <f>J15*((($G$10-'Initial Calculations'!$B$18)/('Initial Calculations'!$B$47*('Initial Calculations'!$D$39-'Initial Calculations'!$B$18))))</f>
        <v>0.12432333899140986</v>
      </c>
      <c r="L15" s="7">
        <f t="shared" si="3"/>
        <v>7.6183869507747332E-2</v>
      </c>
      <c r="M15" s="49"/>
    </row>
    <row r="16" spans="1:13" x14ac:dyDescent="0.3">
      <c r="A16" s="27">
        <v>48.6</v>
      </c>
      <c r="B16" s="27">
        <v>2.2000000000000002</v>
      </c>
      <c r="C16" s="5">
        <f>(0.2749*LN(B16))+'Initial Calculations'!$B$47</f>
        <v>0.99209214733518569</v>
      </c>
      <c r="D16" s="7">
        <v>2.0419999999999998</v>
      </c>
      <c r="E16" s="7">
        <f>('Initial Calculations'!$D$39-'Initial Calculations'!$B$18)*D16</f>
        <v>0.78616999999999981</v>
      </c>
      <c r="F16" s="5">
        <f t="shared" si="0"/>
        <v>1.2719895188063652</v>
      </c>
      <c r="G16" s="7">
        <v>0.58199999999999996</v>
      </c>
      <c r="H16" s="7">
        <v>7.5999999999999998E-2</v>
      </c>
      <c r="I16" s="7">
        <f t="shared" si="1"/>
        <v>0.64174891999999994</v>
      </c>
      <c r="J16" s="7">
        <f t="shared" si="2"/>
        <v>0.12495454545454544</v>
      </c>
      <c r="K16" s="7">
        <f>J16*((($G$10-'Initial Calculations'!$B$18)/('Initial Calculations'!$B$47*('Initial Calculations'!$D$39-'Initial Calculations'!$B$18))))</f>
        <v>0.11302121726491807</v>
      </c>
      <c r="L16" s="7">
        <f t="shared" si="3"/>
        <v>6.7410387487866222E-2</v>
      </c>
      <c r="M16" s="49"/>
    </row>
    <row r="17" spans="1:13" x14ac:dyDescent="0.3">
      <c r="A17" s="27">
        <v>53</v>
      </c>
      <c r="B17" s="27">
        <v>2.4</v>
      </c>
      <c r="C17" s="5">
        <f>(0.2749*LN(B17))+'Initial Calculations'!$B$47</f>
        <v>1.0160115748696348</v>
      </c>
      <c r="D17" s="7">
        <v>2.1970000000000001</v>
      </c>
      <c r="E17" s="7">
        <f>('Initial Calculations'!$D$39-'Initial Calculations'!$B$18)*D17</f>
        <v>0.84584499999999996</v>
      </c>
      <c r="F17" s="5">
        <f t="shared" si="0"/>
        <v>1.1822497029597623</v>
      </c>
      <c r="G17" s="7">
        <v>0.58899999999999997</v>
      </c>
      <c r="H17" s="7">
        <v>6.7000000000000004E-2</v>
      </c>
      <c r="I17" s="7">
        <f t="shared" si="1"/>
        <v>0.64567161499999992</v>
      </c>
      <c r="J17" s="7">
        <f t="shared" si="2"/>
        <v>0.11454166666666667</v>
      </c>
      <c r="K17" s="7">
        <f>J17*((($G$10-'Initial Calculations'!$B$18)/('Initial Calculations'!$B$47*('Initial Calculations'!$D$39-'Initial Calculations'!$B$18))))</f>
        <v>0.10360278249284156</v>
      </c>
      <c r="L17" s="7">
        <f t="shared" si="3"/>
        <v>6.0058613572979619E-2</v>
      </c>
      <c r="M17" s="49"/>
    </row>
    <row r="18" spans="1:13" x14ac:dyDescent="0.3">
      <c r="A18" s="27">
        <v>61.9</v>
      </c>
      <c r="B18" s="27">
        <v>2.8</v>
      </c>
      <c r="C18" s="5">
        <f>(0.2749*LN(B18))+'Initial Calculations'!$B$47</f>
        <v>1.0583875967541481</v>
      </c>
      <c r="D18" s="39">
        <f>E22</f>
        <v>2.5090000000000003</v>
      </c>
      <c r="E18" s="7">
        <f>('Initial Calculations'!$D$39-'Initial Calculations'!$B$18)*D18</f>
        <v>0.96596499999999996</v>
      </c>
      <c r="F18" s="5">
        <f t="shared" si="0"/>
        <v>1.0352341958559577</v>
      </c>
      <c r="G18" s="7">
        <v>0.59499999999999997</v>
      </c>
      <c r="H18" s="7">
        <v>5.5E-2</v>
      </c>
      <c r="I18" s="7">
        <f t="shared" si="1"/>
        <v>0.64812807500000003</v>
      </c>
      <c r="J18" s="7">
        <f t="shared" si="2"/>
        <v>9.8178571428571421E-2</v>
      </c>
      <c r="K18" s="7">
        <v>0</v>
      </c>
      <c r="L18" s="7">
        <f t="shared" si="3"/>
        <v>5.5E-2</v>
      </c>
      <c r="M18" s="49"/>
    </row>
    <row r="22" spans="1:13" x14ac:dyDescent="0.3">
      <c r="E22" s="46">
        <f>2.197+(0.4)*0.78</f>
        <v>2.5090000000000003</v>
      </c>
    </row>
    <row r="58" spans="1:14" x14ac:dyDescent="0.3">
      <c r="A58" s="35">
        <v>13</v>
      </c>
      <c r="B58" s="35">
        <v>14</v>
      </c>
      <c r="C58" s="35">
        <v>15</v>
      </c>
      <c r="D58" s="35">
        <v>16</v>
      </c>
      <c r="E58" s="35">
        <v>17</v>
      </c>
      <c r="F58" s="35">
        <v>18</v>
      </c>
      <c r="G58" s="35">
        <v>19</v>
      </c>
      <c r="H58" s="35">
        <v>20</v>
      </c>
      <c r="I58" s="35">
        <v>21</v>
      </c>
      <c r="J58" s="35">
        <v>22</v>
      </c>
      <c r="K58" s="35">
        <v>23</v>
      </c>
      <c r="L58" s="35">
        <v>24</v>
      </c>
      <c r="M58" s="35">
        <v>25</v>
      </c>
    </row>
    <row r="59" spans="1:14" ht="14.4" customHeight="1" x14ac:dyDescent="0.3">
      <c r="A59" s="56" t="s">
        <v>88</v>
      </c>
      <c r="B59" s="56" t="s">
        <v>87</v>
      </c>
      <c r="C59" s="56" t="s">
        <v>89</v>
      </c>
      <c r="D59" s="56" t="s">
        <v>36</v>
      </c>
      <c r="E59" s="71" t="s">
        <v>62</v>
      </c>
      <c r="F59" s="69" t="s">
        <v>63</v>
      </c>
      <c r="G59" s="63"/>
      <c r="H59" s="56"/>
      <c r="I59" s="70" t="s">
        <v>90</v>
      </c>
      <c r="J59" s="64"/>
      <c r="K59" s="65" t="s">
        <v>91</v>
      </c>
      <c r="L59" s="65" t="s">
        <v>92</v>
      </c>
      <c r="M59" s="65" t="s">
        <v>93</v>
      </c>
    </row>
    <row r="60" spans="1:14" ht="14.4" customHeight="1" x14ac:dyDescent="0.3">
      <c r="A60" s="56"/>
      <c r="B60" s="56"/>
      <c r="C60" s="56"/>
      <c r="D60" s="56"/>
      <c r="E60" s="66"/>
      <c r="F60" s="66"/>
      <c r="G60" s="56"/>
      <c r="H60" s="56"/>
      <c r="I60" s="56"/>
      <c r="J60" s="56"/>
      <c r="K60" s="66"/>
      <c r="L60" s="66"/>
      <c r="M60" s="66"/>
    </row>
    <row r="61" spans="1:14" x14ac:dyDescent="0.3">
      <c r="A61" s="5">
        <f>(1-K10-L10)/(L10+K10)</f>
        <v>1.1094702205174918</v>
      </c>
      <c r="B61" s="5">
        <f>A61*'Initial Calculations'!$B$4/'Initial Calculations'!$B$5</f>
        <v>1.1716005528664715</v>
      </c>
      <c r="C61" s="7">
        <f>('Initial Calculations'!$D$26*(C10*(I10-'Initial Calculations'!$B$18)-'Initial Calculations'!$B$17))/'Initial Calculations'!$B$4</f>
        <v>14.027562949851662</v>
      </c>
      <c r="D61" s="76">
        <v>0.55000000000000004</v>
      </c>
      <c r="E61" s="50">
        <v>0.72</v>
      </c>
      <c r="F61" s="26">
        <f>E61*'Stage II'!$C$50</f>
        <v>40.20048017547434</v>
      </c>
      <c r="G61" s="27" t="s">
        <v>27</v>
      </c>
      <c r="I61" s="7"/>
      <c r="J61" s="26">
        <f>'Stage III'!$G$11</f>
        <v>462.63598284305669</v>
      </c>
      <c r="K61" s="26">
        <f>(F61*(L10+K10))/('Initial Calculations'!$B$4)</f>
        <v>18.046538964871619</v>
      </c>
      <c r="L61" s="26">
        <f>(F61*(1-L10-K10))/'Initial Calculations'!$B$5</f>
        <v>21.143335028569915</v>
      </c>
      <c r="M61" s="26">
        <v>0</v>
      </c>
      <c r="N61" s="9"/>
    </row>
    <row r="62" spans="1:14" x14ac:dyDescent="0.3">
      <c r="A62" s="5">
        <f t="shared" ref="A62:A69" si="4">(1-K11-L11)/(L11+K11)</f>
        <v>1.8449975450791245</v>
      </c>
      <c r="B62" s="5">
        <f>A62*'Initial Calculations'!$B$4/'Initial Calculations'!$B$5</f>
        <v>1.9483174076035557</v>
      </c>
      <c r="C62" s="7">
        <f>('Initial Calculations'!$D$26*(C11*(I11-'Initial Calculations'!$B$18)-'Initial Calculations'!$B$17))/'Initial Calculations'!$B$4</f>
        <v>16.505905987386747</v>
      </c>
      <c r="D62" s="76">
        <v>0.59</v>
      </c>
      <c r="E62" s="5">
        <v>0.73</v>
      </c>
      <c r="F62" s="26">
        <f>E62*'Stage II'!$C$50</f>
        <v>40.758820177911481</v>
      </c>
      <c r="G62" s="26">
        <f>(F62+F61)/2</f>
        <v>40.479650176692914</v>
      </c>
      <c r="H62" s="7">
        <f>A11-A10</f>
        <v>4.3999999999999986</v>
      </c>
      <c r="I62" s="26">
        <f>(H62/G62)*1000</f>
        <v>108.69659151682588</v>
      </c>
      <c r="J62" s="26">
        <f>J61+I62</f>
        <v>571.33257435988253</v>
      </c>
      <c r="K62" s="26">
        <f>(F62*(L11+K11))/('Initial Calculations'!$B$4)</f>
        <v>13.56674899754465</v>
      </c>
      <c r="L62" s="26">
        <f>(F62*(1-L11-K11))/'Initial Calculations'!$B$5</f>
        <v>26.432333236504334</v>
      </c>
      <c r="M62" s="7">
        <f>(A11)-(C62*'Initial Calculations'!$B$4)-('Initial Calculations'!$D$26*'Initial Calculations'!$B$17)</f>
        <v>1.6220832773195948</v>
      </c>
    </row>
    <row r="63" spans="1:14" x14ac:dyDescent="0.3">
      <c r="A63" s="5">
        <f t="shared" si="4"/>
        <v>2.4064296658818227</v>
      </c>
      <c r="B63" s="5">
        <f>A63*'Initial Calculations'!$B$4/'Initial Calculations'!$B$5</f>
        <v>2.5411897271712047</v>
      </c>
      <c r="C63" s="7">
        <f>('Initial Calculations'!$D$26*(C12*(I12-'Initial Calculations'!$B$18)-'Initial Calculations'!$B$17))/'Initial Calculations'!$B$4</f>
        <v>18.332691566616322</v>
      </c>
      <c r="D63" s="76">
        <v>0.62</v>
      </c>
      <c r="E63" s="5">
        <v>0.74</v>
      </c>
      <c r="F63" s="26">
        <f>E63*'Stage II'!$C$50</f>
        <v>41.31716018034863</v>
      </c>
      <c r="G63" s="26">
        <f t="shared" ref="G63:G69" si="5">(F63+F62)/2</f>
        <v>41.037990179130055</v>
      </c>
      <c r="H63" s="7">
        <f t="shared" ref="H63:H69" si="6">A12-A11</f>
        <v>4.3999999999999986</v>
      </c>
      <c r="I63" s="26">
        <f t="shared" ref="I63:I69" si="7">(H63/G63)*1000</f>
        <v>107.21772632612078</v>
      </c>
      <c r="J63" s="26">
        <f t="shared" ref="J63:J69" si="8">J62+I63</f>
        <v>678.55030068600331</v>
      </c>
      <c r="K63" s="26">
        <f>(F63*(L12+K12))/('Initial Calculations'!$B$4)</f>
        <v>11.485955235627799</v>
      </c>
      <c r="L63" s="26">
        <f>(F63*(1-L12-K12))/'Initial Calculations'!$B$5</f>
        <v>29.187991451525676</v>
      </c>
      <c r="M63" s="7">
        <f>(A12)-(C63*'Initial Calculations'!$B$4)-('Initial Calculations'!$D$26*'Initial Calculations'!$B$17)</f>
        <v>4.0929977056531595</v>
      </c>
      <c r="N63" s="9"/>
    </row>
    <row r="64" spans="1:14" x14ac:dyDescent="0.3">
      <c r="A64" s="5">
        <f t="shared" si="4"/>
        <v>2.9466836259708566</v>
      </c>
      <c r="B64" s="5">
        <f>A64*'Initial Calculations'!$B$4/'Initial Calculations'!$B$5</f>
        <v>3.1116979090252248</v>
      </c>
      <c r="C64" s="7">
        <f>('Initial Calculations'!$D$26*(C13*(I13-'Initial Calculations'!$B$18)-'Initial Calculations'!$B$17))/'Initial Calculations'!$B$4</f>
        <v>19.88885158699944</v>
      </c>
      <c r="D64" s="76">
        <v>0.64</v>
      </c>
      <c r="E64" s="5">
        <v>0.74</v>
      </c>
      <c r="F64" s="26">
        <f>E64*'Stage II'!$C$50</f>
        <v>41.31716018034863</v>
      </c>
      <c r="G64" s="26">
        <f t="shared" si="5"/>
        <v>41.31716018034863</v>
      </c>
      <c r="H64" s="7">
        <f t="shared" si="6"/>
        <v>4.5</v>
      </c>
      <c r="I64" s="26">
        <f t="shared" si="7"/>
        <v>108.91358409817094</v>
      </c>
      <c r="J64" s="26">
        <f t="shared" si="8"/>
        <v>787.4638847841743</v>
      </c>
      <c r="K64" s="26">
        <f>(F64*(L13+K13))/('Initial Calculations'!$B$4)</f>
        <v>9.9136648294195169</v>
      </c>
      <c r="L64" s="26">
        <f>(F64*(1-L13-K13))/'Initial Calculations'!$B$5</f>
        <v>30.84833012048162</v>
      </c>
      <c r="M64" s="7">
        <f>(A13)-(C64*'Initial Calculations'!$B$4)-('Initial Calculations'!$D$26*'Initial Calculations'!$B$17)</f>
        <v>6.9496927241285906</v>
      </c>
    </row>
    <row r="65" spans="1:16" x14ac:dyDescent="0.3">
      <c r="A65" s="5">
        <f t="shared" si="4"/>
        <v>3.4407891431095847</v>
      </c>
      <c r="B65" s="5">
        <f>A65*'Initial Calculations'!$B$4/'Initial Calculations'!$B$5</f>
        <v>3.6334733351237216</v>
      </c>
      <c r="C65" s="7">
        <f>('Initial Calculations'!$D$26*(C14*(I14-'Initial Calculations'!$B$18)-'Initial Calculations'!$B$17))/'Initial Calculations'!$B$4</f>
        <v>21.419520636942757</v>
      </c>
      <c r="D65" s="76">
        <v>0.67</v>
      </c>
      <c r="E65" s="5">
        <v>0.74</v>
      </c>
      <c r="F65" s="26">
        <f>E65*'Stage II'!$C$50</f>
        <v>41.31716018034863</v>
      </c>
      <c r="G65" s="26">
        <f t="shared" si="5"/>
        <v>41.31716018034863</v>
      </c>
      <c r="H65" s="7">
        <f t="shared" si="6"/>
        <v>4.3999999999999986</v>
      </c>
      <c r="I65" s="26">
        <f t="shared" si="7"/>
        <v>106.49328222932267</v>
      </c>
      <c r="J65" s="26">
        <f t="shared" si="8"/>
        <v>893.95716701349693</v>
      </c>
      <c r="K65" s="26">
        <f>(F65*(L14+K14))/('Initial Calculations'!$B$4)</f>
        <v>8.8106184272094961</v>
      </c>
      <c r="L65" s="26">
        <f>(F65*(1-L14-K14))/'Initial Calculations'!$B$5</f>
        <v>32.013147121215404</v>
      </c>
      <c r="M65" s="7">
        <f>(A14)-(C65*'Initial Calculations'!$B$4)-('Initial Calculations'!$D$26*'Initial Calculations'!$B$17)</f>
        <v>9.7333062073884467</v>
      </c>
    </row>
    <row r="66" spans="1:16" x14ac:dyDescent="0.3">
      <c r="A66" s="5">
        <f t="shared" si="4"/>
        <v>3.9873518637321372</v>
      </c>
      <c r="B66" s="5">
        <f>A66*'Initial Calculations'!$B$4/'Initial Calculations'!$B$5</f>
        <v>4.2106435681011369</v>
      </c>
      <c r="C66" s="7">
        <f>('Initial Calculations'!$D$26*(C15*(I15-'Initial Calculations'!$B$18)-'Initial Calculations'!$B$17))/'Initial Calculations'!$B$4</f>
        <v>22.7235731091852</v>
      </c>
      <c r="D66" s="76">
        <v>0.69</v>
      </c>
      <c r="E66" s="5">
        <v>0.74</v>
      </c>
      <c r="F66" s="26">
        <f>E66*'Stage II'!$C$50</f>
        <v>41.31716018034863</v>
      </c>
      <c r="G66" s="26">
        <f t="shared" si="5"/>
        <v>41.31716018034863</v>
      </c>
      <c r="H66" s="7">
        <f t="shared" si="6"/>
        <v>4.4000000000000057</v>
      </c>
      <c r="I66" s="26">
        <f t="shared" si="7"/>
        <v>106.49328222932283</v>
      </c>
      <c r="J66" s="26">
        <f t="shared" si="8"/>
        <v>1000.4504492428198</v>
      </c>
      <c r="K66" s="26">
        <f>(F66*(L15+K15))/('Initial Calculations'!$B$4)</f>
        <v>7.8450648209036355</v>
      </c>
      <c r="L66" s="26">
        <f>(F66*(1-L15-K15))/'Initial Calculations'!$B$5</f>
        <v>33.032771729474391</v>
      </c>
      <c r="M66" s="7">
        <f>(A15)-(C66*'Initial Calculations'!$B$4)-('Initial Calculations'!$D$26*'Initial Calculations'!$B$17)</f>
        <v>12.75622679670043</v>
      </c>
    </row>
    <row r="67" spans="1:16" x14ac:dyDescent="0.3">
      <c r="A67" s="5">
        <f t="shared" si="4"/>
        <v>4.5422662862758179</v>
      </c>
      <c r="B67" s="5">
        <f>A67*'Initial Calculations'!$B$4/'Initial Calculations'!$B$5</f>
        <v>4.7966331983072639</v>
      </c>
      <c r="C67" s="7">
        <f>('Initial Calculations'!$D$26*(C16*(I16-'Initial Calculations'!$B$18)-'Initial Calculations'!$B$17))/'Initial Calculations'!$B$4</f>
        <v>23.856247394790447</v>
      </c>
      <c r="D67" s="76">
        <v>0.7</v>
      </c>
      <c r="E67" s="5">
        <v>0.72</v>
      </c>
      <c r="F67" s="26">
        <f>E67*'Stage II'!$C$50</f>
        <v>40.20048017547434</v>
      </c>
      <c r="G67" s="26">
        <f t="shared" si="5"/>
        <v>40.758820177911488</v>
      </c>
      <c r="H67" s="7">
        <f t="shared" si="6"/>
        <v>4.3999999999999986</v>
      </c>
      <c r="I67" s="26">
        <f t="shared" si="7"/>
        <v>107.95209431465584</v>
      </c>
      <c r="J67" s="26">
        <f t="shared" si="8"/>
        <v>1108.4025435574756</v>
      </c>
      <c r="K67" s="26">
        <f>(F67*(L16+K16))/('Initial Calculations'!$B$4)</f>
        <v>6.8687851798232256</v>
      </c>
      <c r="L67" s="26">
        <f>(F67*(1-L16-K16))/'Initial Calculations'!$B$5</f>
        <v>32.94704302558101</v>
      </c>
      <c r="M67" s="7">
        <f>(A16)-(C67*'Initial Calculations'!$B$4)-('Initial Calculations'!$D$26*'Initial Calculations'!$B$17)</f>
        <v>15.960122751101286</v>
      </c>
    </row>
    <row r="68" spans="1:16" x14ac:dyDescent="0.3">
      <c r="A68" s="5">
        <f t="shared" si="4"/>
        <v>5.1101764010238604</v>
      </c>
      <c r="B68" s="5">
        <f>A68*'Initial Calculations'!$B$4/'Initial Calculations'!$B$5</f>
        <v>5.3963462794811967</v>
      </c>
      <c r="C68" s="7">
        <f>('Initial Calculations'!$D$26*(C17*(I17-'Initial Calculations'!$B$18)-'Initial Calculations'!$B$17))/'Initial Calculations'!$B$4</f>
        <v>24.882552143131665</v>
      </c>
      <c r="D68" s="76">
        <v>0.71</v>
      </c>
      <c r="E68" s="5">
        <v>0.72</v>
      </c>
      <c r="F68" s="26">
        <f>E68*'Stage II'!$C$50</f>
        <v>40.20048017547434</v>
      </c>
      <c r="G68" s="26">
        <f t="shared" si="5"/>
        <v>40.20048017547434</v>
      </c>
      <c r="H68" s="7">
        <f t="shared" si="6"/>
        <v>4.3999999999999986</v>
      </c>
      <c r="I68" s="26">
        <f t="shared" si="7"/>
        <v>109.45142895791496</v>
      </c>
      <c r="J68" s="26">
        <f t="shared" si="8"/>
        <v>1217.8539725153905</v>
      </c>
      <c r="K68" s="26">
        <f>(F68*(L17+K17))/('Initial Calculations'!$B$4)</f>
        <v>6.2303662007902449</v>
      </c>
      <c r="L68" s="26">
        <f>(F68*(1-L17-K17))/'Initial Calculations'!$B$5</f>
        <v>33.621213467439837</v>
      </c>
      <c r="M68" s="7">
        <f>(A17)-(C68*'Initial Calculations'!$B$4)-('Initial Calculations'!$D$26*'Initial Calculations'!$B$17)</f>
        <v>19.276344936852958</v>
      </c>
    </row>
    <row r="69" spans="1:16" x14ac:dyDescent="0.3">
      <c r="A69" s="5">
        <f t="shared" si="4"/>
        <v>17.18181818181818</v>
      </c>
      <c r="B69" s="5">
        <f>A69*'Initial Calculations'!$B$4/'Initial Calculations'!$B$5</f>
        <v>18.143999999999998</v>
      </c>
      <c r="C69" s="7">
        <f>('Initial Calculations'!$D$26*(C18*(I18-'Initial Calculations'!$B$18)-'Initial Calculations'!$B$17))/'Initial Calculations'!$B$4</f>
        <v>26.397878338044283</v>
      </c>
      <c r="D69" s="76">
        <v>0.72</v>
      </c>
      <c r="E69" s="5">
        <v>0.72</v>
      </c>
      <c r="F69" s="26">
        <f>E69*'Stage II'!$C$50</f>
        <v>40.20048017547434</v>
      </c>
      <c r="G69" s="26">
        <f t="shared" si="5"/>
        <v>40.20048017547434</v>
      </c>
      <c r="H69" s="7">
        <f t="shared" si="6"/>
        <v>8.8999999999999986</v>
      </c>
      <c r="I69" s="26">
        <f t="shared" si="7"/>
        <v>221.39039039214623</v>
      </c>
      <c r="J69" s="26">
        <f t="shared" si="8"/>
        <v>1439.2443629075367</v>
      </c>
      <c r="K69" s="26">
        <f>(F69*(L18+K18))/('Initial Calculations'!$B$4)</f>
        <v>2.0937750091392884</v>
      </c>
      <c r="L69" s="26">
        <f>(F69*(1-L18-K18))/'Initial Calculations'!$B$5</f>
        <v>37.989453765823249</v>
      </c>
      <c r="M69" s="7">
        <f>(A18)-(C69*'Initial Calculations'!$B$4)-('Initial Calculations'!$D$26*'Initial Calculations'!$B$17)</f>
        <v>26.57616047502524</v>
      </c>
    </row>
    <row r="73" spans="1:16" x14ac:dyDescent="0.3">
      <c r="I73" s="52"/>
      <c r="P73" s="52"/>
    </row>
    <row r="74" spans="1:16" x14ac:dyDescent="0.3">
      <c r="P74" s="52"/>
    </row>
    <row r="75" spans="1:16" x14ac:dyDescent="0.3">
      <c r="I75" s="52"/>
      <c r="P75" s="52"/>
    </row>
    <row r="76" spans="1:16" x14ac:dyDescent="0.3">
      <c r="I76" s="52"/>
      <c r="P76" s="52"/>
    </row>
    <row r="77" spans="1:16" x14ac:dyDescent="0.3">
      <c r="I77" s="52"/>
      <c r="P77" s="52"/>
    </row>
    <row r="78" spans="1:16" x14ac:dyDescent="0.3">
      <c r="I78" s="52"/>
      <c r="P78" s="52"/>
    </row>
    <row r="79" spans="1:16" x14ac:dyDescent="0.3">
      <c r="I79" s="52"/>
      <c r="P79" s="52"/>
    </row>
    <row r="80" spans="1:16" x14ac:dyDescent="0.3">
      <c r="I80" s="52"/>
      <c r="P80" s="52"/>
    </row>
    <row r="81" spans="9:16" x14ac:dyDescent="0.3">
      <c r="I81" s="52"/>
      <c r="P81" s="52"/>
    </row>
    <row r="82" spans="9:16" x14ac:dyDescent="0.3">
      <c r="I82" s="52"/>
      <c r="P82" s="52"/>
    </row>
    <row r="83" spans="9:16" x14ac:dyDescent="0.3">
      <c r="P83" s="52"/>
    </row>
  </sheetData>
  <mergeCells count="26">
    <mergeCell ref="A1:L1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59:A60"/>
    <mergeCell ref="B59:B60"/>
    <mergeCell ref="C59:C60"/>
    <mergeCell ref="D59:D60"/>
    <mergeCell ref="E59:E60"/>
    <mergeCell ref="K59:K60"/>
    <mergeCell ref="M59:M60"/>
    <mergeCell ref="L59:L60"/>
    <mergeCell ref="L8:L9"/>
    <mergeCell ref="F59:F60"/>
    <mergeCell ref="G59:G60"/>
    <mergeCell ref="H59:H60"/>
    <mergeCell ref="I59:I60"/>
    <mergeCell ref="J59:J60"/>
    <mergeCell ref="J8:J9"/>
    <mergeCell ref="K8:K9"/>
  </mergeCells>
  <pageMargins left="0.7" right="0.7" top="0.75" bottom="0.75" header="0.3" footer="0.3"/>
  <pageSetup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BCB1C-205D-435E-A4C4-ACF69E3C8924}">
  <dimension ref="A1:G24"/>
  <sheetViews>
    <sheetView zoomScale="90" zoomScaleNormal="90" workbookViewId="0">
      <selection activeCell="M17" sqref="M17"/>
    </sheetView>
  </sheetViews>
  <sheetFormatPr baseColWidth="10" defaultRowHeight="14.4" x14ac:dyDescent="0.3"/>
  <cols>
    <col min="1" max="1" width="12.88671875" customWidth="1"/>
  </cols>
  <sheetData>
    <row r="1" spans="1:7" ht="18" x14ac:dyDescent="0.35">
      <c r="A1" s="54" t="s">
        <v>95</v>
      </c>
      <c r="B1" s="54"/>
      <c r="C1" s="54"/>
      <c r="D1" s="54"/>
      <c r="E1" s="54"/>
      <c r="F1" s="54"/>
      <c r="G1" s="54"/>
    </row>
    <row r="2" spans="1:7" ht="18" x14ac:dyDescent="0.35">
      <c r="A2" s="75" t="s">
        <v>96</v>
      </c>
      <c r="B2" s="75"/>
      <c r="C2" s="75"/>
      <c r="D2" s="75"/>
      <c r="E2" s="75"/>
      <c r="F2" s="75"/>
      <c r="G2" s="75"/>
    </row>
    <row r="3" spans="1:7" ht="20.399999999999999" x14ac:dyDescent="0.45">
      <c r="A3" s="51" t="s">
        <v>97</v>
      </c>
      <c r="B3" s="51" t="s">
        <v>98</v>
      </c>
      <c r="C3" s="51" t="s">
        <v>99</v>
      </c>
      <c r="D3" s="51" t="s">
        <v>100</v>
      </c>
      <c r="E3" s="51" t="s">
        <v>101</v>
      </c>
      <c r="F3" s="51" t="s">
        <v>102</v>
      </c>
      <c r="G3" s="51" t="s">
        <v>103</v>
      </c>
    </row>
    <row r="4" spans="1:7" x14ac:dyDescent="0.3">
      <c r="A4" s="26">
        <v>6.6518410976563986</v>
      </c>
      <c r="B4" s="2">
        <v>500</v>
      </c>
      <c r="C4" s="2">
        <v>0</v>
      </c>
      <c r="D4" s="2">
        <v>0</v>
      </c>
      <c r="E4" s="26">
        <v>75.167159386318147</v>
      </c>
      <c r="F4" s="2">
        <v>1</v>
      </c>
      <c r="G4" s="2">
        <v>0</v>
      </c>
    </row>
    <row r="5" spans="1:7" x14ac:dyDescent="0.3">
      <c r="A5" s="26">
        <v>13.50152583521287</v>
      </c>
      <c r="B5" s="2">
        <v>1000</v>
      </c>
      <c r="C5" s="2">
        <v>0</v>
      </c>
      <c r="D5" s="2">
        <v>0</v>
      </c>
      <c r="E5" s="26">
        <v>70.824961173194751</v>
      </c>
      <c r="F5" s="2">
        <v>1</v>
      </c>
      <c r="G5" s="2">
        <v>0</v>
      </c>
    </row>
    <row r="6" spans="1:7" x14ac:dyDescent="0.3">
      <c r="A6" s="26">
        <v>28.017210030456841</v>
      </c>
      <c r="B6" s="2">
        <v>2000</v>
      </c>
      <c r="C6" s="2">
        <v>0</v>
      </c>
      <c r="D6" s="2">
        <v>0</v>
      </c>
      <c r="E6" s="26">
        <v>66.95703884133404</v>
      </c>
      <c r="F6" s="2">
        <v>1</v>
      </c>
      <c r="G6" s="2">
        <v>0</v>
      </c>
    </row>
    <row r="7" spans="1:7" x14ac:dyDescent="0.3">
      <c r="A7" s="26">
        <v>43.186966590606666</v>
      </c>
      <c r="B7" s="2">
        <v>3000</v>
      </c>
      <c r="C7" s="2">
        <v>0</v>
      </c>
      <c r="D7" s="2">
        <v>0</v>
      </c>
      <c r="E7" s="26">
        <v>64.884233104578257</v>
      </c>
      <c r="F7" s="2">
        <v>1</v>
      </c>
      <c r="G7" s="2">
        <v>0</v>
      </c>
    </row>
    <row r="8" spans="1:7" x14ac:dyDescent="0.3">
      <c r="A8" s="26">
        <v>58.766451940578413</v>
      </c>
      <c r="B8" s="2">
        <v>4000</v>
      </c>
      <c r="C8" s="2">
        <v>0</v>
      </c>
      <c r="D8" s="2">
        <v>0</v>
      </c>
      <c r="E8" s="26">
        <v>63.489712187756226</v>
      </c>
      <c r="F8" s="2">
        <v>1</v>
      </c>
      <c r="G8" s="2">
        <v>0</v>
      </c>
    </row>
    <row r="9" spans="1:7" x14ac:dyDescent="0.3">
      <c r="A9" s="26">
        <v>74.647237642451657</v>
      </c>
      <c r="B9" s="2">
        <v>5000</v>
      </c>
      <c r="C9" s="2">
        <v>0</v>
      </c>
      <c r="D9" s="2">
        <v>0</v>
      </c>
      <c r="E9" s="26">
        <v>62.448641086797878</v>
      </c>
      <c r="F9" s="2">
        <v>1</v>
      </c>
      <c r="G9" s="2">
        <v>0</v>
      </c>
    </row>
    <row r="10" spans="1:7" x14ac:dyDescent="0.3">
      <c r="A10" s="26">
        <v>88.271733502912682</v>
      </c>
      <c r="B10" s="2">
        <v>5846</v>
      </c>
      <c r="C10" s="2">
        <v>0</v>
      </c>
      <c r="D10" s="2">
        <v>0</v>
      </c>
      <c r="E10" s="26">
        <v>61.739440243262194</v>
      </c>
      <c r="F10" s="2">
        <v>1</v>
      </c>
      <c r="G10" s="2">
        <v>0</v>
      </c>
    </row>
    <row r="11" spans="1:7" x14ac:dyDescent="0.3">
      <c r="A11" s="26">
        <v>118.05891309077046</v>
      </c>
      <c r="B11" s="2">
        <v>7450</v>
      </c>
      <c r="C11" s="2">
        <v>0</v>
      </c>
      <c r="D11" s="2">
        <v>0</v>
      </c>
      <c r="E11" s="26">
        <v>45.783880199845775</v>
      </c>
      <c r="F11" s="26">
        <v>43.3559471589449</v>
      </c>
      <c r="G11" s="2">
        <v>0</v>
      </c>
    </row>
    <row r="12" spans="1:7" x14ac:dyDescent="0.3">
      <c r="A12" s="26">
        <v>152.54445648914233</v>
      </c>
      <c r="B12" s="2">
        <v>9000</v>
      </c>
      <c r="C12" s="26">
        <v>1469.9999999999995</v>
      </c>
      <c r="D12" s="2">
        <v>0</v>
      </c>
      <c r="E12" s="26">
        <v>44.108860192534351</v>
      </c>
      <c r="F12" s="26">
        <v>41.769753970202984</v>
      </c>
      <c r="G12" s="2">
        <v>0</v>
      </c>
    </row>
    <row r="13" spans="1:7" x14ac:dyDescent="0.3">
      <c r="A13" s="26">
        <v>220.99120997758945</v>
      </c>
      <c r="B13" s="2">
        <v>12000</v>
      </c>
      <c r="C13" s="26">
        <v>4310.9090909090901</v>
      </c>
      <c r="D13" s="2">
        <v>0</v>
      </c>
      <c r="E13" s="26">
        <v>43.550520190097203</v>
      </c>
      <c r="F13" s="26">
        <v>41.241022907289015</v>
      </c>
      <c r="G13" s="2">
        <v>0</v>
      </c>
    </row>
    <row r="14" spans="1:7" x14ac:dyDescent="0.3">
      <c r="A14" s="26">
        <v>290.77134178074658</v>
      </c>
      <c r="B14" s="2">
        <v>15000</v>
      </c>
      <c r="C14" s="26">
        <v>7151.8181818181811</v>
      </c>
      <c r="D14" s="2">
        <v>0</v>
      </c>
      <c r="E14" s="26">
        <v>42.43384018522292</v>
      </c>
      <c r="F14" s="26">
        <v>40.183560781461097</v>
      </c>
      <c r="G14" s="2">
        <v>0</v>
      </c>
    </row>
    <row r="15" spans="1:7" x14ac:dyDescent="0.3">
      <c r="A15" s="26">
        <v>362.41227709865461</v>
      </c>
      <c r="B15" s="2">
        <v>18000</v>
      </c>
      <c r="C15" s="26">
        <v>9992.7272727272721</v>
      </c>
      <c r="D15" s="2">
        <v>0</v>
      </c>
      <c r="E15" s="26">
        <v>41.31716018034863</v>
      </c>
      <c r="F15" s="26">
        <v>39.126098655633172</v>
      </c>
      <c r="G15" s="2">
        <v>0</v>
      </c>
    </row>
    <row r="16" spans="1:7" x14ac:dyDescent="0.3">
      <c r="A16" s="26">
        <v>462.63598284305669</v>
      </c>
      <c r="B16" s="2">
        <v>22085</v>
      </c>
      <c r="C16" s="26">
        <v>13861.098484848484</v>
      </c>
      <c r="D16" s="2">
        <v>0</v>
      </c>
      <c r="E16" s="26">
        <v>40.20048017547434</v>
      </c>
      <c r="F16" s="26">
        <v>38.068636529805246</v>
      </c>
      <c r="G16" s="2">
        <v>0</v>
      </c>
    </row>
    <row r="17" spans="1:7" x14ac:dyDescent="0.3">
      <c r="A17" s="26">
        <v>571.33257435988253</v>
      </c>
      <c r="B17" s="2">
        <f>26.5*1000</f>
        <v>26500</v>
      </c>
      <c r="C17" s="26">
        <v>16505.905987386748</v>
      </c>
      <c r="D17" s="26">
        <v>1622.0832773195948</v>
      </c>
      <c r="E17" s="26">
        <v>40.758820177911481</v>
      </c>
      <c r="F17" s="26">
        <v>13.56674899754465</v>
      </c>
      <c r="G17" s="26">
        <v>26.432333236504334</v>
      </c>
    </row>
    <row r="18" spans="1:7" x14ac:dyDescent="0.3">
      <c r="A18" s="26">
        <v>678.55030068600331</v>
      </c>
      <c r="B18" s="2">
        <v>30900</v>
      </c>
      <c r="C18" s="26">
        <v>18332.691566616322</v>
      </c>
      <c r="D18" s="26">
        <v>4092.9977056531593</v>
      </c>
      <c r="E18" s="26">
        <v>41.31716018034863</v>
      </c>
      <c r="F18" s="26">
        <v>11.485955235627799</v>
      </c>
      <c r="G18" s="26">
        <v>29.187991451525676</v>
      </c>
    </row>
    <row r="19" spans="1:7" x14ac:dyDescent="0.3">
      <c r="A19" s="26">
        <v>787.4638847841743</v>
      </c>
      <c r="B19" s="2">
        <v>35400</v>
      </c>
      <c r="C19" s="26">
        <v>19888.851586999441</v>
      </c>
      <c r="D19" s="26">
        <v>6949.6927241285903</v>
      </c>
      <c r="E19" s="26">
        <v>41.31716018034863</v>
      </c>
      <c r="F19" s="26">
        <v>9.9136648294195169</v>
      </c>
      <c r="G19" s="26">
        <v>30.84833012048162</v>
      </c>
    </row>
    <row r="20" spans="1:7" x14ac:dyDescent="0.3">
      <c r="A20" s="26">
        <v>893.95716701349693</v>
      </c>
      <c r="B20" s="2">
        <v>39800</v>
      </c>
      <c r="C20" s="26">
        <v>21419.520636942758</v>
      </c>
      <c r="D20" s="26">
        <v>9733.3062073884466</v>
      </c>
      <c r="E20" s="26">
        <v>41.31716018034863</v>
      </c>
      <c r="F20" s="26">
        <v>8.8106184272094961</v>
      </c>
      <c r="G20" s="26">
        <v>32.013147121215404</v>
      </c>
    </row>
    <row r="21" spans="1:7" x14ac:dyDescent="0.3">
      <c r="A21" s="26">
        <v>1000.4504492428198</v>
      </c>
      <c r="B21" s="2">
        <v>44200</v>
      </c>
      <c r="C21" s="26">
        <v>22723.573109185199</v>
      </c>
      <c r="D21" s="26">
        <v>12756.22679670043</v>
      </c>
      <c r="E21" s="26">
        <v>41.31716018034863</v>
      </c>
      <c r="F21" s="26">
        <v>7.8450648209036355</v>
      </c>
      <c r="G21" s="26">
        <v>33.032771729474391</v>
      </c>
    </row>
    <row r="22" spans="1:7" x14ac:dyDescent="0.3">
      <c r="A22" s="26">
        <v>1108.4025435574756</v>
      </c>
      <c r="B22" s="2">
        <v>48600</v>
      </c>
      <c r="C22" s="26">
        <v>23856.247394790447</v>
      </c>
      <c r="D22" s="26">
        <v>15960.122751101286</v>
      </c>
      <c r="E22" s="26">
        <v>40.20048017547434</v>
      </c>
      <c r="F22" s="26">
        <v>6.8687851798232256</v>
      </c>
      <c r="G22" s="26">
        <v>32.94704302558101</v>
      </c>
    </row>
    <row r="23" spans="1:7" x14ac:dyDescent="0.3">
      <c r="A23" s="26">
        <v>1217.8539725153905</v>
      </c>
      <c r="B23" s="2">
        <v>53000</v>
      </c>
      <c r="C23" s="26">
        <v>24882.552143131667</v>
      </c>
      <c r="D23" s="26">
        <v>19276.344936852958</v>
      </c>
      <c r="E23" s="26">
        <v>40.20048017547434</v>
      </c>
      <c r="F23" s="26">
        <v>6.2303662007902449</v>
      </c>
      <c r="G23" s="26">
        <v>33.621213467439837</v>
      </c>
    </row>
    <row r="24" spans="1:7" x14ac:dyDescent="0.3">
      <c r="A24" s="26">
        <v>1439.2443629075367</v>
      </c>
      <c r="B24" s="2">
        <v>61900</v>
      </c>
      <c r="C24" s="26">
        <v>26397.878338044284</v>
      </c>
      <c r="D24" s="26">
        <v>26576.160475025241</v>
      </c>
      <c r="E24" s="26">
        <v>40.20048017547434</v>
      </c>
      <c r="F24" s="26">
        <v>2.0937750091392884</v>
      </c>
      <c r="G24" s="26">
        <v>37.989453765823249</v>
      </c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Initial Calculations</vt:lpstr>
      <vt:lpstr>Stage I</vt:lpstr>
      <vt:lpstr>Stage II</vt:lpstr>
      <vt:lpstr>Stage III</vt:lpstr>
      <vt:lpstr>Stage IV</vt:lpstr>
      <vt:lpstr>Cumulative Responses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Maturano</dc:creator>
  <cp:lastModifiedBy>Silvia Maturano</cp:lastModifiedBy>
  <dcterms:created xsi:type="dcterms:W3CDTF">2025-03-23T00:47:06Z</dcterms:created>
  <dcterms:modified xsi:type="dcterms:W3CDTF">2025-03-25T04:52:43Z</dcterms:modified>
</cp:coreProperties>
</file>