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69d22d62cfcdde8/CONICET/BALANCE/BALANCE ALFRE NUEVO/"/>
    </mc:Choice>
  </mc:AlternateContent>
  <xr:revisionPtr revIDLastSave="24" documentId="13_ncr:1_{041A8679-CC1B-4347-99A2-EF68346EEC10}" xr6:coauthVersionLast="47" xr6:coauthVersionMax="47" xr10:uidLastSave="{19CBCA81-F1B5-4E7D-8F85-204035F48F51}"/>
  <bookViews>
    <workbookView xWindow="-120" yWindow="-120" windowWidth="20730" windowHeight="11160" tabRatio="848" activeTab="2" xr2:uid="{00000000-000D-0000-FFFF-FFFF00000000}"/>
  </bookViews>
  <sheets>
    <sheet name="Lugar" sheetId="1" r:id="rId1"/>
    <sheet name="superficies" sheetId="2" r:id="rId2"/>
    <sheet name="Balance calefacción" sheetId="3" r:id="rId3"/>
    <sheet name="K comp" sheetId="4" r:id="rId4"/>
    <sheet name="mensual" sheetId="5" state="veryHidden" r:id="rId5"/>
    <sheet name="Balance enfriamiento" sheetId="6" r:id="rId6"/>
    <sheet name="Enf. convectivo nocturno" sheetId="11" r:id="rId7"/>
    <sheet name="Masa Térmica" sheetId="7" r:id="rId8"/>
    <sheet name="Ventilación natural" sheetId="8" r:id="rId9"/>
    <sheet name="Acumuación" sheetId="9" state="veryHidden" r:id="rId10"/>
    <sheet name="Resumen" sheetId="12" r:id="rId11"/>
  </sheets>
  <externalReferences>
    <externalReference r:id="rId12"/>
  </externalReferences>
  <definedNames>
    <definedName name="_xlnm._FilterDatabase" localSheetId="2" hidden="1">'Balance calefacción'!$L$15:$O$27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2" l="1"/>
  <c r="F51" i="12"/>
  <c r="F50" i="12"/>
  <c r="F49" i="12"/>
  <c r="F48" i="12"/>
  <c r="E223" i="6"/>
  <c r="E222" i="6"/>
  <c r="E221" i="6"/>
  <c r="E220" i="6"/>
  <c r="E219" i="6"/>
  <c r="E218" i="6"/>
  <c r="E217" i="6"/>
  <c r="E216" i="6"/>
  <c r="E215" i="6"/>
  <c r="E214" i="6"/>
  <c r="E213" i="6"/>
  <c r="E212" i="6"/>
  <c r="E67" i="2" l="1"/>
  <c r="D14" i="2" l="1"/>
  <c r="D12" i="2"/>
  <c r="C14" i="3"/>
  <c r="E99" i="12" l="1"/>
  <c r="G99" i="12" s="1"/>
  <c r="D100" i="12"/>
  <c r="I223" i="6" l="1"/>
  <c r="I222" i="6"/>
  <c r="I221" i="6"/>
  <c r="I220" i="6"/>
  <c r="I219" i="6"/>
  <c r="I218" i="6"/>
  <c r="I217" i="6"/>
  <c r="I216" i="6"/>
  <c r="I215" i="6"/>
  <c r="I214" i="6"/>
  <c r="I213" i="6"/>
  <c r="I212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E181" i="6"/>
  <c r="C181" i="6"/>
  <c r="E182" i="6"/>
  <c r="E180" i="6"/>
  <c r="E179" i="6"/>
  <c r="E178" i="6"/>
  <c r="E177" i="6"/>
  <c r="E176" i="6"/>
  <c r="E175" i="6"/>
  <c r="E174" i="6"/>
  <c r="E173" i="6"/>
  <c r="E172" i="6"/>
  <c r="E171" i="6"/>
  <c r="C182" i="6"/>
  <c r="C180" i="6"/>
  <c r="C179" i="6"/>
  <c r="C178" i="6"/>
  <c r="C177" i="6"/>
  <c r="C176" i="6"/>
  <c r="C175" i="6"/>
  <c r="C174" i="6"/>
  <c r="C173" i="6"/>
  <c r="C172" i="6"/>
  <c r="C17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F181" i="6" l="1"/>
  <c r="D23" i="2"/>
  <c r="D22" i="2" s="1"/>
  <c r="F15" i="2"/>
  <c r="D15" i="2" s="1"/>
  <c r="F13" i="2"/>
  <c r="D13" i="2" s="1"/>
  <c r="F11" i="2"/>
  <c r="D11" i="2" s="1"/>
  <c r="G10" i="2"/>
  <c r="D10" i="2" s="1"/>
  <c r="F9" i="2"/>
  <c r="D9" i="2" s="1"/>
  <c r="G8" i="2"/>
  <c r="D8" i="2" s="1"/>
  <c r="D21" i="2"/>
  <c r="D18" i="2"/>
  <c r="D98" i="12" l="1"/>
  <c r="D97" i="12"/>
  <c r="G62" i="12"/>
  <c r="C4" i="12"/>
  <c r="C13" i="12" l="1"/>
  <c r="C10" i="12"/>
  <c r="H12" i="12"/>
  <c r="H11" i="12"/>
  <c r="H10" i="12"/>
  <c r="G83" i="12"/>
  <c r="G84" i="12"/>
  <c r="G82" i="12"/>
  <c r="B122" i="6" l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72" i="4" l="1"/>
  <c r="B66" i="4"/>
  <c r="B67" i="4" s="1"/>
  <c r="B60" i="4"/>
  <c r="B54" i="4"/>
  <c r="B56" i="4" s="1"/>
  <c r="B48" i="4"/>
  <c r="B51" i="4" s="1"/>
  <c r="B42" i="4"/>
  <c r="B43" i="4" s="1"/>
  <c r="B36" i="4"/>
  <c r="B62" i="4" l="1"/>
  <c r="B61" i="4"/>
  <c r="B52" i="4"/>
  <c r="B49" i="4"/>
  <c r="B57" i="4"/>
  <c r="B55" i="4"/>
  <c r="B38" i="4"/>
  <c r="B37" i="4"/>
  <c r="B76" i="4"/>
  <c r="B73" i="4"/>
  <c r="B39" i="4"/>
  <c r="B44" i="4"/>
  <c r="B58" i="4"/>
  <c r="B63" i="4"/>
  <c r="B68" i="4"/>
  <c r="B40" i="4"/>
  <c r="B45" i="4"/>
  <c r="B50" i="4"/>
  <c r="B64" i="4"/>
  <c r="B69" i="4"/>
  <c r="B74" i="4"/>
  <c r="B46" i="4"/>
  <c r="B70" i="4"/>
  <c r="B75" i="4"/>
  <c r="M55" i="5" l="1"/>
  <c r="L55" i="5"/>
  <c r="K55" i="5"/>
  <c r="J55" i="5"/>
  <c r="I55" i="5"/>
  <c r="H55" i="5"/>
  <c r="G55" i="5"/>
  <c r="F55" i="5"/>
  <c r="E55" i="5"/>
  <c r="D55" i="5"/>
  <c r="C55" i="5"/>
  <c r="M54" i="5"/>
  <c r="L54" i="5"/>
  <c r="K54" i="5"/>
  <c r="J54" i="5"/>
  <c r="I54" i="5"/>
  <c r="H54" i="5"/>
  <c r="G54" i="5"/>
  <c r="F54" i="5"/>
  <c r="E54" i="5"/>
  <c r="D54" i="5"/>
  <c r="C54" i="5"/>
  <c r="M53" i="5"/>
  <c r="L53" i="5"/>
  <c r="K53" i="5"/>
  <c r="J53" i="5"/>
  <c r="I53" i="5"/>
  <c r="H53" i="5"/>
  <c r="G53" i="5"/>
  <c r="F53" i="5"/>
  <c r="E53" i="5"/>
  <c r="D53" i="5"/>
  <c r="C53" i="5"/>
  <c r="M52" i="5"/>
  <c r="L52" i="5"/>
  <c r="K52" i="5"/>
  <c r="J52" i="5"/>
  <c r="I52" i="5"/>
  <c r="H52" i="5"/>
  <c r="G52" i="5"/>
  <c r="F52" i="5"/>
  <c r="E52" i="5"/>
  <c r="D52" i="5"/>
  <c r="C52" i="5"/>
  <c r="B52" i="5"/>
  <c r="W56" i="5" l="1"/>
  <c r="E60" i="8" l="1"/>
  <c r="E62" i="8" s="1"/>
  <c r="E38" i="8"/>
  <c r="E34" i="11"/>
  <c r="E49" i="11"/>
  <c r="E67" i="11"/>
  <c r="E68" i="11" s="1"/>
  <c r="I22" i="7"/>
  <c r="E69" i="11" l="1"/>
  <c r="E61" i="8"/>
  <c r="E72" i="11" l="1"/>
  <c r="E73" i="11" l="1"/>
  <c r="M25" i="4"/>
  <c r="O21" i="4"/>
  <c r="O20" i="4"/>
  <c r="O19" i="4"/>
  <c r="O18" i="4"/>
  <c r="O17" i="4"/>
  <c r="O16" i="4"/>
  <c r="O15" i="4"/>
  <c r="C124" i="4"/>
  <c r="O22" i="4" l="1"/>
  <c r="M27" i="4" s="1"/>
  <c r="M28" i="4" s="1"/>
  <c r="AC28" i="3" l="1"/>
  <c r="E64" i="2"/>
  <c r="E65" i="2"/>
  <c r="E68" i="2"/>
  <c r="E69" i="2"/>
  <c r="M36" i="3" l="1"/>
  <c r="G41" i="12" s="1"/>
  <c r="I21" i="7" l="1"/>
  <c r="E98" i="12" s="1"/>
  <c r="G98" i="12" s="1"/>
  <c r="D113" i="6"/>
  <c r="C62" i="6"/>
  <c r="C89" i="6" s="1"/>
  <c r="C107" i="6" s="1"/>
  <c r="J256" i="6"/>
  <c r="F63" i="6"/>
  <c r="D63" i="6"/>
  <c r="B63" i="6"/>
  <c r="H63" i="6"/>
  <c r="I63" i="6"/>
  <c r="G63" i="6"/>
  <c r="C63" i="6"/>
  <c r="E63" i="6"/>
  <c r="I62" i="6"/>
  <c r="I89" i="6" s="1"/>
  <c r="I107" i="6" s="1"/>
  <c r="H62" i="6"/>
  <c r="H89" i="6" s="1"/>
  <c r="H107" i="6" s="1"/>
  <c r="G62" i="6"/>
  <c r="G89" i="6" s="1"/>
  <c r="G107" i="6" s="1"/>
  <c r="F62" i="6"/>
  <c r="E62" i="6"/>
  <c r="E89" i="6" s="1"/>
  <c r="E107" i="6" s="1"/>
  <c r="D62" i="6"/>
  <c r="D89" i="6" s="1"/>
  <c r="D107" i="6" s="1"/>
  <c r="B62" i="6"/>
  <c r="B89" i="6" s="1"/>
  <c r="B107" i="6" s="1"/>
  <c r="J36" i="6"/>
  <c r="J35" i="6"/>
  <c r="J11" i="6"/>
  <c r="B35" i="6"/>
  <c r="D35" i="6"/>
  <c r="F35" i="6"/>
  <c r="H35" i="6"/>
  <c r="J12" i="6"/>
  <c r="I12" i="6"/>
  <c r="H12" i="6"/>
  <c r="G12" i="6"/>
  <c r="F12" i="6"/>
  <c r="E12" i="6"/>
  <c r="D12" i="6"/>
  <c r="C12" i="6"/>
  <c r="B12" i="6"/>
  <c r="F11" i="6"/>
  <c r="B11" i="6"/>
  <c r="D11" i="6"/>
  <c r="H11" i="6"/>
  <c r="F16" i="3"/>
  <c r="C16" i="3"/>
  <c r="F14" i="3"/>
  <c r="C13" i="3"/>
  <c r="F13" i="3" s="1"/>
  <c r="C12" i="3"/>
  <c r="F12" i="3" s="1"/>
  <c r="J219" i="6"/>
  <c r="L263" i="6" s="1"/>
  <c r="J267" i="6"/>
  <c r="J266" i="6"/>
  <c r="J265" i="6"/>
  <c r="J264" i="6"/>
  <c r="J263" i="6"/>
  <c r="J262" i="6"/>
  <c r="J261" i="6"/>
  <c r="J260" i="6"/>
  <c r="J258" i="6"/>
  <c r="D115" i="6"/>
  <c r="F89" i="6"/>
  <c r="F107" i="6" s="1"/>
  <c r="C221" i="4"/>
  <c r="C220" i="4"/>
  <c r="C219" i="4"/>
  <c r="C218" i="4"/>
  <c r="C216" i="4"/>
  <c r="C215" i="4"/>
  <c r="C214" i="4"/>
  <c r="C212" i="4"/>
  <c r="C211" i="4"/>
  <c r="C210" i="4"/>
  <c r="C208" i="4"/>
  <c r="C207" i="4"/>
  <c r="C206" i="4"/>
  <c r="D205" i="4"/>
  <c r="C205" i="4"/>
  <c r="C204" i="4"/>
  <c r="C203" i="4"/>
  <c r="C202" i="4"/>
  <c r="C201" i="4"/>
  <c r="C200" i="4"/>
  <c r="C199" i="4"/>
  <c r="C197" i="4"/>
  <c r="C196" i="4"/>
  <c r="C195" i="4"/>
  <c r="C194" i="4"/>
  <c r="C123" i="4"/>
  <c r="C122" i="4"/>
  <c r="C72" i="4"/>
  <c r="C66" i="4"/>
  <c r="C60" i="4"/>
  <c r="C54" i="4"/>
  <c r="C48" i="4"/>
  <c r="C42" i="4"/>
  <c r="C40" i="4"/>
  <c r="C39" i="4"/>
  <c r="C38" i="4"/>
  <c r="C37" i="4"/>
  <c r="C36" i="4"/>
  <c r="B28" i="4"/>
  <c r="B22" i="4"/>
  <c r="J21" i="4"/>
  <c r="J20" i="4"/>
  <c r="J19" i="4"/>
  <c r="B16" i="4"/>
  <c r="J18" i="4"/>
  <c r="J17" i="4"/>
  <c r="J16" i="4"/>
  <c r="J15" i="4"/>
  <c r="B10" i="4"/>
  <c r="X19" i="3"/>
  <c r="AA19" i="3" s="1"/>
  <c r="X18" i="3"/>
  <c r="AA18" i="3" s="1"/>
  <c r="H23" i="2"/>
  <c r="E50" i="2" s="1"/>
  <c r="H22" i="2"/>
  <c r="H18" i="2"/>
  <c r="H15" i="2"/>
  <c r="H9" i="2"/>
  <c r="A66" i="1"/>
  <c r="A67" i="1" s="1"/>
  <c r="A68" i="1" s="1"/>
  <c r="B80" i="5"/>
  <c r="C80" i="5"/>
  <c r="D80" i="5"/>
  <c r="E80" i="5"/>
  <c r="F80" i="5"/>
  <c r="G80" i="5"/>
  <c r="H80" i="5"/>
  <c r="I80" i="5"/>
  <c r="J80" i="5"/>
  <c r="K80" i="5"/>
  <c r="L80" i="5"/>
  <c r="M80" i="5"/>
  <c r="B82" i="5"/>
  <c r="C82" i="5"/>
  <c r="D82" i="5"/>
  <c r="E82" i="5"/>
  <c r="F82" i="5"/>
  <c r="G82" i="5"/>
  <c r="H82" i="5"/>
  <c r="I82" i="5"/>
  <c r="J82" i="5"/>
  <c r="K82" i="5"/>
  <c r="L82" i="5"/>
  <c r="M82" i="5"/>
  <c r="B79" i="5"/>
  <c r="C79" i="5"/>
  <c r="D79" i="5"/>
  <c r="E79" i="5"/>
  <c r="F79" i="5"/>
  <c r="G79" i="5"/>
  <c r="H79" i="5"/>
  <c r="I79" i="5"/>
  <c r="J79" i="5"/>
  <c r="K79" i="5"/>
  <c r="L79" i="5"/>
  <c r="M79" i="5"/>
  <c r="B81" i="5"/>
  <c r="C81" i="5"/>
  <c r="D81" i="5"/>
  <c r="E81" i="5"/>
  <c r="F81" i="5"/>
  <c r="G81" i="5"/>
  <c r="H81" i="5"/>
  <c r="I81" i="5"/>
  <c r="J81" i="5"/>
  <c r="K81" i="5"/>
  <c r="L81" i="5"/>
  <c r="M81" i="5"/>
  <c r="T50" i="5"/>
  <c r="W55" i="5"/>
  <c r="W54" i="5"/>
  <c r="W53" i="5"/>
  <c r="W52" i="5"/>
  <c r="W51" i="5"/>
  <c r="W50" i="5"/>
  <c r="W49" i="5"/>
  <c r="T56" i="5"/>
  <c r="T55" i="5"/>
  <c r="T54" i="5"/>
  <c r="T53" i="5"/>
  <c r="T52" i="5"/>
  <c r="T51" i="5"/>
  <c r="T49" i="5"/>
  <c r="N49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M99" i="5"/>
  <c r="L99" i="5"/>
  <c r="K99" i="5"/>
  <c r="J99" i="5"/>
  <c r="I99" i="5"/>
  <c r="H99" i="5"/>
  <c r="G99" i="5"/>
  <c r="F99" i="5"/>
  <c r="E99" i="5"/>
  <c r="D99" i="5"/>
  <c r="C99" i="5"/>
  <c r="B99" i="5"/>
  <c r="M98" i="5"/>
  <c r="L98" i="5"/>
  <c r="K98" i="5"/>
  <c r="J98" i="5"/>
  <c r="I98" i="5"/>
  <c r="H98" i="5"/>
  <c r="G98" i="5"/>
  <c r="F98" i="5"/>
  <c r="E98" i="5"/>
  <c r="D98" i="5"/>
  <c r="C98" i="5"/>
  <c r="B98" i="5"/>
  <c r="N8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N10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N125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N14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N162" i="5"/>
  <c r="C17" i="3" l="1"/>
  <c r="F17" i="3" s="1"/>
  <c r="B19" i="4"/>
  <c r="C19" i="4" s="1"/>
  <c r="B20" i="4"/>
  <c r="C20" i="4" s="1"/>
  <c r="B18" i="4"/>
  <c r="C18" i="4" s="1"/>
  <c r="B17" i="4"/>
  <c r="B13" i="4"/>
  <c r="C13" i="4" s="1"/>
  <c r="B11" i="4"/>
  <c r="C11" i="4" s="1"/>
  <c r="B12" i="4"/>
  <c r="B14" i="4"/>
  <c r="C14" i="4" s="1"/>
  <c r="B25" i="4"/>
  <c r="B24" i="4"/>
  <c r="B26" i="4"/>
  <c r="C26" i="4" s="1"/>
  <c r="B23" i="4"/>
  <c r="E22" i="8"/>
  <c r="E24" i="8" s="1"/>
  <c r="E33" i="11"/>
  <c r="E35" i="11" s="1"/>
  <c r="B31" i="4"/>
  <c r="C31" i="4" s="1"/>
  <c r="B29" i="4"/>
  <c r="C29" i="4" s="1"/>
  <c r="B30" i="4"/>
  <c r="C30" i="4" s="1"/>
  <c r="B32" i="4"/>
  <c r="C32" i="4" s="1"/>
  <c r="C28" i="4"/>
  <c r="J215" i="6"/>
  <c r="L259" i="6" s="1"/>
  <c r="J223" i="6"/>
  <c r="L267" i="6" s="1"/>
  <c r="J259" i="6"/>
  <c r="D162" i="6"/>
  <c r="F22" i="6"/>
  <c r="D28" i="6"/>
  <c r="B20" i="6"/>
  <c r="J217" i="6"/>
  <c r="L261" i="6" s="1"/>
  <c r="J213" i="6"/>
  <c r="L257" i="6" s="1"/>
  <c r="J221" i="6"/>
  <c r="L265" i="6" s="1"/>
  <c r="J220" i="6"/>
  <c r="L264" i="6" s="1"/>
  <c r="F174" i="6"/>
  <c r="K259" i="6" s="1"/>
  <c r="F176" i="6"/>
  <c r="K261" i="6" s="1"/>
  <c r="F178" i="6"/>
  <c r="K263" i="6" s="1"/>
  <c r="AC263" i="6" s="1"/>
  <c r="J212" i="6"/>
  <c r="L256" i="6" s="1"/>
  <c r="J257" i="6"/>
  <c r="F175" i="6"/>
  <c r="K260" i="6" s="1"/>
  <c r="F179" i="6"/>
  <c r="K264" i="6" s="1"/>
  <c r="F29" i="6"/>
  <c r="F180" i="6"/>
  <c r="K265" i="6" s="1"/>
  <c r="H29" i="6"/>
  <c r="J22" i="4"/>
  <c r="H19" i="6"/>
  <c r="H23" i="6"/>
  <c r="A69" i="1"/>
  <c r="H46" i="6"/>
  <c r="B53" i="6"/>
  <c r="F51" i="6"/>
  <c r="F19" i="6"/>
  <c r="H22" i="6"/>
  <c r="H20" i="6"/>
  <c r="H24" i="6"/>
  <c r="H18" i="6"/>
  <c r="H26" i="6"/>
  <c r="B24" i="6"/>
  <c r="D21" i="6"/>
  <c r="D23" i="6"/>
  <c r="D25" i="6"/>
  <c r="D26" i="6"/>
  <c r="D18" i="6"/>
  <c r="D22" i="6"/>
  <c r="D20" i="6"/>
  <c r="D24" i="6"/>
  <c r="D27" i="6"/>
  <c r="D19" i="6"/>
  <c r="H41" i="2"/>
  <c r="G44" i="2"/>
  <c r="K23" i="6"/>
  <c r="D261" i="6" s="1"/>
  <c r="F41" i="2"/>
  <c r="F44" i="2"/>
  <c r="F47" i="2"/>
  <c r="F42" i="2"/>
  <c r="D50" i="2"/>
  <c r="D43" i="2"/>
  <c r="G40" i="2"/>
  <c r="F40" i="2"/>
  <c r="D45" i="2"/>
  <c r="F46" i="2"/>
  <c r="H50" i="2"/>
  <c r="D26" i="2" s="1"/>
  <c r="G11" i="12" s="1"/>
  <c r="D41" i="2"/>
  <c r="D47" i="2"/>
  <c r="F173" i="6"/>
  <c r="K258" i="6" s="1"/>
  <c r="H25" i="6"/>
  <c r="K52" i="6"/>
  <c r="E266" i="6" s="1"/>
  <c r="F182" i="6"/>
  <c r="K266" i="6" s="1"/>
  <c r="J214" i="6"/>
  <c r="L258" i="6" s="1"/>
  <c r="J216" i="6"/>
  <c r="L260" i="6" s="1"/>
  <c r="J218" i="6"/>
  <c r="L262" i="6" s="1"/>
  <c r="J222" i="6"/>
  <c r="L266" i="6" s="1"/>
  <c r="H21" i="6"/>
  <c r="B43" i="6"/>
  <c r="J107" i="6"/>
  <c r="G267" i="6" s="1"/>
  <c r="F172" i="6"/>
  <c r="K257" i="6" s="1"/>
  <c r="B42" i="6"/>
  <c r="F43" i="6"/>
  <c r="F45" i="6"/>
  <c r="H48" i="6"/>
  <c r="H53" i="6"/>
  <c r="H49" i="6"/>
  <c r="D52" i="6"/>
  <c r="K45" i="6"/>
  <c r="E259" i="6" s="1"/>
  <c r="K49" i="6"/>
  <c r="E263" i="6" s="1"/>
  <c r="K53" i="6"/>
  <c r="E267" i="6" s="1"/>
  <c r="K21" i="6"/>
  <c r="D259" i="6" s="1"/>
  <c r="K26" i="6"/>
  <c r="D264" i="6" s="1"/>
  <c r="K29" i="6"/>
  <c r="D267" i="6" s="1"/>
  <c r="B96" i="6"/>
  <c r="F96" i="6"/>
  <c r="B97" i="6"/>
  <c r="F97" i="6"/>
  <c r="B98" i="6"/>
  <c r="F98" i="6"/>
  <c r="B99" i="6"/>
  <c r="F99" i="6"/>
  <c r="B100" i="6"/>
  <c r="F100" i="6"/>
  <c r="B101" i="6"/>
  <c r="F101" i="6"/>
  <c r="B102" i="6"/>
  <c r="F102" i="6"/>
  <c r="B103" i="6"/>
  <c r="F103" i="6"/>
  <c r="B104" i="6"/>
  <c r="F104" i="6"/>
  <c r="B105" i="6"/>
  <c r="F105" i="6"/>
  <c r="B106" i="6"/>
  <c r="F106" i="6"/>
  <c r="F171" i="6"/>
  <c r="K256" i="6" s="1"/>
  <c r="F177" i="6"/>
  <c r="K262" i="6" s="1"/>
  <c r="B46" i="6"/>
  <c r="B47" i="6"/>
  <c r="K46" i="6"/>
  <c r="E260" i="6" s="1"/>
  <c r="K50" i="6"/>
  <c r="E264" i="6" s="1"/>
  <c r="K18" i="6"/>
  <c r="D256" i="6" s="1"/>
  <c r="K22" i="6"/>
  <c r="D260" i="6" s="1"/>
  <c r="K27" i="6"/>
  <c r="D265" i="6" s="1"/>
  <c r="K42" i="6"/>
  <c r="E256" i="6" s="1"/>
  <c r="C96" i="6"/>
  <c r="G96" i="6"/>
  <c r="C97" i="6"/>
  <c r="G97" i="6"/>
  <c r="C98" i="6"/>
  <c r="G98" i="6"/>
  <c r="C99" i="6"/>
  <c r="G99" i="6"/>
  <c r="C100" i="6"/>
  <c r="G100" i="6"/>
  <c r="C101" i="6"/>
  <c r="G101" i="6"/>
  <c r="C102" i="6"/>
  <c r="G102" i="6"/>
  <c r="C103" i="6"/>
  <c r="G103" i="6"/>
  <c r="C104" i="6"/>
  <c r="G104" i="6"/>
  <c r="C105" i="6"/>
  <c r="G105" i="6"/>
  <c r="C106" i="6"/>
  <c r="G106" i="6"/>
  <c r="F42" i="6"/>
  <c r="F44" i="6"/>
  <c r="F46" i="6"/>
  <c r="H47" i="6"/>
  <c r="H51" i="6"/>
  <c r="F53" i="6"/>
  <c r="B50" i="6"/>
  <c r="K43" i="6"/>
  <c r="E257" i="6" s="1"/>
  <c r="K47" i="6"/>
  <c r="E261" i="6" s="1"/>
  <c r="K51" i="6"/>
  <c r="E265" i="6" s="1"/>
  <c r="K19" i="6"/>
  <c r="D257" i="6" s="1"/>
  <c r="K24" i="6"/>
  <c r="K28" i="6"/>
  <c r="D266" i="6" s="1"/>
  <c r="D96" i="6"/>
  <c r="H96" i="6"/>
  <c r="D97" i="6"/>
  <c r="H97" i="6"/>
  <c r="D98" i="6"/>
  <c r="H98" i="6"/>
  <c r="D99" i="6"/>
  <c r="H99" i="6"/>
  <c r="D100" i="6"/>
  <c r="H100" i="6"/>
  <c r="D101" i="6"/>
  <c r="H101" i="6"/>
  <c r="D102" i="6"/>
  <c r="H102" i="6"/>
  <c r="D103" i="6"/>
  <c r="H103" i="6"/>
  <c r="D104" i="6"/>
  <c r="H104" i="6"/>
  <c r="D105" i="6"/>
  <c r="H105" i="6"/>
  <c r="D106" i="6"/>
  <c r="H106" i="6"/>
  <c r="H42" i="6"/>
  <c r="H44" i="6"/>
  <c r="K44" i="6"/>
  <c r="E258" i="6" s="1"/>
  <c r="K48" i="6"/>
  <c r="E262" i="6" s="1"/>
  <c r="K20" i="6"/>
  <c r="D258" i="6" s="1"/>
  <c r="K25" i="6"/>
  <c r="D263" i="6" s="1"/>
  <c r="E96" i="6"/>
  <c r="I96" i="6"/>
  <c r="E97" i="6"/>
  <c r="I97" i="6"/>
  <c r="E98" i="6"/>
  <c r="I98" i="6"/>
  <c r="E99" i="6"/>
  <c r="I99" i="6"/>
  <c r="E100" i="6"/>
  <c r="I100" i="6"/>
  <c r="E101" i="6"/>
  <c r="I101" i="6"/>
  <c r="E102" i="6"/>
  <c r="I102" i="6"/>
  <c r="E103" i="6"/>
  <c r="I103" i="6"/>
  <c r="E104" i="6"/>
  <c r="I104" i="6"/>
  <c r="E105" i="6"/>
  <c r="I105" i="6"/>
  <c r="E106" i="6"/>
  <c r="I106" i="6"/>
  <c r="F47" i="6"/>
  <c r="H43" i="6"/>
  <c r="B51" i="6"/>
  <c r="B44" i="6"/>
  <c r="B45" i="6"/>
  <c r="D48" i="6"/>
  <c r="B52" i="6"/>
  <c r="D42" i="6"/>
  <c r="D43" i="6"/>
  <c r="D44" i="6"/>
  <c r="D45" i="6"/>
  <c r="D47" i="6"/>
  <c r="D50" i="6"/>
  <c r="D51" i="6"/>
  <c r="D53" i="6"/>
  <c r="F49" i="6"/>
  <c r="H45" i="6"/>
  <c r="H50" i="6"/>
  <c r="H52" i="6"/>
  <c r="F50" i="6"/>
  <c r="F52" i="6"/>
  <c r="F48" i="6"/>
  <c r="D46" i="6"/>
  <c r="D49" i="6"/>
  <c r="B48" i="6"/>
  <c r="B49" i="6"/>
  <c r="B18" i="6"/>
  <c r="B28" i="6"/>
  <c r="H27" i="6"/>
  <c r="H28" i="6"/>
  <c r="F21" i="6"/>
  <c r="F24" i="6"/>
  <c r="F26" i="6"/>
  <c r="F18" i="6"/>
  <c r="F23" i="6"/>
  <c r="F28" i="6"/>
  <c r="F20" i="6"/>
  <c r="F25" i="6"/>
  <c r="F27" i="6"/>
  <c r="D29" i="6"/>
  <c r="B21" i="6"/>
  <c r="B25" i="6"/>
  <c r="B29" i="6"/>
  <c r="B22" i="6"/>
  <c r="B26" i="6"/>
  <c r="B19" i="6"/>
  <c r="B23" i="6"/>
  <c r="B27" i="6"/>
  <c r="D262" i="6"/>
  <c r="C52" i="4"/>
  <c r="C50" i="4"/>
  <c r="C49" i="4"/>
  <c r="C45" i="4"/>
  <c r="C12" i="4"/>
  <c r="C10" i="4"/>
  <c r="C17" i="4"/>
  <c r="C22" i="4"/>
  <c r="C24" i="4"/>
  <c r="C44" i="4"/>
  <c r="C46" i="4"/>
  <c r="C16" i="4"/>
  <c r="C23" i="4"/>
  <c r="C43" i="4"/>
  <c r="H47" i="2"/>
  <c r="F45" i="2"/>
  <c r="H13" i="2"/>
  <c r="F43" i="2"/>
  <c r="H11" i="2"/>
  <c r="F16" i="2"/>
  <c r="G41" i="2"/>
  <c r="G43" i="2"/>
  <c r="G45" i="2"/>
  <c r="G47" i="2"/>
  <c r="G16" i="2"/>
  <c r="G48" i="2" s="1"/>
  <c r="E41" i="2"/>
  <c r="G42" i="2"/>
  <c r="E43" i="2"/>
  <c r="E45" i="2"/>
  <c r="G46" i="2"/>
  <c r="E47" i="2"/>
  <c r="AC262" i="6" l="1"/>
  <c r="AC265" i="6"/>
  <c r="AC256" i="6"/>
  <c r="AC258" i="6"/>
  <c r="AC264" i="6"/>
  <c r="AC266" i="6"/>
  <c r="AC260" i="6"/>
  <c r="AC261" i="6"/>
  <c r="AC257" i="6"/>
  <c r="AC259" i="6"/>
  <c r="F48" i="2"/>
  <c r="C15" i="3"/>
  <c r="F15" i="3" s="1"/>
  <c r="J225" i="6"/>
  <c r="J269" i="6"/>
  <c r="G281" i="6" s="1"/>
  <c r="F183" i="6"/>
  <c r="K267" i="6" s="1"/>
  <c r="A70" i="1"/>
  <c r="L269" i="6"/>
  <c r="I281" i="6" s="1"/>
  <c r="J106" i="6"/>
  <c r="G266" i="6" s="1"/>
  <c r="J102" i="6"/>
  <c r="G262" i="6" s="1"/>
  <c r="J98" i="6"/>
  <c r="G258" i="6" s="1"/>
  <c r="J104" i="6"/>
  <c r="G264" i="6" s="1"/>
  <c r="J100" i="6"/>
  <c r="G260" i="6" s="1"/>
  <c r="J105" i="6"/>
  <c r="G265" i="6" s="1"/>
  <c r="J103" i="6"/>
  <c r="G263" i="6" s="1"/>
  <c r="J101" i="6"/>
  <c r="G261" i="6" s="1"/>
  <c r="J99" i="6"/>
  <c r="G259" i="6" s="1"/>
  <c r="J97" i="6"/>
  <c r="G257" i="6" s="1"/>
  <c r="E269" i="6"/>
  <c r="J96" i="6"/>
  <c r="D269" i="6"/>
  <c r="C25" i="4"/>
  <c r="C55" i="4"/>
  <c r="C51" i="4"/>
  <c r="C58" i="4"/>
  <c r="C56" i="4"/>
  <c r="H45" i="2"/>
  <c r="H43" i="2"/>
  <c r="C281" i="6" l="1"/>
  <c r="K269" i="6"/>
  <c r="H281" i="6" s="1"/>
  <c r="AC267" i="6"/>
  <c r="AC269" i="6" s="1"/>
  <c r="A71" i="1"/>
  <c r="G256" i="6"/>
  <c r="G269" i="6" s="1"/>
  <c r="E281" i="6" s="1"/>
  <c r="J109" i="6"/>
  <c r="C64" i="4"/>
  <c r="C62" i="4"/>
  <c r="C61" i="4"/>
  <c r="C57" i="4"/>
  <c r="A72" i="1" l="1"/>
  <c r="B2" i="6" s="1"/>
  <c r="H9" i="4"/>
  <c r="H10" i="4" s="1"/>
  <c r="H25" i="4" s="1"/>
  <c r="H27" i="4" s="1"/>
  <c r="H28" i="4" s="1"/>
  <c r="G9" i="4"/>
  <c r="E28" i="8"/>
  <c r="H28" i="8"/>
  <c r="G38" i="8" s="1"/>
  <c r="E27" i="8"/>
  <c r="E26" i="8"/>
  <c r="D80" i="8" s="1"/>
  <c r="E38" i="11"/>
  <c r="E39" i="11"/>
  <c r="H39" i="11"/>
  <c r="G49" i="11" s="1"/>
  <c r="C18" i="3"/>
  <c r="C19" i="3" s="1"/>
  <c r="D114" i="6" s="1"/>
  <c r="E25" i="8"/>
  <c r="E36" i="11"/>
  <c r="E37" i="11"/>
  <c r="D87" i="11" s="1"/>
  <c r="M1" i="5"/>
  <c r="B4" i="3"/>
  <c r="D6" i="12" s="1"/>
  <c r="E4" i="3"/>
  <c r="H4" i="3" s="1"/>
  <c r="AB28" i="3" s="1"/>
  <c r="C67" i="4"/>
  <c r="C63" i="4"/>
  <c r="C70" i="4"/>
  <c r="C68" i="4"/>
  <c r="S4" i="6" l="1"/>
  <c r="U4" i="6"/>
  <c r="R16" i="5"/>
  <c r="N16" i="5"/>
  <c r="J16" i="5"/>
  <c r="R15" i="5"/>
  <c r="N15" i="5"/>
  <c r="J15" i="5"/>
  <c r="R14" i="5"/>
  <c r="N14" i="5"/>
  <c r="J14" i="5"/>
  <c r="R13" i="5"/>
  <c r="N13" i="5"/>
  <c r="J13" i="5"/>
  <c r="R10" i="5"/>
  <c r="N10" i="5"/>
  <c r="J10" i="5"/>
  <c r="R9" i="5"/>
  <c r="N9" i="5"/>
  <c r="J9" i="5"/>
  <c r="R8" i="5"/>
  <c r="N8" i="5"/>
  <c r="J8" i="5"/>
  <c r="R7" i="5"/>
  <c r="N7" i="5"/>
  <c r="J7" i="5"/>
  <c r="S4" i="5"/>
  <c r="O4" i="5"/>
  <c r="K4" i="5"/>
  <c r="U16" i="5"/>
  <c r="Q16" i="5"/>
  <c r="M16" i="5"/>
  <c r="U15" i="5"/>
  <c r="Q15" i="5"/>
  <c r="M15" i="5"/>
  <c r="U14" i="5"/>
  <c r="Q14" i="5"/>
  <c r="M14" i="5"/>
  <c r="U13" i="5"/>
  <c r="Q13" i="5"/>
  <c r="M13" i="5"/>
  <c r="U10" i="5"/>
  <c r="Q10" i="5"/>
  <c r="M10" i="5"/>
  <c r="U9" i="5"/>
  <c r="Q9" i="5"/>
  <c r="M9" i="5"/>
  <c r="U8" i="5"/>
  <c r="Q8" i="5"/>
  <c r="M8" i="5"/>
  <c r="U7" i="5"/>
  <c r="Q7" i="5"/>
  <c r="M7" i="5"/>
  <c r="V4" i="5"/>
  <c r="R4" i="5"/>
  <c r="N4" i="5"/>
  <c r="J4" i="5"/>
  <c r="T16" i="5"/>
  <c r="P16" i="5"/>
  <c r="L16" i="5"/>
  <c r="T15" i="5"/>
  <c r="P15" i="5"/>
  <c r="L15" i="5"/>
  <c r="T14" i="5"/>
  <c r="P14" i="5"/>
  <c r="L14" i="5"/>
  <c r="T13" i="5"/>
  <c r="P13" i="5"/>
  <c r="L13" i="5"/>
  <c r="T10" i="5"/>
  <c r="P10" i="5"/>
  <c r="L10" i="5"/>
  <c r="T9" i="5"/>
  <c r="P9" i="5"/>
  <c r="L9" i="5"/>
  <c r="T8" i="5"/>
  <c r="P8" i="5"/>
  <c r="L8" i="5"/>
  <c r="T7" i="5"/>
  <c r="P7" i="5"/>
  <c r="L7" i="5"/>
  <c r="U4" i="5"/>
  <c r="Q4" i="5"/>
  <c r="M4" i="5"/>
  <c r="S16" i="5"/>
  <c r="O16" i="5"/>
  <c r="K16" i="5"/>
  <c r="S15" i="5"/>
  <c r="O15" i="5"/>
  <c r="K15" i="5"/>
  <c r="S14" i="5"/>
  <c r="O14" i="5"/>
  <c r="K14" i="5"/>
  <c r="S13" i="5"/>
  <c r="O13" i="5"/>
  <c r="K13" i="5"/>
  <c r="S10" i="5"/>
  <c r="O10" i="5"/>
  <c r="K10" i="5"/>
  <c r="S9" i="5"/>
  <c r="O9" i="5"/>
  <c r="K9" i="5"/>
  <c r="S8" i="5"/>
  <c r="O8" i="5"/>
  <c r="K8" i="5"/>
  <c r="S7" i="5"/>
  <c r="O7" i="5"/>
  <c r="K7" i="5"/>
  <c r="T4" i="5"/>
  <c r="P4" i="5"/>
  <c r="L4" i="5"/>
  <c r="D91" i="11"/>
  <c r="D95" i="11" s="1"/>
  <c r="D103" i="11" s="1"/>
  <c r="D92" i="11"/>
  <c r="D96" i="11" s="1"/>
  <c r="D104" i="11" s="1"/>
  <c r="E42" i="11"/>
  <c r="E43" i="11"/>
  <c r="E41" i="11"/>
  <c r="E44" i="11"/>
  <c r="E30" i="8"/>
  <c r="E31" i="8"/>
  <c r="E32" i="8"/>
  <c r="E33" i="8"/>
  <c r="C76" i="4"/>
  <c r="C74" i="4"/>
  <c r="C75" i="4"/>
  <c r="C73" i="4"/>
  <c r="C69" i="4"/>
  <c r="E92" i="12" l="1"/>
  <c r="E121" i="11"/>
  <c r="F121" i="11"/>
  <c r="F92" i="12" s="1"/>
  <c r="E122" i="11"/>
  <c r="F122" i="11"/>
  <c r="F93" i="12" s="1"/>
  <c r="V8" i="6"/>
  <c r="H42" i="8"/>
  <c r="E54" i="8"/>
  <c r="E65" i="8" s="1"/>
  <c r="D84" i="8" s="1"/>
  <c r="D88" i="8" s="1"/>
  <c r="D96" i="8" s="1"/>
  <c r="S8" i="6"/>
  <c r="AA12" i="6"/>
  <c r="AA21" i="6"/>
  <c r="U8" i="6"/>
  <c r="AA23" i="6"/>
  <c r="AA14" i="6"/>
  <c r="W8" i="6"/>
  <c r="P8" i="6"/>
  <c r="AA18" i="6"/>
  <c r="Y8" i="6"/>
  <c r="Z8" i="6"/>
  <c r="AA16" i="6"/>
  <c r="AA13" i="6"/>
  <c r="T8" i="6"/>
  <c r="AA22" i="6"/>
  <c r="AA15" i="6"/>
  <c r="R8" i="6"/>
  <c r="AA20" i="6"/>
  <c r="O8" i="6"/>
  <c r="AA17" i="6"/>
  <c r="X8" i="6"/>
  <c r="Q8" i="6"/>
  <c r="AA19" i="6"/>
  <c r="E66" i="8"/>
  <c r="D85" i="8" s="1"/>
  <c r="D89" i="8" s="1"/>
  <c r="D97" i="8" s="1"/>
  <c r="H41" i="8"/>
  <c r="H43" i="8"/>
  <c r="H40" i="8"/>
  <c r="H52" i="11"/>
  <c r="H51" i="11"/>
  <c r="H54" i="11"/>
  <c r="H53" i="11"/>
  <c r="C122" i="11"/>
  <c r="C93" i="12" s="1"/>
  <c r="D122" i="11"/>
  <c r="D93" i="12" s="1"/>
  <c r="C121" i="11"/>
  <c r="C92" i="12" s="1"/>
  <c r="D121" i="11"/>
  <c r="D92" i="12" s="1"/>
  <c r="H13" i="11" l="1"/>
  <c r="I261" i="6"/>
  <c r="AE261" i="6" s="1"/>
  <c r="C115" i="8"/>
  <c r="C108" i="12" s="1"/>
  <c r="D115" i="8"/>
  <c r="D108" i="12" s="1"/>
  <c r="E93" i="12"/>
  <c r="G122" i="11"/>
  <c r="G93" i="12" s="1"/>
  <c r="C114" i="8"/>
  <c r="C107" i="12" s="1"/>
  <c r="D114" i="8"/>
  <c r="D107" i="12" s="1"/>
  <c r="G121" i="11"/>
  <c r="G92" i="12" s="1"/>
  <c r="H121" i="11"/>
  <c r="H92" i="12" s="1"/>
  <c r="H122" i="11"/>
  <c r="H93" i="12" s="1"/>
  <c r="G15" i="11"/>
  <c r="H15" i="11" s="1"/>
  <c r="F76" i="6"/>
  <c r="H76" i="6"/>
  <c r="B76" i="6"/>
  <c r="C129" i="6"/>
  <c r="H263" i="6" s="1"/>
  <c r="I76" i="6"/>
  <c r="G76" i="6"/>
  <c r="C76" i="6"/>
  <c r="E76" i="6"/>
  <c r="G33" i="7"/>
  <c r="D76" i="6"/>
  <c r="G74" i="6"/>
  <c r="I74" i="6"/>
  <c r="C127" i="6"/>
  <c r="H261" i="6" s="1"/>
  <c r="G31" i="7"/>
  <c r="D74" i="6"/>
  <c r="B74" i="6"/>
  <c r="H74" i="6"/>
  <c r="F74" i="6"/>
  <c r="C74" i="6"/>
  <c r="E74" i="6"/>
  <c r="G16" i="11"/>
  <c r="H16" i="11" s="1"/>
  <c r="G34" i="7"/>
  <c r="C130" i="6"/>
  <c r="H264" i="6" s="1"/>
  <c r="D77" i="6"/>
  <c r="B77" i="6"/>
  <c r="C77" i="6"/>
  <c r="E77" i="6"/>
  <c r="G77" i="6"/>
  <c r="I77" i="6"/>
  <c r="H77" i="6"/>
  <c r="F77" i="6"/>
  <c r="G11" i="11"/>
  <c r="H11" i="11" s="1"/>
  <c r="C125" i="6"/>
  <c r="H259" i="6" s="1"/>
  <c r="I72" i="6"/>
  <c r="G72" i="6"/>
  <c r="G29" i="7"/>
  <c r="D72" i="6"/>
  <c r="B72" i="6"/>
  <c r="H72" i="6"/>
  <c r="F72" i="6"/>
  <c r="C72" i="6"/>
  <c r="E72" i="6"/>
  <c r="G18" i="11"/>
  <c r="H18" i="11" s="1"/>
  <c r="E79" i="6"/>
  <c r="C79" i="6"/>
  <c r="I79" i="6"/>
  <c r="C132" i="6"/>
  <c r="H266" i="6" s="1"/>
  <c r="D79" i="6"/>
  <c r="B79" i="6"/>
  <c r="G36" i="7"/>
  <c r="H79" i="6"/>
  <c r="F79" i="6"/>
  <c r="G79" i="6"/>
  <c r="G9" i="11"/>
  <c r="H9" i="11" s="1"/>
  <c r="C70" i="6"/>
  <c r="C123" i="6"/>
  <c r="H257" i="6" s="1"/>
  <c r="E70" i="6"/>
  <c r="I70" i="6"/>
  <c r="G70" i="6"/>
  <c r="H70" i="6"/>
  <c r="F70" i="6"/>
  <c r="G27" i="7"/>
  <c r="D70" i="6"/>
  <c r="B70" i="6"/>
  <c r="G12" i="11"/>
  <c r="H12" i="11" s="1"/>
  <c r="G73" i="6"/>
  <c r="C126" i="6"/>
  <c r="H260" i="6" s="1"/>
  <c r="I73" i="6"/>
  <c r="G30" i="7"/>
  <c r="D73" i="6"/>
  <c r="H73" i="6"/>
  <c r="F73" i="6"/>
  <c r="B73" i="6"/>
  <c r="C73" i="6"/>
  <c r="E73" i="6"/>
  <c r="G14" i="11"/>
  <c r="H14" i="11" s="1"/>
  <c r="G32" i="7"/>
  <c r="F75" i="6"/>
  <c r="H75" i="6"/>
  <c r="I75" i="6"/>
  <c r="C128" i="6"/>
  <c r="H262" i="6" s="1"/>
  <c r="C75" i="6"/>
  <c r="E75" i="6"/>
  <c r="D75" i="6"/>
  <c r="B75" i="6"/>
  <c r="G75" i="6"/>
  <c r="G10" i="11"/>
  <c r="H10" i="11" s="1"/>
  <c r="E71" i="6"/>
  <c r="C124" i="6"/>
  <c r="H258" i="6" s="1"/>
  <c r="C71" i="6"/>
  <c r="G28" i="7"/>
  <c r="D71" i="6"/>
  <c r="B71" i="6"/>
  <c r="H71" i="6"/>
  <c r="F71" i="6"/>
  <c r="G71" i="6"/>
  <c r="I71" i="6"/>
  <c r="F80" i="6"/>
  <c r="G19" i="11"/>
  <c r="H19" i="11" s="1"/>
  <c r="G37" i="7"/>
  <c r="C133" i="6"/>
  <c r="H267" i="6" s="1"/>
  <c r="H80" i="6"/>
  <c r="C80" i="6"/>
  <c r="E80" i="6"/>
  <c r="D80" i="6"/>
  <c r="B80" i="6"/>
  <c r="G80" i="6"/>
  <c r="I80" i="6"/>
  <c r="G17" i="11"/>
  <c r="H17" i="11" s="1"/>
  <c r="F78" i="6"/>
  <c r="H78" i="6"/>
  <c r="G78" i="6"/>
  <c r="C131" i="6"/>
  <c r="H265" i="6" s="1"/>
  <c r="I78" i="6"/>
  <c r="G35" i="7"/>
  <c r="C78" i="6"/>
  <c r="E78" i="6"/>
  <c r="D78" i="6"/>
  <c r="B78" i="6"/>
  <c r="G8" i="11"/>
  <c r="H8" i="11" s="1"/>
  <c r="B69" i="6"/>
  <c r="C122" i="6"/>
  <c r="H69" i="6"/>
  <c r="E69" i="6"/>
  <c r="C69" i="6"/>
  <c r="I69" i="6"/>
  <c r="D69" i="6"/>
  <c r="F69" i="6"/>
  <c r="G26" i="7"/>
  <c r="G69" i="6"/>
  <c r="E42" i="2"/>
  <c r="E44" i="2"/>
  <c r="I35" i="6"/>
  <c r="I45" i="6" s="1"/>
  <c r="G35" i="6"/>
  <c r="G53" i="6" s="1"/>
  <c r="E46" i="2"/>
  <c r="H14" i="2"/>
  <c r="D42" i="2"/>
  <c r="C35" i="6"/>
  <c r="C42" i="6" s="1"/>
  <c r="I263" i="6" l="1"/>
  <c r="AE263" i="6" s="1"/>
  <c r="I264" i="6"/>
  <c r="AE264" i="6" s="1"/>
  <c r="I267" i="6"/>
  <c r="AE267" i="6" s="1"/>
  <c r="I257" i="6"/>
  <c r="AE257" i="6" s="1"/>
  <c r="I262" i="6"/>
  <c r="AE262" i="6" s="1"/>
  <c r="I265" i="6"/>
  <c r="AE265" i="6" s="1"/>
  <c r="I256" i="6"/>
  <c r="AE256" i="6" s="1"/>
  <c r="I258" i="6"/>
  <c r="AE258" i="6" s="1"/>
  <c r="I260" i="6"/>
  <c r="AE260" i="6" s="1"/>
  <c r="I259" i="6"/>
  <c r="AE259" i="6" s="1"/>
  <c r="I266" i="6"/>
  <c r="AE266" i="6" s="1"/>
  <c r="E115" i="8"/>
  <c r="F115" i="8"/>
  <c r="E114" i="8"/>
  <c r="F114" i="8"/>
  <c r="H21" i="11"/>
  <c r="J78" i="6"/>
  <c r="F265" i="6" s="1"/>
  <c r="J70" i="6"/>
  <c r="F257" i="6" s="1"/>
  <c r="H256" i="6"/>
  <c r="H269" i="6" s="1"/>
  <c r="F281" i="6" s="1"/>
  <c r="C135" i="6"/>
  <c r="J69" i="6"/>
  <c r="F256" i="6" s="1"/>
  <c r="J80" i="6"/>
  <c r="F267" i="6" s="1"/>
  <c r="J71" i="6"/>
  <c r="F258" i="6" s="1"/>
  <c r="J75" i="6"/>
  <c r="F262" i="6" s="1"/>
  <c r="J73" i="6"/>
  <c r="F260" i="6" s="1"/>
  <c r="J79" i="6"/>
  <c r="F266" i="6" s="1"/>
  <c r="J72" i="6"/>
  <c r="F259" i="6" s="1"/>
  <c r="J77" i="6"/>
  <c r="F264" i="6" s="1"/>
  <c r="J74" i="6"/>
  <c r="F261" i="6" s="1"/>
  <c r="J76" i="6"/>
  <c r="F263" i="6" s="1"/>
  <c r="H46" i="2"/>
  <c r="I11" i="6"/>
  <c r="D44" i="2"/>
  <c r="C49" i="6"/>
  <c r="C43" i="6"/>
  <c r="C53" i="6"/>
  <c r="C48" i="6"/>
  <c r="C52" i="6"/>
  <c r="C46" i="6"/>
  <c r="C51" i="6"/>
  <c r="C50" i="6"/>
  <c r="C11" i="6"/>
  <c r="D46" i="2"/>
  <c r="G11" i="6"/>
  <c r="G18" i="6" s="1"/>
  <c r="C44" i="6"/>
  <c r="H10" i="2"/>
  <c r="H12" i="2"/>
  <c r="C47" i="6"/>
  <c r="C45" i="6"/>
  <c r="I44" i="6"/>
  <c r="I53" i="6"/>
  <c r="I48" i="6"/>
  <c r="G48" i="6"/>
  <c r="G47" i="6"/>
  <c r="G45" i="6"/>
  <c r="I51" i="6"/>
  <c r="I47" i="6"/>
  <c r="I46" i="6"/>
  <c r="G46" i="6"/>
  <c r="G51" i="6"/>
  <c r="G52" i="6"/>
  <c r="I52" i="6"/>
  <c r="I50" i="6"/>
  <c r="I43" i="6"/>
  <c r="G49" i="6"/>
  <c r="G44" i="6"/>
  <c r="G50" i="6"/>
  <c r="I49" i="6"/>
  <c r="I42" i="6"/>
  <c r="G43" i="6"/>
  <c r="G42" i="6"/>
  <c r="G114" i="8" l="1"/>
  <c r="G107" i="12" s="1"/>
  <c r="E107" i="12"/>
  <c r="F107" i="12"/>
  <c r="H114" i="8"/>
  <c r="H107" i="12" s="1"/>
  <c r="H115" i="8"/>
  <c r="H108" i="12" s="1"/>
  <c r="F108" i="12"/>
  <c r="G115" i="8"/>
  <c r="G108" i="12" s="1"/>
  <c r="E108" i="12"/>
  <c r="I269" i="6"/>
  <c r="AE269" i="6"/>
  <c r="F269" i="6"/>
  <c r="D281" i="6" s="1"/>
  <c r="H44" i="2"/>
  <c r="G22" i="6"/>
  <c r="G23" i="6"/>
  <c r="G21" i="6"/>
  <c r="G20" i="6"/>
  <c r="G24" i="6"/>
  <c r="G26" i="6"/>
  <c r="G25" i="6"/>
  <c r="G28" i="6"/>
  <c r="G29" i="6"/>
  <c r="G19" i="6"/>
  <c r="G27" i="6"/>
  <c r="H42" i="2"/>
  <c r="C28" i="6"/>
  <c r="C19" i="6"/>
  <c r="C26" i="6"/>
  <c r="C20" i="6"/>
  <c r="C27" i="6"/>
  <c r="C18" i="6"/>
  <c r="C24" i="6"/>
  <c r="C25" i="6"/>
  <c r="C21" i="6"/>
  <c r="C29" i="6"/>
  <c r="C22" i="6"/>
  <c r="C23" i="6"/>
  <c r="I23" i="6"/>
  <c r="I27" i="6"/>
  <c r="I28" i="6"/>
  <c r="I19" i="6"/>
  <c r="I25" i="6"/>
  <c r="I29" i="6"/>
  <c r="I24" i="6"/>
  <c r="I21" i="6"/>
  <c r="I26" i="6"/>
  <c r="I20" i="6"/>
  <c r="I22" i="6"/>
  <c r="I18" i="6"/>
  <c r="E40" i="2"/>
  <c r="E16" i="2"/>
  <c r="E48" i="2" s="1"/>
  <c r="E35" i="6"/>
  <c r="E42" i="6" s="1"/>
  <c r="J42" i="6" s="1"/>
  <c r="C256" i="6" s="1"/>
  <c r="D16" i="2"/>
  <c r="C10" i="3" l="1"/>
  <c r="F10" i="3" s="1"/>
  <c r="G21" i="7"/>
  <c r="C11" i="3"/>
  <c r="F11" i="3" s="1"/>
  <c r="D48" i="2"/>
  <c r="D40" i="2"/>
  <c r="H8" i="2"/>
  <c r="E11" i="6"/>
  <c r="E47" i="6"/>
  <c r="J47" i="6" s="1"/>
  <c r="C261" i="6" s="1"/>
  <c r="E53" i="6"/>
  <c r="J53" i="6" s="1"/>
  <c r="C267" i="6" s="1"/>
  <c r="E52" i="6"/>
  <c r="J52" i="6" s="1"/>
  <c r="C266" i="6" s="1"/>
  <c r="E44" i="6"/>
  <c r="J44" i="6" s="1"/>
  <c r="C258" i="6" s="1"/>
  <c r="E43" i="6"/>
  <c r="J43" i="6" s="1"/>
  <c r="C257" i="6" s="1"/>
  <c r="E45" i="6"/>
  <c r="J45" i="6" s="1"/>
  <c r="C259" i="6" s="1"/>
  <c r="E50" i="6"/>
  <c r="J50" i="6" s="1"/>
  <c r="C264" i="6" s="1"/>
  <c r="E48" i="6"/>
  <c r="J48" i="6" s="1"/>
  <c r="C262" i="6" s="1"/>
  <c r="E51" i="6"/>
  <c r="J51" i="6" s="1"/>
  <c r="C265" i="6" s="1"/>
  <c r="E49" i="6"/>
  <c r="J49" i="6" s="1"/>
  <c r="C263" i="6" s="1"/>
  <c r="E46" i="6"/>
  <c r="J46" i="6" s="1"/>
  <c r="C260" i="6" s="1"/>
  <c r="F21" i="3" l="1"/>
  <c r="C30" i="12" s="1"/>
  <c r="C269" i="6"/>
  <c r="H16" i="2"/>
  <c r="H19" i="2" s="1"/>
  <c r="H40" i="2"/>
  <c r="E29" i="6"/>
  <c r="J29" i="6" s="1"/>
  <c r="B267" i="6" s="1"/>
  <c r="AB267" i="6" s="1"/>
  <c r="AD267" i="6" s="1"/>
  <c r="E21" i="6"/>
  <c r="J21" i="6" s="1"/>
  <c r="B259" i="6" s="1"/>
  <c r="AB259" i="6" s="1"/>
  <c r="AD259" i="6" s="1"/>
  <c r="E27" i="6"/>
  <c r="J27" i="6" s="1"/>
  <c r="B265" i="6" s="1"/>
  <c r="AB265" i="6" s="1"/>
  <c r="AD265" i="6" s="1"/>
  <c r="E19" i="6"/>
  <c r="J19" i="6" s="1"/>
  <c r="B257" i="6" s="1"/>
  <c r="AB257" i="6" s="1"/>
  <c r="AD257" i="6" s="1"/>
  <c r="E26" i="6"/>
  <c r="J26" i="6" s="1"/>
  <c r="B264" i="6" s="1"/>
  <c r="AB264" i="6" s="1"/>
  <c r="AD264" i="6" s="1"/>
  <c r="E24" i="6"/>
  <c r="J24" i="6" s="1"/>
  <c r="B262" i="6" s="1"/>
  <c r="AB262" i="6" s="1"/>
  <c r="AD262" i="6" s="1"/>
  <c r="E25" i="6"/>
  <c r="J25" i="6" s="1"/>
  <c r="B263" i="6" s="1"/>
  <c r="AB263" i="6" s="1"/>
  <c r="AD263" i="6" s="1"/>
  <c r="E20" i="6"/>
  <c r="J20" i="6" s="1"/>
  <c r="B258" i="6" s="1"/>
  <c r="AB258" i="6" s="1"/>
  <c r="AD258" i="6" s="1"/>
  <c r="E23" i="6"/>
  <c r="J23" i="6" s="1"/>
  <c r="B261" i="6" s="1"/>
  <c r="AB261" i="6" s="1"/>
  <c r="AD261" i="6" s="1"/>
  <c r="E28" i="6"/>
  <c r="J28" i="6" s="1"/>
  <c r="B266" i="6" s="1"/>
  <c r="AB266" i="6" s="1"/>
  <c r="AD266" i="6" s="1"/>
  <c r="E22" i="6"/>
  <c r="J22" i="6" s="1"/>
  <c r="B260" i="6" s="1"/>
  <c r="AB260" i="6" s="1"/>
  <c r="AD260" i="6" s="1"/>
  <c r="E18" i="6"/>
  <c r="J18" i="6" s="1"/>
  <c r="B256" i="6" s="1"/>
  <c r="AB256" i="6" s="1"/>
  <c r="J8" i="2" l="1"/>
  <c r="E97" i="12"/>
  <c r="G97" i="12" s="1"/>
  <c r="AB269" i="6"/>
  <c r="AD256" i="6"/>
  <c r="AD269" i="6" s="1"/>
  <c r="G16" i="3"/>
  <c r="C26" i="12" s="1"/>
  <c r="G12" i="3"/>
  <c r="C22" i="12" s="1"/>
  <c r="G15" i="3"/>
  <c r="C25" i="12" s="1"/>
  <c r="G14" i="3"/>
  <c r="C24" i="12" s="1"/>
  <c r="G13" i="3"/>
  <c r="C23" i="12" s="1"/>
  <c r="G11" i="3"/>
  <c r="C21" i="12" s="1"/>
  <c r="G10" i="3"/>
  <c r="C20" i="12" s="1"/>
  <c r="AF261" i="6"/>
  <c r="H31" i="7" s="1"/>
  <c r="AF264" i="6"/>
  <c r="H34" i="7" s="1"/>
  <c r="AF267" i="6"/>
  <c r="H37" i="7" s="1"/>
  <c r="AF256" i="6"/>
  <c r="B269" i="6"/>
  <c r="AF258" i="6"/>
  <c r="H28" i="7" s="1"/>
  <c r="AF257" i="6"/>
  <c r="H27" i="7" s="1"/>
  <c r="AF260" i="6"/>
  <c r="H30" i="7" s="1"/>
  <c r="AF263" i="6"/>
  <c r="H33" i="7" s="1"/>
  <c r="AF265" i="6"/>
  <c r="H35" i="7" s="1"/>
  <c r="H48" i="2"/>
  <c r="G21" i="3"/>
  <c r="G17" i="3"/>
  <c r="C27" i="12" s="1"/>
  <c r="AA17" i="3"/>
  <c r="AA20" i="3" s="1"/>
  <c r="Y26" i="3" s="1"/>
  <c r="M42" i="3"/>
  <c r="B20" i="5" s="1"/>
  <c r="AF266" i="6"/>
  <c r="H36" i="7" s="1"/>
  <c r="AF262" i="6"/>
  <c r="H32" i="7" s="1"/>
  <c r="AF259" i="6"/>
  <c r="H29" i="7" s="1"/>
  <c r="J12" i="2"/>
  <c r="J11" i="2"/>
  <c r="J10" i="2"/>
  <c r="J14" i="2"/>
  <c r="J15" i="2"/>
  <c r="J9" i="2"/>
  <c r="J18" i="2"/>
  <c r="J13" i="2"/>
  <c r="D29" i="2"/>
  <c r="G13" i="12" s="1"/>
  <c r="G56" i="12" l="1"/>
  <c r="G270" i="6"/>
  <c r="E282" i="6" s="1"/>
  <c r="G61" i="12"/>
  <c r="M34" i="5"/>
  <c r="L34" i="5"/>
  <c r="K34" i="5"/>
  <c r="J34" i="5"/>
  <c r="J33" i="5"/>
  <c r="N34" i="5"/>
  <c r="O34" i="5"/>
  <c r="P34" i="5"/>
  <c r="Q34" i="5"/>
  <c r="R34" i="5"/>
  <c r="S34" i="5"/>
  <c r="T34" i="5"/>
  <c r="U34" i="5"/>
  <c r="K33" i="5"/>
  <c r="O33" i="5"/>
  <c r="S33" i="5"/>
  <c r="N33" i="5"/>
  <c r="U33" i="5"/>
  <c r="P33" i="5"/>
  <c r="T33" i="5"/>
  <c r="L33" i="5"/>
  <c r="M33" i="5"/>
  <c r="Q33" i="5"/>
  <c r="R33" i="5"/>
  <c r="I4" i="11"/>
  <c r="K270" i="6"/>
  <c r="H282" i="6" s="1"/>
  <c r="D270" i="6"/>
  <c r="F270" i="6"/>
  <c r="D282" i="6" s="1"/>
  <c r="E270" i="6"/>
  <c r="C270" i="6"/>
  <c r="J270" i="6"/>
  <c r="G282" i="6" s="1"/>
  <c r="L270" i="6"/>
  <c r="I282" i="6" s="1"/>
  <c r="H270" i="6"/>
  <c r="F282" i="6" s="1"/>
  <c r="B281" i="6"/>
  <c r="B270" i="6"/>
  <c r="H26" i="7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AF269" i="6"/>
  <c r="J19" i="2"/>
  <c r="D27" i="2"/>
  <c r="G12" i="12" s="1"/>
  <c r="H52" i="2"/>
  <c r="J48" i="2" s="1"/>
  <c r="P30" i="5"/>
  <c r="U38" i="5"/>
  <c r="P41" i="5"/>
  <c r="Q36" i="5"/>
  <c r="T30" i="5"/>
  <c r="L40" i="5"/>
  <c r="K41" i="5"/>
  <c r="S23" i="5"/>
  <c r="O38" i="5"/>
  <c r="O41" i="5"/>
  <c r="Q42" i="5"/>
  <c r="U36" i="5"/>
  <c r="O26" i="5"/>
  <c r="R35" i="5"/>
  <c r="O36" i="5"/>
  <c r="M31" i="5"/>
  <c r="R36" i="5"/>
  <c r="L37" i="5"/>
  <c r="P28" i="5"/>
  <c r="S37" i="5"/>
  <c r="P36" i="5"/>
  <c r="M25" i="5"/>
  <c r="T32" i="5"/>
  <c r="N27" i="5"/>
  <c r="T26" i="5"/>
  <c r="N40" i="5"/>
  <c r="N36" i="5"/>
  <c r="M26" i="5"/>
  <c r="L30" i="5"/>
  <c r="R26" i="5"/>
  <c r="U31" i="5"/>
  <c r="S29" i="5"/>
  <c r="T39" i="5"/>
  <c r="T37" i="5"/>
  <c r="P42" i="5"/>
  <c r="S27" i="5"/>
  <c r="R40" i="5"/>
  <c r="O40" i="5"/>
  <c r="O29" i="5"/>
  <c r="S42" i="5"/>
  <c r="O27" i="5"/>
  <c r="S41" i="5"/>
  <c r="R32" i="5"/>
  <c r="K24" i="5"/>
  <c r="R42" i="5"/>
  <c r="S25" i="5"/>
  <c r="N37" i="5"/>
  <c r="M23" i="5"/>
  <c r="L28" i="5"/>
  <c r="U39" i="5"/>
  <c r="M32" i="5"/>
  <c r="L23" i="5"/>
  <c r="P26" i="5"/>
  <c r="O24" i="5"/>
  <c r="Q27" i="5"/>
  <c r="K26" i="5"/>
  <c r="R25" i="5"/>
  <c r="Q23" i="5"/>
  <c r="U35" i="5"/>
  <c r="T42" i="5"/>
  <c r="Q35" i="5"/>
  <c r="O37" i="5"/>
  <c r="Q30" i="5"/>
  <c r="L32" i="5"/>
  <c r="M40" i="5"/>
  <c r="M35" i="5"/>
  <c r="O25" i="5"/>
  <c r="N39" i="5"/>
  <c r="P38" i="5"/>
  <c r="Q26" i="5"/>
  <c r="T23" i="5"/>
  <c r="L41" i="5"/>
  <c r="K40" i="5"/>
  <c r="P40" i="5"/>
  <c r="U40" i="5"/>
  <c r="S38" i="5"/>
  <c r="L25" i="5"/>
  <c r="P32" i="5"/>
  <c r="P23" i="5"/>
  <c r="S31" i="5"/>
  <c r="N41" i="5"/>
  <c r="L31" i="5"/>
  <c r="M37" i="5"/>
  <c r="P35" i="5"/>
  <c r="K23" i="5"/>
  <c r="K28" i="5"/>
  <c r="T41" i="5"/>
  <c r="N28" i="5"/>
  <c r="S26" i="5"/>
  <c r="P24" i="5"/>
  <c r="L26" i="5"/>
  <c r="U26" i="5"/>
  <c r="P31" i="5"/>
  <c r="O30" i="5"/>
  <c r="K29" i="5"/>
  <c r="S24" i="5"/>
  <c r="K25" i="5"/>
  <c r="L24" i="5"/>
  <c r="O31" i="5"/>
  <c r="J31" i="5"/>
  <c r="Q41" i="5"/>
  <c r="S39" i="5"/>
  <c r="Q37" i="5"/>
  <c r="M30" i="5"/>
  <c r="N38" i="5"/>
  <c r="T24" i="5"/>
  <c r="M42" i="5"/>
  <c r="L38" i="5"/>
  <c r="N31" i="5"/>
  <c r="T40" i="5"/>
  <c r="U32" i="5"/>
  <c r="S35" i="5"/>
  <c r="O42" i="5"/>
  <c r="Q38" i="5"/>
  <c r="K39" i="5"/>
  <c r="N24" i="5"/>
  <c r="P37" i="5"/>
  <c r="O28" i="5"/>
  <c r="O35" i="5"/>
  <c r="L27" i="5"/>
  <c r="Q40" i="5"/>
  <c r="N35" i="5"/>
  <c r="U41" i="5"/>
  <c r="P29" i="5"/>
  <c r="R39" i="5"/>
  <c r="U24" i="5"/>
  <c r="R24" i="5"/>
  <c r="U23" i="5"/>
  <c r="O23" i="5"/>
  <c r="N26" i="5"/>
  <c r="L36" i="5"/>
  <c r="K38" i="5"/>
  <c r="U37" i="5"/>
  <c r="Q32" i="5"/>
  <c r="R31" i="5"/>
  <c r="M29" i="5"/>
  <c r="M27" i="5"/>
  <c r="T29" i="5"/>
  <c r="S28" i="5"/>
  <c r="U27" i="5"/>
  <c r="N29" i="5"/>
  <c r="S32" i="5"/>
  <c r="N25" i="5"/>
  <c r="L29" i="5"/>
  <c r="L42" i="5"/>
  <c r="M28" i="5"/>
  <c r="K42" i="5"/>
  <c r="T28" i="5"/>
  <c r="S30" i="5"/>
  <c r="U42" i="5"/>
  <c r="Q31" i="5"/>
  <c r="K37" i="5"/>
  <c r="K31" i="5"/>
  <c r="R29" i="5"/>
  <c r="R23" i="5"/>
  <c r="N30" i="5"/>
  <c r="K30" i="5"/>
  <c r="R28" i="5"/>
  <c r="T35" i="5"/>
  <c r="S36" i="5"/>
  <c r="P39" i="5"/>
  <c r="K27" i="5"/>
  <c r="M24" i="5"/>
  <c r="R38" i="5"/>
  <c r="O32" i="5"/>
  <c r="L35" i="5"/>
  <c r="K36" i="5"/>
  <c r="P25" i="5"/>
  <c r="N42" i="5"/>
  <c r="N23" i="5"/>
  <c r="M39" i="5"/>
  <c r="S40" i="5"/>
  <c r="O39" i="5"/>
  <c r="Q39" i="5"/>
  <c r="K32" i="5"/>
  <c r="R41" i="5"/>
  <c r="U28" i="5"/>
  <c r="T31" i="5"/>
  <c r="P27" i="5"/>
  <c r="M36" i="5"/>
  <c r="Q24" i="5"/>
  <c r="M41" i="5"/>
  <c r="U30" i="5"/>
  <c r="T25" i="5"/>
  <c r="R37" i="5"/>
  <c r="Q29" i="5"/>
  <c r="Q28" i="5"/>
  <c r="R27" i="5"/>
  <c r="T36" i="5"/>
  <c r="N32" i="5"/>
  <c r="U25" i="5"/>
  <c r="U29" i="5"/>
  <c r="L39" i="5"/>
  <c r="R30" i="5"/>
  <c r="T27" i="5"/>
  <c r="K35" i="5"/>
  <c r="Q25" i="5"/>
  <c r="M38" i="5"/>
  <c r="T38" i="5"/>
  <c r="J27" i="5"/>
  <c r="J40" i="5"/>
  <c r="J26" i="5"/>
  <c r="J28" i="5"/>
  <c r="J24" i="5"/>
  <c r="J32" i="5"/>
  <c r="J35" i="5"/>
  <c r="J30" i="5"/>
  <c r="J36" i="5"/>
  <c r="J37" i="5"/>
  <c r="J38" i="5"/>
  <c r="J29" i="5"/>
  <c r="J42" i="5"/>
  <c r="J39" i="5"/>
  <c r="J41" i="5"/>
  <c r="J25" i="5"/>
  <c r="J23" i="5"/>
  <c r="D273" i="6"/>
  <c r="AA21" i="3"/>
  <c r="D274" i="6" l="1"/>
  <c r="F82" i="12"/>
  <c r="V34" i="5"/>
  <c r="N23" i="3" s="1"/>
  <c r="O23" i="3" s="1"/>
  <c r="V33" i="5"/>
  <c r="N22" i="3" s="1"/>
  <c r="O22" i="3" s="1"/>
  <c r="C282" i="6"/>
  <c r="B282" i="6"/>
  <c r="V23" i="5"/>
  <c r="N9" i="3" s="1"/>
  <c r="O9" i="3" s="1"/>
  <c r="V42" i="5"/>
  <c r="N34" i="3" s="1"/>
  <c r="O34" i="3" s="1"/>
  <c r="V36" i="5"/>
  <c r="N25" i="3" s="1"/>
  <c r="O25" i="3" s="1"/>
  <c r="V24" i="5"/>
  <c r="V27" i="5"/>
  <c r="N16" i="3" s="1"/>
  <c r="O16" i="3" s="1"/>
  <c r="V41" i="5"/>
  <c r="N33" i="3" s="1"/>
  <c r="O33" i="3" s="1"/>
  <c r="V38" i="5"/>
  <c r="N27" i="3" s="1"/>
  <c r="O27" i="3" s="1"/>
  <c r="V35" i="5"/>
  <c r="N24" i="3" s="1"/>
  <c r="O24" i="3" s="1"/>
  <c r="V26" i="5"/>
  <c r="N12" i="3" s="1"/>
  <c r="O12" i="3" s="1"/>
  <c r="V39" i="5"/>
  <c r="N31" i="3" s="1"/>
  <c r="O31" i="3" s="1"/>
  <c r="V37" i="5"/>
  <c r="N26" i="3" s="1"/>
  <c r="O26" i="3" s="1"/>
  <c r="V25" i="5"/>
  <c r="N11" i="3" s="1"/>
  <c r="O11" i="3" s="1"/>
  <c r="V29" i="5"/>
  <c r="N18" i="3" s="1"/>
  <c r="O18" i="3" s="1"/>
  <c r="V30" i="5"/>
  <c r="N19" i="3" s="1"/>
  <c r="O19" i="3" s="1"/>
  <c r="V28" i="5"/>
  <c r="N17" i="3" s="1"/>
  <c r="O17" i="3" s="1"/>
  <c r="V32" i="5"/>
  <c r="N21" i="3" s="1"/>
  <c r="O21" i="3" s="1"/>
  <c r="V40" i="5"/>
  <c r="N32" i="3" s="1"/>
  <c r="O32" i="3" s="1"/>
  <c r="V31" i="5"/>
  <c r="N20" i="3" s="1"/>
  <c r="O20" i="3" s="1"/>
  <c r="J50" i="2"/>
  <c r="J52" i="2" s="1"/>
  <c r="J43" i="2"/>
  <c r="J42" i="2"/>
  <c r="J45" i="2"/>
  <c r="D25" i="2"/>
  <c r="G10" i="12" s="1"/>
  <c r="G53" i="2"/>
  <c r="J44" i="2"/>
  <c r="J41" i="2"/>
  <c r="J46" i="2"/>
  <c r="J47" i="2"/>
  <c r="J40" i="2"/>
  <c r="D275" i="6" l="1"/>
  <c r="F84" i="12" s="1"/>
  <c r="F83" i="12"/>
  <c r="N10" i="3"/>
  <c r="O10" i="3" s="1"/>
  <c r="Q37" i="3" s="1"/>
  <c r="X7" i="3" s="1"/>
  <c r="J282" i="6"/>
  <c r="X12" i="3" l="1"/>
  <c r="X8" i="3"/>
  <c r="X10" i="3"/>
  <c r="X9" i="3"/>
  <c r="AC9" i="3" s="1"/>
  <c r="X11" i="3"/>
  <c r="B14" i="9"/>
  <c r="G42" i="12"/>
  <c r="E15" i="9"/>
  <c r="E25" i="9" s="1"/>
  <c r="B15" i="9"/>
  <c r="E14" i="9"/>
  <c r="E21" i="9" s="1"/>
  <c r="D48" i="12" l="1"/>
  <c r="G48" i="12" s="1"/>
  <c r="AC8" i="3"/>
  <c r="E22" i="9"/>
  <c r="E20" i="9"/>
  <c r="E19" i="9"/>
  <c r="E23" i="9"/>
  <c r="AC11" i="3" l="1"/>
  <c r="D51" i="12"/>
  <c r="G51" i="12" s="1"/>
  <c r="D49" i="12"/>
  <c r="G49" i="12" s="1"/>
  <c r="AC12" i="3"/>
  <c r="D52" i="12"/>
  <c r="G52" i="12" s="1"/>
  <c r="AC10" i="3"/>
  <c r="D50" i="12"/>
  <c r="G5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Alfredo</author>
  </authors>
  <commentList>
    <comment ref="C6" authorId="0" shapeId="0" xr:uid="{73195AD5-5CD3-41F4-99F2-F1C83CB2401B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Incluyendo espesor del piso y del techo. En techos inclinados, poner altura media</t>
        </r>
      </text>
    </comment>
    <comment ref="A21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Correspondiente a los muros expuestos, donde haya colindancia, no contabilizarlos y sólo se calcula en PB.
</t>
        </r>
      </text>
    </comment>
    <comment ref="A2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Eliminando superficie de garages o lavanderías que no se calefaccionan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LAHV-CRICYT</author>
    <author>AlfredoE</author>
    <author>Alfredo Esteves</author>
    <author>Esteves</author>
  </authors>
  <commentList>
    <comment ref="Z6" authorId="0" shapeId="0" xr:uid="{00000000-0006-0000-0200-000001000000}">
      <text>
        <r>
          <rPr>
            <u/>
            <sz val="8"/>
            <color indexed="81"/>
            <rFont val="Tahoma"/>
            <family val="2"/>
          </rPr>
          <t>Rendimientos típicos:</t>
        </r>
        <r>
          <rPr>
            <sz val="8"/>
            <color indexed="81"/>
            <rFont val="Tahoma"/>
            <family val="2"/>
          </rPr>
          <t xml:space="preserve">
1.00 para infrarrojos 
1.00 para calefacción por energía eléctrica.
0.75 para estufas de tiro balanceado 
0,75 para estufas a leña de alto rendimiento.
0.40 para hogares a leña 
0,50 para salamandras a leña
0.85 calefacción central por radiadores y/o piso radiante a gas.</t>
        </r>
      </text>
    </comment>
    <comment ref="AB8" authorId="1" shapeId="0" xr:uid="{0F01812A-9D1D-46CF-9605-60A6D4550054}">
      <text>
        <r>
          <rPr>
            <sz val="9"/>
            <color indexed="81"/>
            <rFont val="Tahoma"/>
            <family val="2"/>
          </rPr>
          <t>$/kg</t>
        </r>
      </text>
    </comment>
    <comment ref="L9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Ganancia Directa con un solo vidrio y sin aislacion nocturna.
</t>
        </r>
      </text>
    </comment>
    <comment ref="AB9" authorId="1" shapeId="0" xr:uid="{5D59A442-3575-4F85-97FE-BDEA63438DFE}">
      <text>
        <r>
          <rPr>
            <sz val="9"/>
            <color indexed="81"/>
            <rFont val="Tahoma"/>
            <family val="2"/>
          </rPr>
          <t>$/kg</t>
        </r>
      </text>
    </comment>
    <comment ref="D10" authorId="2" shapeId="0" xr:uid="{00000000-0006-0000-0200-00000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Ganancia Directa con dos vidrios (DVH) y sin aislacion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10" authorId="1" shapeId="0" xr:uid="{0DAAF3BF-C729-4137-BFA8-D079CC421B8E}">
      <text>
        <r>
          <rPr>
            <b/>
            <sz val="9"/>
            <color indexed="81"/>
            <rFont val="Tahoma"/>
            <family val="2"/>
          </rPr>
          <t>$/m3</t>
        </r>
        <r>
          <rPr>
            <sz val="9"/>
            <color indexed="81"/>
            <rFont val="Tahoma"/>
            <family val="2"/>
          </rPr>
          <t xml:space="preserve">
Aquí debe tener en cuenta que esto puede ser variable con el consumo, verifique</t>
        </r>
      </text>
    </comment>
    <comment ref="D1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1" authorId="0" shapeId="0" xr:uid="{00000000-0006-0000-0200-000009000000}">
      <text>
        <r>
          <rPr>
            <sz val="8"/>
            <color indexed="81"/>
            <rFont val="Tahoma"/>
            <family val="2"/>
          </rPr>
          <t>Ganancia Directa con un solo vidrio más aislación nocturna</t>
        </r>
      </text>
    </comment>
    <comment ref="AB11" authorId="1" shapeId="0" xr:uid="{B2383C31-5EDF-49F0-B303-8C90B1FA78C9}">
      <text>
        <r>
          <rPr>
            <b/>
            <sz val="9"/>
            <color indexed="81"/>
            <rFont val="Tahoma"/>
            <family val="2"/>
          </rPr>
          <t>$/litro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2" shapeId="0" xr:uid="{00000000-0006-0000-0200-00000B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2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Ganancia Directa con 2 vidrios (DVH) más aislación nocturna </t>
        </r>
      </text>
    </comment>
    <comment ref="AB12" authorId="1" shapeId="0" xr:uid="{F0DEEAC9-D8B8-46EF-AE5F-F863439885F3}">
      <text>
        <r>
          <rPr>
            <b/>
            <sz val="9"/>
            <color indexed="81"/>
            <rFont val="Tahoma"/>
            <family val="2"/>
          </rPr>
          <t>$/kg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2" shapeId="0" xr:uid="{00000000-0006-0000-0200-00000E000000}">
      <text>
        <r>
          <rPr>
            <sz val="8"/>
            <color indexed="81"/>
            <rFont val="Tahoma"/>
            <family val="2"/>
          </rPr>
          <t>Observar el valor en Kcomp, sino calcularlo en Kcomp al final</t>
        </r>
      </text>
    </comment>
    <comment ref="D14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 xml:space="preserve">0 para fundaciones no aisladas térmicamente.
Para fundaciones con aislación térmica colocar la conductancia térmica ver en Kcomp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6" authorId="0" shapeId="0" xr:uid="{00000000-0006-0000-0200-000012000000}">
      <text>
        <r>
          <rPr>
            <sz val="8"/>
            <color indexed="81"/>
            <rFont val="Tahoma"/>
            <family val="2"/>
          </rPr>
          <t>Muro Trombe de Hormigón con un solo vidrio y sin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7" authorId="0" shapeId="0" xr:uid="{00000000-0006-0000-0200-000013000000}">
      <text>
        <r>
          <rPr>
            <sz val="8"/>
            <color indexed="81"/>
            <rFont val="Tahoma"/>
            <family val="2"/>
          </rPr>
          <t xml:space="preserve">Muro Trombe de hormigón con 1 vidrio más aislación nocturna
</t>
        </r>
      </text>
    </comment>
    <comment ref="L18" authorId="0" shapeId="0" xr:uid="{00000000-0006-0000-0200-000014000000}">
      <text>
        <r>
          <rPr>
            <sz val="8"/>
            <color indexed="81"/>
            <rFont val="Tahoma"/>
            <family val="2"/>
          </rPr>
          <t xml:space="preserve">Muro trombe de hormigón 
con 2 vidrios
</t>
        </r>
      </text>
    </comment>
    <comment ref="Y18" authorId="2" shapeId="0" xr:uid="{00000000-0006-0000-0200-00001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AlfredoE:</t>
        </r>
        <r>
          <rPr>
            <sz val="9"/>
            <color indexed="81"/>
            <rFont val="Tahoma"/>
            <family val="2"/>
          </rPr>
          <t xml:space="preserve">
Densidad relativa del aire (adimensional). Se calcula a partir de la altitud s.n.m.
</t>
        </r>
      </text>
    </comment>
    <comment ref="L19" authorId="0" shapeId="0" xr:uid="{00000000-0006-0000-0200-000017000000}">
      <text>
        <r>
          <rPr>
            <sz val="8"/>
            <color indexed="81"/>
            <rFont val="Tahoma"/>
            <family val="2"/>
          </rPr>
          <t>Muro Trombe Hormigón con 2 vidrios más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9" authorId="2" shapeId="0" xr:uid="{00000000-0006-0000-0200-00001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Renovaciones de Aire por hora
</t>
        </r>
      </text>
    </comment>
    <comment ref="D20" authorId="2" shapeId="0" xr:uid="{00000000-0006-0000-0200-00001A000000}">
      <text>
        <r>
          <rPr>
            <b/>
            <sz val="8"/>
            <color indexed="81"/>
            <rFont val="Tahoma"/>
            <family val="2"/>
          </rPr>
          <t>RAH= 3 para ventanas con simple contacto y sin burletes
RAH= 1.5 para puertas y ventanas con simple contacto y burletes
RAH= 1.5 para puertas y ventanas con doble contacto sin burletes
RAH= 0.5 para puertas y ventanas con doble contacto y burletes en ellos.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 shapeId="0" xr:uid="{00000000-0006-0000-0200-00001B000000}">
      <text>
        <r>
          <rPr>
            <sz val="8"/>
            <color indexed="81"/>
            <rFont val="Tahoma"/>
            <family val="2"/>
          </rPr>
          <t xml:space="preserve">Muro Trombe de ladrillo con dos vidrios
</t>
        </r>
      </text>
    </comment>
    <comment ref="L21" authorId="0" shapeId="0" xr:uid="{00000000-0006-0000-0200-00001C000000}">
      <text>
        <r>
          <rPr>
            <b/>
            <sz val="8"/>
            <color indexed="81"/>
            <rFont val="Tahoma"/>
            <family val="2"/>
          </rPr>
          <t>Muro Trombe de Adobe con dos vidrios</t>
        </r>
      </text>
    </comment>
    <comment ref="L22" authorId="3" shapeId="0" xr:uid="{00000000-0006-0000-0200-00001D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vidrio simple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3" authorId="3" shapeId="0" xr:uid="{00000000-0006-0000-0200-00001E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DVH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4" authorId="0" shapeId="0" xr:uid="{00000000-0006-0000-0200-00001F000000}">
      <text>
        <r>
          <rPr>
            <b/>
            <sz val="8"/>
            <color indexed="81"/>
            <rFont val="Tahoma"/>
            <family val="2"/>
          </rPr>
          <t>Muro de agua de 22 cm promedio y un solo vidrio.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5" authorId="0" shapeId="0" xr:uid="{00000000-0006-0000-0200-000020000000}">
      <text>
        <r>
          <rPr>
            <b/>
            <sz val="8"/>
            <color indexed="81"/>
            <rFont val="Tahoma"/>
            <family val="2"/>
          </rPr>
          <t>Muro de agua de 22 cm promedio con doble vidriado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6" authorId="0" shapeId="0" xr:uid="{00000000-0006-0000-0200-000021000000}">
      <text>
        <r>
          <rPr>
            <b/>
            <sz val="8"/>
            <color indexed="81"/>
            <rFont val="Tahoma"/>
            <family val="2"/>
          </rPr>
          <t>Muro de agua de 22 cm promedio con un solo vidrio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7" authorId="0" shapeId="0" xr:uid="{00000000-0006-0000-0200-000022000000}">
      <text>
        <r>
          <rPr>
            <b/>
            <sz val="8"/>
            <color indexed="81"/>
            <rFont val="Tahoma"/>
            <family val="2"/>
          </rPr>
          <t>Muro de agua de 22 cm promedio con doble vidriado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1" authorId="0" shapeId="0" xr:uid="{00000000-0006-0000-0200-000023000000}">
      <text>
        <r>
          <rPr>
            <sz val="8"/>
            <color indexed="81"/>
            <rFont val="Tahoma"/>
            <family val="2"/>
          </rPr>
          <t>Invernadero Adosado con muro macizo, aventanamiento vertical y techo vidriado a 30°. La superficie es la proyectada vertical en la unión con el local a calefaccionar.</t>
        </r>
      </text>
    </comment>
    <comment ref="L32" authorId="0" shapeId="0" xr:uid="{00000000-0006-0000-0200-000024000000}">
      <text>
        <r>
          <rPr>
            <sz val="8"/>
            <color indexed="81"/>
            <rFont val="Tahoma"/>
            <family val="2"/>
          </rPr>
          <t xml:space="preserve">Invernadero adosado con muro posterior aislado térmicamente. Con aventanamiento vertical y techo vidriado inclinado a 30°.  La superficie es la proyectada vertical en la unión con el local a calefaccionar.
</t>
        </r>
      </text>
    </comment>
    <comment ref="L33" authorId="0" shapeId="0" xr:uid="{00000000-0006-0000-0200-000025000000}">
      <text>
        <r>
          <rPr>
            <sz val="8"/>
            <color indexed="81"/>
            <rFont val="Tahoma"/>
            <family val="2"/>
          </rPr>
          <t xml:space="preserve">Invernadero Integrado con muro macizo, aventanamiento vertical y techo vidriado a 30° y con aislación nocturna.  La superficie es la proyectada vertical en la unión con el local a calefaccionar.
</t>
        </r>
      </text>
    </comment>
    <comment ref="L34" authorId="0" shapeId="0" xr:uid="{00000000-0006-0000-0200-000026000000}">
      <text>
        <r>
          <rPr>
            <sz val="8"/>
            <color indexed="81"/>
            <rFont val="Tahoma"/>
            <family val="2"/>
          </rPr>
          <t xml:space="preserve">Invernadero Integrado con muro macizo, sólo aventanamiento vertical  y con aislación nocturna.  La superficie es la proyectada vertical en la unión con el local a calefaccionar.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AlfredoE</author>
  </authors>
  <commentList>
    <comment ref="H1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2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1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 Esteves</author>
  </authors>
  <commentList>
    <comment ref="B9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colocar en función de la tabla adjunta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2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D92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2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F92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2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I92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G27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75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</author>
  </authors>
  <commentList>
    <comment ref="B1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superficie cubierta a calefaccionar</t>
        </r>
      </text>
    </comment>
    <comment ref="B11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horizontal o inclinada / superfiie cubierta a calefaccionar</t>
        </r>
      </text>
    </comment>
    <comment ref="B12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vertical / superfiie cubierta a calefaccionar
</t>
        </r>
      </text>
    </comment>
    <comment ref="B13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volumen interior 
</t>
        </r>
      </text>
    </comment>
    <comment ref="G42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Cantidad de energía anual necesaria aportada por el sol (en %)</t>
        </r>
      </text>
    </comment>
    <comment ref="G4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Revisar el rendimiento en solapa balance de calefaccion para ajustar al combustible utilizado</t>
        </r>
      </text>
    </comment>
  </commentList>
</comments>
</file>

<file path=xl/sharedStrings.xml><?xml version="1.0" encoding="utf-8"?>
<sst xmlns="http://schemas.openxmlformats.org/spreadsheetml/2006/main" count="1549" uniqueCount="728">
  <si>
    <t>Total</t>
  </si>
  <si>
    <t>Norte</t>
  </si>
  <si>
    <t xml:space="preserve"> </t>
  </si>
  <si>
    <t>Este</t>
  </si>
  <si>
    <t>Oeste</t>
  </si>
  <si>
    <t>Sur</t>
  </si>
  <si>
    <t>Techos</t>
  </si>
  <si>
    <t>Componente</t>
  </si>
  <si>
    <t>Area (A)</t>
  </si>
  <si>
    <t>Conductancia (K)</t>
  </si>
  <si>
    <t>(A).(K)</t>
  </si>
  <si>
    <t>%</t>
  </si>
  <si>
    <t>Observaciones</t>
  </si>
  <si>
    <t>Fundaciones</t>
  </si>
  <si>
    <t>Infiltracion</t>
  </si>
  <si>
    <t>CNP</t>
  </si>
  <si>
    <t>´(A).(K)</t>
  </si>
  <si>
    <t>Vent. norte</t>
  </si>
  <si>
    <t>Vent. este y oeste</t>
  </si>
  <si>
    <t>CGP</t>
  </si>
  <si>
    <t xml:space="preserve">RCC = </t>
  </si>
  <si>
    <t>QAA:</t>
  </si>
  <si>
    <t>Ventanas</t>
  </si>
  <si>
    <t>Tipo1</t>
  </si>
  <si>
    <t>Tipo 2</t>
  </si>
  <si>
    <t>Volumen</t>
  </si>
  <si>
    <t>m3</t>
  </si>
  <si>
    <t>m²</t>
  </si>
  <si>
    <t>Pisos</t>
  </si>
  <si>
    <t>Cómputo de superficies y volumenes</t>
  </si>
  <si>
    <t>Descripcion</t>
  </si>
  <si>
    <t>Resist.Total</t>
  </si>
  <si>
    <t>Aislantes térmicos</t>
  </si>
  <si>
    <t>espesor 2.5 cm</t>
  </si>
  <si>
    <t>espesor 5 cm</t>
  </si>
  <si>
    <t>espesor 7.5 cm</t>
  </si>
  <si>
    <t>espesor 10 cm</t>
  </si>
  <si>
    <t>sin aislación</t>
  </si>
  <si>
    <t>El aislante podrá ir incorporado al techo</t>
  </si>
  <si>
    <t>al muro o a la fundación</t>
  </si>
  <si>
    <t>sin aislación con camara de aire</t>
  </si>
  <si>
    <t>espesor 1 cm</t>
  </si>
  <si>
    <t>tipo expandido</t>
  </si>
  <si>
    <t>Tipo rígido</t>
  </si>
  <si>
    <t xml:space="preserve"> - Lana de vidrio o telgopor</t>
  </si>
  <si>
    <t>15 kg/m3</t>
  </si>
  <si>
    <t xml:space="preserve"> - Poliuretano expandido o rígido 30 kg/m3</t>
  </si>
  <si>
    <t>Planchas de corcho - 300 kg/m3</t>
  </si>
  <si>
    <t>espesor 2 mm</t>
  </si>
  <si>
    <t>Cemento + perlita expandida 700 kg/m3</t>
  </si>
  <si>
    <t>espesor 3 mm</t>
  </si>
  <si>
    <t>espesor 5 mm</t>
  </si>
  <si>
    <t>espesor 15 cm</t>
  </si>
  <si>
    <t>Maderas</t>
  </si>
  <si>
    <t>espesor 1/2 "</t>
  </si>
  <si>
    <t>espesor 3/4 "</t>
  </si>
  <si>
    <t>espesor 1"</t>
  </si>
  <si>
    <t>espesor 2"</t>
  </si>
  <si>
    <t>Madera de roble</t>
  </si>
  <si>
    <t>Para madera de pino (700 kg/m3) multiplicar valores anteriores por 0.2/0.15</t>
  </si>
  <si>
    <t>Para madera de álamo (500 kg/m3) multiplicar valores anteriores por 0.2/0.12</t>
  </si>
  <si>
    <t>Para madera de ábedul (600 kg/m3) multiplicar valores anteriores por 0.2/0.125</t>
  </si>
  <si>
    <t>Para parquet utilizar valores para maderass de roble</t>
  </si>
  <si>
    <t>revocado ambas caras</t>
  </si>
  <si>
    <t>ladrillo visto ambas caras s/camara de aire</t>
  </si>
  <si>
    <t>ladrillo visto ambas caras c/camara de aire</t>
  </si>
  <si>
    <t>otra cara bolseado</t>
  </si>
  <si>
    <t>otra cara visto</t>
  </si>
  <si>
    <t>Normal H° ciclópeo</t>
  </si>
  <si>
    <t>Muro 1</t>
  </si>
  <si>
    <t>Muro 2</t>
  </si>
  <si>
    <t>Techo 1</t>
  </si>
  <si>
    <t>Techo 2</t>
  </si>
  <si>
    <t>Ventanas sur tipo 1</t>
  </si>
  <si>
    <t>Perímetro expuesto</t>
  </si>
  <si>
    <t>Kcal/hr</t>
  </si>
  <si>
    <t>FAS</t>
  </si>
  <si>
    <t>Porcentaje</t>
  </si>
  <si>
    <t>Total superficie de envolvente</t>
  </si>
  <si>
    <t>Subtotal - sup. Verticales</t>
  </si>
  <si>
    <t>Únicamente auxiliar - cálculo de superficie y volumen de techos inclinados:</t>
  </si>
  <si>
    <t>1- Calculo del CNP - Coeficiente Neto de Pérdidas</t>
  </si>
  <si>
    <t>Conductancia</t>
  </si>
  <si>
    <t xml:space="preserve"> (K)</t>
  </si>
  <si>
    <t>Localidad:</t>
  </si>
  <si>
    <t>GD1VR0</t>
  </si>
  <si>
    <t>Localidad</t>
  </si>
  <si>
    <t>Grados-día</t>
  </si>
  <si>
    <t>Chacras de Coria</t>
  </si>
  <si>
    <t>[°C.día/año]</t>
  </si>
  <si>
    <t>Puertas</t>
  </si>
  <si>
    <t>FACTOR DE AREA ENVOLVENTE / PISO</t>
  </si>
  <si>
    <t>Tipo 1</t>
  </si>
  <si>
    <t xml:space="preserve">        Muros</t>
  </si>
  <si>
    <t>Subtotal - FAEP Muros</t>
  </si>
  <si>
    <t>FAEP Techos</t>
  </si>
  <si>
    <t>FAEP para la vivienda</t>
  </si>
  <si>
    <t>Grados-día:</t>
  </si>
  <si>
    <t xml:space="preserve">  Temp. Min. Diseño:</t>
  </si>
  <si>
    <t>°C</t>
  </si>
  <si>
    <t>Rendimiento del artefacto de calefacción:</t>
  </si>
  <si>
    <t>Kwh/año</t>
  </si>
  <si>
    <t>Superficie proyectada horizontal:</t>
  </si>
  <si>
    <t>Superficie del techo:</t>
  </si>
  <si>
    <t>Superficie del muro lateral:</t>
  </si>
  <si>
    <t>Volumen:</t>
  </si>
  <si>
    <t xml:space="preserve">4- Calor Auxiliar Anual </t>
  </si>
  <si>
    <t>5- Calculo del Coeficiente Global de Pérdidas (G)</t>
  </si>
  <si>
    <t>6- Potencia de calefacción necesaria (para dimensionar estufas, radiadores, etc.)</t>
  </si>
  <si>
    <t>Superficie</t>
  </si>
  <si>
    <t>GD2VR0</t>
  </si>
  <si>
    <t>GD1VAN</t>
  </si>
  <si>
    <t>GD2VAN</t>
  </si>
  <si>
    <t>MTH 1V AN</t>
  </si>
  <si>
    <t>MTH 2V AN</t>
  </si>
  <si>
    <t>MTAd 2V</t>
  </si>
  <si>
    <t>MA 1V</t>
  </si>
  <si>
    <t>MA 2V</t>
  </si>
  <si>
    <t>MA 1V AN</t>
  </si>
  <si>
    <t>MA 2V AN</t>
  </si>
  <si>
    <t>IA MM 9/3</t>
  </si>
  <si>
    <t>IA MA 9/3</t>
  </si>
  <si>
    <t>m.lineales</t>
  </si>
  <si>
    <r>
      <t>m</t>
    </r>
    <r>
      <rPr>
        <vertAlign val="superscript"/>
        <sz val="10"/>
        <rFont val="Arial"/>
        <family val="2"/>
      </rPr>
      <t>3</t>
    </r>
  </si>
  <si>
    <t>térmica</t>
  </si>
  <si>
    <t>MTH 1V</t>
  </si>
  <si>
    <t>MTH 2V</t>
  </si>
  <si>
    <t>MTL 2V</t>
  </si>
  <si>
    <t>II MM 9/3 AN</t>
  </si>
  <si>
    <t>II MM 9  AN</t>
  </si>
  <si>
    <t>Valores para distinto material del marco y configuraciones de vidriado</t>
  </si>
  <si>
    <t>Material del marco</t>
  </si>
  <si>
    <t>% de área ocupada</t>
  </si>
  <si>
    <t>por el marco</t>
  </si>
  <si>
    <t>Aluminio</t>
  </si>
  <si>
    <t>Chapa de acero plegada</t>
  </si>
  <si>
    <t>Individual</t>
  </si>
  <si>
    <t>Resultante</t>
  </si>
  <si>
    <t>Ganancia</t>
  </si>
  <si>
    <t>Directa</t>
  </si>
  <si>
    <t>[m²]</t>
  </si>
  <si>
    <t>Muros</t>
  </si>
  <si>
    <t>Acumulad.</t>
  </si>
  <si>
    <t>Invernaderos</t>
  </si>
  <si>
    <t xml:space="preserve">Sólo colocar superficie del sistema </t>
  </si>
  <si>
    <t>elegido en la columna de superficie</t>
  </si>
  <si>
    <t xml:space="preserve">Fracción de Ahorro Solar resultante del edificio: </t>
  </si>
  <si>
    <t>(significa que este % será el ahorrado por año).</t>
  </si>
  <si>
    <t xml:space="preserve"> con 2.5 cm de pol.expandido</t>
  </si>
  <si>
    <t xml:space="preserve"> con 5 cm de pol.expandido</t>
  </si>
  <si>
    <t xml:space="preserve"> con 7.5 cm de pol.expandido</t>
  </si>
  <si>
    <t xml:space="preserve"> con 10 cm de pol.expandido</t>
  </si>
  <si>
    <t>Ladrillo 0.12 rev.ambas caras s/aislación térmica</t>
  </si>
  <si>
    <t>Muro doble ladrillo 0.12 m s/aislación térmica</t>
  </si>
  <si>
    <t>Ladrillon rev. ambas caras s/aislación térmica</t>
  </si>
  <si>
    <t>Losa de losetas 12 cm s/aislación térmica</t>
  </si>
  <si>
    <t>Ladrillon revocado una cara s/aislación térmica</t>
  </si>
  <si>
    <t>Ladrillo 0.12 rev.una cara s/aislación térmica</t>
  </si>
  <si>
    <t>Muros - Descripción</t>
  </si>
  <si>
    <t xml:space="preserve">Resistencia </t>
  </si>
  <si>
    <t xml:space="preserve"> "                "         con 2.5 cm de pol.expandido</t>
  </si>
  <si>
    <t>CUADRO DE DATOS</t>
  </si>
  <si>
    <t>Mes</t>
  </si>
  <si>
    <t>GDM18</t>
  </si>
  <si>
    <t>Rad/GD</t>
  </si>
  <si>
    <t>en Mj/m².°C</t>
  </si>
  <si>
    <t>MT180 1V</t>
  </si>
  <si>
    <t>GD1801V</t>
  </si>
  <si>
    <t>MT1802V</t>
  </si>
  <si>
    <t>GD1802V</t>
  </si>
  <si>
    <t>Valores en BTU/ft².°F</t>
  </si>
  <si>
    <t>LCR</t>
  </si>
  <si>
    <t>Calculo de la FAS mensual</t>
  </si>
  <si>
    <t>C</t>
  </si>
  <si>
    <t>D</t>
  </si>
  <si>
    <t>H</t>
  </si>
  <si>
    <t>LCRS</t>
  </si>
  <si>
    <t>AI</t>
  </si>
  <si>
    <t>R0</t>
  </si>
  <si>
    <t>MA 2VAN</t>
  </si>
  <si>
    <t>II MM 9 AN</t>
  </si>
  <si>
    <t>m² por cada m² de piso</t>
  </si>
  <si>
    <t>Area</t>
  </si>
  <si>
    <t>a</t>
  </si>
  <si>
    <t>Orientación</t>
  </si>
  <si>
    <t>c</t>
  </si>
  <si>
    <t>3- Ganancia de calor por infiltración</t>
  </si>
  <si>
    <t>Techo</t>
  </si>
  <si>
    <t>Horas</t>
  </si>
  <si>
    <t>SE</t>
  </si>
  <si>
    <t>E</t>
  </si>
  <si>
    <t>NE</t>
  </si>
  <si>
    <t>N</t>
  </si>
  <si>
    <t>NO</t>
  </si>
  <si>
    <t>O</t>
  </si>
  <si>
    <t>SO</t>
  </si>
  <si>
    <t>S</t>
  </si>
  <si>
    <t>1- Carge Térmica por Muros y Techos</t>
  </si>
  <si>
    <t>2 Ganancia por ventanas</t>
  </si>
  <si>
    <t>Volumen del espacio:</t>
  </si>
  <si>
    <t>4- Ganancias internas:</t>
  </si>
  <si>
    <t>6- Ganancias internas por equipamiento</t>
  </si>
  <si>
    <t>Valores en W/m²</t>
  </si>
  <si>
    <t>W/kcal/hr</t>
  </si>
  <si>
    <t>2-2 Energía gananda por ventanas - por conducción</t>
  </si>
  <si>
    <t>T.Ext.</t>
  </si>
  <si>
    <t>Factor</t>
  </si>
  <si>
    <t>Tmax.:</t>
  </si>
  <si>
    <t>Tmin.:</t>
  </si>
  <si>
    <t>1.0 Temperatura Exterior del aire horarias</t>
  </si>
  <si>
    <t>Temp. Exterior</t>
  </si>
  <si>
    <t>RAH</t>
  </si>
  <si>
    <t>Densidad relativa del aire:</t>
  </si>
  <si>
    <t>CONSUMOS TOTALES DE ENERGIA</t>
  </si>
  <si>
    <t>Ocup.</t>
  </si>
  <si>
    <t>Ilumin.</t>
  </si>
  <si>
    <t>Equip.</t>
  </si>
  <si>
    <t>Infiltr.</t>
  </si>
  <si>
    <t xml:space="preserve">2-3 Energía gananda por ventanas - por radiación solar </t>
  </si>
  <si>
    <t xml:space="preserve">Temperatura interior: </t>
  </si>
  <si>
    <t>Energía ganada por infiltración y ventilación</t>
  </si>
  <si>
    <t>Infiltración</t>
  </si>
  <si>
    <t>Ventilac.</t>
  </si>
  <si>
    <t>Energia en ventanas</t>
  </si>
  <si>
    <t>[Wh]</t>
  </si>
  <si>
    <t>Calculo del equipo acondicionador necesario</t>
  </si>
  <si>
    <t>Energía máxima necesaria:</t>
  </si>
  <si>
    <t>frig./hora</t>
  </si>
  <si>
    <t>Ton.refrig.</t>
  </si>
  <si>
    <t>2- Intercambio necesario [RAH]</t>
  </si>
  <si>
    <t>b</t>
  </si>
  <si>
    <t>d</t>
  </si>
  <si>
    <t>9- Coeficiente de presión diferencial</t>
  </si>
  <si>
    <t>(Diferencia entre fachadas)</t>
  </si>
  <si>
    <t>Relación</t>
  </si>
  <si>
    <t>Factor de corrección 1° piso</t>
  </si>
  <si>
    <t>Factor de corrrección 2°piso</t>
  </si>
  <si>
    <t>11- Coeficiente de presión diferencial corregido</t>
  </si>
  <si>
    <t>Para el 1° Piso</t>
  </si>
  <si>
    <t>Para el 2° Piso</t>
  </si>
  <si>
    <t>12. Elija el Factor de terreno:</t>
  </si>
  <si>
    <t>Frente al océano o mas de 5 km frente al agua</t>
  </si>
  <si>
    <t>Zona plana y edificios aislados</t>
  </si>
  <si>
    <t>Zona de barrios</t>
  </si>
  <si>
    <t>Urbana o industrial</t>
  </si>
  <si>
    <t>Centro de una ciudad</t>
  </si>
  <si>
    <t>Factor?</t>
  </si>
  <si>
    <t>13- Velocidad de viento revisada:</t>
  </si>
  <si>
    <t>14- Cálculo del área efectiva requerida, A:</t>
  </si>
  <si>
    <t>Para el primer piso:</t>
  </si>
  <si>
    <t>17- Si utiliza mosquitero divida las áreas por el factor de porosidad</t>
  </si>
  <si>
    <t>Factor de porosidad:</t>
  </si>
  <si>
    <t>Sin mosquitero</t>
  </si>
  <si>
    <t>Mosquitero metálico</t>
  </si>
  <si>
    <t>Mosquitero plástico</t>
  </si>
  <si>
    <t>19- Será necesario agregar más superficie en baños o cocinas para</t>
  </si>
  <si>
    <t>enfatizar la ventilación de estas áreas.</t>
  </si>
  <si>
    <t>m/hr</t>
  </si>
  <si>
    <t>Heladera</t>
  </si>
  <si>
    <t>T.V.</t>
  </si>
  <si>
    <t>5- Energía ganada por iluminación artificial: (Ingrese la potencia y las horas que permanece encendida)</t>
  </si>
  <si>
    <t>1-1 Diferencia de Temperaturas - Latitud: 35° - K=1.6 W/m².°C</t>
  </si>
  <si>
    <t>Uspallata</t>
  </si>
  <si>
    <t>Potrerillos</t>
  </si>
  <si>
    <t>Mendoza Observatorio</t>
  </si>
  <si>
    <t>Mendoza Aeropuerto</t>
  </si>
  <si>
    <t>Dagoberto Sardina</t>
  </si>
  <si>
    <t>Godoy Cruz</t>
  </si>
  <si>
    <t>Las Heras-Guaymallén</t>
  </si>
  <si>
    <t>Lugar:</t>
  </si>
  <si>
    <t>DATOS CLIMATICOS Y DE RADIACIÓN SOLAR/GRADOS DÍA DE CALEFACCIÓN TB = 18°c</t>
  </si>
  <si>
    <t>Temperaturas y datos de viento para balance de verano</t>
  </si>
  <si>
    <t>TMAA</t>
  </si>
  <si>
    <t>TMAM</t>
  </si>
  <si>
    <t>TM</t>
  </si>
  <si>
    <t>TMIM</t>
  </si>
  <si>
    <t>HGCC</t>
  </si>
  <si>
    <t>VelV</t>
  </si>
  <si>
    <t>TMAD</t>
  </si>
  <si>
    <t>TMID</t>
  </si>
  <si>
    <t>Balance Térmico Invierno-Verano para Edificios Sustentables</t>
  </si>
  <si>
    <t>Indique la localidad</t>
  </si>
  <si>
    <t>Numero de ocupantes (Noc.)</t>
  </si>
  <si>
    <t>Potencia [W]</t>
  </si>
  <si>
    <t>Energía [Wh]</t>
  </si>
  <si>
    <t>Total [Wh]</t>
  </si>
  <si>
    <t>Energía</t>
  </si>
  <si>
    <t>Radiación</t>
  </si>
  <si>
    <t>Conducción</t>
  </si>
  <si>
    <t>Ganancias por la envolvente</t>
  </si>
  <si>
    <t xml:space="preserve">              Ganancias internas</t>
  </si>
  <si>
    <t>Potencia [frigorías/hora]</t>
  </si>
  <si>
    <t>Potencia [toneladas de refrigeración]</t>
  </si>
  <si>
    <t>Hora</t>
  </si>
  <si>
    <t>Carga Enf.</t>
  </si>
  <si>
    <t>[°C]</t>
  </si>
  <si>
    <t xml:space="preserve">                   Agua </t>
  </si>
  <si>
    <t xml:space="preserve">        Mampostería</t>
  </si>
  <si>
    <t>[kg]</t>
  </si>
  <si>
    <t>[m²/m²</t>
  </si>
  <si>
    <t xml:space="preserve">Cantidad necesaria de masa térmica: </t>
  </si>
  <si>
    <t>Mampostería:</t>
  </si>
  <si>
    <t>ó</t>
  </si>
  <si>
    <t>kg</t>
  </si>
  <si>
    <t>Agua:</t>
  </si>
  <si>
    <t>Para el siguiente material:</t>
  </si>
  <si>
    <t>Densidad</t>
  </si>
  <si>
    <t>Espesor</t>
  </si>
  <si>
    <t>Sup. Necesaria</t>
  </si>
  <si>
    <t>Hormigón armado:</t>
  </si>
  <si>
    <t>Ladrillo:</t>
  </si>
  <si>
    <t>Ladrillón:</t>
  </si>
  <si>
    <t>Piedra:</t>
  </si>
  <si>
    <t>Adobe:</t>
  </si>
  <si>
    <t xml:space="preserve">Para water wall: </t>
  </si>
  <si>
    <t>Wh/m².°C</t>
  </si>
  <si>
    <t>Concreto</t>
  </si>
  <si>
    <t>Piedra</t>
  </si>
  <si>
    <t>Ladrillo</t>
  </si>
  <si>
    <t xml:space="preserve">Madera </t>
  </si>
  <si>
    <t>Adobe</t>
  </si>
  <si>
    <t>Admitancia asol.</t>
  </si>
  <si>
    <t>Arena</t>
  </si>
  <si>
    <t>[W/m².°C]</t>
  </si>
  <si>
    <t xml:space="preserve">              Admitancia térmica de materiales de acumulación </t>
  </si>
  <si>
    <t>W/m².°C</t>
  </si>
  <si>
    <t>2- Fracción de Ahorro Solar (FAS)</t>
  </si>
  <si>
    <t>3- Relación Carga Térmica/Colector</t>
  </si>
  <si>
    <t>[W/°C]</t>
  </si>
  <si>
    <t>1°Piso</t>
  </si>
  <si>
    <t>2°Piso</t>
  </si>
  <si>
    <t>Estas son superficies netas de ventilación, luego tener en cuenta las posibilidades</t>
  </si>
  <si>
    <t>de cada tipo de ventana y la obturación por el marco.</t>
  </si>
  <si>
    <t>Gas envasado [kg]:</t>
  </si>
  <si>
    <t>Gas natural [m3]</t>
  </si>
  <si>
    <t>Kerosene [lts]:</t>
  </si>
  <si>
    <t>Leña [kg]:</t>
  </si>
  <si>
    <t xml:space="preserve">Precio  </t>
  </si>
  <si>
    <t>Unitario</t>
  </si>
  <si>
    <t>Calefacción</t>
  </si>
  <si>
    <t>Costo</t>
  </si>
  <si>
    <t>Coeficientes peliculares:</t>
  </si>
  <si>
    <t>Para aire quieto</t>
  </si>
  <si>
    <t>para velocidad del lugar</t>
  </si>
  <si>
    <t>Calculo de resistencia térmica:</t>
  </si>
  <si>
    <t>m².°C/W</t>
  </si>
  <si>
    <t>Ladrillón</t>
  </si>
  <si>
    <t>Viento</t>
  </si>
  <si>
    <t>[km/hr]</t>
  </si>
  <si>
    <t>Aislación térmica</t>
  </si>
  <si>
    <t>Conductividad</t>
  </si>
  <si>
    <t>[m]</t>
  </si>
  <si>
    <t>Térmica [W/mK]</t>
  </si>
  <si>
    <t>ENFRIAMIENTO CONVECTIVO NOCTURNO</t>
  </si>
  <si>
    <t>CALOR DIARIO A EXTRAER:</t>
  </si>
  <si>
    <t>Obtención de las Renovaciones de Aire por hora</t>
  </si>
  <si>
    <t>En horas de calor ganado, es decir, positivo,</t>
  </si>
  <si>
    <t>Durmiendo</t>
  </si>
  <si>
    <t xml:space="preserve">Espesor </t>
  </si>
  <si>
    <t>óptimo</t>
  </si>
  <si>
    <t>Nota: sólo se debe operar con las celdas grisadas</t>
  </si>
  <si>
    <t>Noreste</t>
  </si>
  <si>
    <t>Sureste</t>
  </si>
  <si>
    <t>Suroeste</t>
  </si>
  <si>
    <t>Noroeste</t>
  </si>
  <si>
    <t>FAEP</t>
  </si>
  <si>
    <t>m²/m²</t>
  </si>
  <si>
    <t>FF:</t>
  </si>
  <si>
    <r>
      <t>m</t>
    </r>
    <r>
      <rPr>
        <vertAlign val="superscript"/>
        <sz val="10"/>
        <rFont val="Arial"/>
        <family val="2"/>
      </rPr>
      <t>-1</t>
    </r>
  </si>
  <si>
    <t xml:space="preserve">      del total</t>
  </si>
  <si>
    <t>Hoja de cálculo para obtener conductancias de muros y techos:</t>
  </si>
  <si>
    <t>Elemento y material</t>
  </si>
  <si>
    <r>
      <t>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.°C]</t>
    </r>
  </si>
  <si>
    <t>Lugar y velocidad de viento en Km/hr:</t>
  </si>
  <si>
    <t>km/h</t>
  </si>
  <si>
    <t>Velocidad de viento en metros/segundo</t>
  </si>
  <si>
    <t>m/s</t>
  </si>
  <si>
    <t>Resistencia</t>
  </si>
  <si>
    <t>Valor resultante de conductancia térmica</t>
  </si>
  <si>
    <t>Ver tecnología de incorporación del aislamiento térmico</t>
  </si>
  <si>
    <t xml:space="preserve">                                        "</t>
  </si>
  <si>
    <t>ladrillo visto ambas caras con cámara rellena con poliestireno expandido</t>
  </si>
  <si>
    <t>Con la aislación térmica protegida con revoque de concreto</t>
  </si>
  <si>
    <t>Una cara visto y otra con poliestireno expandido y revoque de concreto</t>
  </si>
  <si>
    <t>Ladrillon revocado una cara y la otra con piedra s/aislación térmica</t>
  </si>
  <si>
    <t>Espesor de la piedra 2 cm</t>
  </si>
  <si>
    <t>Con la aislación térmica protegida con revoque de concreto y piedra</t>
  </si>
  <si>
    <t>PVC ó Madera</t>
  </si>
  <si>
    <t>PVC ó Madera con cortina interior</t>
  </si>
  <si>
    <t>PVC ó Madera con cortina exterior</t>
  </si>
  <si>
    <t>PVC ó Madera con cortina interior y exterior</t>
  </si>
  <si>
    <t>Aluminio con cortina interior</t>
  </si>
  <si>
    <t>Aluminio con cortina exterior</t>
  </si>
  <si>
    <t>Aluminio con cortina interior y exterior</t>
  </si>
  <si>
    <t>Chapa plegada con cortina interior</t>
  </si>
  <si>
    <t>Chapa plegada con cortina exterior</t>
  </si>
  <si>
    <t>Chapa plegada con cortina interior y exterior</t>
  </si>
  <si>
    <t>Con 5 cm de hormigón alivianado</t>
  </si>
  <si>
    <t>Con 10 cm de hormigón alivianado</t>
  </si>
  <si>
    <t>TABLA DE AISLANTES TERMICOS</t>
  </si>
  <si>
    <t xml:space="preserve">Conductancia térmica de elementos: identifique el elemento y obtenga el valor de conductancia para </t>
  </si>
  <si>
    <t>colocar en la planilla de Balance de calefacción</t>
  </si>
  <si>
    <t>Nivel de actividad  (N.A.) (en mets) (ver tabla contigua)</t>
  </si>
  <si>
    <t>Muros 1</t>
  </si>
  <si>
    <t>Muros 2</t>
  </si>
  <si>
    <t>Techos 1</t>
  </si>
  <si>
    <t>Techos 2</t>
  </si>
  <si>
    <t>W</t>
  </si>
  <si>
    <t>RAH nocturnas</t>
  </si>
  <si>
    <r>
      <rPr>
        <b/>
        <sz val="10"/>
        <rFont val="Arial"/>
        <family val="2"/>
      </rPr>
      <t>Factor de Area Envolvente/Piso:</t>
    </r>
    <r>
      <rPr>
        <sz val="10"/>
        <rFont val="Arial"/>
        <family val="2"/>
      </rPr>
      <t xml:space="preserve"> ideal entre 1 y 2</t>
    </r>
  </si>
  <si>
    <t>Nota: Si hay un techo a dos aguas, se debe considerar cada lado por separado</t>
  </si>
  <si>
    <t>Longitud del techo "L":</t>
  </si>
  <si>
    <t>Altura mayor "H":</t>
  </si>
  <si>
    <t>Altura menor "h":</t>
  </si>
  <si>
    <t>Distancia entre ellas "d":</t>
  </si>
  <si>
    <r>
      <t>W/m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.°C</t>
    </r>
  </si>
  <si>
    <t>Potencia necesaria:</t>
  </si>
  <si>
    <t>Térmica</t>
  </si>
  <si>
    <t>Conductancias térmica de ventanas [W/m2.°C]</t>
  </si>
  <si>
    <t>Losa maciza 10 cm sin aislación térmica</t>
  </si>
  <si>
    <t>Chapa ext.-cieloraso susp. sin aislación térmica</t>
  </si>
  <si>
    <t>Chapa ext.-machimbre int. sin aislación térmica</t>
  </si>
  <si>
    <t>1 solo vidrio</t>
  </si>
  <si>
    <t>Doble Vidriado</t>
  </si>
  <si>
    <t>Hermético (DVH)</t>
  </si>
  <si>
    <t>Puertas opacas o hasta 10% de superficie vidriada</t>
  </si>
  <si>
    <t>CONDUCTANCIA DE VENTANAS Y/O PUERTAS VENTANA</t>
  </si>
  <si>
    <t>De madera maciza con tableros</t>
  </si>
  <si>
    <t>De chapa hueca</t>
  </si>
  <si>
    <t>De chapa hueca rellena con poliuretano</t>
  </si>
  <si>
    <t>(4 mm)</t>
  </si>
  <si>
    <t>(3+12+3)</t>
  </si>
  <si>
    <t xml:space="preserve"> 40 cm ancho x 70 cm profundidad</t>
  </si>
  <si>
    <t>Admitancia térmica a través del aire:</t>
  </si>
  <si>
    <t>Superficie de masa térmica a incluir:</t>
  </si>
  <si>
    <t>Factor "G" - Norma IRAM 11604 (=CGP/Volumen)</t>
  </si>
  <si>
    <t>Latitud</t>
  </si>
  <si>
    <t>Altura s.n.m.</t>
  </si>
  <si>
    <t>[°]</t>
  </si>
  <si>
    <t>m.s.n.m.</t>
  </si>
  <si>
    <t>Altitud:</t>
  </si>
  <si>
    <t>para el día de diseño, es decir, con temperatura exterior de:</t>
  </si>
  <si>
    <t>Es la potencia necesaria para alcanzar y mantener constante 21°C interior (sumado las ganancias internas</t>
  </si>
  <si>
    <t>Con 2,5 cm de placa rígida de poliuretano expandido</t>
  </si>
  <si>
    <t xml:space="preserve">Material del muro o de la capa en caso de </t>
  </si>
  <si>
    <t>tener varias</t>
  </si>
  <si>
    <t>Revoque de hormigón</t>
  </si>
  <si>
    <t>hi [W/m².°C] -  coeficiente pelicular interior</t>
  </si>
  <si>
    <t>he [W/m².°C] - coeficiente pelicular exterior</t>
  </si>
  <si>
    <t>Capa 6</t>
  </si>
  <si>
    <t>Capa 7</t>
  </si>
  <si>
    <t>Indique material, espesor y conductividad térmica del muro</t>
  </si>
  <si>
    <t>Indique material, espesor y conductividad térmica del techo</t>
  </si>
  <si>
    <t xml:space="preserve">Energía diaria gananda por ocupantes: </t>
  </si>
  <si>
    <t>[Wh/día]</t>
  </si>
  <si>
    <t>4.1 Energia ganada por presencia de personas</t>
  </si>
  <si>
    <t>Energía diaria gananda por iluminación artificial:</t>
  </si>
  <si>
    <t>Tipo 1 para un tipo de lámpara</t>
  </si>
  <si>
    <t>Tipo 2 para otro tipo de lámpara</t>
  </si>
  <si>
    <t>Si hubiera varias lámparas o focos</t>
  </si>
  <si>
    <t>de distinta potencia, calcular un</t>
  </si>
  <si>
    <t>valor medio y ponerlo en potencia</t>
  </si>
  <si>
    <t>Luego colocar la cantidad que están</t>
  </si>
  <si>
    <t>encendidos en cada hora.</t>
  </si>
  <si>
    <t>Indice por tipo de protección: colocar el valor consultando la tabla adjunta en función del tipo de protección de la ventana</t>
  </si>
  <si>
    <t>Consultar el valor de potencia de cada artefacto en la tabla adjunta. Son valores medios pero pueden variar de acuerdo a su categoría</t>
  </si>
  <si>
    <t>Cocina a gas</t>
  </si>
  <si>
    <t>Energía diaria gananda por el uso de equipamiento:</t>
  </si>
  <si>
    <t>Energía total</t>
  </si>
  <si>
    <t>nocturnas necesarias para enfriar el edificio.</t>
  </si>
  <si>
    <t>o subtropical con humedad relativa alta.</t>
  </si>
  <si>
    <t>Nota: Esto no es aplicable a zonas de clima tropical</t>
  </si>
  <si>
    <t>Distancia con edificios adyacentes [m]</t>
  </si>
  <si>
    <t>Altura del edificio adyacente [m]</t>
  </si>
  <si>
    <t>m</t>
  </si>
  <si>
    <t>Para ventilación durante:</t>
  </si>
  <si>
    <t xml:space="preserve">Dirección </t>
  </si>
  <si>
    <t>Predominante de viento</t>
  </si>
  <si>
    <r>
      <t xml:space="preserve">   Lado "</t>
    </r>
    <r>
      <rPr>
        <b/>
        <sz val="10"/>
        <rFont val="Arial"/>
        <family val="2"/>
      </rPr>
      <t>a"</t>
    </r>
    <r>
      <rPr>
        <sz val="10"/>
        <rFont val="Arial"/>
        <family val="2"/>
      </rPr>
      <t xml:space="preserve"> sería:</t>
    </r>
  </si>
  <si>
    <t>7- Angulo de Incidencia de la fachada contra el viento[°]</t>
  </si>
  <si>
    <t>Fachadas opuestas:</t>
  </si>
  <si>
    <t>a - c=</t>
  </si>
  <si>
    <t>a - b=</t>
  </si>
  <si>
    <t>a - d=</t>
  </si>
  <si>
    <t>a - techo=</t>
  </si>
  <si>
    <t>Entre fachada a y techo</t>
  </si>
  <si>
    <t>Entre fachada a y b</t>
  </si>
  <si>
    <t>Entre fachada a y d</t>
  </si>
  <si>
    <t xml:space="preserve">          Sobre fachada</t>
  </si>
  <si>
    <t>8- Coeficiente de presión (mirando el esquema de más abajo)</t>
  </si>
  <si>
    <t xml:space="preserve">          Sobre el techo</t>
  </si>
  <si>
    <t xml:space="preserve">    el viento entra por a y sale por c</t>
  </si>
  <si>
    <t xml:space="preserve">    el viento entra por a y sale por b</t>
  </si>
  <si>
    <t xml:space="preserve">    el viento entra por a y sale por d</t>
  </si>
  <si>
    <t xml:space="preserve">    el viento entra por a y sale por techo</t>
  </si>
  <si>
    <t>ubicación de las ventanas de entrada y salida del viento.</t>
  </si>
  <si>
    <t>Aquí coloque el coeficiente que corresponda de acuerdo a la</t>
  </si>
  <si>
    <t>10- Factor de corrección del coeficiente diferencial de presión</t>
  </si>
  <si>
    <t>las 24 h</t>
  </si>
  <si>
    <t>sólo de noche</t>
  </si>
  <si>
    <t>Cocinando</t>
  </si>
  <si>
    <t>Total diario:</t>
  </si>
  <si>
    <t>15- Area de ventana para el ingreso/salida de aire:</t>
  </si>
  <si>
    <t>16- Area de ventana para la salida del aire (sugeridas):</t>
  </si>
  <si>
    <t>% (Av/Sc)</t>
  </si>
  <si>
    <t xml:space="preserve">      Ingreso de aire</t>
  </si>
  <si>
    <t xml:space="preserve">          Salida aire</t>
  </si>
  <si>
    <t xml:space="preserve">               Total </t>
  </si>
  <si>
    <t>18- Valor de la superficie total dividido la sup. Cubierta (Sc)</t>
  </si>
  <si>
    <t>Tomando en cuenta el lado del viento</t>
  </si>
  <si>
    <t>Con estas aberturas aseguraríamos la ventilación suficiente como para enfriar el edificio en los</t>
  </si>
  <si>
    <t>días en que la velocidad de viento sea la media del mes.</t>
  </si>
  <si>
    <r>
      <t>m</t>
    </r>
    <r>
      <rPr>
        <vertAlign val="superscript"/>
        <sz val="10"/>
        <rFont val="Aparajita"/>
        <family val="2"/>
      </rPr>
      <t>3</t>
    </r>
  </si>
  <si>
    <t xml:space="preserve">1- Volumen del edificio, V </t>
  </si>
  <si>
    <t xml:space="preserve">3- Cantidad de aire requerido </t>
  </si>
  <si>
    <t>4- Ubicación:</t>
  </si>
  <si>
    <t>RAH - Renovación de Aire/Hora</t>
  </si>
  <si>
    <t>km/hr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</si>
  <si>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/hr</t>
    </r>
  </si>
  <si>
    <t>5- Velocidad de viento (media para enero):</t>
  </si>
  <si>
    <t xml:space="preserve">S </t>
  </si>
  <si>
    <t>BALANCE TERMICO DE VERANO (Sólo operar las celdas grisadas)</t>
  </si>
  <si>
    <t xml:space="preserve">que sume al final del día (en el total) la misma </t>
  </si>
  <si>
    <t>Datos correspondientes a:</t>
  </si>
  <si>
    <t>El viento presiona de tal manera que:</t>
  </si>
  <si>
    <t xml:space="preserve">Cuando las ventanas se ubican </t>
  </si>
  <si>
    <t xml:space="preserve">El coeficiente diferencial de </t>
  </si>
  <si>
    <t xml:space="preserve">presión a adoptar será: </t>
  </si>
  <si>
    <t>entre las siguientes fachadas, donde:</t>
  </si>
  <si>
    <t>6- Dirección predominante:</t>
  </si>
  <si>
    <t>Total [Wh/día]</t>
  </si>
  <si>
    <r>
      <t>2-1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Ventanas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</si>
  <si>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r>
      <t>1.1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</si>
  <si>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1.1 Energía gananda por muros y techos</t>
  </si>
  <si>
    <r>
      <t>1.2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</si>
  <si>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1.2 Energía gananda por muros y techos</t>
  </si>
  <si>
    <t>Ventilación Nocturna</t>
  </si>
  <si>
    <t>Calor extraído</t>
  </si>
  <si>
    <t>Temperatura interior:</t>
  </si>
  <si>
    <t>N° Ocupantes</t>
  </si>
  <si>
    <t>Nivel Activid.</t>
  </si>
  <si>
    <t xml:space="preserve">Tipo 1: </t>
  </si>
  <si>
    <t xml:space="preserve">Tipo 2: </t>
  </si>
  <si>
    <t>c.l.e</t>
  </si>
  <si>
    <t>h en que se usa</t>
  </si>
  <si>
    <t>Invierno</t>
  </si>
  <si>
    <t>Temp. Ext.</t>
  </si>
  <si>
    <t>Envolvente</t>
  </si>
  <si>
    <t>Ventilación</t>
  </si>
  <si>
    <t>Nocturna</t>
  </si>
  <si>
    <t xml:space="preserve">Total  </t>
  </si>
  <si>
    <t>Balance</t>
  </si>
  <si>
    <t>Ganancias</t>
  </si>
  <si>
    <t xml:space="preserve">Valores totales  </t>
  </si>
  <si>
    <t>Se deben colocar las RAH necesarias en celda grisada</t>
  </si>
  <si>
    <t xml:space="preserve">el programa colocará 0, para evitar que aumente la </t>
  </si>
  <si>
    <t xml:space="preserve">ganancia de calor en el edificio, dado que en esas horas </t>
  </si>
  <si>
    <t>Con este valor de RAH nocturnas se dimensionarán la ventanas para enfriamiento convectivo nocturno</t>
  </si>
  <si>
    <t xml:space="preserve">Colocar la superficie de masa térmica (usualmente la superficie de envolvente sola, si las </t>
  </si>
  <si>
    <t xml:space="preserve">Para tener en cuenta el enfriamiento por masa térmica colocar en la celdas grisada superficie y admitancia térmica </t>
  </si>
  <si>
    <t xml:space="preserve">correspondiente al material de acumulación del interior del edificio. </t>
  </si>
  <si>
    <t>Admitancia térmica (*)</t>
  </si>
  <si>
    <t>(*) intercambio convectivo - Ver capítulo 4 libro</t>
  </si>
  <si>
    <t>particiones internas son livianas o todo si todo es macizo). También puede ser que se diseñe particiones interiores</t>
  </si>
  <si>
    <t xml:space="preserve">como masa térmica y la envolvente liviana, en este caso poner sólo superficie de particiones interiores. . </t>
  </si>
  <si>
    <t>El piso se considera con masa térmica si es un piso macizo y sin alformbras. El de madera se debe considerar como tal.</t>
  </si>
  <si>
    <t>El cálculo de la temperatura interior corresponde</t>
  </si>
  <si>
    <t>al día que se utilizó en el balance de enfriamiento</t>
  </si>
  <si>
    <t>por lo tanto, al día más crítico del mes de enero y</t>
  </si>
  <si>
    <t>tomando en cuenta las ganancias de calor indicadas</t>
  </si>
  <si>
    <t>en la columna de carga de enfriamiento, que incluye</t>
  </si>
  <si>
    <t>la ventilación nocturna.</t>
  </si>
  <si>
    <t>Se muestran los pasos para determinar el área necesaria de ventanas</t>
  </si>
  <si>
    <t xml:space="preserve"> (sólo modificar las celdas grisadas)</t>
  </si>
  <si>
    <t>Para el segundo piso y siguientes:</t>
  </si>
  <si>
    <t>Sólo operar celdas grisadas</t>
  </si>
  <si>
    <t>CALCULO DE SUPERFICIE DE VENTANAS PARA VENTILACION NATURAL NOCTURNA PARA ENFRIAMIENTO</t>
  </si>
  <si>
    <t>ENFRIAMIENTO POR PRESENCIA DE MASA TERMICA COMBINADA CON VENTILACIÓN NOCTURNA</t>
  </si>
  <si>
    <t>(se considera techo horizontal)</t>
  </si>
  <si>
    <t>(Se considera el techo horizontal)</t>
  </si>
  <si>
    <t>Concreto:</t>
  </si>
  <si>
    <t>Vent. Rad.</t>
  </si>
  <si>
    <t>Vent. Cond.</t>
  </si>
  <si>
    <t>Total Gan.x</t>
  </si>
  <si>
    <t>Total Gan.</t>
  </si>
  <si>
    <t>Internas</t>
  </si>
  <si>
    <t>Totales</t>
  </si>
  <si>
    <t>Temp. Int.(**)</t>
  </si>
  <si>
    <t>(**) Temperatura Interior de Arranque: se debe colocar un valor para comenzar el cálculo. Luego se debe</t>
  </si>
  <si>
    <t xml:space="preserve">chequear que se llegue al mismo valor o a un valor cercano a las 22h. Si la temperatura tiende a aumentar </t>
  </si>
  <si>
    <t>hacia la tarde es que haría falta más superficie de masa térmica. Si se tiende a igualar está bien. Si varía</t>
  </si>
  <si>
    <t>muy poco a lo largo del día (digamos 1 o 2°C) podemos disminuir la masa térmica, aunque es preferible que</t>
  </si>
  <si>
    <t>ésta tenga más superficie que menos. Para otras consideraciones de masa térmica ver cap. 5 libro.</t>
  </si>
  <si>
    <r>
      <rPr>
        <b/>
        <sz val="10"/>
        <rFont val="Arial"/>
        <family val="2"/>
      </rPr>
      <t>Factor de Forma</t>
    </r>
    <r>
      <rPr>
        <sz val="10"/>
        <rFont val="Arial"/>
        <family val="2"/>
      </rPr>
      <t xml:space="preserve">: ideal entre 0,6 y 1,2 </t>
    </r>
  </si>
  <si>
    <t>el aire estará a mayor temperatura que el edificio. Esto se</t>
  </si>
  <si>
    <t>materializa cerrando el edificio tratando de minimizar las</t>
  </si>
  <si>
    <t>ganancias de calor.</t>
  </si>
  <si>
    <t xml:space="preserve">cantidad o mayor que el calor diario a extraer (indicado arriba) </t>
  </si>
  <si>
    <t>pero con signo negativo.</t>
  </si>
  <si>
    <t>Necesaria</t>
  </si>
  <si>
    <t>Local</t>
  </si>
  <si>
    <t>Cocina</t>
  </si>
  <si>
    <t>Sanitarios</t>
  </si>
  <si>
    <t>Oficinas</t>
  </si>
  <si>
    <t>Espacios diurnos</t>
  </si>
  <si>
    <t>Restaurant</t>
  </si>
  <si>
    <t>Laboratorios</t>
  </si>
  <si>
    <t xml:space="preserve">CALCULO DE SUPERFICIE DE VENTANAS PARA VENTILACION NATURAL </t>
  </si>
  <si>
    <t>Cuando las temperaturas exteriores sean de confort o ligeramente más elevadas, se puede ventilar directamente los locales</t>
  </si>
  <si>
    <t>http://www.ms.gba.gov.ar/sitios/edup/ley-de-higiene-y-seguridad-en-el-trabajo/</t>
  </si>
  <si>
    <t>En la tabla siguiente se indican valores para espacios interiores mas comunes, en RAH:</t>
  </si>
  <si>
    <t>desde el exterior, generando ventilación de confort. En este caso el nivel de renovaciones se puede consultar en la Tabla o en la página:</t>
  </si>
  <si>
    <t>La altura se puede conocer multiplicando por 3 cada nivel, en este caso</t>
  </si>
  <si>
    <t>un edificio de PB y 1º piso.</t>
  </si>
  <si>
    <t>Tomando en cuenta el lado que viene el viento</t>
  </si>
  <si>
    <t>de cada tipo de ventana (ver capìtulo 5 del libro) y la obturación del vano por el marco.</t>
  </si>
  <si>
    <t>NOTA: este valor no reemplaza al valor de ventilación necesaria indicada en el código de Edificación del Municipio correspondiente</t>
  </si>
  <si>
    <t xml:space="preserve"> donde se vaya a construir el edificio, por lo tanto, si esta área resulta menor, se adoptará la indicada por el Municipio.</t>
  </si>
  <si>
    <t>Puente del Inca</t>
  </si>
  <si>
    <t>MTBl 1V</t>
  </si>
  <si>
    <t>MTBl 2V</t>
  </si>
  <si>
    <t>Localidades</t>
  </si>
  <si>
    <t>Longitud</t>
  </si>
  <si>
    <t>Altitud s.n.m.</t>
  </si>
  <si>
    <t>Archivo</t>
  </si>
  <si>
    <t>Tunuyán</t>
  </si>
  <si>
    <t>33,0º S</t>
  </si>
  <si>
    <t>921 msnm</t>
  </si>
  <si>
    <t>33,3º S</t>
  </si>
  <si>
    <t>750 msnm</t>
  </si>
  <si>
    <t>Mendoza Aero</t>
  </si>
  <si>
    <t>32,85º S</t>
  </si>
  <si>
    <t>68,78º O</t>
  </si>
  <si>
    <t>69,2º O</t>
  </si>
  <si>
    <t>68,87º O</t>
  </si>
  <si>
    <t>700 msnm</t>
  </si>
  <si>
    <t>32,88º S</t>
  </si>
  <si>
    <t>68,85º O</t>
  </si>
  <si>
    <t>827 msnm</t>
  </si>
  <si>
    <t>32,95º S</t>
  </si>
  <si>
    <t>32,6º S</t>
  </si>
  <si>
    <t>69,33º O</t>
  </si>
  <si>
    <t>1891 msnm</t>
  </si>
  <si>
    <t>1400 msnm</t>
  </si>
  <si>
    <t>2720 msnm</t>
  </si>
  <si>
    <t>36,18º O</t>
  </si>
  <si>
    <t>69,9º O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</si>
  <si>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con ganancia directa o invernaderos, se debería incorporar 6 a 9 veces la superficie de </t>
    </r>
  </si>
  <si>
    <t>ganancia directa como masa térmica. Ver libro - capítulo 3 y 6.</t>
  </si>
  <si>
    <t>San Martín</t>
  </si>
  <si>
    <t>33,05º S</t>
  </si>
  <si>
    <t>68,25º O</t>
  </si>
  <si>
    <t>653 msnm</t>
  </si>
  <si>
    <t>1- FORMA</t>
  </si>
  <si>
    <t>FAEP Muros</t>
  </si>
  <si>
    <t>2- BALANCE TÉRMICO DE CALEFACCION:</t>
  </si>
  <si>
    <t>Fracción de Ahorro Solar:</t>
  </si>
  <si>
    <t>2.2 Fracción de Ahorro Solar:</t>
  </si>
  <si>
    <t>Superficie colectora total:</t>
  </si>
  <si>
    <t>2.3 Calor auxiliar anual y costo:</t>
  </si>
  <si>
    <t>m3 GN</t>
  </si>
  <si>
    <t>kg GE</t>
  </si>
  <si>
    <t>litros</t>
  </si>
  <si>
    <t>kg m.dura</t>
  </si>
  <si>
    <t>Valor</t>
  </si>
  <si>
    <t>Electricidad</t>
  </si>
  <si>
    <t>Precio</t>
  </si>
  <si>
    <t>Costo anual</t>
  </si>
  <si>
    <t>Importante</t>
  </si>
  <si>
    <t>2.3 Potencia de calefacción:</t>
  </si>
  <si>
    <t>3- BALANCE TERMICO DE ENFRIAMIENTO</t>
  </si>
  <si>
    <t>2.1 - Coeficiente Neto de Pérdidas (excluye ventanas N, E y O)</t>
  </si>
  <si>
    <t>3.1 Enfriamiento convectivo nocturno</t>
  </si>
  <si>
    <t>Superficie de ventanas de abrir:</t>
  </si>
  <si>
    <t>Con estas aberturas aseguraríamos la ventilación suficiente para el edificio en los</t>
  </si>
  <si>
    <t>Unidad</t>
  </si>
  <si>
    <t>Elemento:</t>
  </si>
  <si>
    <t>FF</t>
  </si>
  <si>
    <t xml:space="preserve">Proyecto: </t>
  </si>
  <si>
    <t>Proyecto (vivienda, local comercial, escuela, oficina, etc.)</t>
  </si>
  <si>
    <t>Ingrese el índice (residencial: 1,0; locales uso diurno: 0,4)</t>
  </si>
  <si>
    <t>E.Eléctrica [kWh/año]:</t>
  </si>
  <si>
    <t xml:space="preserve">c.l.e.: cantidad de lámparas </t>
  </si>
  <si>
    <t>encendidas en cada hora.</t>
  </si>
  <si>
    <t>LED</t>
  </si>
  <si>
    <t>Tubo LED</t>
  </si>
  <si>
    <t>Siempre resulta mejor utilizar superficies de salida mayores, en este</t>
  </si>
  <si>
    <t>caso se sugiere utilizar hasta dos veces el valor obtenido en el punto 15.</t>
  </si>
  <si>
    <t>BALANCE TERMICO SISTEMAS PASIVOS/ACTIVOS PARA EDIFICIOS</t>
  </si>
  <si>
    <t>PROYECTO:</t>
  </si>
  <si>
    <t xml:space="preserve">Localidad considerada: </t>
  </si>
  <si>
    <t xml:space="preserve">Ganancia térmica diaria: </t>
  </si>
  <si>
    <t>Wh/día</t>
  </si>
  <si>
    <t>Potencia del equipo de aire acondicionado mecánico (no incluye rendimiento del equipo)</t>
  </si>
  <si>
    <t>Masa Térmica considerada:</t>
  </si>
  <si>
    <r>
      <t>m</t>
    </r>
    <r>
      <rPr>
        <vertAlign val="superscript"/>
        <sz val="10"/>
        <rFont val="Arial"/>
        <family val="2"/>
      </rPr>
      <t>2</t>
    </r>
  </si>
  <si>
    <t>3.2 Ventilación Natural (en localidades o épocas que la temperatura exterior es de confort)</t>
  </si>
  <si>
    <t>Altura interior:</t>
  </si>
  <si>
    <t>CNP:</t>
  </si>
  <si>
    <t>W/°C</t>
  </si>
  <si>
    <t>Tomar el valor de consumo en 1h para el electrodoméstico de que se trate y colocarlo cada vez que se utilice en la hora correspondiente</t>
  </si>
  <si>
    <t>la cantidad de tiempo demandada según la siguiente equivalencia: si funciona 1h = colocar 0.5 ; si funciona 30 min. = 0.25 y así siguiendo.</t>
  </si>
  <si>
    <t>En cocina se considera 1 h para almuerzo y cena y 15 minutos para desayuno y mediatarde y si es a gas 1500W por hornalla y 3000 W el horno.</t>
  </si>
  <si>
    <t>Notebook</t>
  </si>
  <si>
    <t>Material</t>
  </si>
  <si>
    <t>Muros interiores</t>
  </si>
  <si>
    <t>Concrehaus</t>
  </si>
  <si>
    <t>Ladrillo hueco</t>
  </si>
  <si>
    <t>Espesor [m]</t>
  </si>
  <si>
    <t>Muros int.:</t>
  </si>
  <si>
    <t xml:space="preserve">Vivienda Perez </t>
  </si>
  <si>
    <t>Ancho de fachada (m)</t>
  </si>
  <si>
    <t>Puertas (m2)</t>
  </si>
  <si>
    <t>Ventanas (m2)</t>
  </si>
  <si>
    <r>
      <rPr>
        <b/>
        <sz val="10"/>
        <rFont val="Arial"/>
        <family val="2"/>
      </rPr>
      <t>Muros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</si>
  <si>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Sup. Cubierta a calefaccionar</t>
  </si>
  <si>
    <t xml:space="preserve">Temperatura interior para dimensionar el aire </t>
  </si>
  <si>
    <t>Temperatura interior para la ventilación natural</t>
  </si>
  <si>
    <t>[Wh/m².°C]</t>
  </si>
  <si>
    <t>Altura  del muro</t>
  </si>
  <si>
    <t>Altura media</t>
  </si>
  <si>
    <t>placa de yeso</t>
  </si>
  <si>
    <t>revoque plástico</t>
  </si>
  <si>
    <t>PLACA FIBROCEMENTO/OSB</t>
  </si>
  <si>
    <t xml:space="preserve">ladrillón </t>
  </si>
  <si>
    <t xml:space="preserve">Material del techo o de la capa en caso de </t>
  </si>
  <si>
    <t>revoque</t>
  </si>
  <si>
    <t>ladrillo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</si>
</sst>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164" formatCode="0.0"/>
    <numFmt numFmtId="165" formatCode="0.000"/>
    <numFmt numFmtId="166" formatCode="0.0%"/>
    <numFmt numFmtId="167" formatCode="[$$-2C0A]\ #,##0.0"/>
    <numFmt numFmtId="168" formatCode="&quot;$&quot;\ #,##0.00"/>
    <numFmt numFmtId="169" formatCode="&quot;$&quot;\ #,##0.0"/>
  </numFmts>
  <fonts count="25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b/>
      <sz val="9"/>
      <color indexed="81"/>
      <name val="Tahoma"/>
      <family val="2"/>
    </font>
    <font>
      <u/>
      <sz val="8"/>
      <color indexed="81"/>
      <name val="Tahoma"/>
      <family val="2"/>
    </font>
    <font>
      <vertAlign val="superscript"/>
      <sz val="10"/>
      <name val="Aparajita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5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43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99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24"/>
      </patternFill>
    </fill>
    <fill>
      <patternFill patternType="solid">
        <fgColor rgb="FFFFC000"/>
        <bgColor indexed="9"/>
      </patternFill>
    </fill>
    <fill>
      <patternFill patternType="solid">
        <fgColor theme="0" tint="-0.34998626667073579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BF6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9"/>
      </patternFill>
    </fill>
  </fills>
  <borders count="6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>
      <alignment vertical="top"/>
    </xf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1" applyNumberFormat="0" applyFont="0" applyBorder="0" applyAlignment="0" applyProtection="0"/>
  </cellStyleXfs>
  <cellXfs count="600">
    <xf numFmtId="0" fontId="0" fillId="0" borderId="0" xfId="0" applyAlignment="1"/>
    <xf numFmtId="0" fontId="3" fillId="0" borderId="0" xfId="0" applyFont="1" applyAlignment="1"/>
    <xf numFmtId="0" fontId="0" fillId="2" borderId="2" xfId="0" applyFill="1" applyBorder="1" applyAlignment="1"/>
    <xf numFmtId="2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4" borderId="0" xfId="0" applyFont="1" applyFill="1" applyAlignment="1"/>
    <xf numFmtId="0" fontId="0" fillId="4" borderId="0" xfId="0" applyFill="1" applyAlignment="1"/>
    <xf numFmtId="0" fontId="3" fillId="4" borderId="6" xfId="0" applyFont="1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6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/>
    <xf numFmtId="0" fontId="0" fillId="4" borderId="12" xfId="0" applyFill="1" applyBorder="1" applyAlignment="1"/>
    <xf numFmtId="0" fontId="3" fillId="4" borderId="9" xfId="0" applyFont="1" applyFill="1" applyBorder="1" applyAlignment="1"/>
    <xf numFmtId="164" fontId="0" fillId="4" borderId="0" xfId="0" applyNumberFormat="1" applyFill="1" applyAlignment="1"/>
    <xf numFmtId="0" fontId="0" fillId="4" borderId="14" xfId="0" applyFill="1" applyBorder="1" applyAlignment="1"/>
    <xf numFmtId="2" fontId="0" fillId="4" borderId="0" xfId="0" applyNumberFormat="1" applyFill="1" applyAlignment="1"/>
    <xf numFmtId="0" fontId="5" fillId="4" borderId="9" xfId="0" applyFont="1" applyFill="1" applyBorder="1" applyAlignment="1"/>
    <xf numFmtId="2" fontId="3" fillId="4" borderId="0" xfId="0" applyNumberFormat="1" applyFont="1" applyFill="1" applyAlignment="1"/>
    <xf numFmtId="0" fontId="3" fillId="4" borderId="11" xfId="0" applyFont="1" applyFill="1" applyBorder="1" applyAlignment="1"/>
    <xf numFmtId="2" fontId="0" fillId="4" borderId="13" xfId="0" applyNumberFormat="1" applyFill="1" applyBorder="1" applyAlignment="1"/>
    <xf numFmtId="0" fontId="0" fillId="4" borderId="13" xfId="0" applyFill="1" applyBorder="1" applyAlignment="1"/>
    <xf numFmtId="0" fontId="7" fillId="4" borderId="4" xfId="0" applyFont="1" applyFill="1" applyBorder="1" applyAlignment="1"/>
    <xf numFmtId="0" fontId="0" fillId="4" borderId="5" xfId="0" applyFill="1" applyBorder="1" applyAlignment="1"/>
    <xf numFmtId="0" fontId="0" fillId="4" borderId="15" xfId="0" applyFill="1" applyBorder="1" applyAlignment="1"/>
    <xf numFmtId="0" fontId="0" fillId="4" borderId="16" xfId="0" applyFill="1" applyBorder="1" applyAlignment="1"/>
    <xf numFmtId="0" fontId="3" fillId="4" borderId="8" xfId="0" applyFont="1" applyFill="1" applyBorder="1" applyAlignment="1"/>
    <xf numFmtId="0" fontId="0" fillId="4" borderId="17" xfId="0" applyFill="1" applyBorder="1" applyAlignment="1"/>
    <xf numFmtId="0" fontId="3" fillId="4" borderId="3" xfId="0" applyFont="1" applyFill="1" applyBorder="1" applyAlignment="1"/>
    <xf numFmtId="0" fontId="3" fillId="4" borderId="12" xfId="0" applyFont="1" applyFill="1" applyBorder="1" applyAlignment="1">
      <alignment horizontal="center"/>
    </xf>
    <xf numFmtId="164" fontId="3" fillId="4" borderId="0" xfId="0" applyNumberFormat="1" applyFont="1" applyFill="1" applyAlignment="1"/>
    <xf numFmtId="165" fontId="0" fillId="4" borderId="0" xfId="0" applyNumberFormat="1" applyFill="1" applyAlignment="1"/>
    <xf numFmtId="164" fontId="3" fillId="4" borderId="13" xfId="0" applyNumberFormat="1" applyFont="1" applyFill="1" applyBorder="1" applyAlignment="1"/>
    <xf numFmtId="0" fontId="3" fillId="4" borderId="7" xfId="0" applyFont="1" applyFill="1" applyBorder="1" applyAlignment="1"/>
    <xf numFmtId="0" fontId="3" fillId="4" borderId="18" xfId="0" applyFont="1" applyFill="1" applyBorder="1" applyAlignment="1"/>
    <xf numFmtId="0" fontId="0" fillId="4" borderId="19" xfId="0" applyFill="1" applyBorder="1" applyAlignment="1"/>
    <xf numFmtId="0" fontId="0" fillId="4" borderId="20" xfId="0" applyFill="1" applyBorder="1" applyAlignment="1"/>
    <xf numFmtId="0" fontId="0" fillId="4" borderId="4" xfId="0" applyFill="1" applyBorder="1" applyAlignment="1"/>
    <xf numFmtId="0" fontId="3" fillId="4" borderId="16" xfId="0" applyFont="1" applyFill="1" applyBorder="1" applyAlignment="1"/>
    <xf numFmtId="0" fontId="6" fillId="4" borderId="0" xfId="0" applyFont="1" applyFill="1" applyAlignment="1">
      <alignment horizontal="left"/>
    </xf>
    <xf numFmtId="0" fontId="3" fillId="4" borderId="21" xfId="0" applyFont="1" applyFill="1" applyBorder="1" applyAlignment="1"/>
    <xf numFmtId="0" fontId="0" fillId="4" borderId="22" xfId="0" applyFill="1" applyBorder="1" applyAlignment="1"/>
    <xf numFmtId="0" fontId="3" fillId="4" borderId="22" xfId="0" applyFont="1" applyFill="1" applyBorder="1" applyAlignment="1">
      <alignment horizontal="center"/>
    </xf>
    <xf numFmtId="0" fontId="0" fillId="4" borderId="23" xfId="0" applyFill="1" applyBorder="1" applyAlignment="1"/>
    <xf numFmtId="164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3" fillId="4" borderId="17" xfId="0" applyFont="1" applyFill="1" applyBorder="1" applyAlignment="1"/>
    <xf numFmtId="0" fontId="3" fillId="4" borderId="22" xfId="0" applyFont="1" applyFill="1" applyBorder="1" applyAlignment="1"/>
    <xf numFmtId="0" fontId="0" fillId="4" borderId="21" xfId="0" applyFill="1" applyBorder="1" applyAlignment="1"/>
    <xf numFmtId="0" fontId="3" fillId="4" borderId="10" xfId="0" applyFont="1" applyFill="1" applyBorder="1" applyAlignment="1"/>
    <xf numFmtId="164" fontId="0" fillId="4" borderId="10" xfId="0" applyNumberFormat="1" applyFill="1" applyBorder="1" applyAlignment="1"/>
    <xf numFmtId="2" fontId="0" fillId="5" borderId="24" xfId="0" applyNumberFormat="1" applyFill="1" applyBorder="1" applyAlignment="1"/>
    <xf numFmtId="164" fontId="0" fillId="4" borderId="24" xfId="0" applyNumberFormat="1" applyFill="1" applyBorder="1" applyAlignment="1"/>
    <xf numFmtId="0" fontId="0" fillId="4" borderId="3" xfId="0" applyFill="1" applyBorder="1" applyAlignment="1"/>
    <xf numFmtId="164" fontId="3" fillId="4" borderId="3" xfId="0" applyNumberFormat="1" applyFont="1" applyFill="1" applyBorder="1" applyAlignment="1"/>
    <xf numFmtId="1" fontId="3" fillId="4" borderId="18" xfId="0" applyNumberFormat="1" applyFont="1" applyFill="1" applyBorder="1" applyAlignment="1"/>
    <xf numFmtId="0" fontId="3" fillId="4" borderId="20" xfId="0" applyFont="1" applyFill="1" applyBorder="1" applyAlignment="1"/>
    <xf numFmtId="0" fontId="3" fillId="4" borderId="0" xfId="0" applyFont="1" applyFill="1" applyAlignment="1">
      <alignment horizont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3" fillId="4" borderId="4" xfId="0" applyFont="1" applyFill="1" applyBorder="1" applyAlignment="1"/>
    <xf numFmtId="0" fontId="3" fillId="7" borderId="16" xfId="0" applyFont="1" applyFill="1" applyBorder="1">
      <alignment vertical="top"/>
    </xf>
    <xf numFmtId="164" fontId="3" fillId="4" borderId="22" xfId="0" applyNumberFormat="1" applyFont="1" applyFill="1" applyBorder="1" applyAlignment="1"/>
    <xf numFmtId="0" fontId="10" fillId="4" borderId="0" xfId="0" applyFont="1" applyFill="1" applyAlignment="1"/>
    <xf numFmtId="0" fontId="10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16" xfId="0" applyFont="1" applyFill="1" applyBorder="1" applyAlignment="1"/>
    <xf numFmtId="0" fontId="3" fillId="4" borderId="16" xfId="0" applyFont="1" applyFill="1" applyBorder="1" applyAlignment="1">
      <alignment horizontal="center"/>
    </xf>
    <xf numFmtId="0" fontId="4" fillId="4" borderId="0" xfId="0" applyFont="1" applyFill="1" applyAlignment="1"/>
    <xf numFmtId="0" fontId="0" fillId="0" borderId="0" xfId="0">
      <alignment vertical="top"/>
    </xf>
    <xf numFmtId="166" fontId="0" fillId="0" borderId="0" xfId="0" applyNumberFormat="1" applyAlignment="1"/>
    <xf numFmtId="3" fontId="0" fillId="0" borderId="0" xfId="0" applyNumberFormat="1" applyAlignment="1"/>
    <xf numFmtId="166" fontId="0" fillId="4" borderId="0" xfId="0" applyNumberFormat="1" applyFill="1" applyAlignment="1"/>
    <xf numFmtId="166" fontId="4" fillId="4" borderId="0" xfId="0" applyNumberFormat="1" applyFont="1" applyFill="1" applyAlignment="1">
      <alignment horizontal="center"/>
    </xf>
    <xf numFmtId="166" fontId="10" fillId="4" borderId="0" xfId="0" applyNumberFormat="1" applyFont="1" applyFill="1" applyAlignment="1">
      <alignment horizontal="center"/>
    </xf>
    <xf numFmtId="166" fontId="3" fillId="4" borderId="5" xfId="0" applyNumberFormat="1" applyFont="1" applyFill="1" applyBorder="1" applyAlignment="1"/>
    <xf numFmtId="0" fontId="3" fillId="0" borderId="0" xfId="0" applyFont="1">
      <alignment vertical="top"/>
    </xf>
    <xf numFmtId="0" fontId="3" fillId="0" borderId="0" xfId="0" applyFont="1" applyAlignment="1">
      <alignment horizontal="center"/>
    </xf>
    <xf numFmtId="0" fontId="0" fillId="8" borderId="0" xfId="0" applyFill="1">
      <alignment vertical="top"/>
    </xf>
    <xf numFmtId="164" fontId="0" fillId="0" borderId="0" xfId="0" applyNumberFormat="1">
      <alignment vertical="top"/>
    </xf>
    <xf numFmtId="164" fontId="0" fillId="0" borderId="0" xfId="0" applyNumberFormat="1" applyAlignment="1"/>
    <xf numFmtId="166" fontId="3" fillId="0" borderId="0" xfId="0" applyNumberFormat="1" applyFont="1" applyAlignment="1"/>
    <xf numFmtId="0" fontId="0" fillId="9" borderId="25" xfId="0" applyFill="1" applyBorder="1" applyAlignment="1"/>
    <xf numFmtId="0" fontId="3" fillId="7" borderId="0" xfId="0" applyFont="1" applyFill="1">
      <alignment vertical="top"/>
    </xf>
    <xf numFmtId="0" fontId="0" fillId="7" borderId="0" xfId="0" applyFill="1">
      <alignment vertical="top"/>
    </xf>
    <xf numFmtId="0" fontId="3" fillId="7" borderId="0" xfId="0" applyFont="1" applyFill="1" applyAlignment="1">
      <alignment horizontal="center"/>
    </xf>
    <xf numFmtId="164" fontId="0" fillId="7" borderId="0" xfId="0" applyNumberFormat="1" applyFill="1">
      <alignment vertical="top"/>
    </xf>
    <xf numFmtId="0" fontId="0" fillId="7" borderId="8" xfId="0" applyFill="1" applyBorder="1">
      <alignment vertical="top"/>
    </xf>
    <xf numFmtId="0" fontId="0" fillId="7" borderId="6" xfId="0" applyFill="1" applyBorder="1">
      <alignment vertical="top"/>
    </xf>
    <xf numFmtId="0" fontId="3" fillId="7" borderId="24" xfId="0" applyFont="1" applyFill="1" applyBorder="1">
      <alignment vertical="top"/>
    </xf>
    <xf numFmtId="0" fontId="0" fillId="7" borderId="14" xfId="0" applyFill="1" applyBorder="1">
      <alignment vertical="top"/>
    </xf>
    <xf numFmtId="0" fontId="0" fillId="7" borderId="10" xfId="0" applyFill="1" applyBorder="1">
      <alignment vertical="top"/>
    </xf>
    <xf numFmtId="0" fontId="3" fillId="7" borderId="11" xfId="0" applyFont="1" applyFill="1" applyBorder="1">
      <alignment vertical="top"/>
    </xf>
    <xf numFmtId="0" fontId="0" fillId="7" borderId="24" xfId="0" applyFill="1" applyBorder="1">
      <alignment vertical="top"/>
    </xf>
    <xf numFmtId="0" fontId="3" fillId="7" borderId="7" xfId="0" applyFont="1" applyFill="1" applyBorder="1">
      <alignment vertical="top"/>
    </xf>
    <xf numFmtId="0" fontId="0" fillId="7" borderId="7" xfId="0" applyFill="1" applyBorder="1">
      <alignment vertical="top"/>
    </xf>
    <xf numFmtId="0" fontId="3" fillId="7" borderId="6" xfId="0" applyFont="1" applyFill="1" applyBorder="1">
      <alignment vertical="top"/>
    </xf>
    <xf numFmtId="0" fontId="0" fillId="7" borderId="9" xfId="0" applyFill="1" applyBorder="1">
      <alignment vertical="top"/>
    </xf>
    <xf numFmtId="0" fontId="3" fillId="7" borderId="9" xfId="0" applyFont="1" applyFill="1" applyBorder="1">
      <alignment vertical="top"/>
    </xf>
    <xf numFmtId="0" fontId="3" fillId="7" borderId="14" xfId="0" applyFont="1" applyFill="1" applyBorder="1">
      <alignment vertical="top"/>
    </xf>
    <xf numFmtId="0" fontId="0" fillId="4" borderId="27" xfId="0" applyFill="1" applyBorder="1" applyAlignment="1"/>
    <xf numFmtId="0" fontId="0" fillId="4" borderId="28" xfId="0" applyFill="1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0" fillId="4" borderId="17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2" borderId="0" xfId="0" applyFill="1" applyAlignment="1"/>
    <xf numFmtId="2" fontId="0" fillId="4" borderId="22" xfId="0" applyNumberFormat="1" applyFill="1" applyBorder="1" applyAlignment="1"/>
    <xf numFmtId="0" fontId="3" fillId="7" borderId="0" xfId="0" applyFont="1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164" fontId="0" fillId="8" borderId="0" xfId="0" applyNumberFormat="1" applyFill="1" applyAlignment="1"/>
    <xf numFmtId="164" fontId="0" fillId="2" borderId="0" xfId="0" applyNumberFormat="1" applyFill="1" applyAlignment="1"/>
    <xf numFmtId="0" fontId="13" fillId="4" borderId="0" xfId="0" applyFont="1" applyFill="1" applyAlignment="1"/>
    <xf numFmtId="167" fontId="3" fillId="4" borderId="14" xfId="0" applyNumberFormat="1" applyFont="1" applyFill="1" applyBorder="1" applyAlignment="1"/>
    <xf numFmtId="167" fontId="3" fillId="4" borderId="12" xfId="0" applyNumberFormat="1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2" fontId="0" fillId="4" borderId="24" xfId="0" applyNumberFormat="1" applyFill="1" applyBorder="1" applyAlignment="1"/>
    <xf numFmtId="0" fontId="3" fillId="4" borderId="24" xfId="0" applyFont="1" applyFill="1" applyBorder="1" applyAlignment="1"/>
    <xf numFmtId="0" fontId="15" fillId="3" borderId="15" xfId="0" applyFont="1" applyFill="1" applyBorder="1" applyAlignment="1"/>
    <xf numFmtId="0" fontId="3" fillId="3" borderId="17" xfId="0" applyFont="1" applyFill="1" applyBorder="1" applyAlignment="1"/>
    <xf numFmtId="0" fontId="3" fillId="3" borderId="22" xfId="0" applyFont="1" applyFill="1" applyBorder="1" applyAlignment="1"/>
    <xf numFmtId="0" fontId="15" fillId="3" borderId="23" xfId="0" applyFont="1" applyFill="1" applyBorder="1" applyAlignment="1"/>
    <xf numFmtId="0" fontId="0" fillId="4" borderId="2" xfId="0" applyFill="1" applyBorder="1" applyAlignment="1"/>
    <xf numFmtId="0" fontId="4" fillId="0" borderId="0" xfId="0" applyFont="1" applyAlignment="1"/>
    <xf numFmtId="0" fontId="3" fillId="4" borderId="1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0" xfId="0" applyFill="1" applyAlignment="1">
      <alignment horizontal="center"/>
    </xf>
    <xf numFmtId="2" fontId="3" fillId="4" borderId="13" xfId="0" applyNumberFormat="1" applyFont="1" applyFill="1" applyBorder="1" applyAlignment="1"/>
    <xf numFmtId="2" fontId="3" fillId="4" borderId="19" xfId="0" applyNumberFormat="1" applyFont="1" applyFill="1" applyBorder="1" applyAlignment="1"/>
    <xf numFmtId="2" fontId="4" fillId="4" borderId="20" xfId="0" applyNumberFormat="1" applyFont="1" applyFill="1" applyBorder="1" applyAlignment="1"/>
    <xf numFmtId="0" fontId="4" fillId="4" borderId="20" xfId="0" applyFont="1" applyFill="1" applyBorder="1" applyAlignment="1"/>
    <xf numFmtId="0" fontId="3" fillId="4" borderId="3" xfId="0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5" fontId="3" fillId="6" borderId="10" xfId="0" applyNumberFormat="1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4" fontId="3" fillId="6" borderId="24" xfId="0" applyNumberFormat="1" applyFont="1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10" borderId="0" xfId="0" applyFill="1" applyAlignment="1"/>
    <xf numFmtId="2" fontId="0" fillId="2" borderId="34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left"/>
    </xf>
    <xf numFmtId="164" fontId="0" fillId="4" borderId="2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164" fontId="0" fillId="4" borderId="23" xfId="0" applyNumberFormat="1" applyFill="1" applyBorder="1" applyAlignment="1">
      <alignment horizontal="left"/>
    </xf>
    <xf numFmtId="0" fontId="3" fillId="4" borderId="19" xfId="0" applyFont="1" applyFill="1" applyBorder="1" applyAlignment="1"/>
    <xf numFmtId="164" fontId="3" fillId="4" borderId="19" xfId="0" applyNumberFormat="1" applyFont="1" applyFill="1" applyBorder="1" applyAlignment="1">
      <alignment horizontal="center"/>
    </xf>
    <xf numFmtId="164" fontId="3" fillId="4" borderId="20" xfId="0" applyNumberFormat="1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left"/>
    </xf>
    <xf numFmtId="0" fontId="0" fillId="11" borderId="0" xfId="0" applyFill="1" applyAlignment="1"/>
    <xf numFmtId="0" fontId="0" fillId="10" borderId="5" xfId="0" applyFill="1" applyBorder="1" applyAlignment="1"/>
    <xf numFmtId="0" fontId="0" fillId="10" borderId="15" xfId="0" applyFill="1" applyBorder="1" applyAlignment="1"/>
    <xf numFmtId="167" fontId="3" fillId="12" borderId="0" xfId="0" applyNumberFormat="1" applyFont="1" applyFill="1" applyAlignment="1"/>
    <xf numFmtId="167" fontId="3" fillId="12" borderId="13" xfId="0" applyNumberFormat="1" applyFont="1" applyFill="1" applyBorder="1" applyAlignment="1"/>
    <xf numFmtId="0" fontId="3" fillId="11" borderId="0" xfId="0" applyFont="1" applyFill="1">
      <alignment vertical="top"/>
    </xf>
    <xf numFmtId="0" fontId="3" fillId="10" borderId="0" xfId="0" applyFont="1" applyFill="1" applyAlignment="1"/>
    <xf numFmtId="0" fontId="0" fillId="13" borderId="0" xfId="0" applyFill="1">
      <alignment vertical="top"/>
    </xf>
    <xf numFmtId="0" fontId="4" fillId="13" borderId="0" xfId="0" applyFont="1" applyFill="1">
      <alignment vertical="top"/>
    </xf>
    <xf numFmtId="0" fontId="4" fillId="10" borderId="11" xfId="0" applyFont="1" applyFill="1" applyBorder="1" applyAlignment="1"/>
    <xf numFmtId="165" fontId="0" fillId="4" borderId="2" xfId="0" applyNumberFormat="1" applyFill="1" applyBorder="1" applyAlignment="1"/>
    <xf numFmtId="2" fontId="0" fillId="4" borderId="2" xfId="0" applyNumberFormat="1" applyFill="1" applyBorder="1" applyAlignment="1"/>
    <xf numFmtId="0" fontId="3" fillId="13" borderId="10" xfId="0" applyFont="1" applyFill="1" applyBorder="1">
      <alignment vertical="top"/>
    </xf>
    <xf numFmtId="0" fontId="3" fillId="13" borderId="10" xfId="0" applyFont="1" applyFill="1" applyBorder="1" applyAlignment="1">
      <alignment horizontal="center" vertical="top"/>
    </xf>
    <xf numFmtId="0" fontId="3" fillId="10" borderId="10" xfId="0" applyFont="1" applyFill="1" applyBorder="1" applyAlignment="1">
      <alignment horizontal="center"/>
    </xf>
    <xf numFmtId="0" fontId="3" fillId="13" borderId="3" xfId="0" applyFont="1" applyFill="1" applyBorder="1">
      <alignment vertical="top"/>
    </xf>
    <xf numFmtId="0" fontId="3" fillId="13" borderId="3" xfId="0" applyFont="1" applyFill="1" applyBorder="1" applyAlignment="1">
      <alignment horizontal="center" vertical="top"/>
    </xf>
    <xf numFmtId="0" fontId="3" fillId="10" borderId="3" xfId="0" applyFont="1" applyFill="1" applyBorder="1" applyAlignment="1">
      <alignment horizontal="center"/>
    </xf>
    <xf numFmtId="0" fontId="0" fillId="13" borderId="2" xfId="0" applyFill="1" applyBorder="1">
      <alignment vertical="top"/>
    </xf>
    <xf numFmtId="0" fontId="0" fillId="14" borderId="2" xfId="0" applyFill="1" applyBorder="1" applyAlignment="1">
      <alignment horizontal="center" vertical="top"/>
    </xf>
    <xf numFmtId="0" fontId="0" fillId="10" borderId="2" xfId="0" applyFill="1" applyBorder="1" applyAlignment="1"/>
    <xf numFmtId="0" fontId="0" fillId="15" borderId="2" xfId="0" applyFill="1" applyBorder="1" applyAlignment="1">
      <alignment horizontal="center"/>
    </xf>
    <xf numFmtId="0" fontId="0" fillId="11" borderId="2" xfId="0" applyFill="1" applyBorder="1" applyAlignment="1"/>
    <xf numFmtId="0" fontId="3" fillId="13" borderId="0" xfId="0" applyFont="1" applyFill="1">
      <alignment vertical="top"/>
    </xf>
    <xf numFmtId="0" fontId="0" fillId="13" borderId="25" xfId="0" applyFill="1" applyBorder="1">
      <alignment vertical="top"/>
    </xf>
    <xf numFmtId="0" fontId="0" fillId="10" borderId="26" xfId="0" applyFill="1" applyBorder="1" applyAlignment="1"/>
    <xf numFmtId="2" fontId="0" fillId="13" borderId="0" xfId="0" applyNumberFormat="1" applyFill="1">
      <alignment vertical="top"/>
    </xf>
    <xf numFmtId="0" fontId="3" fillId="13" borderId="18" xfId="0" applyFont="1" applyFill="1" applyBorder="1">
      <alignment vertical="top"/>
    </xf>
    <xf numFmtId="2" fontId="3" fillId="13" borderId="19" xfId="0" applyNumberFormat="1" applyFont="1" applyFill="1" applyBorder="1">
      <alignment vertical="top"/>
    </xf>
    <xf numFmtId="0" fontId="3" fillId="13" borderId="20" xfId="0" applyFont="1" applyFill="1" applyBorder="1">
      <alignment vertical="top"/>
    </xf>
    <xf numFmtId="0" fontId="5" fillId="4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3" fillId="10" borderId="16" xfId="0" applyFont="1" applyFill="1" applyBorder="1" applyAlignment="1"/>
    <xf numFmtId="0" fontId="0" fillId="11" borderId="5" xfId="0" applyFill="1" applyBorder="1" applyAlignment="1"/>
    <xf numFmtId="0" fontId="3" fillId="4" borderId="42" xfId="0" applyFont="1" applyFill="1" applyBorder="1" applyAlignment="1"/>
    <xf numFmtId="0" fontId="3" fillId="4" borderId="15" xfId="0" applyFont="1" applyFill="1" applyBorder="1" applyAlignment="1"/>
    <xf numFmtId="0" fontId="0" fillId="11" borderId="22" xfId="0" applyFill="1" applyBorder="1" applyAlignment="1"/>
    <xf numFmtId="0" fontId="0" fillId="4" borderId="43" xfId="0" applyFill="1" applyBorder="1" applyAlignment="1"/>
    <xf numFmtId="2" fontId="0" fillId="13" borderId="12" xfId="0" applyNumberFormat="1" applyFill="1" applyBorder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2" fontId="0" fillId="5" borderId="0" xfId="0" applyNumberFormat="1" applyFill="1" applyAlignment="1">
      <alignment horizontal="center" vertical="top"/>
    </xf>
    <xf numFmtId="164" fontId="0" fillId="7" borderId="0" xfId="0" applyNumberFormat="1" applyFill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7" borderId="14" xfId="0" applyFill="1" applyBorder="1" applyAlignment="1">
      <alignment horizontal="center" vertical="top"/>
    </xf>
    <xf numFmtId="0" fontId="0" fillId="7" borderId="8" xfId="0" applyFill="1" applyBorder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0" fillId="7" borderId="12" xfId="0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/>
    </xf>
    <xf numFmtId="0" fontId="0" fillId="7" borderId="6" xfId="0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164" fontId="0" fillId="7" borderId="9" xfId="0" applyNumberFormat="1" applyFill="1" applyBorder="1" applyAlignment="1">
      <alignment horizontal="center" vertical="top"/>
    </xf>
    <xf numFmtId="164" fontId="0" fillId="7" borderId="24" xfId="0" applyNumberFormat="1" applyFill="1" applyBorder="1" applyAlignment="1">
      <alignment horizontal="center" vertical="top"/>
    </xf>
    <xf numFmtId="164" fontId="0" fillId="7" borderId="14" xfId="0" applyNumberFormat="1" applyFill="1" applyBorder="1" applyAlignment="1">
      <alignment horizontal="center" vertical="top"/>
    </xf>
    <xf numFmtId="164" fontId="0" fillId="7" borderId="11" xfId="0" applyNumberFormat="1" applyFill="1" applyBorder="1" applyAlignment="1">
      <alignment horizontal="center" vertical="top"/>
    </xf>
    <xf numFmtId="164" fontId="0" fillId="7" borderId="3" xfId="0" applyNumberFormat="1" applyFill="1" applyBorder="1" applyAlignment="1">
      <alignment horizontal="center" vertical="top"/>
    </xf>
    <xf numFmtId="164" fontId="0" fillId="7" borderId="13" xfId="0" applyNumberFormat="1" applyFill="1" applyBorder="1" applyAlignment="1">
      <alignment horizontal="center" vertical="top"/>
    </xf>
    <xf numFmtId="164" fontId="0" fillId="7" borderId="12" xfId="0" applyNumberFormat="1" applyFill="1" applyBorder="1" applyAlignment="1">
      <alignment horizontal="center" vertical="top"/>
    </xf>
    <xf numFmtId="166" fontId="0" fillId="7" borderId="13" xfId="0" applyNumberFormat="1" applyFill="1" applyBorder="1" applyAlignment="1">
      <alignment horizontal="center" vertical="top"/>
    </xf>
    <xf numFmtId="0" fontId="0" fillId="10" borderId="21" xfId="0" applyFill="1" applyBorder="1" applyAlignment="1"/>
    <xf numFmtId="0" fontId="0" fillId="9" borderId="0" xfId="0" applyFill="1" applyAlignment="1"/>
    <xf numFmtId="0" fontId="0" fillId="9" borderId="0" xfId="0" applyFill="1" applyAlignment="1">
      <alignment horizontal="center"/>
    </xf>
    <xf numFmtId="0" fontId="4" fillId="4" borderId="9" xfId="0" applyFont="1" applyFill="1" applyBorder="1" applyAlignment="1"/>
    <xf numFmtId="0" fontId="3" fillId="4" borderId="13" xfId="0" applyFont="1" applyFill="1" applyBorder="1" applyAlignment="1"/>
    <xf numFmtId="0" fontId="4" fillId="4" borderId="11" xfId="0" applyFont="1" applyFill="1" applyBorder="1" applyAlignment="1"/>
    <xf numFmtId="0" fontId="0" fillId="4" borderId="2" xfId="0" applyFill="1" applyBorder="1" applyAlignment="1">
      <alignment horizontal="right"/>
    </xf>
    <xf numFmtId="2" fontId="0" fillId="4" borderId="2" xfId="0" applyNumberFormat="1" applyFill="1" applyBorder="1" applyAlignment="1">
      <alignment horizontal="right"/>
    </xf>
    <xf numFmtId="0" fontId="4" fillId="4" borderId="6" xfId="0" applyFont="1" applyFill="1" applyBorder="1" applyAlignment="1"/>
    <xf numFmtId="0" fontId="4" fillId="11" borderId="0" xfId="0" applyFont="1" applyFill="1" applyAlignment="1"/>
    <xf numFmtId="165" fontId="0" fillId="4" borderId="7" xfId="0" applyNumberFormat="1" applyFill="1" applyBorder="1" applyAlignment="1"/>
    <xf numFmtId="2" fontId="0" fillId="4" borderId="8" xfId="0" applyNumberFormat="1" applyFill="1" applyBorder="1" applyAlignment="1"/>
    <xf numFmtId="2" fontId="0" fillId="4" borderId="14" xfId="0" applyNumberFormat="1" applyFill="1" applyBorder="1" applyAlignment="1"/>
    <xf numFmtId="0" fontId="5" fillId="4" borderId="2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7" borderId="5" xfId="0" applyFill="1" applyBorder="1">
      <alignment vertical="top"/>
    </xf>
    <xf numFmtId="0" fontId="0" fillId="7" borderId="15" xfId="0" applyFill="1" applyBorder="1">
      <alignment vertical="top"/>
    </xf>
    <xf numFmtId="0" fontId="0" fillId="7" borderId="16" xfId="0" applyFill="1" applyBorder="1">
      <alignment vertical="top"/>
    </xf>
    <xf numFmtId="0" fontId="0" fillId="7" borderId="21" xfId="0" applyFill="1" applyBorder="1">
      <alignment vertical="top"/>
    </xf>
    <xf numFmtId="0" fontId="0" fillId="7" borderId="17" xfId="0" applyFill="1" applyBorder="1">
      <alignment vertical="top"/>
    </xf>
    <xf numFmtId="0" fontId="0" fillId="14" borderId="22" xfId="0" applyFill="1" applyBorder="1">
      <alignment vertical="top"/>
    </xf>
    <xf numFmtId="0" fontId="0" fillId="7" borderId="23" xfId="0" applyFill="1" applyBorder="1">
      <alignment vertical="top"/>
    </xf>
    <xf numFmtId="0" fontId="3" fillId="7" borderId="4" xfId="0" applyFont="1" applyFill="1" applyBorder="1">
      <alignment vertical="top"/>
    </xf>
    <xf numFmtId="164" fontId="0" fillId="7" borderId="5" xfId="0" applyNumberFormat="1" applyFill="1" applyBorder="1">
      <alignment vertical="top"/>
    </xf>
    <xf numFmtId="2" fontId="0" fillId="7" borderId="0" xfId="0" applyNumberFormat="1" applyFill="1">
      <alignment vertical="top"/>
    </xf>
    <xf numFmtId="0" fontId="3" fillId="7" borderId="17" xfId="0" applyFont="1" applyFill="1" applyBorder="1">
      <alignment vertical="top"/>
    </xf>
    <xf numFmtId="0" fontId="0" fillId="7" borderId="22" xfId="0" applyFill="1" applyBorder="1">
      <alignment vertical="top"/>
    </xf>
    <xf numFmtId="2" fontId="0" fillId="7" borderId="22" xfId="0" applyNumberFormat="1" applyFill="1" applyBorder="1">
      <alignment vertical="top"/>
    </xf>
    <xf numFmtId="164" fontId="0" fillId="4" borderId="5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0" fontId="15" fillId="3" borderId="5" xfId="0" applyFont="1" applyFill="1" applyBorder="1" applyAlignment="1"/>
    <xf numFmtId="0" fontId="15" fillId="3" borderId="22" xfId="0" applyFont="1" applyFill="1" applyBorder="1" applyAlignment="1"/>
    <xf numFmtId="0" fontId="15" fillId="3" borderId="4" xfId="0" applyFont="1" applyFill="1" applyBorder="1" applyAlignment="1"/>
    <xf numFmtId="0" fontId="15" fillId="3" borderId="17" xfId="0" applyFont="1" applyFill="1" applyBorder="1" applyAlignment="1"/>
    <xf numFmtId="164" fontId="3" fillId="4" borderId="22" xfId="0" applyNumberFormat="1" applyFont="1" applyFill="1" applyBorder="1" applyAlignment="1">
      <alignment horizontal="center"/>
    </xf>
    <xf numFmtId="0" fontId="0" fillId="12" borderId="2" xfId="0" applyFill="1" applyBorder="1" applyAlignment="1"/>
    <xf numFmtId="164" fontId="0" fillId="4" borderId="5" xfId="0" applyNumberFormat="1" applyFill="1" applyBorder="1" applyAlignment="1"/>
    <xf numFmtId="0" fontId="10" fillId="4" borderId="2" xfId="0" applyFont="1" applyFill="1" applyBorder="1" applyAlignment="1"/>
    <xf numFmtId="0" fontId="4" fillId="13" borderId="2" xfId="0" applyFont="1" applyFill="1" applyBorder="1">
      <alignment vertical="top"/>
    </xf>
    <xf numFmtId="0" fontId="0" fillId="14" borderId="2" xfId="0" applyFill="1" applyBorder="1">
      <alignment vertical="top"/>
    </xf>
    <xf numFmtId="0" fontId="4" fillId="14" borderId="2" xfId="0" applyFont="1" applyFill="1" applyBorder="1">
      <alignment vertical="top"/>
    </xf>
    <xf numFmtId="0" fontId="10" fillId="14" borderId="2" xfId="0" applyFont="1" applyFill="1" applyBorder="1">
      <alignment vertical="top"/>
    </xf>
    <xf numFmtId="0" fontId="16" fillId="0" borderId="0" xfId="0" applyFont="1" applyAlignment="1">
      <alignment horizontal="justify" vertical="top" wrapText="1"/>
    </xf>
    <xf numFmtId="164" fontId="16" fillId="0" borderId="0" xfId="0" applyNumberFormat="1" applyFont="1" applyAlignment="1">
      <alignment horizontal="justify" vertical="top" wrapText="1"/>
    </xf>
    <xf numFmtId="0" fontId="4" fillId="7" borderId="0" xfId="0" applyFont="1" applyFill="1" applyAlignment="1">
      <alignment horizontal="center" vertical="top"/>
    </xf>
    <xf numFmtId="0" fontId="4" fillId="7" borderId="0" xfId="0" applyFont="1" applyFill="1">
      <alignment vertical="top"/>
    </xf>
    <xf numFmtId="0" fontId="4" fillId="0" borderId="0" xfId="0" applyFont="1">
      <alignment vertical="top"/>
    </xf>
    <xf numFmtId="0" fontId="3" fillId="7" borderId="15" xfId="0" applyFont="1" applyFill="1" applyBorder="1">
      <alignment vertical="top"/>
    </xf>
    <xf numFmtId="0" fontId="3" fillId="7" borderId="4" xfId="0" applyFont="1" applyFill="1" applyBorder="1" applyAlignment="1">
      <alignment horizontal="left" vertical="top"/>
    </xf>
    <xf numFmtId="0" fontId="4" fillId="7" borderId="36" xfId="0" applyFont="1" applyFill="1" applyBorder="1" applyAlignment="1">
      <alignment horizontal="center" vertical="top"/>
    </xf>
    <xf numFmtId="0" fontId="4" fillId="7" borderId="37" xfId="0" applyFont="1" applyFill="1" applyBorder="1" applyAlignment="1">
      <alignment horizontal="center" vertical="top"/>
    </xf>
    <xf numFmtId="0" fontId="0" fillId="4" borderId="33" xfId="0" applyFill="1" applyBorder="1" applyAlignment="1"/>
    <xf numFmtId="164" fontId="0" fillId="7" borderId="34" xfId="0" applyNumberFormat="1" applyFill="1" applyBorder="1" applyAlignment="1">
      <alignment horizontal="center" vertical="top"/>
    </xf>
    <xf numFmtId="166" fontId="0" fillId="7" borderId="34" xfId="0" applyNumberFormat="1" applyFill="1" applyBorder="1" applyAlignment="1">
      <alignment horizontal="center" vertical="top"/>
    </xf>
    <xf numFmtId="164" fontId="0" fillId="4" borderId="34" xfId="0" applyNumberFormat="1" applyFill="1" applyBorder="1" applyAlignment="1">
      <alignment horizontal="center"/>
    </xf>
    <xf numFmtId="166" fontId="0" fillId="4" borderId="35" xfId="0" applyNumberFormat="1" applyFill="1" applyBorder="1" applyAlignment="1">
      <alignment horizontal="center"/>
    </xf>
    <xf numFmtId="0" fontId="0" fillId="7" borderId="39" xfId="0" applyFill="1" applyBorder="1">
      <alignment vertical="top"/>
    </xf>
    <xf numFmtId="164" fontId="0" fillId="7" borderId="40" xfId="0" applyNumberFormat="1" applyFill="1" applyBorder="1" applyAlignment="1">
      <alignment horizontal="center" vertical="top"/>
    </xf>
    <xf numFmtId="166" fontId="0" fillId="7" borderId="40" xfId="0" applyNumberFormat="1" applyFill="1" applyBorder="1" applyAlignment="1">
      <alignment horizontal="center" vertical="top"/>
    </xf>
    <xf numFmtId="164" fontId="0" fillId="4" borderId="40" xfId="0" applyNumberFormat="1" applyFill="1" applyBorder="1" applyAlignment="1">
      <alignment horizontal="center"/>
    </xf>
    <xf numFmtId="166" fontId="0" fillId="4" borderId="41" xfId="0" applyNumberFormat="1" applyFill="1" applyBorder="1" applyAlignment="1">
      <alignment horizontal="center"/>
    </xf>
    <xf numFmtId="0" fontId="4" fillId="7" borderId="0" xfId="0" applyFont="1" applyFill="1" applyAlignment="1">
      <alignment horizontal="left" vertical="top"/>
    </xf>
    <xf numFmtId="0" fontId="0" fillId="7" borderId="20" xfId="0" applyFill="1" applyBorder="1" applyAlignment="1">
      <alignment horizontal="center" vertical="top"/>
    </xf>
    <xf numFmtId="0" fontId="3" fillId="7" borderId="0" xfId="0" applyFont="1" applyFill="1" applyAlignment="1">
      <alignment horizontal="left" vertical="top"/>
    </xf>
    <xf numFmtId="0" fontId="4" fillId="16" borderId="0" xfId="0" applyFont="1" applyFill="1">
      <alignment vertical="top"/>
    </xf>
    <xf numFmtId="0" fontId="0" fillId="16" borderId="0" xfId="0" applyFill="1">
      <alignment vertical="top"/>
    </xf>
    <xf numFmtId="0" fontId="0" fillId="17" borderId="0" xfId="0" applyFill="1" applyAlignment="1"/>
    <xf numFmtId="0" fontId="3" fillId="7" borderId="18" xfId="0" applyFont="1" applyFill="1" applyBorder="1" applyAlignment="1">
      <alignment horizontal="center" vertical="top"/>
    </xf>
    <xf numFmtId="0" fontId="6" fillId="4" borderId="0" xfId="0" applyFont="1" applyFill="1" applyAlignment="1"/>
    <xf numFmtId="0" fontId="0" fillId="7" borderId="18" xfId="0" applyFill="1" applyBorder="1">
      <alignment vertical="top"/>
    </xf>
    <xf numFmtId="0" fontId="0" fillId="7" borderId="27" xfId="0" applyFill="1" applyBorder="1">
      <alignment vertical="top"/>
    </xf>
    <xf numFmtId="0" fontId="0" fillId="7" borderId="45" xfId="0" applyFill="1" applyBorder="1">
      <alignment vertical="top"/>
    </xf>
    <xf numFmtId="0" fontId="0" fillId="7" borderId="30" xfId="0" applyFill="1" applyBorder="1">
      <alignment vertical="top"/>
    </xf>
    <xf numFmtId="0" fontId="0" fillId="7" borderId="44" xfId="0" applyFill="1" applyBorder="1">
      <alignment vertical="top"/>
    </xf>
    <xf numFmtId="0" fontId="4" fillId="7" borderId="15" xfId="0" applyFont="1" applyFill="1" applyBorder="1">
      <alignment vertical="top"/>
    </xf>
    <xf numFmtId="0" fontId="4" fillId="7" borderId="19" xfId="0" applyFont="1" applyFill="1" applyBorder="1">
      <alignment vertical="top"/>
    </xf>
    <xf numFmtId="0" fontId="4" fillId="7" borderId="20" xfId="0" applyFont="1" applyFill="1" applyBorder="1">
      <alignment vertical="top"/>
    </xf>
    <xf numFmtId="0" fontId="4" fillId="7" borderId="18" xfId="0" applyFont="1" applyFill="1" applyBorder="1" applyAlignment="1">
      <alignment horizontal="center" vertical="top"/>
    </xf>
    <xf numFmtId="0" fontId="0" fillId="8" borderId="20" xfId="0" applyFill="1" applyBorder="1" applyAlignment="1">
      <alignment horizontal="center" vertical="top"/>
    </xf>
    <xf numFmtId="0" fontId="4" fillId="7" borderId="44" xfId="0" applyFont="1" applyFill="1" applyBorder="1">
      <alignment vertical="top"/>
    </xf>
    <xf numFmtId="0" fontId="0" fillId="8" borderId="45" xfId="0" applyFill="1" applyBorder="1" applyAlignment="1">
      <alignment horizontal="center" vertical="top"/>
    </xf>
    <xf numFmtId="0" fontId="0" fillId="8" borderId="30" xfId="0" applyFill="1" applyBorder="1" applyAlignment="1">
      <alignment horizontal="center" vertical="top"/>
    </xf>
    <xf numFmtId="0" fontId="10" fillId="7" borderId="27" xfId="0" applyFont="1" applyFill="1" applyBorder="1" applyAlignment="1">
      <alignment horizontal="center" vertical="top"/>
    </xf>
    <xf numFmtId="0" fontId="4" fillId="7" borderId="21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horizontal="center" vertical="top"/>
    </xf>
    <xf numFmtId="0" fontId="10" fillId="7" borderId="15" xfId="0" applyFont="1" applyFill="1" applyBorder="1" applyAlignment="1">
      <alignment horizontal="center" vertical="top"/>
    </xf>
    <xf numFmtId="0" fontId="3" fillId="7" borderId="27" xfId="0" applyFont="1" applyFill="1" applyBorder="1">
      <alignment vertical="top"/>
    </xf>
    <xf numFmtId="0" fontId="3" fillId="7" borderId="30" xfId="0" applyFont="1" applyFill="1" applyBorder="1">
      <alignment vertical="top"/>
    </xf>
    <xf numFmtId="0" fontId="3" fillId="7" borderId="45" xfId="0" applyFont="1" applyFill="1" applyBorder="1">
      <alignment vertical="top"/>
    </xf>
    <xf numFmtId="0" fontId="0" fillId="8" borderId="19" xfId="0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/>
    </xf>
    <xf numFmtId="0" fontId="0" fillId="8" borderId="21" xfId="0" applyFill="1" applyBorder="1" applyAlignment="1">
      <alignment horizontal="center" vertical="top"/>
    </xf>
    <xf numFmtId="0" fontId="0" fillId="8" borderId="23" xfId="0" applyFill="1" applyBorder="1" applyAlignment="1">
      <alignment horizontal="center" vertical="top"/>
    </xf>
    <xf numFmtId="0" fontId="0" fillId="7" borderId="21" xfId="0" applyFill="1" applyBorder="1" applyAlignment="1">
      <alignment horizontal="center" vertical="top"/>
    </xf>
    <xf numFmtId="0" fontId="0" fillId="7" borderId="23" xfId="0" applyFill="1" applyBorder="1" applyAlignment="1">
      <alignment horizontal="center" vertical="top"/>
    </xf>
    <xf numFmtId="164" fontId="0" fillId="7" borderId="22" xfId="0" applyNumberFormat="1" applyFill="1" applyBorder="1">
      <alignment vertical="top"/>
    </xf>
    <xf numFmtId="0" fontId="0" fillId="11" borderId="0" xfId="0" applyFill="1">
      <alignment vertical="top"/>
    </xf>
    <xf numFmtId="164" fontId="0" fillId="11" borderId="3" xfId="0" applyNumberFormat="1" applyFill="1" applyBorder="1" applyAlignment="1">
      <alignment horizontal="center" vertical="top"/>
    </xf>
    <xf numFmtId="0" fontId="3" fillId="11" borderId="47" xfId="0" applyFont="1" applyFill="1" applyBorder="1" applyAlignment="1"/>
    <xf numFmtId="0" fontId="0" fillId="11" borderId="47" xfId="0" applyFill="1" applyBorder="1" applyAlignment="1"/>
    <xf numFmtId="0" fontId="0" fillId="11" borderId="26" xfId="0" applyFill="1" applyBorder="1" applyAlignment="1"/>
    <xf numFmtId="164" fontId="0" fillId="11" borderId="24" xfId="0" applyNumberFormat="1" applyFill="1" applyBorder="1" applyAlignment="1">
      <alignment horizontal="center" vertical="top"/>
    </xf>
    <xf numFmtId="164" fontId="0" fillId="11" borderId="24" xfId="0" applyNumberFormat="1" applyFill="1" applyBorder="1" applyAlignment="1">
      <alignment horizontal="center"/>
    </xf>
    <xf numFmtId="0" fontId="0" fillId="11" borderId="10" xfId="0" applyFill="1" applyBorder="1" applyAlignment="1"/>
    <xf numFmtId="164" fontId="0" fillId="11" borderId="0" xfId="0" applyNumberFormat="1" applyFill="1" applyAlignment="1"/>
    <xf numFmtId="164" fontId="3" fillId="7" borderId="0" xfId="0" applyNumberFormat="1" applyFont="1" applyFill="1">
      <alignment vertical="top"/>
    </xf>
    <xf numFmtId="166" fontId="0" fillId="0" borderId="0" xfId="0" applyNumberFormat="1" applyAlignment="1">
      <alignment horizontal="center" vertical="top"/>
    </xf>
    <xf numFmtId="166" fontId="0" fillId="0" borderId="0" xfId="0" applyNumberFormat="1">
      <alignment vertical="top"/>
    </xf>
    <xf numFmtId="0" fontId="3" fillId="18" borderId="0" xfId="0" applyFont="1" applyFill="1">
      <alignment vertical="top"/>
    </xf>
    <xf numFmtId="0" fontId="4" fillId="7" borderId="17" xfId="0" applyFont="1" applyFill="1" applyBorder="1">
      <alignment vertical="top"/>
    </xf>
    <xf numFmtId="0" fontId="0" fillId="18" borderId="0" xfId="0" applyFill="1" applyAlignment="1">
      <alignment horizontal="center" vertical="top"/>
    </xf>
    <xf numFmtId="0" fontId="3" fillId="12" borderId="2" xfId="0" applyFont="1" applyFill="1" applyBorder="1" applyAlignment="1"/>
    <xf numFmtId="0" fontId="0" fillId="14" borderId="0" xfId="0" applyFill="1">
      <alignment vertical="top"/>
    </xf>
    <xf numFmtId="0" fontId="0" fillId="14" borderId="21" xfId="0" applyFill="1" applyBorder="1">
      <alignment vertical="top"/>
    </xf>
    <xf numFmtId="0" fontId="0" fillId="14" borderId="23" xfId="0" applyFill="1" applyBorder="1">
      <alignment vertical="top"/>
    </xf>
    <xf numFmtId="0" fontId="0" fillId="14" borderId="20" xfId="0" applyFill="1" applyBorder="1">
      <alignment vertical="top"/>
    </xf>
    <xf numFmtId="0" fontId="0" fillId="14" borderId="45" xfId="0" applyFill="1" applyBorder="1">
      <alignment vertical="top"/>
    </xf>
    <xf numFmtId="0" fontId="0" fillId="14" borderId="30" xfId="0" applyFill="1" applyBorder="1">
      <alignment vertical="top"/>
    </xf>
    <xf numFmtId="0" fontId="6" fillId="11" borderId="24" xfId="0" applyFont="1" applyFill="1" applyBorder="1" applyAlignment="1"/>
    <xf numFmtId="0" fontId="6" fillId="11" borderId="0" xfId="0" applyFont="1" applyFill="1" applyAlignment="1"/>
    <xf numFmtId="0" fontId="6" fillId="11" borderId="3" xfId="0" applyFont="1" applyFill="1" applyBorder="1">
      <alignment vertical="top"/>
    </xf>
    <xf numFmtId="0" fontId="6" fillId="11" borderId="3" xfId="0" applyFont="1" applyFill="1" applyBorder="1" applyAlignment="1"/>
    <xf numFmtId="0" fontId="6" fillId="11" borderId="13" xfId="0" applyFont="1" applyFill="1" applyBorder="1">
      <alignment vertical="top"/>
    </xf>
    <xf numFmtId="0" fontId="0" fillId="11" borderId="52" xfId="0" applyFill="1" applyBorder="1" applyAlignment="1"/>
    <xf numFmtId="0" fontId="6" fillId="11" borderId="53" xfId="0" applyFont="1" applyFill="1" applyBorder="1" applyAlignment="1"/>
    <xf numFmtId="0" fontId="6" fillId="11" borderId="54" xfId="0" applyFont="1" applyFill="1" applyBorder="1" applyAlignment="1"/>
    <xf numFmtId="0" fontId="0" fillId="11" borderId="51" xfId="0" applyFill="1" applyBorder="1" applyAlignment="1"/>
    <xf numFmtId="164" fontId="0" fillId="11" borderId="53" xfId="0" applyNumberFormat="1" applyFill="1" applyBorder="1" applyAlignment="1"/>
    <xf numFmtId="164" fontId="0" fillId="11" borderId="54" xfId="0" applyNumberFormat="1" applyFill="1" applyBorder="1" applyAlignment="1"/>
    <xf numFmtId="164" fontId="0" fillId="11" borderId="55" xfId="0" applyNumberFormat="1" applyFill="1" applyBorder="1" applyAlignment="1">
      <alignment horizontal="center" vertical="top"/>
    </xf>
    <xf numFmtId="164" fontId="0" fillId="11" borderId="56" xfId="0" applyNumberFormat="1" applyFill="1" applyBorder="1" applyAlignment="1">
      <alignment horizontal="center" vertical="top"/>
    </xf>
    <xf numFmtId="0" fontId="0" fillId="11" borderId="53" xfId="0" applyFill="1" applyBorder="1" applyAlignment="1"/>
    <xf numFmtId="164" fontId="0" fillId="4" borderId="21" xfId="0" applyNumberFormat="1" applyFill="1" applyBorder="1" applyAlignment="1"/>
    <xf numFmtId="164" fontId="0" fillId="7" borderId="16" xfId="0" applyNumberFormat="1" applyFill="1" applyBorder="1" applyAlignment="1">
      <alignment horizontal="center" vertical="top"/>
    </xf>
    <xf numFmtId="0" fontId="3" fillId="19" borderId="4" xfId="0" applyFont="1" applyFill="1" applyBorder="1" applyAlignment="1"/>
    <xf numFmtId="0" fontId="3" fillId="19" borderId="15" xfId="0" applyFont="1" applyFill="1" applyBorder="1" applyAlignment="1"/>
    <xf numFmtId="0" fontId="0" fillId="20" borderId="49" xfId="0" applyFill="1" applyBorder="1" applyAlignment="1"/>
    <xf numFmtId="0" fontId="0" fillId="20" borderId="58" xfId="0" applyFill="1" applyBorder="1" applyAlignment="1"/>
    <xf numFmtId="0" fontId="3" fillId="19" borderId="17" xfId="0" applyFont="1" applyFill="1" applyBorder="1" applyAlignment="1"/>
    <xf numFmtId="0" fontId="3" fillId="19" borderId="23" xfId="0" applyFont="1" applyFill="1" applyBorder="1" applyAlignment="1"/>
    <xf numFmtId="0" fontId="0" fillId="20" borderId="59" xfId="0" applyFill="1" applyBorder="1" applyAlignment="1"/>
    <xf numFmtId="0" fontId="0" fillId="20" borderId="48" xfId="0" applyFill="1" applyBorder="1" applyAlignment="1"/>
    <xf numFmtId="0" fontId="0" fillId="20" borderId="60" xfId="0" applyFill="1" applyBorder="1" applyAlignment="1"/>
    <xf numFmtId="0" fontId="0" fillId="20" borderId="61" xfId="0" applyFill="1" applyBorder="1" applyAlignment="1"/>
    <xf numFmtId="0" fontId="0" fillId="20" borderId="62" xfId="0" applyFill="1" applyBorder="1" applyAlignment="1"/>
    <xf numFmtId="0" fontId="0" fillId="20" borderId="23" xfId="0" applyFill="1" applyBorder="1" applyAlignment="1"/>
    <xf numFmtId="0" fontId="3" fillId="21" borderId="16" xfId="0" applyFont="1" applyFill="1" applyBorder="1" applyAlignment="1"/>
    <xf numFmtId="0" fontId="0" fillId="21" borderId="24" xfId="0" applyFill="1" applyBorder="1" applyAlignment="1">
      <alignment horizontal="center"/>
    </xf>
    <xf numFmtId="0" fontId="0" fillId="21" borderId="8" xfId="0" applyFill="1" applyBorder="1" applyAlignment="1"/>
    <xf numFmtId="0" fontId="0" fillId="21" borderId="10" xfId="0" applyFill="1" applyBorder="1" applyAlignment="1"/>
    <xf numFmtId="0" fontId="0" fillId="21" borderId="37" xfId="0" applyFill="1" applyBorder="1" applyAlignment="1"/>
    <xf numFmtId="0" fontId="3" fillId="21" borderId="16" xfId="0" applyFont="1" applyFill="1" applyBorder="1" applyAlignment="1">
      <alignment horizontal="center"/>
    </xf>
    <xf numFmtId="164" fontId="0" fillId="21" borderId="12" xfId="0" applyNumberFormat="1" applyFill="1" applyBorder="1" applyAlignment="1"/>
    <xf numFmtId="164" fontId="0" fillId="21" borderId="3" xfId="0" applyNumberFormat="1" applyFill="1" applyBorder="1" applyAlignment="1"/>
    <xf numFmtId="164" fontId="0" fillId="21" borderId="38" xfId="0" applyNumberFormat="1" applyFill="1" applyBorder="1" applyAlignment="1"/>
    <xf numFmtId="0" fontId="3" fillId="22" borderId="0" xfId="0" applyFont="1" applyFill="1" applyAlignment="1"/>
    <xf numFmtId="0" fontId="0" fillId="22" borderId="0" xfId="0" applyFill="1" applyAlignment="1"/>
    <xf numFmtId="0" fontId="4" fillId="22" borderId="0" xfId="0" applyFont="1" applyFill="1" applyAlignment="1"/>
    <xf numFmtId="0" fontId="3" fillId="22" borderId="0" xfId="0" applyFont="1" applyFill="1" applyAlignment="1">
      <alignment horizontal="left"/>
    </xf>
    <xf numFmtId="0" fontId="3" fillId="22" borderId="33" xfId="0" applyFont="1" applyFill="1" applyBorder="1" applyAlignment="1"/>
    <xf numFmtId="164" fontId="0" fillId="22" borderId="21" xfId="0" applyNumberFormat="1" applyFill="1" applyBorder="1" applyAlignment="1"/>
    <xf numFmtId="0" fontId="3" fillId="22" borderId="39" xfId="0" applyFont="1" applyFill="1" applyBorder="1" applyAlignment="1"/>
    <xf numFmtId="164" fontId="0" fillId="22" borderId="23" xfId="0" applyNumberFormat="1" applyFill="1" applyBorder="1" applyAlignment="1"/>
    <xf numFmtId="0" fontId="3" fillId="22" borderId="34" xfId="0" applyFont="1" applyFill="1" applyBorder="1" applyAlignment="1">
      <alignment horizontal="center"/>
    </xf>
    <xf numFmtId="0" fontId="3" fillId="22" borderId="35" xfId="0" applyFont="1" applyFill="1" applyBorder="1" applyAlignment="1">
      <alignment horizontal="center"/>
    </xf>
    <xf numFmtId="0" fontId="3" fillId="22" borderId="40" xfId="0" applyFont="1" applyFill="1" applyBorder="1" applyAlignment="1">
      <alignment horizontal="center"/>
    </xf>
    <xf numFmtId="0" fontId="3" fillId="22" borderId="4" xfId="0" applyFont="1" applyFill="1" applyBorder="1">
      <alignment vertical="top"/>
    </xf>
    <xf numFmtId="164" fontId="3" fillId="22" borderId="5" xfId="0" applyNumberFormat="1" applyFont="1" applyFill="1" applyBorder="1">
      <alignment vertical="top"/>
    </xf>
    <xf numFmtId="164" fontId="0" fillId="22" borderId="15" xfId="0" applyNumberFormat="1" applyFill="1" applyBorder="1" applyAlignment="1"/>
    <xf numFmtId="0" fontId="3" fillId="22" borderId="16" xfId="0" applyFont="1" applyFill="1" applyBorder="1">
      <alignment vertical="top"/>
    </xf>
    <xf numFmtId="164" fontId="3" fillId="22" borderId="0" xfId="0" applyNumberFormat="1" applyFont="1" applyFill="1">
      <alignment vertical="top"/>
    </xf>
    <xf numFmtId="0" fontId="3" fillId="22" borderId="17" xfId="0" applyFont="1" applyFill="1" applyBorder="1">
      <alignment vertical="top"/>
    </xf>
    <xf numFmtId="164" fontId="3" fillId="22" borderId="22" xfId="0" applyNumberFormat="1" applyFont="1" applyFill="1" applyBorder="1">
      <alignment vertical="top"/>
    </xf>
    <xf numFmtId="0" fontId="3" fillId="22" borderId="0" xfId="0" applyFont="1" applyFill="1">
      <alignment vertical="top"/>
    </xf>
    <xf numFmtId="164" fontId="0" fillId="22" borderId="0" xfId="0" applyNumberFormat="1" applyFill="1" applyAlignment="1"/>
    <xf numFmtId="0" fontId="0" fillId="20" borderId="0" xfId="0" applyFill="1" applyAlignment="1"/>
    <xf numFmtId="164" fontId="0" fillId="20" borderId="21" xfId="0" applyNumberFormat="1" applyFill="1" applyBorder="1" applyAlignment="1"/>
    <xf numFmtId="164" fontId="0" fillId="20" borderId="16" xfId="0" applyNumberFormat="1" applyFill="1" applyBorder="1" applyAlignment="1"/>
    <xf numFmtId="0" fontId="4" fillId="20" borderId="22" xfId="0" applyFont="1" applyFill="1" applyBorder="1" applyAlignment="1"/>
    <xf numFmtId="0" fontId="4" fillId="20" borderId="17" xfId="0" applyFont="1" applyFill="1" applyBorder="1" applyAlignment="1"/>
    <xf numFmtId="164" fontId="0" fillId="20" borderId="23" xfId="0" applyNumberFormat="1" applyFill="1" applyBorder="1" applyAlignment="1"/>
    <xf numFmtId="0" fontId="0" fillId="19" borderId="4" xfId="0" applyFill="1" applyBorder="1" applyAlignment="1"/>
    <xf numFmtId="0" fontId="0" fillId="19" borderId="5" xfId="0" applyFill="1" applyBorder="1" applyAlignment="1"/>
    <xf numFmtId="0" fontId="0" fillId="19" borderId="15" xfId="0" applyFill="1" applyBorder="1" applyAlignment="1"/>
    <xf numFmtId="0" fontId="3" fillId="19" borderId="49" xfId="0" applyFont="1" applyFill="1" applyBorder="1" applyAlignment="1"/>
    <xf numFmtId="0" fontId="3" fillId="19" borderId="26" xfId="0" applyFont="1" applyFill="1" applyBorder="1" applyAlignment="1"/>
    <xf numFmtId="0" fontId="3" fillId="20" borderId="41" xfId="0" applyFont="1" applyFill="1" applyBorder="1" applyAlignment="1">
      <alignment horizontal="center"/>
    </xf>
    <xf numFmtId="0" fontId="3" fillId="17" borderId="4" xfId="0" applyFont="1" applyFill="1" applyBorder="1" applyAlignment="1">
      <alignment horizontal="left"/>
    </xf>
    <xf numFmtId="0" fontId="0" fillId="17" borderId="5" xfId="0" applyFill="1" applyBorder="1" applyAlignment="1">
      <alignment horizontal="left"/>
    </xf>
    <xf numFmtId="0" fontId="0" fillId="16" borderId="5" xfId="0" applyFill="1" applyBorder="1" applyAlignment="1">
      <alignment horizontal="left" vertical="top"/>
    </xf>
    <xf numFmtId="0" fontId="3" fillId="19" borderId="17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0" fillId="19" borderId="22" xfId="0" applyFill="1" applyBorder="1" applyAlignment="1">
      <alignment horizontal="left"/>
    </xf>
    <xf numFmtId="0" fontId="0" fillId="17" borderId="15" xfId="0" applyFill="1" applyBorder="1" applyAlignment="1">
      <alignment horizontal="left"/>
    </xf>
    <xf numFmtId="0" fontId="0" fillId="19" borderId="23" xfId="0" applyFill="1" applyBorder="1" applyAlignment="1">
      <alignment horizontal="left"/>
    </xf>
    <xf numFmtId="164" fontId="10" fillId="0" borderId="0" xfId="0" applyNumberFormat="1" applyFont="1" applyAlignment="1"/>
    <xf numFmtId="2" fontId="0" fillId="0" borderId="0" xfId="0" applyNumberFormat="1" applyAlignment="1"/>
    <xf numFmtId="0" fontId="0" fillId="0" borderId="26" xfId="0" applyBorder="1" applyAlignment="1"/>
    <xf numFmtId="0" fontId="3" fillId="15" borderId="2" xfId="0" applyFont="1" applyFill="1" applyBorder="1" applyAlignment="1"/>
    <xf numFmtId="0" fontId="4" fillId="15" borderId="2" xfId="0" applyFont="1" applyFill="1" applyBorder="1" applyAlignment="1"/>
    <xf numFmtId="0" fontId="4" fillId="23" borderId="2" xfId="0" applyFont="1" applyFill="1" applyBorder="1" applyAlignment="1"/>
    <xf numFmtId="0" fontId="0" fillId="23" borderId="2" xfId="0" applyFill="1" applyBorder="1" applyAlignment="1"/>
    <xf numFmtId="164" fontId="10" fillId="23" borderId="2" xfId="0" applyNumberFormat="1" applyFont="1" applyFill="1" applyBorder="1" applyAlignment="1"/>
    <xf numFmtId="0" fontId="3" fillId="0" borderId="4" xfId="0" applyFont="1" applyBorder="1">
      <alignment vertical="top"/>
    </xf>
    <xf numFmtId="0" fontId="3" fillId="0" borderId="16" xfId="0" applyFont="1" applyBorder="1">
      <alignment vertical="top"/>
    </xf>
    <xf numFmtId="0" fontId="3" fillId="0" borderId="17" xfId="0" applyFont="1" applyBorder="1">
      <alignment vertical="top"/>
    </xf>
    <xf numFmtId="0" fontId="0" fillId="0" borderId="15" xfId="0" applyBorder="1">
      <alignment vertical="top"/>
    </xf>
    <xf numFmtId="0" fontId="3" fillId="0" borderId="15" xfId="0" applyFont="1" applyBorder="1">
      <alignment vertical="top"/>
    </xf>
    <xf numFmtId="0" fontId="3" fillId="0" borderId="4" xfId="0" applyFont="1" applyBorder="1" applyAlignment="1">
      <alignment horizontal="left" vertical="top"/>
    </xf>
    <xf numFmtId="0" fontId="0" fillId="0" borderId="15" xfId="0" applyBorder="1" applyAlignment="1"/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0" fillId="0" borderId="33" xfId="0" applyBorder="1" applyAlignment="1"/>
    <xf numFmtId="0" fontId="0" fillId="0" borderId="39" xfId="0" applyBorder="1">
      <alignment vertical="top"/>
    </xf>
    <xf numFmtId="0" fontId="3" fillId="0" borderId="4" xfId="0" applyFont="1" applyBorder="1" applyAlignment="1"/>
    <xf numFmtId="0" fontId="0" fillId="0" borderId="5" xfId="0" applyBorder="1" applyAlignment="1"/>
    <xf numFmtId="0" fontId="0" fillId="0" borderId="16" xfId="0" applyBorder="1" applyAlignment="1"/>
    <xf numFmtId="0" fontId="0" fillId="0" borderId="21" xfId="0" applyBorder="1" applyAlignment="1"/>
    <xf numFmtId="0" fontId="4" fillId="0" borderId="16" xfId="0" applyFont="1" applyBorder="1" applyAlignment="1"/>
    <xf numFmtId="0" fontId="22" fillId="0" borderId="0" xfId="0" applyFont="1" applyAlignment="1"/>
    <xf numFmtId="0" fontId="4" fillId="0" borderId="17" xfId="0" applyFont="1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17" xfId="0" applyBorder="1" applyAlignment="1"/>
    <xf numFmtId="0" fontId="4" fillId="0" borderId="22" xfId="0" applyFont="1" applyBorder="1" applyAlignment="1"/>
    <xf numFmtId="0" fontId="3" fillId="0" borderId="23" xfId="0" applyFont="1" applyBorder="1" applyAlignment="1"/>
    <xf numFmtId="0" fontId="4" fillId="0" borderId="4" xfId="0" applyFont="1" applyBorder="1" applyAlignment="1"/>
    <xf numFmtId="0" fontId="0" fillId="0" borderId="4" xfId="0" applyBorder="1" applyAlignment="1"/>
    <xf numFmtId="2" fontId="0" fillId="0" borderId="15" xfId="0" applyNumberFormat="1" applyBorder="1" applyAlignment="1"/>
    <xf numFmtId="2" fontId="0" fillId="0" borderId="21" xfId="0" applyNumberFormat="1" applyBorder="1" applyAlignment="1"/>
    <xf numFmtId="2" fontId="4" fillId="0" borderId="23" xfId="0" applyNumberFormat="1" applyFont="1" applyBorder="1" applyAlignment="1"/>
    <xf numFmtId="0" fontId="3" fillId="0" borderId="16" xfId="0" applyFont="1" applyBorder="1" applyAlignment="1"/>
    <xf numFmtId="1" fontId="3" fillId="0" borderId="22" xfId="0" applyNumberFormat="1" applyFont="1" applyBorder="1" applyAlignment="1"/>
    <xf numFmtId="0" fontId="3" fillId="0" borderId="5" xfId="0" applyFont="1" applyBorder="1" applyAlignment="1"/>
    <xf numFmtId="0" fontId="3" fillId="0" borderId="5" xfId="0" applyFont="1" applyBorder="1">
      <alignment vertical="top"/>
    </xf>
    <xf numFmtId="0" fontId="3" fillId="23" borderId="4" xfId="0" applyFont="1" applyFill="1" applyBorder="1" applyAlignment="1"/>
    <xf numFmtId="0" fontId="3" fillId="15" borderId="5" xfId="0" applyFont="1" applyFill="1" applyBorder="1" applyAlignment="1"/>
    <xf numFmtId="0" fontId="0" fillId="15" borderId="5" xfId="0" applyFill="1" applyBorder="1" applyAlignment="1"/>
    <xf numFmtId="0" fontId="0" fillId="15" borderId="15" xfId="0" applyFill="1" applyBorder="1" applyAlignment="1"/>
    <xf numFmtId="0" fontId="4" fillId="23" borderId="17" xfId="0" applyFont="1" applyFill="1" applyBorder="1" applyAlignment="1"/>
    <xf numFmtId="0" fontId="4" fillId="11" borderId="6" xfId="0" applyFont="1" applyFill="1" applyBorder="1" applyAlignment="1"/>
    <xf numFmtId="0" fontId="0" fillId="11" borderId="7" xfId="0" applyFill="1" applyBorder="1" applyAlignment="1"/>
    <xf numFmtId="164" fontId="0" fillId="15" borderId="7" xfId="0" applyNumberFormat="1" applyFill="1" applyBorder="1" applyAlignment="1"/>
    <xf numFmtId="0" fontId="0" fillId="11" borderId="8" xfId="0" applyFill="1" applyBorder="1" applyAlignment="1"/>
    <xf numFmtId="0" fontId="0" fillId="10" borderId="11" xfId="0" applyFill="1" applyBorder="1" applyAlignment="1"/>
    <xf numFmtId="0" fontId="0" fillId="10" borderId="13" xfId="0" applyFill="1" applyBorder="1" applyAlignment="1"/>
    <xf numFmtId="0" fontId="0" fillId="10" borderId="12" xfId="0" applyFill="1" applyBorder="1" applyAlignment="1"/>
    <xf numFmtId="0" fontId="4" fillId="14" borderId="0" xfId="0" applyFont="1" applyFill="1">
      <alignment vertical="top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9" xfId="0" applyBorder="1" applyAlignment="1"/>
    <xf numFmtId="169" fontId="0" fillId="24" borderId="0" xfId="0" applyNumberFormat="1" applyFill="1" applyAlignment="1"/>
    <xf numFmtId="169" fontId="0" fillId="24" borderId="22" xfId="0" applyNumberFormat="1" applyFill="1" applyBorder="1" applyAlignment="1"/>
    <xf numFmtId="168" fontId="0" fillId="24" borderId="0" xfId="0" applyNumberFormat="1" applyFill="1" applyAlignment="1"/>
    <xf numFmtId="164" fontId="4" fillId="24" borderId="0" xfId="0" applyNumberFormat="1" applyFont="1" applyFill="1" applyAlignment="1"/>
    <xf numFmtId="164" fontId="0" fillId="24" borderId="0" xfId="0" applyNumberFormat="1" applyFill="1" applyAlignment="1"/>
    <xf numFmtId="164" fontId="0" fillId="24" borderId="22" xfId="0" applyNumberFormat="1" applyFill="1" applyBorder="1" applyAlignment="1"/>
    <xf numFmtId="2" fontId="0" fillId="24" borderId="5" xfId="0" applyNumberFormat="1" applyFill="1" applyBorder="1" applyAlignment="1"/>
    <xf numFmtId="2" fontId="0" fillId="24" borderId="0" xfId="0" applyNumberFormat="1" applyFill="1" applyAlignment="1"/>
    <xf numFmtId="2" fontId="0" fillId="24" borderId="22" xfId="0" applyNumberFormat="1" applyFill="1" applyBorder="1" applyAlignment="1"/>
    <xf numFmtId="0" fontId="3" fillId="24" borderId="19" xfId="0" applyFont="1" applyFill="1" applyBorder="1" applyAlignment="1">
      <alignment horizontal="left"/>
    </xf>
    <xf numFmtId="0" fontId="3" fillId="24" borderId="19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0" fillId="24" borderId="0" xfId="0" applyFill="1" applyAlignment="1"/>
    <xf numFmtId="166" fontId="0" fillId="24" borderId="22" xfId="0" applyNumberFormat="1" applyFill="1" applyBorder="1" applyAlignment="1"/>
    <xf numFmtId="164" fontId="0" fillId="24" borderId="34" xfId="0" applyNumberFormat="1" applyFill="1" applyBorder="1" applyAlignment="1">
      <alignment horizontal="center" vertical="top"/>
    </xf>
    <xf numFmtId="166" fontId="0" fillId="24" borderId="34" xfId="0" applyNumberFormat="1" applyFill="1" applyBorder="1" applyAlignment="1">
      <alignment horizontal="center" vertical="top"/>
    </xf>
    <xf numFmtId="164" fontId="0" fillId="24" borderId="40" xfId="0" applyNumberFormat="1" applyFill="1" applyBorder="1" applyAlignment="1">
      <alignment horizontal="center" vertical="top"/>
    </xf>
    <xf numFmtId="0" fontId="0" fillId="24" borderId="0" xfId="0" applyFill="1">
      <alignment vertical="top"/>
    </xf>
    <xf numFmtId="0" fontId="5" fillId="4" borderId="0" xfId="0" applyFont="1" applyFill="1" applyAlignment="1"/>
    <xf numFmtId="0" fontId="7" fillId="4" borderId="5" xfId="0" applyFont="1" applyFill="1" applyBorder="1" applyAlignment="1"/>
    <xf numFmtId="0" fontId="3" fillId="12" borderId="7" xfId="0" applyFont="1" applyFill="1" applyBorder="1" applyAlignment="1"/>
    <xf numFmtId="0" fontId="3" fillId="12" borderId="0" xfId="0" applyFont="1" applyFill="1" applyAlignment="1"/>
    <xf numFmtId="0" fontId="23" fillId="4" borderId="0" xfId="0" applyFont="1" applyFill="1" applyAlignment="1"/>
    <xf numFmtId="0" fontId="0" fillId="12" borderId="0" xfId="0" applyFill="1" applyAlignment="1"/>
    <xf numFmtId="0" fontId="0" fillId="10" borderId="7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2" borderId="13" xfId="0" applyFill="1" applyBorder="1" applyAlignment="1"/>
    <xf numFmtId="0" fontId="0" fillId="2" borderId="7" xfId="0" applyFill="1" applyBorder="1" applyAlignment="1">
      <alignment horizontal="center"/>
    </xf>
    <xf numFmtId="164" fontId="3" fillId="0" borderId="0" xfId="0" applyNumberFormat="1" applyFont="1" applyAlignment="1">
      <alignment horizontal="left" indent="4"/>
    </xf>
    <xf numFmtId="164" fontId="0" fillId="7" borderId="27" xfId="0" applyNumberFormat="1" applyFill="1" applyBorder="1" applyAlignment="1">
      <alignment horizontal="center" vertical="top"/>
    </xf>
    <xf numFmtId="0" fontId="0" fillId="15" borderId="33" xfId="0" applyFill="1" applyBorder="1" applyAlignment="1">
      <alignment horizontal="center" vertical="top"/>
    </xf>
    <xf numFmtId="0" fontId="0" fillId="7" borderId="34" xfId="0" applyFill="1" applyBorder="1" applyAlignment="1">
      <alignment horizontal="center" vertical="top"/>
    </xf>
    <xf numFmtId="0" fontId="0" fillId="15" borderId="64" xfId="0" applyFill="1" applyBorder="1" applyAlignment="1">
      <alignment horizontal="center" vertical="top"/>
    </xf>
    <xf numFmtId="0" fontId="0" fillId="7" borderId="2" xfId="0" applyFill="1" applyBorder="1" applyAlignment="1">
      <alignment horizontal="center" vertical="top"/>
    </xf>
    <xf numFmtId="0" fontId="0" fillId="15" borderId="39" xfId="0" applyFill="1" applyBorder="1" applyAlignment="1">
      <alignment horizontal="center" vertical="top"/>
    </xf>
    <xf numFmtId="0" fontId="0" fillId="7" borderId="40" xfId="0" applyFill="1" applyBorder="1" applyAlignment="1">
      <alignment horizontal="center" vertical="top"/>
    </xf>
    <xf numFmtId="0" fontId="4" fillId="14" borderId="4" xfId="0" applyFont="1" applyFill="1" applyBorder="1" applyAlignment="1">
      <alignment horizontal="center" vertical="top"/>
    </xf>
    <xf numFmtId="0" fontId="0" fillId="8" borderId="34" xfId="0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8" borderId="40" xfId="0" applyFill="1" applyBorder="1" applyAlignment="1">
      <alignment horizontal="center" vertical="top"/>
    </xf>
    <xf numFmtId="0" fontId="0" fillId="17" borderId="57" xfId="0" applyFill="1" applyBorder="1" applyAlignment="1"/>
    <xf numFmtId="0" fontId="3" fillId="17" borderId="12" xfId="0" applyFont="1" applyFill="1" applyBorder="1" applyAlignment="1">
      <alignment horizontal="center"/>
    </xf>
    <xf numFmtId="0" fontId="3" fillId="17" borderId="12" xfId="0" applyFont="1" applyFill="1" applyBorder="1" applyAlignment="1"/>
    <xf numFmtId="0" fontId="3" fillId="17" borderId="3" xfId="0" applyFont="1" applyFill="1" applyBorder="1" applyAlignment="1"/>
    <xf numFmtId="0" fontId="3" fillId="17" borderId="38" xfId="0" applyFont="1" applyFill="1" applyBorder="1" applyAlignment="1"/>
    <xf numFmtId="0" fontId="3" fillId="17" borderId="30" xfId="0" applyFont="1" applyFill="1" applyBorder="1" applyAlignment="1"/>
    <xf numFmtId="0" fontId="0" fillId="21" borderId="3" xfId="0" applyFill="1" applyBorder="1" applyAlignment="1"/>
    <xf numFmtId="0" fontId="0" fillId="0" borderId="3" xfId="0" applyBorder="1" applyAlignment="1"/>
    <xf numFmtId="164" fontId="0" fillId="21" borderId="2" xfId="0" applyNumberFormat="1" applyFill="1" applyBorder="1" applyAlignment="1"/>
    <xf numFmtId="0" fontId="0" fillId="0" borderId="2" xfId="0" applyBorder="1" applyAlignment="1"/>
    <xf numFmtId="0" fontId="3" fillId="25" borderId="63" xfId="0" applyFont="1" applyFill="1" applyBorder="1" applyAlignment="1"/>
    <xf numFmtId="0" fontId="0" fillId="25" borderId="8" xfId="0" applyFill="1" applyBorder="1" applyAlignment="1">
      <alignment horizontal="center"/>
    </xf>
    <xf numFmtId="164" fontId="0" fillId="25" borderId="8" xfId="0" applyNumberFormat="1" applyFill="1" applyBorder="1" applyAlignment="1"/>
    <xf numFmtId="164" fontId="0" fillId="25" borderId="10" xfId="0" applyNumberFormat="1" applyFill="1" applyBorder="1" applyAlignment="1"/>
    <xf numFmtId="164" fontId="0" fillId="25" borderId="37" xfId="0" applyNumberFormat="1" applyFill="1" applyBorder="1" applyAlignment="1"/>
    <xf numFmtId="0" fontId="3" fillId="25" borderId="57" xfId="0" applyFont="1" applyFill="1" applyBorder="1" applyAlignment="1">
      <alignment horizontal="center"/>
    </xf>
    <xf numFmtId="0" fontId="4" fillId="25" borderId="12" xfId="0" applyFont="1" applyFill="1" applyBorder="1" applyAlignment="1">
      <alignment horizontal="center"/>
    </xf>
    <xf numFmtId="2" fontId="0" fillId="25" borderId="12" xfId="0" applyNumberFormat="1" applyFill="1" applyBorder="1" applyAlignment="1"/>
    <xf numFmtId="2" fontId="0" fillId="25" borderId="3" xfId="0" applyNumberFormat="1" applyFill="1" applyBorder="1" applyAlignment="1"/>
    <xf numFmtId="2" fontId="0" fillId="25" borderId="38" xfId="0" applyNumberFormat="1" applyFill="1" applyBorder="1" applyAlignment="1"/>
    <xf numFmtId="0" fontId="3" fillId="25" borderId="17" xfId="0" applyFont="1" applyFill="1" applyBorder="1" applyAlignment="1"/>
    <xf numFmtId="0" fontId="0" fillId="25" borderId="50" xfId="0" applyFill="1" applyBorder="1" applyAlignment="1">
      <alignment horizontal="center"/>
    </xf>
    <xf numFmtId="2" fontId="0" fillId="25" borderId="46" xfId="0" applyNumberFormat="1" applyFill="1" applyBorder="1" applyAlignment="1"/>
    <xf numFmtId="165" fontId="0" fillId="25" borderId="40" xfId="0" applyNumberFormat="1" applyFill="1" applyBorder="1" applyAlignment="1"/>
    <xf numFmtId="2" fontId="0" fillId="25" borderId="40" xfId="0" applyNumberFormat="1" applyFill="1" applyBorder="1" applyAlignment="1"/>
    <xf numFmtId="2" fontId="0" fillId="25" borderId="41" xfId="0" applyNumberFormat="1" applyFill="1" applyBorder="1" applyAlignment="1"/>
    <xf numFmtId="164" fontId="0" fillId="25" borderId="65" xfId="0" applyNumberFormat="1" applyFill="1" applyBorder="1" applyAlignment="1"/>
    <xf numFmtId="164" fontId="0" fillId="25" borderId="28" xfId="0" applyNumberFormat="1" applyFill="1" applyBorder="1" applyAlignment="1"/>
    <xf numFmtId="164" fontId="0" fillId="25" borderId="15" xfId="0" applyNumberFormat="1" applyFill="1" applyBorder="1" applyAlignment="1"/>
    <xf numFmtId="164" fontId="0" fillId="25" borderId="39" xfId="0" applyNumberFormat="1" applyFill="1" applyBorder="1" applyAlignment="1"/>
    <xf numFmtId="164" fontId="0" fillId="25" borderId="46" xfId="0" applyNumberFormat="1" applyFill="1" applyBorder="1" applyAlignment="1"/>
    <xf numFmtId="164" fontId="0" fillId="25" borderId="60" xfId="0" applyNumberFormat="1" applyFill="1" applyBorder="1" applyAlignment="1"/>
    <xf numFmtId="0" fontId="24" fillId="0" borderId="22" xfId="0" applyFont="1" applyBorder="1" applyAlignment="1"/>
    <xf numFmtId="0" fontId="3" fillId="19" borderId="26" xfId="0" applyFont="1" applyFill="1" applyBorder="1" applyAlignment="1">
      <alignment horizontal="center"/>
    </xf>
    <xf numFmtId="0" fontId="3" fillId="19" borderId="4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3" fillId="12" borderId="6" xfId="0" applyFont="1" applyFill="1" applyBorder="1" applyAlignment="1"/>
    <xf numFmtId="0" fontId="0" fillId="2" borderId="8" xfId="0" applyFill="1" applyBorder="1" applyAlignment="1">
      <alignment horizontal="center"/>
    </xf>
    <xf numFmtId="0" fontId="3" fillId="12" borderId="9" xfId="0" applyFont="1" applyFill="1" applyBorder="1" applyAlignment="1"/>
    <xf numFmtId="0" fontId="0" fillId="2" borderId="14" xfId="0" applyFill="1" applyBorder="1" applyAlignment="1">
      <alignment horizontal="center"/>
    </xf>
    <xf numFmtId="0" fontId="3" fillId="12" borderId="11" xfId="0" applyFont="1" applyFill="1" applyBorder="1" applyAlignment="1"/>
    <xf numFmtId="0" fontId="3" fillId="12" borderId="13" xfId="0" applyFont="1" applyFill="1" applyBorder="1" applyAlignment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top" wrapText="1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/>
    </xf>
    <xf numFmtId="0" fontId="3" fillId="17" borderId="19" xfId="0" applyFont="1" applyFill="1" applyBorder="1" applyAlignment="1">
      <alignment horizontal="center"/>
    </xf>
    <xf numFmtId="0" fontId="3" fillId="17" borderId="20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8">
    <cellStyle name="Encabezado 1" xfId="1" xr:uid="{00000000-0005-0000-0000-000000000000}"/>
    <cellStyle name="Encabezado 2" xfId="2" xr:uid="{00000000-0005-0000-0000-000001000000}"/>
    <cellStyle name="Fecha" xfId="3" xr:uid="{00000000-0005-0000-0000-000002000000}"/>
    <cellStyle name="Fijo" xfId="4" xr:uid="{00000000-0005-0000-0000-000003000000}"/>
    <cellStyle name="Moneda0" xfId="5" xr:uid="{00000000-0005-0000-0000-000004000000}"/>
    <cellStyle name="Normal" xfId="0" builtinId="0"/>
    <cellStyle name="Punto0" xfId="6" xr:uid="{00000000-0005-0000-0000-000006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  <color rgb="FFFBF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Balance Térmico de Verano</a:t>
            </a:r>
          </a:p>
        </c:rich>
      </c:tx>
      <c:layout>
        <c:manualLayout>
          <c:xMode val="edge"/>
          <c:yMode val="edge"/>
          <c:x val="0.27316560526002037"/>
          <c:y val="4.1212110286033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enfriamiento'!$B$280:$I$280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FD-481F-896B-4655BAA94267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enfriamiento'!$B$281:$I$281</c:f>
              <c:numCache>
                <c:formatCode>0.0</c:formatCode>
                <c:ptCount val="8"/>
                <c:pt idx="0">
                  <c:v>22589.039999999994</c:v>
                </c:pt>
                <c:pt idx="1">
                  <c:v>6678.45</c:v>
                </c:pt>
                <c:pt idx="2">
                  <c:v>2404.2564000000007</c:v>
                </c:pt>
                <c:pt idx="3">
                  <c:v>2940.2194822000006</c:v>
                </c:pt>
                <c:pt idx="4">
                  <c:v>1890.4369852934999</c:v>
                </c:pt>
                <c:pt idx="5">
                  <c:v>9700.7760000000017</c:v>
                </c:pt>
                <c:pt idx="6">
                  <c:v>1232</c:v>
                </c:pt>
                <c:pt idx="7">
                  <c:v>10098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D-481F-896B-4655BAA94267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574-49D1-97CC-E317A549DDD1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574-49D1-97CC-E317A549DDD1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574-49D1-97CC-E317A549DDD1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574-49D1-97CC-E317A549DDD1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574-49D1-97CC-E317A549DDD1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574-49D1-97CC-E317A549DDD1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574-49D1-97CC-E317A549DDD1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574-49D1-97CC-E317A549DDD1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enfriamiento'!$B$282:$I$282</c:f>
              <c:numCache>
                <c:formatCode>0.0%</c:formatCode>
                <c:ptCount val="8"/>
                <c:pt idx="0">
                  <c:v>0.39262631484391869</c:v>
                </c:pt>
                <c:pt idx="1">
                  <c:v>0.11607997561513768</c:v>
                </c:pt>
                <c:pt idx="2">
                  <c:v>4.1789041511808692E-2</c:v>
                </c:pt>
                <c:pt idx="3">
                  <c:v>5.1104763200582291E-2</c:v>
                </c:pt>
                <c:pt idx="4">
                  <c:v>3.2858204995893335E-2</c:v>
                </c:pt>
                <c:pt idx="5">
                  <c:v>0.1686118547758706</c:v>
                </c:pt>
                <c:pt idx="6">
                  <c:v>2.1413730724621674E-2</c:v>
                </c:pt>
                <c:pt idx="7">
                  <c:v>0.17551611433216693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FD-481F-896B-4655BAA94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0249728"/>
        <c:axId val="215107840"/>
      </c:barChart>
      <c:catAx>
        <c:axId val="1702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510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0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2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Temperatura del aire interior</a:t>
            </a:r>
          </a:p>
        </c:rich>
      </c:tx>
      <c:layout>
        <c:manualLayout>
          <c:xMode val="edge"/>
          <c:yMode val="edge"/>
          <c:x val="0.2494279176201373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5308924485126"/>
          <c:y val="0.15894039735099338"/>
          <c:w val="0.6527073004763293"/>
          <c:h val="0.56146294797262497"/>
        </c:manualLayout>
      </c:layout>
      <c:lineChart>
        <c:grouping val="standard"/>
        <c:varyColors val="0"/>
        <c:ser>
          <c:idx val="0"/>
          <c:order val="0"/>
          <c:tx>
            <c:strRef>
              <c:f>'Masa Térmica'!$G$24</c:f>
              <c:strCache>
                <c:ptCount val="1"/>
                <c:pt idx="0">
                  <c:v>Temp. Ext.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Térmica'!$G$26:$G$37</c:f>
              <c:numCache>
                <c:formatCode>0.0</c:formatCode>
                <c:ptCount val="12"/>
                <c:pt idx="0">
                  <c:v>23.830500000000001</c:v>
                </c:pt>
                <c:pt idx="1">
                  <c:v>22.77225</c:v>
                </c:pt>
                <c:pt idx="2">
                  <c:v>21.713999999999999</c:v>
                </c:pt>
                <c:pt idx="3">
                  <c:v>21</c:v>
                </c:pt>
                <c:pt idx="4">
                  <c:v>22.41525</c:v>
                </c:pt>
                <c:pt idx="5">
                  <c:v>28.433250000000001</c:v>
                </c:pt>
                <c:pt idx="6">
                  <c:v>31.97775</c:v>
                </c:pt>
                <c:pt idx="7">
                  <c:v>33.75</c:v>
                </c:pt>
                <c:pt idx="8">
                  <c:v>32.691749999999999</c:v>
                </c:pt>
                <c:pt idx="9">
                  <c:v>29.848500000000001</c:v>
                </c:pt>
                <c:pt idx="10">
                  <c:v>26.661000000000001</c:v>
                </c:pt>
                <c:pt idx="11">
                  <c:v>24.93975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B-4FC3-8738-4E27F30A6A58}"/>
            </c:ext>
          </c:extLst>
        </c:ser>
        <c:ser>
          <c:idx val="1"/>
          <c:order val="1"/>
          <c:tx>
            <c:strRef>
              <c:f>'Masa Térmica'!$I$24</c:f>
              <c:strCache>
                <c:ptCount val="1"/>
                <c:pt idx="0">
                  <c:v>Temp. Int.(**)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Térmica'!$I$26:$I$37</c:f>
              <c:numCache>
                <c:formatCode>0.0</c:formatCode>
                <c:ptCount val="12"/>
                <c:pt idx="0">
                  <c:v>25.25076264087334</c:v>
                </c:pt>
                <c:pt idx="1">
                  <c:v>25.097275266212286</c:v>
                </c:pt>
                <c:pt idx="2">
                  <c:v>24.628477140016365</c:v>
                </c:pt>
                <c:pt idx="3">
                  <c:v>24.110308074320276</c:v>
                </c:pt>
                <c:pt idx="4">
                  <c:v>24.059024405146001</c:v>
                </c:pt>
                <c:pt idx="5">
                  <c:v>24.680628923591605</c:v>
                </c:pt>
                <c:pt idx="6">
                  <c:v>25.752023243142403</c:v>
                </c:pt>
                <c:pt idx="7">
                  <c:v>26.670288852319629</c:v>
                </c:pt>
                <c:pt idx="8">
                  <c:v>27.577133952256766</c:v>
                </c:pt>
                <c:pt idx="9">
                  <c:v>28.521068284657314</c:v>
                </c:pt>
                <c:pt idx="10">
                  <c:v>29.446257355644292</c:v>
                </c:pt>
                <c:pt idx="11">
                  <c:v>30.792948272037364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B-4FC3-8738-4E27F30A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04864"/>
        <c:axId val="215113024"/>
      </c:lineChart>
      <c:lineChart>
        <c:grouping val="standard"/>
        <c:varyColors val="0"/>
        <c:ser>
          <c:idx val="2"/>
          <c:order val="2"/>
          <c:tx>
            <c:strRef>
              <c:f>'Masa Térmica'!$H$24</c:f>
              <c:strCache>
                <c:ptCount val="1"/>
                <c:pt idx="0">
                  <c:v>Carga Enf.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'Masa Térmica'!$H$26:$H$37</c:f>
              <c:numCache>
                <c:formatCode>0.0</c:formatCode>
                <c:ptCount val="12"/>
                <c:pt idx="0">
                  <c:v>2920.9657469338749</c:v>
                </c:pt>
                <c:pt idx="1">
                  <c:v>-994.60630344856281</c:v>
                </c:pt>
                <c:pt idx="2">
                  <c:v>-3037.8366454505012</c:v>
                </c:pt>
                <c:pt idx="3">
                  <c:v>-3357.7629438999988</c:v>
                </c:pt>
                <c:pt idx="4">
                  <c:v>-332.32088787331054</c:v>
                </c:pt>
                <c:pt idx="5">
                  <c:v>4028.0301468664375</c:v>
                </c:pt>
                <c:pt idx="6">
                  <c:v>6942.6918406638124</c:v>
                </c:pt>
                <c:pt idx="7">
                  <c:v>5950.4097007624996</c:v>
                </c:pt>
                <c:pt idx="8">
                  <c:v>5876.4041970273129</c:v>
                </c:pt>
                <c:pt idx="9">
                  <c:v>6116.7443844833751</c:v>
                </c:pt>
                <c:pt idx="10">
                  <c:v>5995.2740993677498</c:v>
                </c:pt>
                <c:pt idx="11">
                  <c:v>8726.6283445093122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B-4FC3-8738-4E27F30A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51456"/>
        <c:axId val="214736896"/>
      </c:lineChart>
      <c:catAx>
        <c:axId val="17040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Horas del día</a:t>
                </a:r>
              </a:p>
            </c:rich>
          </c:tx>
          <c:layout>
            <c:manualLayout>
              <c:xMode val="edge"/>
              <c:yMode val="edge"/>
              <c:x val="0.39696445606381719"/>
              <c:y val="0.791390760839579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511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1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Temperatura °C</a:t>
                </a:r>
              </a:p>
            </c:rich>
          </c:tx>
          <c:layout>
            <c:manualLayout>
              <c:xMode val="edge"/>
              <c:yMode val="edge"/>
              <c:x val="1.6018389858130481E-2"/>
              <c:y val="0.29240840222075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404864"/>
        <c:crosses val="autoZero"/>
        <c:crossBetween val="between"/>
      </c:valAx>
      <c:catAx>
        <c:axId val="170451456"/>
        <c:scaling>
          <c:orientation val="minMax"/>
        </c:scaling>
        <c:delete val="1"/>
        <c:axPos val="b"/>
        <c:majorTickMark val="out"/>
        <c:minorTickMark val="none"/>
        <c:tickLblPos val="nextTo"/>
        <c:crossAx val="214736896"/>
        <c:crosses val="autoZero"/>
        <c:auto val="1"/>
        <c:lblAlgn val="ctr"/>
        <c:lblOffset val="100"/>
        <c:noMultiLvlLbl val="0"/>
      </c:catAx>
      <c:valAx>
        <c:axId val="2147368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Carga Térmica [Wh/hr]</a:t>
                </a:r>
              </a:p>
            </c:rich>
          </c:tx>
          <c:layout>
            <c:manualLayout>
              <c:xMode val="edge"/>
              <c:yMode val="edge"/>
              <c:x val="0.92871779916399344"/>
              <c:y val="0.193620984292851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451456"/>
        <c:crosses val="max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85605041020168"/>
          <c:y val="0.897350894201288"/>
          <c:w val="0.68421052631578949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AR" sz="1400"/>
              <a:t>Pérdidas</a:t>
            </a:r>
            <a:r>
              <a:rPr lang="es-AR" sz="1400" baseline="0"/>
              <a:t> de calor </a:t>
            </a:r>
          </a:p>
          <a:p>
            <a:pPr>
              <a:defRPr sz="1400"/>
            </a:pPr>
            <a:r>
              <a:rPr lang="es-AR" sz="1400" baseline="0"/>
              <a:t>por cada elemento</a:t>
            </a:r>
            <a:endParaRPr lang="es-AR" sz="1400"/>
          </a:p>
        </c:rich>
      </c:tx>
      <c:layout>
        <c:manualLayout>
          <c:xMode val="edge"/>
          <c:yMode val="edge"/>
          <c:x val="0.22602403646912553"/>
          <c:y val="3.1223142899308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0866141732286"/>
          <c:y val="0.27506820906645935"/>
          <c:w val="0.59919698328848137"/>
          <c:h val="0.58440199604679044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Resumen!$B$20:$B$27</c:f>
              <c:strCache>
                <c:ptCount val="8"/>
                <c:pt idx="0">
                  <c:v>Muro 1</c:v>
                </c:pt>
                <c:pt idx="1">
                  <c:v>Muro 2</c:v>
                </c:pt>
                <c:pt idx="2">
                  <c:v>Techo 1</c:v>
                </c:pt>
                <c:pt idx="3">
                  <c:v>Techo 2</c:v>
                </c:pt>
                <c:pt idx="4">
                  <c:v>Ventanas sur tipo 1</c:v>
                </c:pt>
                <c:pt idx="5">
                  <c:v>Puertas</c:v>
                </c:pt>
                <c:pt idx="6">
                  <c:v>Fundaciones</c:v>
                </c:pt>
                <c:pt idx="7">
                  <c:v>Infiltracion</c:v>
                </c:pt>
              </c:strCache>
            </c:strRef>
          </c:cat>
          <c:val>
            <c:numRef>
              <c:f>Resumen!$C$20:$C$27</c:f>
              <c:numCache>
                <c:formatCode>0.0</c:formatCode>
                <c:ptCount val="8"/>
                <c:pt idx="0">
                  <c:v>63.77480895543777</c:v>
                </c:pt>
                <c:pt idx="1">
                  <c:v>0</c:v>
                </c:pt>
                <c:pt idx="2">
                  <c:v>10.529269588571392</c:v>
                </c:pt>
                <c:pt idx="3">
                  <c:v>0</c:v>
                </c:pt>
                <c:pt idx="4">
                  <c:v>2.0069535618995187</c:v>
                </c:pt>
                <c:pt idx="5">
                  <c:v>1.2035932082276248</c:v>
                </c:pt>
                <c:pt idx="6">
                  <c:v>12.535214924663729</c:v>
                </c:pt>
                <c:pt idx="7">
                  <c:v>9.9501597611999664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4-4707-99FC-C25EE5615BF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Balance Térmico de Verano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Distribución de las ganancias térmicas diarias</a:t>
            </a:r>
          </a:p>
        </c:rich>
      </c:tx>
      <c:layout>
        <c:manualLayout>
          <c:xMode val="edge"/>
          <c:yMode val="edge"/>
          <c:x val="0.21036585365853658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enfriamiento'!$B$280:$I$280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FD-481F-896B-4655BAA94267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enfriamiento'!$B$281:$I$281</c:f>
              <c:numCache>
                <c:formatCode>0.0</c:formatCode>
                <c:ptCount val="8"/>
                <c:pt idx="0">
                  <c:v>22589.039999999994</c:v>
                </c:pt>
                <c:pt idx="1">
                  <c:v>6678.45</c:v>
                </c:pt>
                <c:pt idx="2">
                  <c:v>2404.2564000000007</c:v>
                </c:pt>
                <c:pt idx="3">
                  <c:v>2940.2194822000006</c:v>
                </c:pt>
                <c:pt idx="4">
                  <c:v>1890.4369852934999</c:v>
                </c:pt>
                <c:pt idx="5">
                  <c:v>9700.7760000000017</c:v>
                </c:pt>
                <c:pt idx="6">
                  <c:v>1232</c:v>
                </c:pt>
                <c:pt idx="7">
                  <c:v>10098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D-481F-896B-4655BAA94267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FD2-43C7-A6D5-D00697EF5F60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FD2-43C7-A6D5-D00697EF5F60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FD2-43C7-A6D5-D00697EF5F60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FD2-43C7-A6D5-D00697EF5F60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FD2-43C7-A6D5-D00697EF5F60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FD2-43C7-A6D5-D00697EF5F60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FD2-43C7-A6D5-D00697EF5F60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FD2-43C7-A6D5-D00697EF5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enfriamiento'!$B$282:$I$282</c:f>
              <c:numCache>
                <c:formatCode>0.0%</c:formatCode>
                <c:ptCount val="8"/>
                <c:pt idx="0">
                  <c:v>0.39262631484391869</c:v>
                </c:pt>
                <c:pt idx="1">
                  <c:v>0.11607997561513768</c:v>
                </c:pt>
                <c:pt idx="2">
                  <c:v>4.1789041511808692E-2</c:v>
                </c:pt>
                <c:pt idx="3">
                  <c:v>5.1104763200582291E-2</c:v>
                </c:pt>
                <c:pt idx="4">
                  <c:v>3.2858204995893335E-2</c:v>
                </c:pt>
                <c:pt idx="5">
                  <c:v>0.1686118547758706</c:v>
                </c:pt>
                <c:pt idx="6">
                  <c:v>2.1413730724621674E-2</c:v>
                </c:pt>
                <c:pt idx="7">
                  <c:v>0.17551611433216693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FD-481F-896B-4655BAA94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0538496"/>
        <c:axId val="214740928"/>
      </c:barChart>
      <c:catAx>
        <c:axId val="17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474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74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900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53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trlProps/ctrlProp1.xml><?xml version="1.0" encoding="utf-8"?>
<formControlPr xmlns="http://schemas.microsoft.com/office/spreadsheetml/2009/9/main" objectType="Drop" dropStyle="combo" dx="16" fmlaLink="$E$84" fmlaRange="$B$65:$B$84" sel="4" val="0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chart" Target="../charts/chart1.xml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19050</xdr:rowOff>
        </xdr:from>
        <xdr:to>
          <xdr:col>1</xdr:col>
          <xdr:colOff>19050</xdr:colOff>
          <xdr:row>8</xdr:row>
          <xdr:rowOff>57150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200114</xdr:colOff>
      <xdr:row>56</xdr:row>
      <xdr:rowOff>76200</xdr:rowOff>
    </xdr:from>
    <xdr:to>
      <xdr:col>13</xdr:col>
      <xdr:colOff>76201</xdr:colOff>
      <xdr:row>67</xdr:row>
      <xdr:rowOff>142875</xdr:rowOff>
    </xdr:to>
    <xdr:grpSp>
      <xdr:nvGrpSpPr>
        <xdr:cNvPr id="27" name="26 Grup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5562689" y="6067425"/>
          <a:ext cx="2981237" cy="1847850"/>
          <a:chOff x="3905339" y="5657850"/>
          <a:chExt cx="2714537" cy="1847850"/>
        </a:xfrm>
      </xdr:grpSpPr>
      <xdr:grpSp>
        <xdr:nvGrpSpPr>
          <xdr:cNvPr id="26" name="25 Grupo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GrpSpPr/>
        </xdr:nvGrpSpPr>
        <xdr:grpSpPr>
          <a:xfrm>
            <a:off x="3905339" y="5657850"/>
            <a:ext cx="2714537" cy="1847850"/>
            <a:chOff x="5153114" y="5724525"/>
            <a:chExt cx="2714537" cy="1847850"/>
          </a:xfrm>
        </xdr:grpSpPr>
        <xdr:sp macro="" textlink="">
          <xdr:nvSpPr>
            <xdr:cNvPr id="7" name="6 Forma libre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 rot="60000">
              <a:off x="5153114" y="6266788"/>
              <a:ext cx="942975" cy="953163"/>
            </a:xfrm>
            <a:custGeom>
              <a:avLst/>
              <a:gdLst>
                <a:gd name="connsiteX0" fmla="*/ 9525 w 942975"/>
                <a:gd name="connsiteY0" fmla="*/ 942975 h 942975"/>
                <a:gd name="connsiteX1" fmla="*/ 0 w 942975"/>
                <a:gd name="connsiteY1" fmla="*/ 438150 h 942975"/>
                <a:gd name="connsiteX2" fmla="*/ 476250 w 942975"/>
                <a:gd name="connsiteY2" fmla="*/ 0 h 942975"/>
                <a:gd name="connsiteX3" fmla="*/ 933450 w 942975"/>
                <a:gd name="connsiteY3" fmla="*/ 428625 h 942975"/>
                <a:gd name="connsiteX4" fmla="*/ 942975 w 942975"/>
                <a:gd name="connsiteY4" fmla="*/ 923925 h 942975"/>
                <a:gd name="connsiteX5" fmla="*/ 9525 w 942975"/>
                <a:gd name="connsiteY5" fmla="*/ 942975 h 942975"/>
                <a:gd name="connsiteX0" fmla="*/ 9525 w 942975"/>
                <a:gd name="connsiteY0" fmla="*/ 933617 h 933617"/>
                <a:gd name="connsiteX1" fmla="*/ 0 w 942975"/>
                <a:gd name="connsiteY1" fmla="*/ 428792 h 933617"/>
                <a:gd name="connsiteX2" fmla="*/ 485940 w 942975"/>
                <a:gd name="connsiteY2" fmla="*/ 0 h 933617"/>
                <a:gd name="connsiteX3" fmla="*/ 933450 w 942975"/>
                <a:gd name="connsiteY3" fmla="*/ 419267 h 933617"/>
                <a:gd name="connsiteX4" fmla="*/ 942975 w 942975"/>
                <a:gd name="connsiteY4" fmla="*/ 914567 h 933617"/>
                <a:gd name="connsiteX5" fmla="*/ 9525 w 942975"/>
                <a:gd name="connsiteY5" fmla="*/ 933617 h 933617"/>
                <a:gd name="connsiteX0" fmla="*/ 9525 w 942975"/>
                <a:gd name="connsiteY0" fmla="*/ 924426 h 924426"/>
                <a:gd name="connsiteX1" fmla="*/ 0 w 942975"/>
                <a:gd name="connsiteY1" fmla="*/ 419601 h 924426"/>
                <a:gd name="connsiteX2" fmla="*/ 505153 w 942975"/>
                <a:gd name="connsiteY2" fmla="*/ 0 h 924426"/>
                <a:gd name="connsiteX3" fmla="*/ 933450 w 942975"/>
                <a:gd name="connsiteY3" fmla="*/ 410076 h 924426"/>
                <a:gd name="connsiteX4" fmla="*/ 942975 w 942975"/>
                <a:gd name="connsiteY4" fmla="*/ 905376 h 924426"/>
                <a:gd name="connsiteX5" fmla="*/ 9525 w 942975"/>
                <a:gd name="connsiteY5" fmla="*/ 924426 h 924426"/>
                <a:gd name="connsiteX0" fmla="*/ 9525 w 942975"/>
                <a:gd name="connsiteY0" fmla="*/ 953163 h 953163"/>
                <a:gd name="connsiteX1" fmla="*/ 0 w 942975"/>
                <a:gd name="connsiteY1" fmla="*/ 448338 h 953163"/>
                <a:gd name="connsiteX2" fmla="*/ 514178 w 942975"/>
                <a:gd name="connsiteY2" fmla="*/ 0 h 953163"/>
                <a:gd name="connsiteX3" fmla="*/ 933450 w 942975"/>
                <a:gd name="connsiteY3" fmla="*/ 438813 h 953163"/>
                <a:gd name="connsiteX4" fmla="*/ 942975 w 942975"/>
                <a:gd name="connsiteY4" fmla="*/ 934113 h 953163"/>
                <a:gd name="connsiteX5" fmla="*/ 9525 w 942975"/>
                <a:gd name="connsiteY5" fmla="*/ 953163 h 95316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942975" h="953163">
                  <a:moveTo>
                    <a:pt x="9525" y="953163"/>
                  </a:moveTo>
                  <a:lnTo>
                    <a:pt x="0" y="448338"/>
                  </a:lnTo>
                  <a:lnTo>
                    <a:pt x="514178" y="0"/>
                  </a:lnTo>
                  <a:lnTo>
                    <a:pt x="933450" y="438813"/>
                  </a:lnTo>
                  <a:lnTo>
                    <a:pt x="942975" y="934113"/>
                  </a:lnTo>
                  <a:lnTo>
                    <a:pt x="9525" y="953163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sp macro="" textlink="">
          <xdr:nvSpPr>
            <xdr:cNvPr id="9" name="8 Forma libre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5657849" y="5724525"/>
              <a:ext cx="1438275" cy="1476375"/>
            </a:xfrm>
            <a:custGeom>
              <a:avLst/>
              <a:gdLst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14450 w 1314450"/>
                <a:gd name="connsiteY3" fmla="*/ 914400 h 1428750"/>
                <a:gd name="connsiteX4" fmla="*/ 476250 w 1314450"/>
                <a:gd name="connsiteY4" fmla="*/ 1428750 h 1428750"/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04925 w 1314450"/>
                <a:gd name="connsiteY3" fmla="*/ 447675 h 1428750"/>
                <a:gd name="connsiteX4" fmla="*/ 1314450 w 1314450"/>
                <a:gd name="connsiteY4" fmla="*/ 914400 h 1428750"/>
                <a:gd name="connsiteX5" fmla="*/ 476250 w 1314450"/>
                <a:gd name="connsiteY5" fmla="*/ 1428750 h 1428750"/>
                <a:gd name="connsiteX0" fmla="*/ 0 w 1314450"/>
                <a:gd name="connsiteY0" fmla="*/ 466725 h 1390650"/>
                <a:gd name="connsiteX1" fmla="*/ 876300 w 1314450"/>
                <a:gd name="connsiteY1" fmla="*/ 0 h 1390650"/>
                <a:gd name="connsiteX2" fmla="*/ 1257300 w 1314450"/>
                <a:gd name="connsiteY2" fmla="*/ 409575 h 1390650"/>
                <a:gd name="connsiteX3" fmla="*/ 1304925 w 1314450"/>
                <a:gd name="connsiteY3" fmla="*/ 447675 h 1390650"/>
                <a:gd name="connsiteX4" fmla="*/ 1314450 w 1314450"/>
                <a:gd name="connsiteY4" fmla="*/ 914400 h 1390650"/>
                <a:gd name="connsiteX5" fmla="*/ 466725 w 1314450"/>
                <a:gd name="connsiteY5" fmla="*/ 1390650 h 1390650"/>
                <a:gd name="connsiteX0" fmla="*/ 0 w 1314450"/>
                <a:gd name="connsiteY0" fmla="*/ 466725 h 1476375"/>
                <a:gd name="connsiteX1" fmla="*/ 876300 w 1314450"/>
                <a:gd name="connsiteY1" fmla="*/ 0 h 1476375"/>
                <a:gd name="connsiteX2" fmla="*/ 1257300 w 1314450"/>
                <a:gd name="connsiteY2" fmla="*/ 409575 h 1476375"/>
                <a:gd name="connsiteX3" fmla="*/ 1304925 w 1314450"/>
                <a:gd name="connsiteY3" fmla="*/ 447675 h 1476375"/>
                <a:gd name="connsiteX4" fmla="*/ 1314450 w 1314450"/>
                <a:gd name="connsiteY4" fmla="*/ 914400 h 1476375"/>
                <a:gd name="connsiteX5" fmla="*/ 333375 w 1314450"/>
                <a:gd name="connsiteY5" fmla="*/ 1476375 h 1476375"/>
                <a:gd name="connsiteX0" fmla="*/ 0 w 1314450"/>
                <a:gd name="connsiteY0" fmla="*/ 466725 h 1476375"/>
                <a:gd name="connsiteX1" fmla="*/ 352425 w 1314450"/>
                <a:gd name="connsiteY1" fmla="*/ 285750 h 1476375"/>
                <a:gd name="connsiteX2" fmla="*/ 876300 w 1314450"/>
                <a:gd name="connsiteY2" fmla="*/ 0 h 1476375"/>
                <a:gd name="connsiteX3" fmla="*/ 1257300 w 1314450"/>
                <a:gd name="connsiteY3" fmla="*/ 409575 h 1476375"/>
                <a:gd name="connsiteX4" fmla="*/ 1304925 w 1314450"/>
                <a:gd name="connsiteY4" fmla="*/ 447675 h 1476375"/>
                <a:gd name="connsiteX5" fmla="*/ 1314450 w 1314450"/>
                <a:gd name="connsiteY5" fmla="*/ 914400 h 1476375"/>
                <a:gd name="connsiteX6" fmla="*/ 333375 w 1314450"/>
                <a:gd name="connsiteY6" fmla="*/ 1476375 h 1476375"/>
                <a:gd name="connsiteX0" fmla="*/ 0 w 1028700"/>
                <a:gd name="connsiteY0" fmla="*/ 1009650 h 1476375"/>
                <a:gd name="connsiteX1" fmla="*/ 66675 w 1028700"/>
                <a:gd name="connsiteY1" fmla="*/ 285750 h 1476375"/>
                <a:gd name="connsiteX2" fmla="*/ 590550 w 1028700"/>
                <a:gd name="connsiteY2" fmla="*/ 0 h 1476375"/>
                <a:gd name="connsiteX3" fmla="*/ 971550 w 1028700"/>
                <a:gd name="connsiteY3" fmla="*/ 409575 h 1476375"/>
                <a:gd name="connsiteX4" fmla="*/ 1019175 w 1028700"/>
                <a:gd name="connsiteY4" fmla="*/ 447675 h 1476375"/>
                <a:gd name="connsiteX5" fmla="*/ 1028700 w 1028700"/>
                <a:gd name="connsiteY5" fmla="*/ 914400 h 1476375"/>
                <a:gd name="connsiteX6" fmla="*/ 47625 w 1028700"/>
                <a:gd name="connsiteY6" fmla="*/ 1476375 h 1476375"/>
                <a:gd name="connsiteX0" fmla="*/ 409575 w 1438275"/>
                <a:gd name="connsiteY0" fmla="*/ 1009650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428750 w 1438275"/>
                <a:gd name="connsiteY3" fmla="*/ 447675 h 1476375"/>
                <a:gd name="connsiteX4" fmla="*/ 1438275 w 1438275"/>
                <a:gd name="connsiteY4" fmla="*/ 914400 h 1476375"/>
                <a:gd name="connsiteX5" fmla="*/ 457200 w 1438275"/>
                <a:gd name="connsiteY5" fmla="*/ 1476375 h 1476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438275" h="1476375">
                  <a:moveTo>
                    <a:pt x="438150" y="1000125"/>
                  </a:moveTo>
                  <a:lnTo>
                    <a:pt x="0" y="552450"/>
                  </a:lnTo>
                  <a:lnTo>
                    <a:pt x="1000125" y="0"/>
                  </a:lnTo>
                  <a:lnTo>
                    <a:pt x="1428750" y="447675"/>
                  </a:lnTo>
                  <a:lnTo>
                    <a:pt x="1438275" y="914400"/>
                  </a:lnTo>
                  <a:lnTo>
                    <a:pt x="457200" y="1476375"/>
                  </a:lnTo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cxnSp macro="">
          <xdr:nvCxnSpPr>
            <xdr:cNvPr id="11" name="10 Conector recto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CxnSpPr>
              <a:stCxn id="7" idx="3"/>
              <a:endCxn id="9" idx="3"/>
            </xdr:cNvCxnSpPr>
          </xdr:nvCxnSpPr>
          <xdr:spPr bwMode="auto">
            <a:xfrm flipV="1">
              <a:off x="6087153" y="6172200"/>
              <a:ext cx="999446" cy="541469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6" name="15 Conector recto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CxnSpPr>
              <a:stCxn id="9" idx="5"/>
            </xdr:cNvCxnSpPr>
          </xdr:nvCxnSpPr>
          <xdr:spPr bwMode="auto">
            <a:xfrm flipV="1">
              <a:off x="6115049" y="717232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8" name="17 Conector recto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CxnSpPr/>
          </xdr:nvCxnSpPr>
          <xdr:spPr bwMode="auto">
            <a:xfrm flipV="1">
              <a:off x="7105650" y="661987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21 CuadroTexto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7096125" y="67437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L</a:t>
              </a:r>
            </a:p>
          </xdr:txBody>
        </xdr:sp>
        <xdr:sp macro="" textlink="">
          <xdr:nvSpPr>
            <xdr:cNvPr id="23" name="22 CuadroTexto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5343526" y="6781800"/>
              <a:ext cx="2667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4" name="23 CuadroTexto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6038850" y="67818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5" name="24 CuadroTexto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 txBox="1"/>
          </xdr:nvSpPr>
          <xdr:spPr>
            <a:xfrm>
              <a:off x="5724525" y="7191375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d</a:t>
              </a:r>
            </a:p>
          </xdr:txBody>
        </xdr:sp>
      </xdr:grpSp>
      <xdr:cxnSp macro="">
        <xdr:nvCxnSpPr>
          <xdr:cNvPr id="19" name="18 Conector recto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 bwMode="auto">
          <a:xfrm flipH="1" flipV="1">
            <a:off x="4419600" y="6191250"/>
            <a:ext cx="19050" cy="9334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429421</xdr:colOff>
      <xdr:row>27</xdr:row>
      <xdr:rowOff>3158</xdr:rowOff>
    </xdr:from>
    <xdr:to>
      <xdr:col>18</xdr:col>
      <xdr:colOff>495300</xdr:colOff>
      <xdr:row>35</xdr:row>
      <xdr:rowOff>123824</xdr:rowOff>
    </xdr:to>
    <xdr:grpSp>
      <xdr:nvGrpSpPr>
        <xdr:cNvPr id="1129" name="Group 44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GrpSpPr>
          <a:grpSpLocks/>
        </xdr:cNvGrpSpPr>
      </xdr:nvGrpSpPr>
      <xdr:grpSpPr bwMode="auto">
        <a:xfrm>
          <a:off x="9954421" y="4587858"/>
          <a:ext cx="1894679" cy="1441466"/>
          <a:chOff x="295" y="778"/>
          <a:chExt cx="235" cy="190"/>
        </a:xfrm>
      </xdr:grpSpPr>
      <xdr:pic>
        <xdr:nvPicPr>
          <xdr:cNvPr id="1134" name="Picture 17" descr="inv2">
            <a:extLst>
              <a:ext uri="{FF2B5EF4-FFF2-40B4-BE49-F238E27FC236}">
                <a16:creationId xmlns:a16="http://schemas.microsoft.com/office/drawing/2014/main" id="{00000000-0008-0000-0200-00006E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778" b="31013"/>
          <a:stretch>
            <a:fillRect/>
          </a:stretch>
        </xdr:blipFill>
        <xdr:spPr bwMode="auto">
          <a:xfrm>
            <a:off x="295" y="778"/>
            <a:ext cx="235" cy="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7" name="Text Box 43">
            <a:extLst>
              <a:ext uri="{FF2B5EF4-FFF2-40B4-BE49-F238E27FC236}">
                <a16:creationId xmlns:a16="http://schemas.microsoft.com/office/drawing/2014/main" id="{00000000-0008-0000-0200-00002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945"/>
            <a:ext cx="13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Invernadero adosado</a:t>
            </a:r>
          </a:p>
        </xdr:txBody>
      </xdr:sp>
    </xdr:grpSp>
    <xdr:clientData/>
  </xdr:twoCellAnchor>
  <xdr:twoCellAnchor editAs="oneCell">
    <xdr:from>
      <xdr:col>15</xdr:col>
      <xdr:colOff>435882</xdr:colOff>
      <xdr:row>16</xdr:row>
      <xdr:rowOff>87923</xdr:rowOff>
    </xdr:from>
    <xdr:to>
      <xdr:col>18</xdr:col>
      <xdr:colOff>495299</xdr:colOff>
      <xdr:row>23</xdr:row>
      <xdr:rowOff>155332</xdr:rowOff>
    </xdr:to>
    <xdr:pic>
      <xdr:nvPicPr>
        <xdr:cNvPr id="1130" name="Picture 49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8901" y="2696308"/>
          <a:ext cx="1883821" cy="125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437969</xdr:colOff>
      <xdr:row>6</xdr:row>
      <xdr:rowOff>14653</xdr:rowOff>
    </xdr:from>
    <xdr:to>
      <xdr:col>18</xdr:col>
      <xdr:colOff>476248</xdr:colOff>
      <xdr:row>14</xdr:row>
      <xdr:rowOff>114301</xdr:rowOff>
    </xdr:to>
    <xdr:pic>
      <xdr:nvPicPr>
        <xdr:cNvPr id="1131" name="Picture 50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0988" y="1003788"/>
          <a:ext cx="1862683" cy="1396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139212</xdr:colOff>
      <xdr:row>13</xdr:row>
      <xdr:rowOff>38100</xdr:rowOff>
    </xdr:from>
    <xdr:to>
      <xdr:col>18</xdr:col>
      <xdr:colOff>466725</xdr:colOff>
      <xdr:row>14</xdr:row>
      <xdr:rowOff>14654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>
          <a:spLocks noChangeArrowheads="1"/>
        </xdr:cNvSpPr>
      </xdr:nvSpPr>
      <xdr:spPr bwMode="auto">
        <a:xfrm>
          <a:off x="10858500" y="2162908"/>
          <a:ext cx="935648" cy="1377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Ganancia directa</a:t>
          </a:r>
        </a:p>
        <a:p>
          <a:pPr algn="ctr" rtl="0">
            <a:defRPr sz="1000"/>
          </a:pP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102577</xdr:colOff>
      <xdr:row>24</xdr:row>
      <xdr:rowOff>126022</xdr:rowOff>
    </xdr:from>
    <xdr:to>
      <xdr:col>18</xdr:col>
      <xdr:colOff>451338</xdr:colOff>
      <xdr:row>25</xdr:row>
      <xdr:rowOff>117231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 txBox="1">
          <a:spLocks noChangeArrowheads="1"/>
        </xdr:cNvSpPr>
      </xdr:nvSpPr>
      <xdr:spPr bwMode="auto">
        <a:xfrm>
          <a:off x="10821865" y="3760176"/>
          <a:ext cx="956896" cy="15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Muro acumulador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393699</xdr:colOff>
      <xdr:row>283</xdr:row>
      <xdr:rowOff>9524</xdr:rowOff>
    </xdr:from>
    <xdr:to>
      <xdr:col>9</xdr:col>
      <xdr:colOff>254000</xdr:colOff>
      <xdr:row>306</xdr:row>
      <xdr:rowOff>57150</xdr:rowOff>
    </xdr:to>
    <xdr:graphicFrame macro="">
      <xdr:nvGraphicFramePr>
        <xdr:cNvPr id="4104" name="Chart 1">
          <a:extLst>
            <a:ext uri="{FF2B5EF4-FFF2-40B4-BE49-F238E27FC236}">
              <a16:creationId xmlns:a16="http://schemas.microsoft.com/office/drawing/2014/main" id="{00000000-0008-0000-05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476250</xdr:colOff>
      <xdr:row>88</xdr:row>
      <xdr:rowOff>47625</xdr:rowOff>
    </xdr:from>
    <xdr:to>
      <xdr:col>15</xdr:col>
      <xdr:colOff>104775</xdr:colOff>
      <xdr:row>102</xdr:row>
      <xdr:rowOff>85725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14373225"/>
          <a:ext cx="3438525" cy="2305050"/>
        </a:xfrm>
        <a:prstGeom prst="rect">
          <a:avLst/>
        </a:prstGeom>
        <a:solidFill>
          <a:schemeClr val="bg2">
            <a:lumMod val="75000"/>
          </a:schemeClr>
        </a:solidFill>
      </xdr:spPr>
    </xdr:pic>
    <xdr:clientData/>
  </xdr:twoCellAnchor>
  <xdr:twoCellAnchor editAs="oneCell">
    <xdr:from>
      <xdr:col>7</xdr:col>
      <xdr:colOff>9525</xdr:colOff>
      <xdr:row>139</xdr:row>
      <xdr:rowOff>0</xdr:rowOff>
    </xdr:from>
    <xdr:to>
      <xdr:col>13</xdr:col>
      <xdr:colOff>733425</xdr:colOff>
      <xdr:row>164</xdr:row>
      <xdr:rowOff>104775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2574250"/>
          <a:ext cx="5524500" cy="418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165</xdr:row>
      <xdr:rowOff>0</xdr:rowOff>
    </xdr:from>
    <xdr:to>
      <xdr:col>15</xdr:col>
      <xdr:colOff>266700</xdr:colOff>
      <xdr:row>189</xdr:row>
      <xdr:rowOff>95250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593"/>
        <a:stretch/>
      </xdr:blipFill>
      <xdr:spPr bwMode="auto">
        <a:xfrm>
          <a:off x="9058275" y="26870025"/>
          <a:ext cx="4076700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194</xdr:row>
      <xdr:rowOff>0</xdr:rowOff>
    </xdr:from>
    <xdr:to>
      <xdr:col>15</xdr:col>
      <xdr:colOff>895351</xdr:colOff>
      <xdr:row>245</xdr:row>
      <xdr:rowOff>151995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8916650"/>
          <a:ext cx="3943351" cy="84673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46</xdr:row>
      <xdr:rowOff>28575</xdr:rowOff>
    </xdr:from>
    <xdr:to>
      <xdr:col>3</xdr:col>
      <xdr:colOff>314325</xdr:colOff>
      <xdr:row>57</xdr:row>
      <xdr:rowOff>104775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104775" y="7562850"/>
          <a:ext cx="2733675" cy="1857375"/>
          <a:chOff x="299" y="177"/>
          <a:chExt cx="262" cy="195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5" name="Line 3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0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714375</xdr:colOff>
      <xdr:row>22</xdr:row>
      <xdr:rowOff>161925</xdr:rowOff>
    </xdr:from>
    <xdr:to>
      <xdr:col>15</xdr:col>
      <xdr:colOff>647700</xdr:colOff>
      <xdr:row>42</xdr:row>
      <xdr:rowOff>104775</xdr:rowOff>
    </xdr:to>
    <xdr:graphicFrame macro="">
      <xdr:nvGraphicFramePr>
        <xdr:cNvPr id="7178" name="Chart 1">
          <a:extLst>
            <a:ext uri="{FF2B5EF4-FFF2-40B4-BE49-F238E27FC236}">
              <a16:creationId xmlns:a16="http://schemas.microsoft.com/office/drawing/2014/main" id="{00000000-0008-0000-0700-00000A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35</xdr:row>
      <xdr:rowOff>28575</xdr:rowOff>
    </xdr:from>
    <xdr:to>
      <xdr:col>3</xdr:col>
      <xdr:colOff>314325</xdr:colOff>
      <xdr:row>46</xdr:row>
      <xdr:rowOff>104775</xdr:rowOff>
    </xdr:to>
    <xdr:grpSp>
      <xdr:nvGrpSpPr>
        <xdr:cNvPr id="14" name="Group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>
          <a:grpSpLocks/>
        </xdr:cNvGrpSpPr>
      </xdr:nvGrpSpPr>
      <xdr:grpSpPr bwMode="auto">
        <a:xfrm>
          <a:off x="104775" y="5810250"/>
          <a:ext cx="2495550" cy="1857375"/>
          <a:chOff x="299" y="177"/>
          <a:chExt cx="262" cy="195"/>
        </a:xfrm>
      </xdr:grpSpPr>
      <xdr:sp macro="" textlink="">
        <xdr:nvSpPr>
          <xdr:cNvPr id="15" name="Rectangle 1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Text Box 2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17" name="Line 3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Text Box 4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19" name="Text Box 5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21" name="Text Box 7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23" name="Line 9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Text Box 10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25" name="Freeform 12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17</xdr:row>
      <xdr:rowOff>28575</xdr:rowOff>
    </xdr:from>
    <xdr:to>
      <xdr:col>7</xdr:col>
      <xdr:colOff>590550</xdr:colOff>
      <xdr:row>36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476250</xdr:colOff>
      <xdr:row>63</xdr:row>
      <xdr:rowOff>28574</xdr:rowOff>
    </xdr:from>
    <xdr:to>
      <xdr:col>7</xdr:col>
      <xdr:colOff>257175</xdr:colOff>
      <xdr:row>77</xdr:row>
      <xdr:rowOff>142875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U%20UM\catedra\Catedra%202022\Programas%20Balance%20Termico\Balance%20Mendoza%20Norte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gar"/>
      <sheetName val="superficies"/>
      <sheetName val="Balance calefacción"/>
      <sheetName val="K comp"/>
      <sheetName val="mensual"/>
      <sheetName val="Balance enfriamiento"/>
      <sheetName val="Enf. convectivo nocturno"/>
      <sheetName val="Masa Térmica"/>
      <sheetName val="Ventilación natural"/>
      <sheetName val="Acumuación"/>
      <sheetName val="Resumen"/>
    </sheetNames>
    <sheetDataSet>
      <sheetData sheetId="0"/>
      <sheetData sheetId="1">
        <row r="24">
          <cell r="C24">
            <v>2.0597388316151202</v>
          </cell>
        </row>
      </sheetData>
      <sheetData sheetId="2"/>
      <sheetData sheetId="3"/>
      <sheetData sheetId="4"/>
      <sheetData sheetId="5">
        <row r="235">
          <cell r="E235" t="str">
            <v>W</v>
          </cell>
        </row>
      </sheetData>
      <sheetData sheetId="6"/>
      <sheetData sheetId="7">
        <row r="25">
          <cell r="I25">
            <v>26.6</v>
          </cell>
        </row>
        <row r="26">
          <cell r="I26">
            <v>24.77537601415716</v>
          </cell>
        </row>
        <row r="38">
          <cell r="I38">
            <v>0</v>
          </cell>
        </row>
      </sheetData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84"/>
  <sheetViews>
    <sheetView topLeftCell="A4" workbookViewId="0">
      <selection activeCell="D24" sqref="D24"/>
    </sheetView>
  </sheetViews>
  <sheetFormatPr baseColWidth="10" defaultColWidth="9.140625" defaultRowHeight="12.75" x14ac:dyDescent="0.2"/>
  <cols>
    <col min="1" max="1" width="20.5703125" customWidth="1"/>
    <col min="2" max="2" width="19.42578125" customWidth="1"/>
    <col min="3" max="3" width="20.5703125" customWidth="1"/>
    <col min="4" max="4" width="21.28515625" customWidth="1"/>
    <col min="5" max="5" width="12.7109375" customWidth="1"/>
    <col min="6" max="6" width="12.28515625" customWidth="1"/>
    <col min="7" max="7" width="12.5703125" customWidth="1"/>
    <col min="9" max="9" width="25.7109375" customWidth="1"/>
  </cols>
  <sheetData>
    <row r="1" spans="1:7" x14ac:dyDescent="0.2">
      <c r="A1" s="1" t="s">
        <v>280</v>
      </c>
    </row>
    <row r="2" spans="1:7" x14ac:dyDescent="0.2">
      <c r="A2" s="1" t="s">
        <v>2</v>
      </c>
    </row>
    <row r="6" spans="1:7" ht="19.5" customHeight="1" x14ac:dyDescent="0.2">
      <c r="A6" s="1" t="s">
        <v>281</v>
      </c>
      <c r="C6" s="427" t="s">
        <v>621</v>
      </c>
      <c r="D6" s="428" t="s">
        <v>624</v>
      </c>
      <c r="E6" s="427" t="s">
        <v>436</v>
      </c>
      <c r="F6" s="427" t="s">
        <v>622</v>
      </c>
      <c r="G6" s="427" t="s">
        <v>623</v>
      </c>
    </row>
    <row r="7" spans="1:7" x14ac:dyDescent="0.2">
      <c r="C7" s="430" t="s">
        <v>649</v>
      </c>
      <c r="D7" s="429" t="s">
        <v>649</v>
      </c>
      <c r="E7" s="430" t="s">
        <v>650</v>
      </c>
      <c r="F7" s="430" t="s">
        <v>651</v>
      </c>
      <c r="G7" s="430" t="s">
        <v>652</v>
      </c>
    </row>
    <row r="8" spans="1:7" x14ac:dyDescent="0.2">
      <c r="C8" s="430" t="s">
        <v>88</v>
      </c>
      <c r="D8" s="430" t="s">
        <v>88</v>
      </c>
      <c r="E8" s="430" t="s">
        <v>626</v>
      </c>
      <c r="F8" s="430" t="s">
        <v>634</v>
      </c>
      <c r="G8" s="430" t="s">
        <v>627</v>
      </c>
    </row>
    <row r="9" spans="1:7" x14ac:dyDescent="0.2">
      <c r="C9" s="429" t="s">
        <v>625</v>
      </c>
      <c r="D9" s="430" t="s">
        <v>266</v>
      </c>
      <c r="E9" s="430" t="s">
        <v>628</v>
      </c>
      <c r="F9" s="430" t="s">
        <v>633</v>
      </c>
      <c r="G9" s="430" t="s">
        <v>629</v>
      </c>
    </row>
    <row r="10" spans="1:7" x14ac:dyDescent="0.2">
      <c r="C10" s="430" t="s">
        <v>268</v>
      </c>
      <c r="D10" s="430" t="s">
        <v>630</v>
      </c>
      <c r="E10" s="430" t="s">
        <v>631</v>
      </c>
      <c r="F10" s="430" t="s">
        <v>632</v>
      </c>
      <c r="G10" s="430" t="s">
        <v>635</v>
      </c>
    </row>
    <row r="11" spans="1:7" x14ac:dyDescent="0.2">
      <c r="A11" s="1"/>
      <c r="C11" s="430" t="s">
        <v>267</v>
      </c>
      <c r="D11" s="430" t="s">
        <v>264</v>
      </c>
      <c r="E11" s="430" t="s">
        <v>636</v>
      </c>
      <c r="F11" s="430" t="s">
        <v>637</v>
      </c>
      <c r="G11" s="430" t="s">
        <v>638</v>
      </c>
    </row>
    <row r="12" spans="1:7" x14ac:dyDescent="0.2">
      <c r="C12" s="430" t="s">
        <v>263</v>
      </c>
      <c r="D12" s="430" t="s">
        <v>263</v>
      </c>
      <c r="E12" s="430" t="s">
        <v>639</v>
      </c>
      <c r="F12" s="429" t="s">
        <v>645</v>
      </c>
      <c r="G12" s="429" t="s">
        <v>643</v>
      </c>
    </row>
    <row r="13" spans="1:7" x14ac:dyDescent="0.2">
      <c r="C13" s="430" t="s">
        <v>262</v>
      </c>
      <c r="D13" s="430" t="s">
        <v>262</v>
      </c>
      <c r="E13" s="429" t="s">
        <v>640</v>
      </c>
      <c r="F13" s="429" t="s">
        <v>641</v>
      </c>
      <c r="G13" s="429" t="s">
        <v>642</v>
      </c>
    </row>
    <row r="14" spans="1:7" x14ac:dyDescent="0.2">
      <c r="C14" s="429" t="s">
        <v>618</v>
      </c>
      <c r="D14" s="429" t="s">
        <v>618</v>
      </c>
      <c r="E14" s="429" t="s">
        <v>626</v>
      </c>
      <c r="F14" s="431" t="s">
        <v>646</v>
      </c>
      <c r="G14" s="429" t="s">
        <v>644</v>
      </c>
    </row>
    <row r="16" spans="1:7" ht="13.5" thickBot="1" x14ac:dyDescent="0.25"/>
    <row r="17" spans="1:7" x14ac:dyDescent="0.2">
      <c r="C17" s="464" t="s">
        <v>678</v>
      </c>
      <c r="D17" s="465" t="s">
        <v>710</v>
      </c>
      <c r="E17" s="466"/>
      <c r="F17" s="466"/>
      <c r="G17" s="467"/>
    </row>
    <row r="18" spans="1:7" ht="13.5" thickBot="1" x14ac:dyDescent="0.25">
      <c r="C18" s="468" t="s">
        <v>679</v>
      </c>
      <c r="D18" s="450"/>
      <c r="E18" s="450"/>
      <c r="F18" s="450"/>
      <c r="G18" s="451"/>
    </row>
    <row r="25" spans="1:7" x14ac:dyDescent="0.2">
      <c r="A25" s="1"/>
    </row>
    <row r="26" spans="1:7" x14ac:dyDescent="0.2">
      <c r="A26" s="1"/>
    </row>
    <row r="27" spans="1:7" x14ac:dyDescent="0.2">
      <c r="A27" s="1"/>
    </row>
    <row r="28" spans="1:7" x14ac:dyDescent="0.2">
      <c r="A28" s="1"/>
    </row>
    <row r="29" spans="1:7" x14ac:dyDescent="0.2">
      <c r="A29" s="1"/>
    </row>
    <row r="30" spans="1:7" x14ac:dyDescent="0.2">
      <c r="A30" s="1"/>
    </row>
    <row r="31" spans="1:7" x14ac:dyDescent="0.2">
      <c r="A31" s="1"/>
    </row>
    <row r="32" spans="1:7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62" spans="2:8" ht="13.5" thickBot="1" x14ac:dyDescent="0.25"/>
    <row r="63" spans="2:8" x14ac:dyDescent="0.2">
      <c r="B63" s="5" t="s">
        <v>86</v>
      </c>
      <c r="C63" s="6" t="s">
        <v>87</v>
      </c>
      <c r="D63" s="259" t="s">
        <v>347</v>
      </c>
      <c r="E63" s="261" t="s">
        <v>436</v>
      </c>
      <c r="F63" s="127" t="s">
        <v>437</v>
      </c>
      <c r="G63" s="261" t="s">
        <v>476</v>
      </c>
      <c r="H63" s="127"/>
    </row>
    <row r="64" spans="2:8" ht="13.5" thickBot="1" x14ac:dyDescent="0.25">
      <c r="B64" s="128"/>
      <c r="C64" s="129" t="s">
        <v>89</v>
      </c>
      <c r="D64" s="260" t="s">
        <v>348</v>
      </c>
      <c r="E64" s="262" t="s">
        <v>438</v>
      </c>
      <c r="F64" s="130" t="s">
        <v>351</v>
      </c>
      <c r="G64" s="262" t="s">
        <v>477</v>
      </c>
      <c r="H64" s="130"/>
    </row>
    <row r="65" spans="1:9" x14ac:dyDescent="0.2">
      <c r="A65" s="167">
        <v>1</v>
      </c>
      <c r="B65" s="167" t="s">
        <v>649</v>
      </c>
      <c r="C65" s="167">
        <v>1450</v>
      </c>
      <c r="D65" s="333">
        <v>10</v>
      </c>
      <c r="E65" s="167">
        <v>-33.049999999999997</v>
      </c>
      <c r="F65" s="167">
        <v>653</v>
      </c>
      <c r="G65" s="167">
        <v>45</v>
      </c>
      <c r="H65" s="237" t="s">
        <v>196</v>
      </c>
      <c r="I65" s="167"/>
    </row>
    <row r="66" spans="1:9" x14ac:dyDescent="0.2">
      <c r="A66" s="167">
        <f t="shared" ref="A66:A72" si="0">+A65+1</f>
        <v>2</v>
      </c>
      <c r="B66" s="167" t="s">
        <v>88</v>
      </c>
      <c r="C66" s="167">
        <v>1730</v>
      </c>
      <c r="D66" s="333">
        <v>9</v>
      </c>
      <c r="E66" s="167">
        <v>-32.979999999999997</v>
      </c>
      <c r="F66" s="167">
        <v>921</v>
      </c>
      <c r="G66" s="167">
        <v>45</v>
      </c>
      <c r="H66" s="237" t="s">
        <v>191</v>
      </c>
      <c r="I66" s="167"/>
    </row>
    <row r="67" spans="1:9" x14ac:dyDescent="0.2">
      <c r="A67" s="167">
        <f t="shared" si="0"/>
        <v>3</v>
      </c>
      <c r="B67" s="167" t="s">
        <v>266</v>
      </c>
      <c r="C67" s="167">
        <v>1628</v>
      </c>
      <c r="D67" s="333">
        <v>11</v>
      </c>
      <c r="E67" s="167">
        <v>-33.299999999999997</v>
      </c>
      <c r="F67" s="167">
        <v>750</v>
      </c>
      <c r="G67" s="167">
        <v>45</v>
      </c>
      <c r="H67" s="237" t="s">
        <v>189</v>
      </c>
      <c r="I67" s="167"/>
    </row>
    <row r="68" spans="1:9" x14ac:dyDescent="0.2">
      <c r="A68" s="167">
        <f t="shared" si="0"/>
        <v>4</v>
      </c>
      <c r="B68" s="167" t="s">
        <v>268</v>
      </c>
      <c r="C68" s="167">
        <v>1350</v>
      </c>
      <c r="D68" s="333">
        <v>12.7</v>
      </c>
      <c r="E68" s="167">
        <v>-32.85</v>
      </c>
      <c r="F68" s="167">
        <v>700</v>
      </c>
      <c r="G68" s="167">
        <v>45</v>
      </c>
      <c r="H68" s="237" t="s">
        <v>189</v>
      </c>
      <c r="I68" s="167"/>
    </row>
    <row r="69" spans="1:9" x14ac:dyDescent="0.2">
      <c r="A69" s="167">
        <f t="shared" si="0"/>
        <v>5</v>
      </c>
      <c r="B69" s="167" t="s">
        <v>267</v>
      </c>
      <c r="C69" s="167">
        <v>1384</v>
      </c>
      <c r="D69" s="333">
        <v>13</v>
      </c>
      <c r="E69" s="167">
        <v>-32.85</v>
      </c>
      <c r="F69" s="167">
        <v>827</v>
      </c>
      <c r="G69" s="167">
        <v>0</v>
      </c>
      <c r="H69" s="237" t="s">
        <v>520</v>
      </c>
      <c r="I69" s="167"/>
    </row>
    <row r="70" spans="1:9" x14ac:dyDescent="0.2">
      <c r="A70" s="167">
        <f t="shared" si="0"/>
        <v>6</v>
      </c>
      <c r="B70" s="167" t="s">
        <v>263</v>
      </c>
      <c r="C70" s="167">
        <v>1826</v>
      </c>
      <c r="D70" s="333">
        <v>10.3</v>
      </c>
      <c r="E70" s="167">
        <v>-32.950000000000003</v>
      </c>
      <c r="F70" s="167">
        <v>1400</v>
      </c>
      <c r="G70" s="167">
        <v>45</v>
      </c>
      <c r="H70" s="237" t="s">
        <v>191</v>
      </c>
      <c r="I70" s="167"/>
    </row>
    <row r="71" spans="1:9" x14ac:dyDescent="0.2">
      <c r="A71" s="167">
        <f t="shared" si="0"/>
        <v>7</v>
      </c>
      <c r="B71" s="167" t="s">
        <v>262</v>
      </c>
      <c r="C71" s="167">
        <v>2648</v>
      </c>
      <c r="D71" s="333">
        <v>12</v>
      </c>
      <c r="E71" s="167">
        <v>-32.6</v>
      </c>
      <c r="F71" s="167">
        <v>1891</v>
      </c>
      <c r="G71" s="167">
        <v>45</v>
      </c>
      <c r="H71" s="237" t="s">
        <v>189</v>
      </c>
      <c r="I71" s="167"/>
    </row>
    <row r="72" spans="1:9" x14ac:dyDescent="0.2">
      <c r="A72" s="167">
        <f t="shared" si="0"/>
        <v>8</v>
      </c>
      <c r="B72" s="237" t="s">
        <v>618</v>
      </c>
      <c r="C72" s="167">
        <v>3849</v>
      </c>
      <c r="D72" s="333">
        <v>22</v>
      </c>
      <c r="E72" s="167">
        <v>-33</v>
      </c>
      <c r="F72" s="167">
        <v>2720</v>
      </c>
      <c r="G72" s="167">
        <v>0</v>
      </c>
      <c r="H72" s="237" t="s">
        <v>194</v>
      </c>
      <c r="I72" s="167"/>
    </row>
    <row r="73" spans="1:9" x14ac:dyDescent="0.2">
      <c r="B73" s="229"/>
      <c r="C73" s="230"/>
    </row>
    <row r="74" spans="1:9" x14ac:dyDescent="0.2">
      <c r="B74" s="229"/>
      <c r="C74" s="230"/>
    </row>
    <row r="75" spans="1:9" x14ac:dyDescent="0.2">
      <c r="B75" s="229"/>
      <c r="C75" s="230"/>
    </row>
    <row r="76" spans="1:9" x14ac:dyDescent="0.2">
      <c r="B76" s="229"/>
      <c r="C76" s="230"/>
    </row>
    <row r="77" spans="1:9" x14ac:dyDescent="0.2">
      <c r="B77" s="229"/>
      <c r="C77" s="230"/>
    </row>
    <row r="78" spans="1:9" x14ac:dyDescent="0.2">
      <c r="B78" s="229"/>
      <c r="C78" s="230"/>
    </row>
    <row r="79" spans="1:9" x14ac:dyDescent="0.2">
      <c r="B79" s="229"/>
      <c r="C79" s="230"/>
    </row>
    <row r="80" spans="1:9" x14ac:dyDescent="0.2">
      <c r="B80" s="229"/>
      <c r="C80" s="230"/>
    </row>
    <row r="81" spans="2:5" x14ac:dyDescent="0.2">
      <c r="B81" s="229"/>
      <c r="C81" s="230"/>
    </row>
    <row r="82" spans="2:5" x14ac:dyDescent="0.2">
      <c r="B82" s="229"/>
      <c r="C82" s="230"/>
    </row>
    <row r="83" spans="2:5" x14ac:dyDescent="0.2">
      <c r="B83" s="229"/>
      <c r="C83" s="230"/>
    </row>
    <row r="84" spans="2:5" x14ac:dyDescent="0.2">
      <c r="B84" s="229"/>
      <c r="C84" s="230"/>
      <c r="E84">
        <v>4</v>
      </c>
    </row>
  </sheetData>
  <phoneticPr fontId="14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0</xdr:col>
                    <xdr:colOff>19050</xdr:colOff>
                    <xdr:row>7</xdr:row>
                    <xdr:rowOff>19050</xdr:rowOff>
                  </from>
                  <to>
                    <xdr:col>1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G26"/>
  <sheetViews>
    <sheetView workbookViewId="0">
      <selection activeCell="E7" sqref="E7"/>
    </sheetView>
  </sheetViews>
  <sheetFormatPr baseColWidth="10" defaultRowHeight="12.75" x14ac:dyDescent="0.2"/>
  <cols>
    <col min="2" max="2" width="12.28515625" bestFit="1" customWidth="1"/>
  </cols>
  <sheetData>
    <row r="1" spans="1:7" x14ac:dyDescent="0.2">
      <c r="A1" s="104"/>
      <c r="B1" s="106" t="s">
        <v>297</v>
      </c>
      <c r="C1" s="28"/>
      <c r="D1" s="41" t="s">
        <v>296</v>
      </c>
      <c r="E1" s="105"/>
    </row>
    <row r="2" spans="1:7" ht="13.5" thickBot="1" x14ac:dyDescent="0.25">
      <c r="A2" s="107" t="s">
        <v>76</v>
      </c>
      <c r="B2" s="110" t="s">
        <v>298</v>
      </c>
      <c r="C2" s="111" t="s">
        <v>299</v>
      </c>
      <c r="D2" s="108" t="s">
        <v>298</v>
      </c>
      <c r="E2" s="109" t="s">
        <v>299</v>
      </c>
    </row>
    <row r="3" spans="1:7" x14ac:dyDescent="0.2">
      <c r="A3" s="112">
        <v>0.1</v>
      </c>
      <c r="B3" s="12">
        <v>140</v>
      </c>
      <c r="C3" s="19">
        <v>0.75</v>
      </c>
      <c r="D3" s="12">
        <v>27.7</v>
      </c>
      <c r="E3" s="19">
        <v>0.1</v>
      </c>
    </row>
    <row r="4" spans="1:7" x14ac:dyDescent="0.2">
      <c r="A4" s="112">
        <v>0.2</v>
      </c>
      <c r="B4" s="12">
        <v>270</v>
      </c>
      <c r="C4" s="19">
        <v>1.5</v>
      </c>
      <c r="D4" s="12">
        <v>54.4</v>
      </c>
      <c r="E4" s="19">
        <v>0.2</v>
      </c>
    </row>
    <row r="5" spans="1:7" x14ac:dyDescent="0.2">
      <c r="A5" s="112">
        <v>0.3</v>
      </c>
      <c r="B5" s="12">
        <v>410</v>
      </c>
      <c r="C5" s="19">
        <v>2.25</v>
      </c>
      <c r="D5" s="12">
        <v>81.7</v>
      </c>
      <c r="E5" s="19">
        <v>0.3</v>
      </c>
    </row>
    <row r="6" spans="1:7" x14ac:dyDescent="0.2">
      <c r="A6" s="112">
        <v>0.4</v>
      </c>
      <c r="B6" s="12">
        <v>545</v>
      </c>
      <c r="C6" s="19">
        <v>3</v>
      </c>
      <c r="D6" s="12">
        <v>108.9</v>
      </c>
      <c r="E6" s="19">
        <v>0.4</v>
      </c>
    </row>
    <row r="7" spans="1:7" x14ac:dyDescent="0.2">
      <c r="A7" s="112">
        <v>0.5</v>
      </c>
      <c r="B7" s="12">
        <v>680</v>
      </c>
      <c r="C7" s="19">
        <v>3.75</v>
      </c>
      <c r="D7" s="12">
        <v>136.19999999999999</v>
      </c>
      <c r="E7" s="19">
        <v>0.5</v>
      </c>
    </row>
    <row r="8" spans="1:7" x14ac:dyDescent="0.2">
      <c r="A8" s="112">
        <v>0.6</v>
      </c>
      <c r="B8" s="12">
        <v>820</v>
      </c>
      <c r="C8" s="19">
        <v>4.5</v>
      </c>
      <c r="D8" s="12">
        <v>163.19999999999999</v>
      </c>
      <c r="E8" s="19">
        <v>0.6</v>
      </c>
    </row>
    <row r="9" spans="1:7" x14ac:dyDescent="0.2">
      <c r="A9" s="112">
        <v>0.7</v>
      </c>
      <c r="B9" s="12">
        <v>953</v>
      </c>
      <c r="C9" s="19">
        <v>5.25</v>
      </c>
      <c r="D9" s="12">
        <v>190.7</v>
      </c>
      <c r="E9" s="19">
        <v>0.7</v>
      </c>
    </row>
    <row r="10" spans="1:7" x14ac:dyDescent="0.2">
      <c r="A10" s="112">
        <v>0.8</v>
      </c>
      <c r="B10" s="12">
        <v>1089</v>
      </c>
      <c r="C10" s="19">
        <v>6</v>
      </c>
      <c r="D10" s="12">
        <v>217.9</v>
      </c>
      <c r="E10" s="19">
        <v>0.8</v>
      </c>
    </row>
    <row r="11" spans="1:7" x14ac:dyDescent="0.2">
      <c r="A11" s="113">
        <v>0.9</v>
      </c>
      <c r="B11" s="15">
        <v>1225</v>
      </c>
      <c r="C11" s="16">
        <v>6.75</v>
      </c>
      <c r="D11" s="15">
        <v>245.2</v>
      </c>
      <c r="E11" s="16">
        <v>0.9</v>
      </c>
    </row>
    <row r="12" spans="1:7" x14ac:dyDescent="0.2">
      <c r="A12" s="8"/>
      <c r="B12" s="8"/>
      <c r="C12" s="8"/>
      <c r="D12" s="8"/>
      <c r="E12" s="8"/>
      <c r="F12" s="8"/>
    </row>
    <row r="13" spans="1:7" x14ac:dyDescent="0.2">
      <c r="A13" s="8" t="s">
        <v>300</v>
      </c>
      <c r="B13" s="8"/>
      <c r="C13" s="8"/>
      <c r="D13" s="8"/>
      <c r="E13" s="8"/>
      <c r="F13" s="8"/>
    </row>
    <row r="14" spans="1:7" x14ac:dyDescent="0.2">
      <c r="A14" s="8" t="s">
        <v>301</v>
      </c>
      <c r="B14" s="18">
        <f>C3*10*'Balance calefacción'!Q37*'Balance calefacción'!M36</f>
        <v>38.708082951263577</v>
      </c>
      <c r="C14" s="18" t="s">
        <v>27</v>
      </c>
      <c r="D14" s="18" t="s">
        <v>302</v>
      </c>
      <c r="E14" s="18">
        <f>+B3*10*'Balance calefacción'!Q37*'Balance calefacción'!M36</f>
        <v>7225.5088175692008</v>
      </c>
      <c r="F14" s="8" t="s">
        <v>303</v>
      </c>
      <c r="G14" t="s">
        <v>2</v>
      </c>
    </row>
    <row r="15" spans="1:7" x14ac:dyDescent="0.2">
      <c r="A15" s="8" t="s">
        <v>304</v>
      </c>
      <c r="B15" s="18">
        <f>+E3*10*'Balance calefacción'!Q37*'Balance calefacción'!M36</f>
        <v>5.1610777268351438</v>
      </c>
      <c r="C15" s="18" t="s">
        <v>27</v>
      </c>
      <c r="D15" s="18"/>
      <c r="E15" s="18">
        <f>+D3*10*'Balance calefacción'!Q37*'Balance calefacción'!M36</f>
        <v>1429.6185303333348</v>
      </c>
      <c r="F15" s="8" t="s">
        <v>303</v>
      </c>
    </row>
    <row r="16" spans="1:7" x14ac:dyDescent="0.2">
      <c r="A16" s="8"/>
      <c r="B16" s="8"/>
      <c r="C16" s="8"/>
      <c r="D16" s="8"/>
      <c r="E16" s="8"/>
      <c r="F16" s="8"/>
    </row>
    <row r="17" spans="1:6" x14ac:dyDescent="0.2">
      <c r="A17" s="8" t="s">
        <v>305</v>
      </c>
      <c r="B17" s="8"/>
      <c r="C17" s="8"/>
      <c r="D17" s="8" t="s">
        <v>358</v>
      </c>
      <c r="E17" s="8"/>
      <c r="F17" s="8"/>
    </row>
    <row r="18" spans="1:6" x14ac:dyDescent="0.2">
      <c r="A18" s="8"/>
      <c r="B18" s="8"/>
      <c r="C18" s="8" t="s">
        <v>306</v>
      </c>
      <c r="D18" s="8" t="s">
        <v>359</v>
      </c>
      <c r="E18" s="8" t="s">
        <v>308</v>
      </c>
      <c r="F18" s="8"/>
    </row>
    <row r="19" spans="1:6" x14ac:dyDescent="0.2">
      <c r="A19" s="8" t="s">
        <v>309</v>
      </c>
      <c r="B19" s="8"/>
      <c r="C19" s="8">
        <v>2200</v>
      </c>
      <c r="D19" s="114">
        <v>0.12</v>
      </c>
      <c r="E19" s="18">
        <f>+($E$14/C19)/D19</f>
        <v>27.369351581701519</v>
      </c>
      <c r="F19" s="8" t="s">
        <v>27</v>
      </c>
    </row>
    <row r="20" spans="1:6" x14ac:dyDescent="0.2">
      <c r="A20" s="8" t="s">
        <v>310</v>
      </c>
      <c r="B20" s="8"/>
      <c r="C20" s="8">
        <v>1800</v>
      </c>
      <c r="D20" s="114">
        <v>0.1</v>
      </c>
      <c r="E20" s="18">
        <f>+($E$14/C20)/D20</f>
        <v>40.141715653162223</v>
      </c>
      <c r="F20" s="8" t="s">
        <v>27</v>
      </c>
    </row>
    <row r="21" spans="1:6" x14ac:dyDescent="0.2">
      <c r="A21" s="8" t="s">
        <v>311</v>
      </c>
      <c r="B21" s="8"/>
      <c r="C21" s="8">
        <v>1600</v>
      </c>
      <c r="D21" s="114">
        <v>0.1</v>
      </c>
      <c r="E21" s="18">
        <f>+($E$14/C21)/D21</f>
        <v>45.159430109807502</v>
      </c>
      <c r="F21" s="8" t="s">
        <v>27</v>
      </c>
    </row>
    <row r="22" spans="1:6" x14ac:dyDescent="0.2">
      <c r="A22" s="8" t="s">
        <v>312</v>
      </c>
      <c r="B22" s="8"/>
      <c r="C22" s="8">
        <v>2500</v>
      </c>
      <c r="D22" s="114">
        <v>0.12</v>
      </c>
      <c r="E22" s="18">
        <f>+($E$14/C22)/D22</f>
        <v>24.085029391897336</v>
      </c>
      <c r="F22" s="8" t="s">
        <v>27</v>
      </c>
    </row>
    <row r="23" spans="1:6" x14ac:dyDescent="0.2">
      <c r="A23" s="8" t="s">
        <v>313</v>
      </c>
      <c r="B23" s="8"/>
      <c r="C23" s="8">
        <v>2000</v>
      </c>
      <c r="D23" s="114">
        <v>0.11</v>
      </c>
      <c r="E23" s="18">
        <f>+($E$14/C23)/D23</f>
        <v>32.843221898041818</v>
      </c>
      <c r="F23" s="8" t="s">
        <v>27</v>
      </c>
    </row>
    <row r="24" spans="1:6" x14ac:dyDescent="0.2">
      <c r="A24" s="8"/>
      <c r="B24" s="8"/>
      <c r="C24" s="8"/>
      <c r="D24" s="114"/>
      <c r="E24" s="18"/>
      <c r="F24" s="8"/>
    </row>
    <row r="25" spans="1:6" x14ac:dyDescent="0.2">
      <c r="A25" s="8" t="s">
        <v>314</v>
      </c>
      <c r="B25" s="8" t="s">
        <v>2</v>
      </c>
      <c r="C25" s="8">
        <v>1000</v>
      </c>
      <c r="D25" s="114">
        <v>0.25</v>
      </c>
      <c r="E25" s="18">
        <f>+($E$15/C25)/D25</f>
        <v>5.7184741213333394</v>
      </c>
      <c r="F25" s="8" t="s">
        <v>27</v>
      </c>
    </row>
    <row r="26" spans="1:6" x14ac:dyDescent="0.2">
      <c r="A26" s="8"/>
      <c r="B26" s="8"/>
      <c r="C26" s="8"/>
      <c r="D26" s="8"/>
      <c r="E26" s="8"/>
      <c r="F26" s="8"/>
    </row>
  </sheetData>
  <phoneticPr fontId="14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I111"/>
  <sheetViews>
    <sheetView topLeftCell="A78" workbookViewId="0">
      <selection activeCell="F49" sqref="F49:F52"/>
    </sheetView>
  </sheetViews>
  <sheetFormatPr baseColWidth="10" defaultRowHeight="12.75" x14ac:dyDescent="0.2"/>
  <cols>
    <col min="1" max="1" width="3.7109375" customWidth="1"/>
    <col min="2" max="2" width="13" customWidth="1"/>
    <col min="3" max="3" width="13.140625" customWidth="1"/>
    <col min="9" max="9" width="2.28515625" customWidth="1"/>
    <col min="10" max="10" width="4.5703125" customWidth="1"/>
  </cols>
  <sheetData>
    <row r="2" spans="2:8" x14ac:dyDescent="0.2">
      <c r="B2" s="599" t="s">
        <v>688</v>
      </c>
      <c r="C2" s="599"/>
      <c r="D2" s="599"/>
      <c r="E2" s="599"/>
      <c r="F2" s="599"/>
      <c r="G2" s="599"/>
      <c r="H2" s="599"/>
    </row>
    <row r="3" spans="2:8" ht="13.5" thickBot="1" x14ac:dyDescent="0.25"/>
    <row r="4" spans="2:8" ht="13.5" thickBot="1" x14ac:dyDescent="0.25">
      <c r="B4" s="477" t="s">
        <v>689</v>
      </c>
      <c r="C4" s="490" t="str">
        <f>+Lugar!D17</f>
        <v xml:space="preserve">Vivienda Perez </v>
      </c>
      <c r="D4" s="491"/>
      <c r="E4" s="491"/>
      <c r="F4" s="491"/>
      <c r="G4" s="491"/>
      <c r="H4" s="492"/>
    </row>
    <row r="5" spans="2:8" ht="13.5" thickBot="1" x14ac:dyDescent="0.25">
      <c r="B5" s="81"/>
      <c r="C5" s="81"/>
      <c r="D5" s="81"/>
      <c r="E5" s="81"/>
      <c r="F5" s="81"/>
      <c r="G5" s="81"/>
      <c r="H5" s="81"/>
    </row>
    <row r="6" spans="2:8" ht="13.5" thickBot="1" x14ac:dyDescent="0.25">
      <c r="B6" s="478" t="s">
        <v>690</v>
      </c>
      <c r="C6" s="480"/>
      <c r="D6" s="490" t="str">
        <f>+'Balance calefacción'!B4</f>
        <v>Las Heras-Guaymallén</v>
      </c>
      <c r="E6" s="491"/>
      <c r="F6" s="491"/>
      <c r="G6" s="491"/>
      <c r="H6" s="492"/>
    </row>
    <row r="7" spans="2:8" x14ac:dyDescent="0.2">
      <c r="D7" s="479"/>
    </row>
    <row r="9" spans="2:8" ht="13.5" thickBot="1" x14ac:dyDescent="0.25">
      <c r="B9" s="1" t="s">
        <v>653</v>
      </c>
    </row>
    <row r="10" spans="2:8" x14ac:dyDescent="0.2">
      <c r="B10" s="456" t="s">
        <v>365</v>
      </c>
      <c r="C10" s="444" t="str">
        <f>+superficies!G25</f>
        <v>Factor de Area Envolvente/Piso: ideal entre 1 y 2</v>
      </c>
      <c r="D10" s="444"/>
      <c r="E10" s="444"/>
      <c r="F10" s="444"/>
      <c r="G10" s="487">
        <f>+superficies!D25</f>
        <v>2.1518900343642615</v>
      </c>
      <c r="H10" s="457" t="str">
        <f>+superficies!E25</f>
        <v>m²/m²</v>
      </c>
    </row>
    <row r="11" spans="2:8" x14ac:dyDescent="0.2">
      <c r="B11" s="445" t="s">
        <v>95</v>
      </c>
      <c r="G11" s="488">
        <f>+superficies!D26</f>
        <v>1</v>
      </c>
      <c r="H11" s="458" t="str">
        <f>+superficies!E25</f>
        <v>m²/m²</v>
      </c>
    </row>
    <row r="12" spans="2:8" x14ac:dyDescent="0.2">
      <c r="B12" s="445" t="s">
        <v>654</v>
      </c>
      <c r="G12" s="488">
        <f>+superficies!D27</f>
        <v>1.1518900343642613</v>
      </c>
      <c r="H12" s="458" t="str">
        <f>+superficies!E25</f>
        <v>m²/m²</v>
      </c>
    </row>
    <row r="13" spans="2:8" ht="15" thickBot="1" x14ac:dyDescent="0.25">
      <c r="B13" s="449" t="s">
        <v>677</v>
      </c>
      <c r="C13" s="450" t="str">
        <f>+superficies!G29</f>
        <v xml:space="preserve">Factor de Forma: ideal entre 0,6 y 1,2 </v>
      </c>
      <c r="D13" s="450"/>
      <c r="E13" s="450"/>
      <c r="F13" s="450"/>
      <c r="G13" s="489">
        <f>+superficies!D29</f>
        <v>0.89662084765177552</v>
      </c>
      <c r="H13" s="459" t="s">
        <v>368</v>
      </c>
    </row>
    <row r="15" spans="2:8" ht="13.5" thickBot="1" x14ac:dyDescent="0.25">
      <c r="B15" s="1" t="s">
        <v>655</v>
      </c>
    </row>
    <row r="16" spans="2:8" x14ac:dyDescent="0.2">
      <c r="B16" s="455" t="s">
        <v>671</v>
      </c>
      <c r="C16" s="444"/>
      <c r="D16" s="444"/>
      <c r="E16" s="444"/>
      <c r="F16" s="444"/>
      <c r="G16" s="444"/>
      <c r="H16" s="438"/>
    </row>
    <row r="17" spans="2:8" x14ac:dyDescent="0.2">
      <c r="B17" s="445"/>
      <c r="H17" s="446"/>
    </row>
    <row r="18" spans="2:8" x14ac:dyDescent="0.2">
      <c r="B18" s="445"/>
      <c r="H18" s="446"/>
    </row>
    <row r="19" spans="2:8" x14ac:dyDescent="0.2">
      <c r="B19" s="460" t="s">
        <v>676</v>
      </c>
      <c r="C19" s="81" t="s">
        <v>11</v>
      </c>
      <c r="H19" s="446"/>
    </row>
    <row r="20" spans="2:8" x14ac:dyDescent="0.2">
      <c r="B20" s="29" t="s">
        <v>69</v>
      </c>
      <c r="C20" s="485">
        <f>+'Balance calefacción'!G10</f>
        <v>63.77480895543777</v>
      </c>
      <c r="H20" s="446"/>
    </row>
    <row r="21" spans="2:8" x14ac:dyDescent="0.2">
      <c r="B21" s="29" t="s">
        <v>70</v>
      </c>
      <c r="C21" s="485">
        <f>+'Balance calefacción'!G11</f>
        <v>0</v>
      </c>
      <c r="H21" s="446"/>
    </row>
    <row r="22" spans="2:8" x14ac:dyDescent="0.2">
      <c r="B22" s="29" t="s">
        <v>71</v>
      </c>
      <c r="C22" s="485">
        <f>+'Balance calefacción'!G12</f>
        <v>10.529269588571392</v>
      </c>
      <c r="H22" s="446"/>
    </row>
    <row r="23" spans="2:8" x14ac:dyDescent="0.2">
      <c r="B23" s="29" t="s">
        <v>72</v>
      </c>
      <c r="C23" s="485">
        <f>+'Balance calefacción'!G13</f>
        <v>0</v>
      </c>
      <c r="H23" s="446"/>
    </row>
    <row r="24" spans="2:8" x14ac:dyDescent="0.2">
      <c r="B24" s="29" t="s">
        <v>73</v>
      </c>
      <c r="C24" s="485">
        <f>+'Balance calefacción'!G14</f>
        <v>2.0069535618995187</v>
      </c>
      <c r="H24" s="446"/>
    </row>
    <row r="25" spans="2:8" x14ac:dyDescent="0.2">
      <c r="B25" s="29" t="s">
        <v>90</v>
      </c>
      <c r="C25" s="485">
        <f>+'Balance calefacción'!G15</f>
        <v>1.2035932082276248</v>
      </c>
      <c r="H25" s="446"/>
    </row>
    <row r="26" spans="2:8" x14ac:dyDescent="0.2">
      <c r="B26" s="29" t="s">
        <v>13</v>
      </c>
      <c r="C26" s="485">
        <f>+'Balance calefacción'!G16</f>
        <v>12.535214924663729</v>
      </c>
      <c r="H26" s="446"/>
    </row>
    <row r="27" spans="2:8" x14ac:dyDescent="0.2">
      <c r="B27" s="29" t="s">
        <v>14</v>
      </c>
      <c r="C27" s="485">
        <f>+'Balance calefacción'!G17</f>
        <v>9.9501597611999664</v>
      </c>
      <c r="H27" s="446"/>
    </row>
    <row r="28" spans="2:8" x14ac:dyDescent="0.2">
      <c r="B28" s="445"/>
      <c r="H28" s="446"/>
    </row>
    <row r="29" spans="2:8" x14ac:dyDescent="0.2">
      <c r="B29" s="445"/>
      <c r="H29" s="446"/>
    </row>
    <row r="30" spans="2:8" x14ac:dyDescent="0.2">
      <c r="B30" s="460" t="s">
        <v>698</v>
      </c>
      <c r="C30" s="509">
        <f>+'Balance calefacción'!F21</f>
        <v>414.55867031249994</v>
      </c>
      <c r="D30" s="1" t="s">
        <v>699</v>
      </c>
      <c r="H30" s="446"/>
    </row>
    <row r="31" spans="2:8" x14ac:dyDescent="0.2">
      <c r="B31" s="445"/>
      <c r="H31" s="446"/>
    </row>
    <row r="32" spans="2:8" x14ac:dyDescent="0.2">
      <c r="B32" s="445"/>
      <c r="H32" s="446"/>
    </row>
    <row r="33" spans="2:8" x14ac:dyDescent="0.2">
      <c r="B33" s="445"/>
      <c r="H33" s="446"/>
    </row>
    <row r="34" spans="2:8" x14ac:dyDescent="0.2">
      <c r="B34" s="445"/>
      <c r="H34" s="446"/>
    </row>
    <row r="35" spans="2:8" x14ac:dyDescent="0.2">
      <c r="B35" s="445"/>
      <c r="H35" s="446"/>
    </row>
    <row r="36" spans="2:8" x14ac:dyDescent="0.2">
      <c r="B36" s="445"/>
      <c r="H36" s="446"/>
    </row>
    <row r="37" spans="2:8" ht="13.5" thickBot="1" x14ac:dyDescent="0.25">
      <c r="B37" s="452"/>
      <c r="C37" s="450"/>
      <c r="D37" s="450"/>
      <c r="E37" s="450"/>
      <c r="F37" s="450"/>
      <c r="G37" s="450"/>
      <c r="H37" s="451"/>
    </row>
    <row r="38" spans="2:8" ht="13.5" thickBot="1" x14ac:dyDescent="0.25"/>
    <row r="39" spans="2:8" x14ac:dyDescent="0.2">
      <c r="B39" s="443" t="s">
        <v>657</v>
      </c>
      <c r="C39" s="444"/>
      <c r="D39" s="444"/>
      <c r="E39" s="444"/>
      <c r="F39" s="444"/>
      <c r="G39" s="444"/>
      <c r="H39" s="438"/>
    </row>
    <row r="40" spans="2:8" x14ac:dyDescent="0.2">
      <c r="B40" s="445"/>
      <c r="H40" s="446"/>
    </row>
    <row r="41" spans="2:8" x14ac:dyDescent="0.2">
      <c r="B41" s="447" t="s">
        <v>658</v>
      </c>
      <c r="G41" s="493">
        <f>+'Balance calefacción'!M36</f>
        <v>14.6</v>
      </c>
      <c r="H41" s="446"/>
    </row>
    <row r="42" spans="2:8" ht="13.5" thickBot="1" x14ac:dyDescent="0.25">
      <c r="B42" s="449" t="s">
        <v>656</v>
      </c>
      <c r="C42" s="450"/>
      <c r="D42" s="450"/>
      <c r="E42" s="450"/>
      <c r="F42" s="450"/>
      <c r="G42" s="494">
        <f>+'Balance calefacción'!Q37</f>
        <v>0.35349847444076327</v>
      </c>
      <c r="H42" s="451"/>
    </row>
    <row r="43" spans="2:8" ht="13.5" thickBot="1" x14ac:dyDescent="0.25"/>
    <row r="44" spans="2:8" x14ac:dyDescent="0.2">
      <c r="B44" s="443" t="s">
        <v>659</v>
      </c>
      <c r="C44" s="444"/>
      <c r="D44" s="444"/>
      <c r="E44" s="444"/>
      <c r="F44" s="444"/>
      <c r="G44" s="444"/>
      <c r="H44" s="438"/>
    </row>
    <row r="45" spans="2:8" x14ac:dyDescent="0.2">
      <c r="B45" s="445"/>
      <c r="H45" s="446"/>
    </row>
    <row r="46" spans="2:8" x14ac:dyDescent="0.2">
      <c r="B46" s="445"/>
      <c r="G46" s="448" t="s">
        <v>668</v>
      </c>
      <c r="H46" s="446"/>
    </row>
    <row r="47" spans="2:8" x14ac:dyDescent="0.2">
      <c r="B47" s="445"/>
      <c r="D47" s="81" t="s">
        <v>664</v>
      </c>
      <c r="E47" s="1" t="s">
        <v>675</v>
      </c>
      <c r="F47" s="81" t="s">
        <v>666</v>
      </c>
      <c r="G47" s="1" t="s">
        <v>667</v>
      </c>
      <c r="H47" s="446"/>
    </row>
    <row r="48" spans="2:8" x14ac:dyDescent="0.2">
      <c r="B48" s="447" t="s">
        <v>665</v>
      </c>
      <c r="D48" s="484">
        <f>+'Balance calefacción'!X8</f>
        <v>10216.017805203781</v>
      </c>
      <c r="E48" s="1" t="s">
        <v>101</v>
      </c>
      <c r="F48" s="483">
        <f>+'Balance calefacción'!AB8</f>
        <v>147</v>
      </c>
      <c r="G48" s="481">
        <f>+F48*D48</f>
        <v>1501754.6173649558</v>
      </c>
      <c r="H48" s="446"/>
    </row>
    <row r="49" spans="1:9" x14ac:dyDescent="0.2">
      <c r="B49" s="445" t="s">
        <v>333</v>
      </c>
      <c r="D49" s="485">
        <f>+'Balance calefacción'!X9</f>
        <v>784.42617007502668</v>
      </c>
      <c r="E49" s="132" t="s">
        <v>661</v>
      </c>
      <c r="F49" s="483">
        <f>+'Balance calefacción'!AB9</f>
        <v>400</v>
      </c>
      <c r="G49" s="481">
        <f t="shared" ref="G49:G52" si="0">+F49*D49</f>
        <v>313770.4680300107</v>
      </c>
      <c r="H49" s="446"/>
    </row>
    <row r="50" spans="1:9" x14ac:dyDescent="0.2">
      <c r="B50" s="445" t="s">
        <v>334</v>
      </c>
      <c r="D50" s="485">
        <f>+'Balance calefacción'!X10</f>
        <v>944.17909475081149</v>
      </c>
      <c r="E50" s="132" t="s">
        <v>660</v>
      </c>
      <c r="F50" s="483">
        <f>+'Balance calefacción'!AB10</f>
        <v>107.5</v>
      </c>
      <c r="G50" s="481">
        <f t="shared" si="0"/>
        <v>101499.25268571223</v>
      </c>
      <c r="H50" s="446"/>
    </row>
    <row r="51" spans="1:9" x14ac:dyDescent="0.2">
      <c r="B51" s="445" t="s">
        <v>335</v>
      </c>
      <c r="D51" s="485">
        <f>+'Balance calefacción'!X11</f>
        <v>1141.4545033747243</v>
      </c>
      <c r="E51" s="132" t="s">
        <v>662</v>
      </c>
      <c r="F51" s="483">
        <f>+'Balance calefacción'!AB11</f>
        <v>0</v>
      </c>
      <c r="G51" s="481">
        <f t="shared" si="0"/>
        <v>0</v>
      </c>
      <c r="H51" s="446"/>
    </row>
    <row r="52" spans="1:9" ht="13.5" thickBot="1" x14ac:dyDescent="0.25">
      <c r="B52" s="452" t="s">
        <v>336</v>
      </c>
      <c r="C52" s="450"/>
      <c r="D52" s="486">
        <f>+'Balance calefacción'!X12</f>
        <v>2935.6373003459139</v>
      </c>
      <c r="E52" s="453" t="s">
        <v>663</v>
      </c>
      <c r="F52" s="483">
        <f>+'Balance calefacción'!AB12</f>
        <v>180</v>
      </c>
      <c r="G52" s="482">
        <f t="shared" si="0"/>
        <v>528414.71406226454</v>
      </c>
      <c r="H52" s="451"/>
    </row>
    <row r="53" spans="1:9" ht="13.5" thickBot="1" x14ac:dyDescent="0.25"/>
    <row r="54" spans="1:9" x14ac:dyDescent="0.2">
      <c r="B54" s="443" t="s">
        <v>669</v>
      </c>
      <c r="C54" s="444"/>
      <c r="D54" s="444"/>
      <c r="E54" s="444"/>
      <c r="F54" s="444"/>
      <c r="G54" s="444"/>
      <c r="H54" s="438"/>
    </row>
    <row r="55" spans="1:9" x14ac:dyDescent="0.2">
      <c r="B55" s="445"/>
      <c r="H55" s="446"/>
    </row>
    <row r="56" spans="1:9" ht="13.5" thickBot="1" x14ac:dyDescent="0.25">
      <c r="B56" s="449" t="s">
        <v>416</v>
      </c>
      <c r="C56" s="450"/>
      <c r="D56" s="450"/>
      <c r="E56" s="450"/>
      <c r="F56" s="450"/>
      <c r="G56" s="461">
        <f>+'Balance calefacción'!Y26</f>
        <v>10639.432284863129</v>
      </c>
      <c r="H56" s="454" t="s">
        <v>75</v>
      </c>
    </row>
    <row r="58" spans="1:9" ht="13.5" thickBot="1" x14ac:dyDescent="0.25"/>
    <row r="59" spans="1:9" x14ac:dyDescent="0.2">
      <c r="A59" s="456"/>
      <c r="B59" s="462" t="s">
        <v>670</v>
      </c>
      <c r="C59" s="444"/>
      <c r="D59" s="444"/>
      <c r="E59" s="444"/>
      <c r="F59" s="444"/>
      <c r="G59" s="444"/>
      <c r="H59" s="444"/>
      <c r="I59" s="438"/>
    </row>
    <row r="60" spans="1:9" x14ac:dyDescent="0.2">
      <c r="A60" s="445"/>
      <c r="I60" s="446"/>
    </row>
    <row r="61" spans="1:9" x14ac:dyDescent="0.2">
      <c r="A61" s="445"/>
      <c r="C61" s="132" t="s">
        <v>691</v>
      </c>
      <c r="G61" s="485">
        <f>+'Balance enfriamiento'!AD269</f>
        <v>57533.178867493501</v>
      </c>
      <c r="H61" s="132" t="s">
        <v>692</v>
      </c>
      <c r="I61" s="446"/>
    </row>
    <row r="62" spans="1:9" x14ac:dyDescent="0.2">
      <c r="A62" s="445"/>
      <c r="C62" s="132" t="s">
        <v>538</v>
      </c>
      <c r="G62" s="493">
        <f>+'Balance enfriamiento'!G275</f>
        <v>23</v>
      </c>
      <c r="H62" s="132" t="s">
        <v>99</v>
      </c>
      <c r="I62" s="446"/>
    </row>
    <row r="63" spans="1:9" x14ac:dyDescent="0.2">
      <c r="A63" s="445"/>
      <c r="I63" s="446"/>
    </row>
    <row r="64" spans="1:9" x14ac:dyDescent="0.2">
      <c r="A64" s="445"/>
      <c r="I64" s="446"/>
    </row>
    <row r="65" spans="1:9" x14ac:dyDescent="0.2">
      <c r="A65" s="445"/>
      <c r="I65" s="446"/>
    </row>
    <row r="66" spans="1:9" x14ac:dyDescent="0.2">
      <c r="A66" s="445"/>
      <c r="I66" s="446"/>
    </row>
    <row r="67" spans="1:9" x14ac:dyDescent="0.2">
      <c r="A67" s="445"/>
      <c r="I67" s="446"/>
    </row>
    <row r="68" spans="1:9" x14ac:dyDescent="0.2">
      <c r="A68" s="445"/>
      <c r="I68" s="446"/>
    </row>
    <row r="69" spans="1:9" x14ac:dyDescent="0.2">
      <c r="A69" s="445"/>
      <c r="I69" s="446"/>
    </row>
    <row r="70" spans="1:9" x14ac:dyDescent="0.2">
      <c r="A70" s="445"/>
      <c r="I70" s="446"/>
    </row>
    <row r="71" spans="1:9" x14ac:dyDescent="0.2">
      <c r="A71" s="445"/>
      <c r="I71" s="446"/>
    </row>
    <row r="72" spans="1:9" x14ac:dyDescent="0.2">
      <c r="A72" s="445"/>
      <c r="I72" s="446"/>
    </row>
    <row r="73" spans="1:9" x14ac:dyDescent="0.2">
      <c r="A73" s="445"/>
      <c r="I73" s="446"/>
    </row>
    <row r="74" spans="1:9" x14ac:dyDescent="0.2">
      <c r="A74" s="445"/>
      <c r="I74" s="446"/>
    </row>
    <row r="75" spans="1:9" x14ac:dyDescent="0.2">
      <c r="A75" s="445"/>
      <c r="I75" s="446"/>
    </row>
    <row r="76" spans="1:9" x14ac:dyDescent="0.2">
      <c r="A76" s="445"/>
      <c r="I76" s="446"/>
    </row>
    <row r="77" spans="1:9" x14ac:dyDescent="0.2">
      <c r="A77" s="445"/>
      <c r="I77" s="446"/>
    </row>
    <row r="78" spans="1:9" x14ac:dyDescent="0.2">
      <c r="A78" s="445"/>
      <c r="I78" s="446"/>
    </row>
    <row r="79" spans="1:9" x14ac:dyDescent="0.2">
      <c r="A79" s="445"/>
      <c r="I79" s="446"/>
    </row>
    <row r="80" spans="1:9" x14ac:dyDescent="0.2">
      <c r="A80" s="445"/>
      <c r="B80" s="1" t="s">
        <v>693</v>
      </c>
      <c r="I80" s="446"/>
    </row>
    <row r="81" spans="1:9" ht="13.5" thickBot="1" x14ac:dyDescent="0.25">
      <c r="A81" s="445"/>
      <c r="I81" s="446"/>
    </row>
    <row r="82" spans="1:9" x14ac:dyDescent="0.2">
      <c r="A82" s="445"/>
      <c r="C82" s="432" t="s">
        <v>226</v>
      </c>
      <c r="F82" s="485">
        <f>+'Balance enfriamiento'!D273</f>
        <v>8726.6283445093122</v>
      </c>
      <c r="G82" t="str">
        <f>+'Balance enfriamiento'!E273</f>
        <v>W</v>
      </c>
      <c r="I82" s="446"/>
    </row>
    <row r="83" spans="1:9" x14ac:dyDescent="0.2">
      <c r="A83" s="445"/>
      <c r="C83" s="433" t="s">
        <v>291</v>
      </c>
      <c r="F83" s="485">
        <f>+'Balance enfriamiento'!D274</f>
        <v>7504.9837649865076</v>
      </c>
      <c r="G83" t="str">
        <f>+'Balance enfriamiento'!E274</f>
        <v>frig./hora</v>
      </c>
      <c r="I83" s="446"/>
    </row>
    <row r="84" spans="1:9" ht="13.5" thickBot="1" x14ac:dyDescent="0.25">
      <c r="A84" s="445"/>
      <c r="C84" s="434" t="s">
        <v>292</v>
      </c>
      <c r="F84" s="485">
        <f>+'Balance enfriamiento'!D275</f>
        <v>2.5016612549955024</v>
      </c>
      <c r="G84" t="str">
        <f>+'Balance enfriamiento'!E275</f>
        <v>Ton.refrig.</v>
      </c>
      <c r="I84" s="446"/>
    </row>
    <row r="85" spans="1:9" ht="13.5" thickBot="1" x14ac:dyDescent="0.25">
      <c r="A85" s="452"/>
      <c r="B85" s="450"/>
      <c r="C85" s="450"/>
      <c r="D85" s="450"/>
      <c r="E85" s="450"/>
      <c r="F85" s="450"/>
      <c r="G85" s="450"/>
      <c r="H85" s="450"/>
      <c r="I85" s="451"/>
    </row>
    <row r="86" spans="1:9" ht="13.5" thickBot="1" x14ac:dyDescent="0.25"/>
    <row r="87" spans="1:9" x14ac:dyDescent="0.2">
      <c r="A87" s="456"/>
      <c r="B87" s="462" t="s">
        <v>672</v>
      </c>
      <c r="C87" s="444"/>
      <c r="D87" s="444"/>
      <c r="E87" s="444"/>
      <c r="F87" s="444"/>
      <c r="G87" s="444"/>
      <c r="H87" s="444"/>
      <c r="I87" s="438"/>
    </row>
    <row r="88" spans="1:9" x14ac:dyDescent="0.2">
      <c r="A88" s="445"/>
      <c r="I88" s="446"/>
    </row>
    <row r="89" spans="1:9" ht="13.5" thickBot="1" x14ac:dyDescent="0.25">
      <c r="A89" s="445"/>
      <c r="B89" s="132" t="s">
        <v>673</v>
      </c>
      <c r="I89" s="446"/>
    </row>
    <row r="90" spans="1:9" x14ac:dyDescent="0.2">
      <c r="A90" s="445"/>
      <c r="B90" s="73"/>
      <c r="C90" s="432" t="s">
        <v>505</v>
      </c>
      <c r="D90" s="435"/>
      <c r="E90" s="432" t="s">
        <v>506</v>
      </c>
      <c r="F90" s="436"/>
      <c r="G90" s="437" t="s">
        <v>507</v>
      </c>
      <c r="H90" s="438"/>
      <c r="I90" s="446"/>
    </row>
    <row r="91" spans="1:9" ht="13.5" thickBot="1" x14ac:dyDescent="0.25">
      <c r="A91" s="445"/>
      <c r="B91" s="73"/>
      <c r="C91" s="439" t="s">
        <v>109</v>
      </c>
      <c r="D91" s="440" t="s">
        <v>504</v>
      </c>
      <c r="E91" s="439" t="s">
        <v>109</v>
      </c>
      <c r="F91" s="440" t="s">
        <v>504</v>
      </c>
      <c r="G91" s="439" t="s">
        <v>109</v>
      </c>
      <c r="H91" s="440" t="s">
        <v>504</v>
      </c>
      <c r="I91" s="446"/>
    </row>
    <row r="92" spans="1:9" ht="13.5" thickBot="1" x14ac:dyDescent="0.25">
      <c r="A92" s="445"/>
      <c r="B92" s="441" t="s">
        <v>329</v>
      </c>
      <c r="C92" s="495">
        <f>+'Enf. convectivo nocturno'!C121</f>
        <v>2.6077709867530325</v>
      </c>
      <c r="D92" s="496">
        <f>+'Enf. convectivo nocturno'!D121</f>
        <v>2.3897099534964793E-2</v>
      </c>
      <c r="E92" s="495">
        <f>+'Enf. convectivo nocturno'!D95</f>
        <v>2.6077709867530325</v>
      </c>
      <c r="F92" s="496">
        <f>+'Enf. convectivo nocturno'!F121</f>
        <v>2.3897099534964793E-2</v>
      </c>
      <c r="G92" s="495">
        <f>+'Enf. convectivo nocturno'!G121</f>
        <v>5.2155419735060651</v>
      </c>
      <c r="H92" s="496">
        <f>+'Enf. convectivo nocturno'!H121</f>
        <v>4.7794199069929585E-2</v>
      </c>
      <c r="I92" s="446"/>
    </row>
    <row r="93" spans="1:9" ht="13.5" thickBot="1" x14ac:dyDescent="0.25">
      <c r="A93" s="445"/>
      <c r="B93" s="442" t="s">
        <v>330</v>
      </c>
      <c r="C93" s="497">
        <f>+'Enf. convectivo nocturno'!C122</f>
        <v>2.2493270932096356</v>
      </c>
      <c r="D93" s="496">
        <f>+'Enf. convectivo nocturno'!D122</f>
        <v>2.0612390315781316E-2</v>
      </c>
      <c r="E93" s="495">
        <f>+'Enf. convectivo nocturno'!E122</f>
        <v>2.2493270932096356</v>
      </c>
      <c r="F93" s="496">
        <f>+'Enf. convectivo nocturno'!F122</f>
        <v>2.0612390315781316E-2</v>
      </c>
      <c r="G93" s="495">
        <f>+'Enf. convectivo nocturno'!G122</f>
        <v>4.4986541864192713</v>
      </c>
      <c r="H93" s="496">
        <f>+'Enf. convectivo nocturno'!H122</f>
        <v>4.1224780631562631E-2</v>
      </c>
      <c r="I93" s="446"/>
    </row>
    <row r="94" spans="1:9" x14ac:dyDescent="0.2">
      <c r="A94" s="445"/>
      <c r="B94" s="275" t="s">
        <v>510</v>
      </c>
      <c r="C94" s="73"/>
      <c r="D94" s="73"/>
      <c r="E94" s="73"/>
      <c r="F94" s="73"/>
      <c r="I94" s="446"/>
    </row>
    <row r="95" spans="1:9" x14ac:dyDescent="0.2">
      <c r="A95" s="445"/>
      <c r="B95" s="275" t="s">
        <v>511</v>
      </c>
      <c r="C95" s="73"/>
      <c r="D95" s="73"/>
      <c r="E95" s="73"/>
      <c r="F95" s="73"/>
      <c r="G95" s="73"/>
      <c r="I95" s="446"/>
    </row>
    <row r="96" spans="1:9" x14ac:dyDescent="0.2">
      <c r="A96" s="445"/>
      <c r="B96" s="275"/>
      <c r="C96" s="73"/>
      <c r="D96" s="73"/>
      <c r="E96" s="73"/>
      <c r="F96" s="73"/>
      <c r="G96" s="73"/>
      <c r="I96" s="446"/>
    </row>
    <row r="97" spans="1:9" ht="14.25" x14ac:dyDescent="0.2">
      <c r="A97" s="445"/>
      <c r="B97" s="80" t="s">
        <v>694</v>
      </c>
      <c r="C97" s="73"/>
      <c r="D97" s="73" t="str">
        <f>+'Masa Térmica'!G20</f>
        <v>Muros</v>
      </c>
      <c r="E97" s="498">
        <f>+'Masa Térmica'!G21</f>
        <v>110.16</v>
      </c>
      <c r="F97" s="275" t="s">
        <v>695</v>
      </c>
      <c r="G97" s="498" t="str">
        <f>IF(E97=0,"  ",+'Masa Térmica'!F22)</f>
        <v>Ladrillo</v>
      </c>
      <c r="I97" s="446"/>
    </row>
    <row r="98" spans="1:9" ht="14.25" x14ac:dyDescent="0.2">
      <c r="A98" s="445"/>
      <c r="B98" s="275"/>
      <c r="C98" s="73"/>
      <c r="D98" s="73" t="str">
        <f>+'Masa Térmica'!I20</f>
        <v>Pisos</v>
      </c>
      <c r="E98" s="498">
        <f>+'Masa Térmica'!I21</f>
        <v>109.12499999999999</v>
      </c>
      <c r="F98" s="275" t="s">
        <v>695</v>
      </c>
      <c r="G98" s="498" t="str">
        <f>IF(E98=0,"  ",+'Masa Térmica'!H22)</f>
        <v>Concreto:</v>
      </c>
      <c r="I98" s="446"/>
    </row>
    <row r="99" spans="1:9" ht="14.25" x14ac:dyDescent="0.2">
      <c r="A99" s="445"/>
      <c r="B99" s="275"/>
      <c r="C99" s="73"/>
      <c r="D99" s="275" t="s">
        <v>709</v>
      </c>
      <c r="E99" s="498">
        <f>+'Masa Térmica'!K21</f>
        <v>148.86000000000001</v>
      </c>
      <c r="F99" s="275" t="s">
        <v>695</v>
      </c>
      <c r="G99" s="498" t="str">
        <f>IF(E99=0,"  ",+'Masa Térmica'!J22)</f>
        <v>Concrehaus</v>
      </c>
      <c r="I99" s="446"/>
    </row>
    <row r="100" spans="1:9" ht="13.5" thickBot="1" x14ac:dyDescent="0.25">
      <c r="A100" s="452"/>
      <c r="B100" s="450"/>
      <c r="C100" s="450"/>
      <c r="D100" s="553" t="str">
        <f>IF('[1]Masa Térmica'!I38-'[1]Masa Térmica'!I26&gt;1.5,"Podria no ser suficiente revisar"," ")</f>
        <v xml:space="preserve"> </v>
      </c>
      <c r="E100" s="450"/>
      <c r="F100" s="450"/>
      <c r="G100" s="450"/>
      <c r="H100" s="450"/>
      <c r="I100" s="451"/>
    </row>
    <row r="102" spans="1:9" ht="13.5" thickBot="1" x14ac:dyDescent="0.25"/>
    <row r="103" spans="1:9" x14ac:dyDescent="0.2">
      <c r="A103" s="456"/>
      <c r="B103" s="463" t="s">
        <v>696</v>
      </c>
      <c r="C103" s="444"/>
      <c r="D103" s="444"/>
      <c r="E103" s="444"/>
      <c r="F103" s="444"/>
      <c r="G103" s="444"/>
      <c r="H103" s="444"/>
      <c r="I103" s="438"/>
    </row>
    <row r="104" spans="1:9" ht="13.5" thickBot="1" x14ac:dyDescent="0.25">
      <c r="A104" s="445"/>
      <c r="I104" s="446"/>
    </row>
    <row r="105" spans="1:9" x14ac:dyDescent="0.2">
      <c r="A105" s="445"/>
      <c r="B105" s="73"/>
      <c r="C105" s="432" t="s">
        <v>505</v>
      </c>
      <c r="D105" s="435"/>
      <c r="E105" s="432" t="s">
        <v>506</v>
      </c>
      <c r="F105" s="436"/>
      <c r="G105" s="437" t="s">
        <v>507</v>
      </c>
      <c r="H105" s="438"/>
      <c r="I105" s="446"/>
    </row>
    <row r="106" spans="1:9" ht="13.5" thickBot="1" x14ac:dyDescent="0.25">
      <c r="A106" s="445"/>
      <c r="B106" s="73"/>
      <c r="C106" s="439" t="s">
        <v>109</v>
      </c>
      <c r="D106" s="440" t="s">
        <v>504</v>
      </c>
      <c r="E106" s="439" t="s">
        <v>109</v>
      </c>
      <c r="F106" s="440" t="s">
        <v>504</v>
      </c>
      <c r="G106" s="439" t="s">
        <v>109</v>
      </c>
      <c r="H106" s="440" t="s">
        <v>504</v>
      </c>
      <c r="I106" s="446"/>
    </row>
    <row r="107" spans="1:9" ht="13.5" thickBot="1" x14ac:dyDescent="0.25">
      <c r="A107" s="445"/>
      <c r="B107" s="441" t="s">
        <v>329</v>
      </c>
      <c r="C107" s="495">
        <f>+'Ventilación natural'!C114</f>
        <v>2.102304627886959</v>
      </c>
      <c r="D107" s="496">
        <f>+'Ventilación natural'!D114</f>
        <v>1.9265105410189776E-2</v>
      </c>
      <c r="E107" s="495">
        <f>+'Ventilación natural'!E114</f>
        <v>4.2046092557739181</v>
      </c>
      <c r="F107" s="496">
        <f>+'Ventilación natural'!F114</f>
        <v>3.8530210820379551E-2</v>
      </c>
      <c r="G107" s="495">
        <f>+'Ventilación natural'!G114</f>
        <v>6.3069138836608776</v>
      </c>
      <c r="H107" s="496">
        <f>+'Ventilación natural'!H114</f>
        <v>5.7795316230569327E-2</v>
      </c>
      <c r="I107" s="446"/>
    </row>
    <row r="108" spans="1:9" ht="13.5" thickBot="1" x14ac:dyDescent="0.25">
      <c r="A108" s="445"/>
      <c r="B108" s="442" t="s">
        <v>330</v>
      </c>
      <c r="C108" s="495">
        <f>+'Ventilación natural'!C115</f>
        <v>1.8133382040475832</v>
      </c>
      <c r="D108" s="496">
        <f>+'Ventilación natural'!D115</f>
        <v>1.6617074034800308E-2</v>
      </c>
      <c r="E108" s="495">
        <f>+'Ventilación natural'!E115</f>
        <v>3.6266764080951663</v>
      </c>
      <c r="F108" s="496">
        <f>+'Ventilación natural'!F115</f>
        <v>3.3234148069600615E-2</v>
      </c>
      <c r="G108" s="495">
        <f>+'Ventilación natural'!G115</f>
        <v>5.4400146121427495</v>
      </c>
      <c r="H108" s="496">
        <f>+'Ventilación natural'!H115</f>
        <v>4.9851222104400919E-2</v>
      </c>
      <c r="I108" s="446"/>
    </row>
    <row r="109" spans="1:9" x14ac:dyDescent="0.2">
      <c r="A109" s="445"/>
      <c r="B109" s="275" t="s">
        <v>674</v>
      </c>
      <c r="C109" s="73"/>
      <c r="D109" s="73"/>
      <c r="E109" s="73"/>
      <c r="F109" s="73"/>
      <c r="I109" s="446"/>
    </row>
    <row r="110" spans="1:9" x14ac:dyDescent="0.2">
      <c r="A110" s="445"/>
      <c r="B110" s="275" t="s">
        <v>511</v>
      </c>
      <c r="C110" s="73"/>
      <c r="D110" s="73"/>
      <c r="E110" s="73"/>
      <c r="F110" s="73"/>
      <c r="G110" s="73"/>
      <c r="I110" s="446"/>
    </row>
    <row r="111" spans="1:9" ht="13.5" thickBot="1" x14ac:dyDescent="0.25">
      <c r="A111" s="452"/>
      <c r="B111" s="450"/>
      <c r="C111" s="450"/>
      <c r="D111" s="450"/>
      <c r="E111" s="450"/>
      <c r="F111" s="450"/>
      <c r="G111" s="450"/>
      <c r="H111" s="450"/>
      <c r="I111" s="451"/>
    </row>
  </sheetData>
  <sheetProtection algorithmName="SHA-512" hashValue="mWAZOIgB3laLCfi1xRND3JQreDxZv8pfhiLQItKZ2dYUORyonsqBKuTDxHWg+XDqH/RxLMcvEpw+cT3u6ZdrXg==" saltValue="gx7C/RjdYwLaOSlkJitZDw==" spinCount="100000" sheet="1" objects="1" scenarios="1"/>
  <mergeCells count="1">
    <mergeCell ref="B2:H2"/>
  </mergeCells>
  <pageMargins left="0.62992125984251968" right="0.23622047244094491" top="0.74803149606299213" bottom="0.74803149606299213" header="0.31496062992125984" footer="0.31496062992125984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C71"/>
  <sheetViews>
    <sheetView topLeftCell="A6" zoomScaleNormal="100" workbookViewId="0">
      <selection activeCell="D29" sqref="D29"/>
    </sheetView>
  </sheetViews>
  <sheetFormatPr baseColWidth="10" defaultColWidth="9.140625" defaultRowHeight="12.75" x14ac:dyDescent="0.2"/>
  <cols>
    <col min="1" max="1" width="24.85546875" customWidth="1"/>
    <col min="2" max="3" width="12.42578125" customWidth="1"/>
    <col min="4" max="4" width="7.85546875" customWidth="1"/>
    <col min="5" max="5" width="6.7109375" customWidth="1"/>
    <col min="6" max="6" width="7.42578125" customWidth="1"/>
    <col min="7" max="7" width="8.7109375" customWidth="1"/>
    <col min="8" max="8" width="10.7109375" customWidth="1"/>
    <col min="9" max="9" width="3.140625" customWidth="1"/>
    <col min="10" max="10" width="5.7109375" customWidth="1"/>
    <col min="11" max="11" width="4.7109375" customWidth="1"/>
    <col min="13" max="13" width="13.140625" customWidth="1"/>
  </cols>
  <sheetData>
    <row r="1" spans="1:81" x14ac:dyDescent="0.2">
      <c r="A1" s="7" t="s">
        <v>280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x14ac:dyDescent="0.2">
      <c r="A2" s="72" t="s">
        <v>360</v>
      </c>
      <c r="B2" s="72"/>
      <c r="C2" s="7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</row>
    <row r="3" spans="1:81" x14ac:dyDescent="0.2">
      <c r="A3" s="72"/>
      <c r="B3" s="72"/>
      <c r="C3" s="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x14ac:dyDescent="0.2">
      <c r="A4" s="9" t="s">
        <v>29</v>
      </c>
      <c r="B4" s="37"/>
      <c r="C4" s="37"/>
      <c r="D4" s="10"/>
      <c r="E4" s="10"/>
      <c r="F4" s="10"/>
      <c r="G4" s="10"/>
      <c r="H4" s="10"/>
      <c r="I4" s="10"/>
      <c r="J4" s="10"/>
      <c r="K4" s="11"/>
      <c r="L4" s="8"/>
      <c r="M4" s="503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14.25" customHeight="1" x14ac:dyDescent="0.2">
      <c r="A5" s="12"/>
      <c r="B5" s="578" t="s">
        <v>711</v>
      </c>
      <c r="C5" s="556"/>
      <c r="D5" s="569" t="s">
        <v>714</v>
      </c>
      <c r="E5" s="580"/>
      <c r="F5" s="578" t="s">
        <v>712</v>
      </c>
      <c r="G5" s="578" t="s">
        <v>713</v>
      </c>
      <c r="H5" s="569" t="s">
        <v>0</v>
      </c>
      <c r="I5" s="11"/>
      <c r="J5" s="572" t="s">
        <v>77</v>
      </c>
      <c r="K5" s="573"/>
      <c r="L5" s="8"/>
      <c r="M5" s="503" t="s">
        <v>697</v>
      </c>
      <c r="N5" s="504">
        <v>2.4</v>
      </c>
      <c r="O5" s="72" t="s">
        <v>474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</row>
    <row r="6" spans="1:81" ht="24" x14ac:dyDescent="0.2">
      <c r="A6" s="12"/>
      <c r="B6" s="579"/>
      <c r="C6" s="557" t="s">
        <v>719</v>
      </c>
      <c r="D6" s="581"/>
      <c r="E6" s="582"/>
      <c r="F6" s="579"/>
      <c r="G6" s="579"/>
      <c r="H6" s="570"/>
      <c r="I6" s="19"/>
      <c r="J6" s="574"/>
      <c r="K6" s="575"/>
      <c r="L6" s="8"/>
      <c r="M6" s="503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12.75" customHeight="1" x14ac:dyDescent="0.2">
      <c r="A7" s="15"/>
      <c r="B7" s="579"/>
      <c r="C7" s="557"/>
      <c r="D7" s="558" t="s">
        <v>23</v>
      </c>
      <c r="E7" s="559" t="s">
        <v>24</v>
      </c>
      <c r="F7" s="579"/>
      <c r="G7" s="579"/>
      <c r="H7" s="571"/>
      <c r="I7" s="134"/>
      <c r="J7" s="576"/>
      <c r="K7" s="57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</row>
    <row r="8" spans="1:81" ht="19.5" customHeight="1" x14ac:dyDescent="0.2">
      <c r="A8" s="17" t="s">
        <v>1</v>
      </c>
      <c r="B8" s="560">
        <v>11.25</v>
      </c>
      <c r="C8" s="501">
        <v>3</v>
      </c>
      <c r="D8" s="505">
        <f>B8*C8-F8-G8-E8</f>
        <v>26.34</v>
      </c>
      <c r="E8" s="508">
        <v>0</v>
      </c>
      <c r="F8" s="508">
        <v>0</v>
      </c>
      <c r="G8" s="561">
        <f>2.08*2+3.25</f>
        <v>7.41</v>
      </c>
      <c r="H8" s="136">
        <f t="shared" ref="H8:H15" si="0">+SUM(D8:G8)</f>
        <v>33.75</v>
      </c>
      <c r="I8" s="137" t="s">
        <v>27</v>
      </c>
      <c r="J8" s="48">
        <f t="shared" ref="J8:J15" si="1">+H8/$H$19*100</f>
        <v>14.372404982433729</v>
      </c>
      <c r="K8" s="138" t="s">
        <v>11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</row>
    <row r="9" spans="1:81" x14ac:dyDescent="0.2">
      <c r="A9" s="17" t="s">
        <v>361</v>
      </c>
      <c r="B9" s="562"/>
      <c r="C9" s="502"/>
      <c r="D9" s="506">
        <f t="shared" ref="D9:D15" si="2">B9*C9-F9-G9-E9</f>
        <v>0</v>
      </c>
      <c r="E9" s="135">
        <v>0</v>
      </c>
      <c r="F9" s="135">
        <f t="shared" ref="F9:F15" si="3">0*0</f>
        <v>0</v>
      </c>
      <c r="G9" s="563">
        <v>0</v>
      </c>
      <c r="H9" s="136">
        <f t="shared" si="0"/>
        <v>0</v>
      </c>
      <c r="I9" s="137" t="s">
        <v>27</v>
      </c>
      <c r="J9" s="48">
        <f t="shared" si="1"/>
        <v>0</v>
      </c>
      <c r="K9" s="138" t="s">
        <v>11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</row>
    <row r="10" spans="1:81" x14ac:dyDescent="0.2">
      <c r="A10" s="17" t="s">
        <v>3</v>
      </c>
      <c r="B10" s="562">
        <v>9.6999999999999993</v>
      </c>
      <c r="C10" s="502">
        <v>3</v>
      </c>
      <c r="D10" s="506">
        <f t="shared" si="2"/>
        <v>27.019999999999996</v>
      </c>
      <c r="E10" s="135">
        <v>0</v>
      </c>
      <c r="F10" s="135">
        <v>0</v>
      </c>
      <c r="G10" s="563">
        <f>1.04*2</f>
        <v>2.08</v>
      </c>
      <c r="H10" s="136">
        <f t="shared" si="0"/>
        <v>29.099999999999994</v>
      </c>
      <c r="I10" s="137" t="s">
        <v>27</v>
      </c>
      <c r="J10" s="48">
        <f t="shared" si="1"/>
        <v>12.392206962631745</v>
      </c>
      <c r="K10" s="138" t="s">
        <v>11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</row>
    <row r="11" spans="1:81" x14ac:dyDescent="0.2">
      <c r="A11" s="17" t="s">
        <v>362</v>
      </c>
      <c r="B11" s="562"/>
      <c r="C11" s="502"/>
      <c r="D11" s="506">
        <f t="shared" si="2"/>
        <v>0</v>
      </c>
      <c r="E11" s="135">
        <v>0</v>
      </c>
      <c r="F11" s="135">
        <f t="shared" si="3"/>
        <v>0</v>
      </c>
      <c r="G11" s="563">
        <v>0</v>
      </c>
      <c r="H11" s="136">
        <f t="shared" si="0"/>
        <v>0</v>
      </c>
      <c r="I11" s="137" t="s">
        <v>27</v>
      </c>
      <c r="J11" s="48">
        <f t="shared" si="1"/>
        <v>0</v>
      </c>
      <c r="K11" s="138" t="s">
        <v>11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</row>
    <row r="12" spans="1:81" x14ac:dyDescent="0.2">
      <c r="A12" s="17" t="s">
        <v>5</v>
      </c>
      <c r="B12" s="562">
        <v>11.25</v>
      </c>
      <c r="C12" s="502">
        <v>3</v>
      </c>
      <c r="D12" s="506">
        <f t="shared" si="2"/>
        <v>31.67</v>
      </c>
      <c r="E12" s="135">
        <v>0</v>
      </c>
      <c r="F12" s="135">
        <v>0</v>
      </c>
      <c r="G12" s="563">
        <v>2.08</v>
      </c>
      <c r="H12" s="136">
        <f t="shared" si="0"/>
        <v>33.75</v>
      </c>
      <c r="I12" s="137" t="s">
        <v>27</v>
      </c>
      <c r="J12" s="48">
        <f t="shared" si="1"/>
        <v>14.372404982433729</v>
      </c>
      <c r="K12" s="138" t="s">
        <v>11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</row>
    <row r="13" spans="1:81" x14ac:dyDescent="0.2">
      <c r="A13" s="17" t="s">
        <v>363</v>
      </c>
      <c r="B13" s="562"/>
      <c r="C13" s="502"/>
      <c r="D13" s="506">
        <f t="shared" si="2"/>
        <v>0</v>
      </c>
      <c r="E13" s="135">
        <v>0</v>
      </c>
      <c r="F13" s="135">
        <f t="shared" si="3"/>
        <v>0</v>
      </c>
      <c r="G13" s="563">
        <v>0</v>
      </c>
      <c r="H13" s="136">
        <f t="shared" si="0"/>
        <v>0</v>
      </c>
      <c r="I13" s="137" t="s">
        <v>27</v>
      </c>
      <c r="J13" s="48">
        <f t="shared" si="1"/>
        <v>0</v>
      </c>
      <c r="K13" s="138" t="s">
        <v>11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</row>
    <row r="14" spans="1:81" x14ac:dyDescent="0.2">
      <c r="A14" s="17" t="s">
        <v>4</v>
      </c>
      <c r="B14" s="562">
        <v>9.6999999999999993</v>
      </c>
      <c r="C14" s="502">
        <v>3</v>
      </c>
      <c r="D14" s="506">
        <f t="shared" si="2"/>
        <v>25.129999999999995</v>
      </c>
      <c r="E14" s="135">
        <v>0</v>
      </c>
      <c r="F14" s="135">
        <v>1.89</v>
      </c>
      <c r="G14" s="563">
        <v>2.08</v>
      </c>
      <c r="H14" s="136">
        <f>+SUM(D14:G14)</f>
        <v>29.099999999999994</v>
      </c>
      <c r="I14" s="137" t="s">
        <v>27</v>
      </c>
      <c r="J14" s="48">
        <f t="shared" si="1"/>
        <v>12.392206962631745</v>
      </c>
      <c r="K14" s="138" t="s">
        <v>11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</row>
    <row r="15" spans="1:81" x14ac:dyDescent="0.2">
      <c r="A15" s="17" t="s">
        <v>364</v>
      </c>
      <c r="B15" s="564"/>
      <c r="C15" s="565"/>
      <c r="D15" s="568">
        <f t="shared" si="2"/>
        <v>0</v>
      </c>
      <c r="E15" s="566">
        <v>0</v>
      </c>
      <c r="F15" s="566">
        <f t="shared" si="3"/>
        <v>0</v>
      </c>
      <c r="G15" s="567">
        <v>0</v>
      </c>
      <c r="H15" s="136">
        <f t="shared" si="0"/>
        <v>0</v>
      </c>
      <c r="I15" s="137" t="s">
        <v>27</v>
      </c>
      <c r="J15" s="48">
        <f t="shared" si="1"/>
        <v>0</v>
      </c>
      <c r="K15" s="138" t="s">
        <v>11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</row>
    <row r="16" spans="1:81" x14ac:dyDescent="0.2">
      <c r="A16" s="17" t="s">
        <v>79</v>
      </c>
      <c r="B16" s="7"/>
      <c r="C16" s="7"/>
      <c r="D16" s="49">
        <f>SUM(D8:D15)</f>
        <v>110.16</v>
      </c>
      <c r="E16" s="49">
        <f>SUM(E8:E15)</f>
        <v>0</v>
      </c>
      <c r="F16" s="49">
        <f>SUM(F8:F15)</f>
        <v>1.89</v>
      </c>
      <c r="G16" s="49">
        <f>SUM(G8:G15)</f>
        <v>13.65</v>
      </c>
      <c r="H16" s="49">
        <f>SUM(H8:H15)</f>
        <v>125.69999999999999</v>
      </c>
      <c r="I16" s="137" t="s">
        <v>27</v>
      </c>
      <c r="J16" s="48" t="s">
        <v>2</v>
      </c>
      <c r="K16" s="13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</row>
    <row r="17" spans="1:81" x14ac:dyDescent="0.2">
      <c r="A17" s="12"/>
      <c r="B17" s="8"/>
      <c r="C17" s="8"/>
      <c r="D17" s="49"/>
      <c r="E17" s="49"/>
      <c r="F17" s="49"/>
      <c r="G17" s="49"/>
      <c r="H17" s="49"/>
      <c r="I17" s="139"/>
      <c r="J17" s="48"/>
      <c r="K17" s="13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</row>
    <row r="18" spans="1:81" x14ac:dyDescent="0.2">
      <c r="A18" s="17" t="s">
        <v>6</v>
      </c>
      <c r="B18" s="7"/>
      <c r="C18" s="7"/>
      <c r="D18" s="114">
        <f>11.25*9.7</f>
        <v>109.12499999999999</v>
      </c>
      <c r="E18" s="135">
        <v>0</v>
      </c>
      <c r="F18" s="49" t="s">
        <v>27</v>
      </c>
      <c r="G18" s="49"/>
      <c r="H18" s="136">
        <f>+SUM(D18:G18)</f>
        <v>109.12499999999999</v>
      </c>
      <c r="I18" s="139" t="s">
        <v>27</v>
      </c>
      <c r="J18" s="48">
        <f>+H18/$H$19*100</f>
        <v>46.47077610986905</v>
      </c>
      <c r="K18" s="138" t="s">
        <v>11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x14ac:dyDescent="0.2">
      <c r="A19" s="21" t="s">
        <v>78</v>
      </c>
      <c r="B19" s="499"/>
      <c r="C19" s="499"/>
      <c r="D19" s="49" t="s">
        <v>2</v>
      </c>
      <c r="E19" s="49" t="s">
        <v>2</v>
      </c>
      <c r="F19" s="49" t="s">
        <v>2</v>
      </c>
      <c r="G19" s="49" t="s">
        <v>2</v>
      </c>
      <c r="H19" s="136">
        <f>+H18+H16</f>
        <v>234.82499999999999</v>
      </c>
      <c r="I19" s="139" t="s">
        <v>27</v>
      </c>
      <c r="J19" s="48">
        <f>SUM(J8:J18)</f>
        <v>100</v>
      </c>
      <c r="K19" s="138" t="s">
        <v>11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x14ac:dyDescent="0.2">
      <c r="A20" s="17"/>
      <c r="B20" s="7"/>
      <c r="C20" s="7"/>
      <c r="D20" s="20"/>
      <c r="E20" s="20"/>
      <c r="F20" s="20"/>
      <c r="G20" s="20"/>
      <c r="H20" s="22"/>
      <c r="I20" s="8"/>
      <c r="J20" s="18"/>
      <c r="K20" s="19"/>
      <c r="L20" s="8"/>
      <c r="M20" s="8" t="s">
        <v>2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x14ac:dyDescent="0.2">
      <c r="A21" s="17" t="s">
        <v>74</v>
      </c>
      <c r="B21" s="7"/>
      <c r="C21" s="7"/>
      <c r="D21" s="114">
        <f>11.25*2+9.7*2</f>
        <v>41.9</v>
      </c>
      <c r="E21" s="20" t="s">
        <v>122</v>
      </c>
      <c r="F21" s="20"/>
      <c r="G21" s="20"/>
      <c r="H21" s="20"/>
      <c r="I21" s="8"/>
      <c r="J21" s="8"/>
      <c r="K21" s="19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4.25" x14ac:dyDescent="0.2">
      <c r="A22" s="17" t="s">
        <v>25</v>
      </c>
      <c r="B22" s="7"/>
      <c r="C22" s="7"/>
      <c r="D22" s="114">
        <f>+D23*N5</f>
        <v>261.89999999999998</v>
      </c>
      <c r="E22" s="20" t="s">
        <v>123</v>
      </c>
      <c r="F22" s="20" t="s">
        <v>2</v>
      </c>
      <c r="G22" s="20" t="s">
        <v>2</v>
      </c>
      <c r="H22" s="22">
        <f>+SUM(D22:G22)</f>
        <v>261.89999999999998</v>
      </c>
      <c r="I22" s="20" t="s">
        <v>123</v>
      </c>
      <c r="J22" s="8"/>
      <c r="K22" s="1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  <row r="23" spans="1:81" x14ac:dyDescent="0.2">
      <c r="A23" s="23" t="s">
        <v>715</v>
      </c>
      <c r="B23" s="7"/>
      <c r="C23" s="7"/>
      <c r="D23" s="507">
        <f>11.25*9.7</f>
        <v>109.12499999999999</v>
      </c>
      <c r="E23" s="24" t="s">
        <v>27</v>
      </c>
      <c r="F23" s="24"/>
      <c r="G23" s="24"/>
      <c r="H23" s="140">
        <f>+SUM(D23:G23)</f>
        <v>109.12499999999999</v>
      </c>
      <c r="I23" s="25" t="s">
        <v>27</v>
      </c>
      <c r="J23" s="25"/>
      <c r="K23" s="16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</row>
    <row r="24" spans="1:81" ht="13.5" thickBot="1" x14ac:dyDescent="0.25">
      <c r="A24" s="8"/>
      <c r="B24" s="8"/>
      <c r="C24" s="8"/>
      <c r="D24" s="8"/>
      <c r="E24" s="8"/>
      <c r="F24" s="8"/>
      <c r="G24" s="8"/>
      <c r="H24" s="7"/>
      <c r="I24" s="8"/>
      <c r="J24" s="8" t="s">
        <v>2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</row>
    <row r="25" spans="1:81" ht="13.5" thickBot="1" x14ac:dyDescent="0.25">
      <c r="A25" s="38" t="s">
        <v>365</v>
      </c>
      <c r="B25" s="162"/>
      <c r="C25" s="162"/>
      <c r="D25" s="141">
        <f>+H52</f>
        <v>2.1518900343642615</v>
      </c>
      <c r="E25" s="142" t="s">
        <v>366</v>
      </c>
      <c r="F25" s="8"/>
      <c r="G25" s="72" t="s">
        <v>409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</row>
    <row r="26" spans="1:81" x14ac:dyDescent="0.2">
      <c r="A26" s="72" t="s">
        <v>6</v>
      </c>
      <c r="B26" s="72"/>
      <c r="C26" s="72"/>
      <c r="D26" s="20">
        <f>+H50</f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</row>
    <row r="27" spans="1:81" x14ac:dyDescent="0.2">
      <c r="A27" s="72" t="s">
        <v>141</v>
      </c>
      <c r="B27" s="72"/>
      <c r="C27" s="72"/>
      <c r="D27" s="20">
        <f>+H48</f>
        <v>1.1518900343642613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</row>
    <row r="28" spans="1:81" ht="13.5" thickBot="1" x14ac:dyDescent="0.25">
      <c r="A28" s="72" t="s">
        <v>0</v>
      </c>
      <c r="B28" s="72"/>
      <c r="C28" s="72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</row>
    <row r="29" spans="1:81" ht="15" thickBot="1" x14ac:dyDescent="0.25">
      <c r="A29" s="38" t="s">
        <v>367</v>
      </c>
      <c r="B29" s="162"/>
      <c r="C29" s="162"/>
      <c r="D29" s="141">
        <f>+H19/D22</f>
        <v>0.89662084765177552</v>
      </c>
      <c r="E29" s="143" t="s">
        <v>368</v>
      </c>
      <c r="F29" s="8"/>
      <c r="G29" s="72" t="s">
        <v>593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</row>
    <row r="30" spans="1:8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</row>
    <row r="31" spans="1:8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</row>
    <row r="32" spans="1:8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</row>
    <row r="33" spans="1:8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</row>
    <row r="34" spans="1:81" hidden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</row>
    <row r="35" spans="1:81" hidden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</row>
    <row r="36" spans="1:81" hidden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</row>
    <row r="37" spans="1:81" hidden="1" x14ac:dyDescent="0.2">
      <c r="A37" s="26" t="s">
        <v>91</v>
      </c>
      <c r="B37" s="500"/>
      <c r="C37" s="500"/>
      <c r="D37" s="27"/>
      <c r="E37" s="27"/>
      <c r="F37" s="27"/>
      <c r="G37" s="27"/>
      <c r="H37" s="27"/>
      <c r="I37" s="27"/>
      <c r="J37" s="2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</row>
    <row r="38" spans="1:81" hidden="1" x14ac:dyDescent="0.2">
      <c r="A38" s="29"/>
      <c r="B38" s="8"/>
      <c r="C38" s="8"/>
      <c r="D38" s="9" t="s">
        <v>93</v>
      </c>
      <c r="E38" s="30"/>
      <c r="F38" s="14"/>
      <c r="G38" s="14"/>
      <c r="H38" s="14"/>
      <c r="I38" s="13"/>
      <c r="J38" s="11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</row>
    <row r="39" spans="1:81" ht="13.5" hidden="1" thickBot="1" x14ac:dyDescent="0.25">
      <c r="A39" s="31"/>
      <c r="B39" s="8"/>
      <c r="C39" s="8"/>
      <c r="D39" s="133" t="s">
        <v>92</v>
      </c>
      <c r="E39" s="33" t="s">
        <v>24</v>
      </c>
      <c r="F39" s="144" t="s">
        <v>90</v>
      </c>
      <c r="G39" s="144" t="s">
        <v>22</v>
      </c>
      <c r="H39" s="144" t="s">
        <v>0</v>
      </c>
      <c r="I39" s="113"/>
      <c r="J39" s="33" t="s">
        <v>11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</row>
    <row r="40" spans="1:81" hidden="1" x14ac:dyDescent="0.2">
      <c r="A40" s="17" t="s">
        <v>1</v>
      </c>
      <c r="B40" s="7"/>
      <c r="C40" s="7"/>
      <c r="D40" s="49">
        <f t="shared" ref="D40:H47" si="4">+D8/$H$23</f>
        <v>0.24137457044673544</v>
      </c>
      <c r="E40" s="49">
        <f t="shared" si="4"/>
        <v>0</v>
      </c>
      <c r="F40" s="49">
        <f t="shared" si="4"/>
        <v>0</v>
      </c>
      <c r="G40" s="49">
        <f t="shared" si="4"/>
        <v>6.7903780068728534E-2</v>
      </c>
      <c r="H40" s="145">
        <f t="shared" si="4"/>
        <v>0.30927835051546398</v>
      </c>
      <c r="I40" s="139"/>
      <c r="J40" s="146">
        <f>+H40/$H$52*100</f>
        <v>14.372404982433729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</row>
    <row r="41" spans="1:81" hidden="1" x14ac:dyDescent="0.2">
      <c r="A41" s="17" t="s">
        <v>361</v>
      </c>
      <c r="B41" s="7"/>
      <c r="C41" s="7"/>
      <c r="D41" s="49">
        <f t="shared" si="4"/>
        <v>0</v>
      </c>
      <c r="E41" s="49">
        <f t="shared" si="4"/>
        <v>0</v>
      </c>
      <c r="F41" s="49">
        <f t="shared" si="4"/>
        <v>0</v>
      </c>
      <c r="G41" s="49">
        <f t="shared" si="4"/>
        <v>0</v>
      </c>
      <c r="H41" s="145">
        <f t="shared" si="4"/>
        <v>0</v>
      </c>
      <c r="I41" s="139"/>
      <c r="J41" s="146">
        <f t="shared" ref="J41:J47" si="5">+H41/$H$52*100</f>
        <v>0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</row>
    <row r="42" spans="1:81" hidden="1" x14ac:dyDescent="0.2">
      <c r="A42" s="17" t="s">
        <v>3</v>
      </c>
      <c r="B42" s="7"/>
      <c r="C42" s="7"/>
      <c r="D42" s="49">
        <f t="shared" si="4"/>
        <v>0.24760595647193584</v>
      </c>
      <c r="E42" s="49">
        <f t="shared" si="4"/>
        <v>0</v>
      </c>
      <c r="F42" s="49">
        <f t="shared" si="4"/>
        <v>0</v>
      </c>
      <c r="G42" s="49">
        <f t="shared" si="4"/>
        <v>1.9060710194730816E-2</v>
      </c>
      <c r="H42" s="145">
        <f t="shared" si="4"/>
        <v>0.26666666666666666</v>
      </c>
      <c r="I42" s="139"/>
      <c r="J42" s="146">
        <f t="shared" si="5"/>
        <v>12.392206962631745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</row>
    <row r="43" spans="1:81" hidden="1" x14ac:dyDescent="0.2">
      <c r="A43" s="17" t="s">
        <v>362</v>
      </c>
      <c r="B43" s="7"/>
      <c r="C43" s="7"/>
      <c r="D43" s="49">
        <f t="shared" si="4"/>
        <v>0</v>
      </c>
      <c r="E43" s="49">
        <f t="shared" si="4"/>
        <v>0</v>
      </c>
      <c r="F43" s="49">
        <f t="shared" si="4"/>
        <v>0</v>
      </c>
      <c r="G43" s="49">
        <f t="shared" si="4"/>
        <v>0</v>
      </c>
      <c r="H43" s="145">
        <f t="shared" si="4"/>
        <v>0</v>
      </c>
      <c r="I43" s="139"/>
      <c r="J43" s="146">
        <f t="shared" si="5"/>
        <v>0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</row>
    <row r="44" spans="1:81" hidden="1" x14ac:dyDescent="0.2">
      <c r="A44" s="17" t="s">
        <v>5</v>
      </c>
      <c r="B44" s="7"/>
      <c r="C44" s="7"/>
      <c r="D44" s="49">
        <f t="shared" si="4"/>
        <v>0.29021764032073316</v>
      </c>
      <c r="E44" s="49">
        <f t="shared" si="4"/>
        <v>0</v>
      </c>
      <c r="F44" s="49">
        <f t="shared" si="4"/>
        <v>0</v>
      </c>
      <c r="G44" s="49">
        <f t="shared" si="4"/>
        <v>1.9060710194730816E-2</v>
      </c>
      <c r="H44" s="145">
        <f t="shared" si="4"/>
        <v>0.30927835051546398</v>
      </c>
      <c r="I44" s="139"/>
      <c r="J44" s="146">
        <f t="shared" si="5"/>
        <v>14.372404982433729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</row>
    <row r="45" spans="1:81" hidden="1" x14ac:dyDescent="0.2">
      <c r="A45" s="17" t="s">
        <v>363</v>
      </c>
      <c r="B45" s="7"/>
      <c r="C45" s="7"/>
      <c r="D45" s="49">
        <f t="shared" si="4"/>
        <v>0</v>
      </c>
      <c r="E45" s="49">
        <f t="shared" si="4"/>
        <v>0</v>
      </c>
      <c r="F45" s="49">
        <f t="shared" si="4"/>
        <v>0</v>
      </c>
      <c r="G45" s="49">
        <f t="shared" si="4"/>
        <v>0</v>
      </c>
      <c r="H45" s="145">
        <f t="shared" si="4"/>
        <v>0</v>
      </c>
      <c r="I45" s="139"/>
      <c r="J45" s="146">
        <f t="shared" si="5"/>
        <v>0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</row>
    <row r="46" spans="1:81" hidden="1" x14ac:dyDescent="0.2">
      <c r="A46" s="17" t="s">
        <v>4</v>
      </c>
      <c r="B46" s="7"/>
      <c r="C46" s="7"/>
      <c r="D46" s="49">
        <f t="shared" si="4"/>
        <v>0.23028636884306986</v>
      </c>
      <c r="E46" s="49">
        <f t="shared" si="4"/>
        <v>0</v>
      </c>
      <c r="F46" s="49">
        <f t="shared" si="4"/>
        <v>1.7319587628865981E-2</v>
      </c>
      <c r="G46" s="49">
        <f t="shared" si="4"/>
        <v>1.9060710194730816E-2</v>
      </c>
      <c r="H46" s="145">
        <f t="shared" si="4"/>
        <v>0.26666666666666666</v>
      </c>
      <c r="I46" s="139"/>
      <c r="J46" s="146">
        <f t="shared" si="5"/>
        <v>12.392206962631745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</row>
    <row r="47" spans="1:81" hidden="1" x14ac:dyDescent="0.2">
      <c r="A47" s="17" t="s">
        <v>364</v>
      </c>
      <c r="B47" s="7"/>
      <c r="C47" s="7"/>
      <c r="D47" s="49">
        <f t="shared" si="4"/>
        <v>0</v>
      </c>
      <c r="E47" s="49">
        <f t="shared" si="4"/>
        <v>0</v>
      </c>
      <c r="F47" s="49">
        <f t="shared" si="4"/>
        <v>0</v>
      </c>
      <c r="G47" s="49">
        <f t="shared" si="4"/>
        <v>0</v>
      </c>
      <c r="H47" s="145">
        <f t="shared" si="4"/>
        <v>0</v>
      </c>
      <c r="I47" s="139"/>
      <c r="J47" s="146">
        <f t="shared" si="5"/>
        <v>0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</row>
    <row r="48" spans="1:81" hidden="1" x14ac:dyDescent="0.2">
      <c r="A48" s="17" t="s">
        <v>94</v>
      </c>
      <c r="B48" s="7"/>
      <c r="C48" s="7"/>
      <c r="D48" s="49">
        <f>+D16/$H$23</f>
        <v>1.0094845360824742</v>
      </c>
      <c r="E48" s="49">
        <f>+E16/$H$23</f>
        <v>0</v>
      </c>
      <c r="F48" s="49">
        <f>+F16/$H$23</f>
        <v>1.7319587628865981E-2</v>
      </c>
      <c r="G48" s="49">
        <f>+G16/$H$23</f>
        <v>0.12508591065292099</v>
      </c>
      <c r="H48" s="147">
        <f>SUM(H40:H47)</f>
        <v>1.1518900343642613</v>
      </c>
      <c r="I48" s="148" t="s">
        <v>2</v>
      </c>
      <c r="J48" s="146">
        <f>+H48/$H$52*100</f>
        <v>53.52922389013095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</row>
    <row r="49" spans="1:81" hidden="1" x14ac:dyDescent="0.2">
      <c r="A49" s="12"/>
      <c r="B49" s="8"/>
      <c r="C49" s="8"/>
      <c r="D49" s="49"/>
      <c r="E49" s="49"/>
      <c r="F49" s="49"/>
      <c r="G49" s="49"/>
      <c r="H49" s="149"/>
      <c r="I49" s="148"/>
      <c r="J49" s="146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</row>
    <row r="50" spans="1:81" hidden="1" x14ac:dyDescent="0.2">
      <c r="A50" s="17" t="s">
        <v>95</v>
      </c>
      <c r="B50" s="7"/>
      <c r="C50" s="7"/>
      <c r="D50" s="49">
        <f>+D18/$H$23</f>
        <v>1</v>
      </c>
      <c r="E50" s="49">
        <f>+E18/$H$23</f>
        <v>0</v>
      </c>
      <c r="F50" s="49"/>
      <c r="G50" s="49"/>
      <c r="H50" s="149">
        <f>+H18/$H$23</f>
        <v>1</v>
      </c>
      <c r="I50" s="139"/>
      <c r="J50" s="146">
        <f>+H50/$H$52*100</f>
        <v>46.470776109869043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81" hidden="1" x14ac:dyDescent="0.2">
      <c r="A51" s="12"/>
      <c r="B51" s="8"/>
      <c r="C51" s="8"/>
      <c r="D51" s="48" t="s">
        <v>2</v>
      </c>
      <c r="E51" s="48"/>
      <c r="F51" s="48"/>
      <c r="G51" s="48" t="s">
        <v>2</v>
      </c>
      <c r="H51" s="149"/>
      <c r="I51" s="139"/>
      <c r="J51" s="150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81" hidden="1" x14ac:dyDescent="0.2">
      <c r="A52" s="23" t="s">
        <v>96</v>
      </c>
      <c r="B52" s="232"/>
      <c r="C52" s="232"/>
      <c r="D52" s="151"/>
      <c r="E52" s="151"/>
      <c r="F52" s="151"/>
      <c r="G52" s="151"/>
      <c r="H52" s="152">
        <f>+H50+H48</f>
        <v>2.1518900343642615</v>
      </c>
      <c r="I52" s="153"/>
      <c r="J52" s="154">
        <f>SUM(J48:J50)</f>
        <v>100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81" hidden="1" x14ac:dyDescent="0.2">
      <c r="A53" s="8"/>
      <c r="B53" s="8"/>
      <c r="C53" s="8"/>
      <c r="D53" s="35"/>
      <c r="E53" s="35"/>
      <c r="F53" s="35"/>
      <c r="G53" s="18">
        <f>+H52</f>
        <v>2.1518900343642615</v>
      </c>
      <c r="H53" s="35" t="s">
        <v>181</v>
      </c>
      <c r="I53" s="35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81" hidden="1" x14ac:dyDescent="0.2">
      <c r="A54" s="7"/>
      <c r="B54" s="7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8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81" x14ac:dyDescent="0.2">
      <c r="A56" s="9" t="s">
        <v>80</v>
      </c>
      <c r="B56" s="37"/>
      <c r="C56" s="37"/>
      <c r="D56" s="37"/>
      <c r="E56" s="10"/>
      <c r="F56" s="10"/>
      <c r="G56" s="10"/>
      <c r="H56" s="37"/>
      <c r="I56" s="10"/>
      <c r="J56" s="10"/>
      <c r="K56" s="10"/>
      <c r="L56" s="10"/>
      <c r="M56" s="10"/>
      <c r="N56" s="11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81" x14ac:dyDescent="0.2">
      <c r="A57" s="231" t="s">
        <v>410</v>
      </c>
      <c r="B57" s="72"/>
      <c r="C57" s="72"/>
      <c r="D57" s="8"/>
      <c r="E57" s="8"/>
      <c r="F57" s="8"/>
      <c r="G57" s="8"/>
      <c r="H57" s="7"/>
      <c r="I57" s="8"/>
      <c r="J57" s="8" t="s">
        <v>2</v>
      </c>
      <c r="K57" s="8"/>
      <c r="L57" s="8"/>
      <c r="M57" s="8"/>
      <c r="N57" s="19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81" x14ac:dyDescent="0.2">
      <c r="A58" s="12"/>
      <c r="B58" s="8"/>
      <c r="C58" s="8"/>
      <c r="D58" s="8"/>
      <c r="E58" s="8"/>
      <c r="F58" s="8"/>
      <c r="G58" s="8"/>
      <c r="H58" s="7"/>
      <c r="I58" s="8"/>
      <c r="J58" s="8"/>
      <c r="K58" s="8"/>
      <c r="L58" s="8"/>
      <c r="M58" s="8"/>
      <c r="N58" s="19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81" x14ac:dyDescent="0.2">
      <c r="A59" s="231" t="s">
        <v>411</v>
      </c>
      <c r="B59" s="72"/>
      <c r="C59" s="72"/>
      <c r="D59" s="8"/>
      <c r="E59" s="504">
        <v>3</v>
      </c>
      <c r="F59" s="8"/>
      <c r="G59" s="8"/>
      <c r="H59" s="7"/>
      <c r="I59" s="8"/>
      <c r="J59" s="8" t="s">
        <v>2</v>
      </c>
      <c r="K59" s="8"/>
      <c r="L59" s="8"/>
      <c r="M59" s="8"/>
      <c r="N59" s="19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81" x14ac:dyDescent="0.2">
      <c r="A60" s="231" t="s">
        <v>412</v>
      </c>
      <c r="B60" s="72"/>
      <c r="C60" s="72"/>
      <c r="D60" s="8"/>
      <c r="E60" s="504">
        <v>3.5</v>
      </c>
      <c r="F60" s="8"/>
      <c r="G60" s="8"/>
      <c r="H60" s="7"/>
      <c r="I60" s="8"/>
      <c r="J60" s="8"/>
      <c r="K60" s="8"/>
      <c r="L60" s="8"/>
      <c r="M60" s="8"/>
      <c r="N60" s="19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81" x14ac:dyDescent="0.2">
      <c r="A61" s="231" t="s">
        <v>413</v>
      </c>
      <c r="B61" s="72"/>
      <c r="C61" s="72"/>
      <c r="D61" s="8"/>
      <c r="E61" s="504">
        <v>2</v>
      </c>
      <c r="F61" s="8"/>
      <c r="G61" s="8"/>
      <c r="H61" s="7"/>
      <c r="I61" s="8"/>
      <c r="J61" s="8" t="s">
        <v>2</v>
      </c>
      <c r="K61" s="8"/>
      <c r="L61" s="8"/>
      <c r="M61" s="8"/>
      <c r="N61" s="19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81" x14ac:dyDescent="0.2">
      <c r="A62" s="231" t="s">
        <v>414</v>
      </c>
      <c r="B62" s="72"/>
      <c r="C62" s="72"/>
      <c r="D62" s="8"/>
      <c r="E62" s="504">
        <v>4</v>
      </c>
      <c r="F62" s="8"/>
      <c r="G62" s="8"/>
      <c r="H62" s="7"/>
      <c r="I62" s="8"/>
      <c r="J62" s="8"/>
      <c r="K62" s="8" t="s">
        <v>2</v>
      </c>
      <c r="L62" s="8"/>
      <c r="M62" s="8"/>
      <c r="N62" s="19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81" x14ac:dyDescent="0.2">
      <c r="A63" s="12"/>
      <c r="B63" s="8"/>
      <c r="C63" s="8"/>
      <c r="D63" s="8"/>
      <c r="E63" s="8"/>
      <c r="F63" s="8"/>
      <c r="G63" s="8"/>
      <c r="H63" s="8"/>
      <c r="I63" s="8"/>
      <c r="J63" s="8"/>
      <c r="K63" s="8" t="s">
        <v>2</v>
      </c>
      <c r="L63" s="8"/>
      <c r="M63" s="8"/>
      <c r="N63" s="19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81" x14ac:dyDescent="0.2">
      <c r="A64" s="17" t="s">
        <v>102</v>
      </c>
      <c r="B64" s="7"/>
      <c r="C64" s="7"/>
      <c r="D64" s="7"/>
      <c r="E64" s="7">
        <f>+E59*E62</f>
        <v>12</v>
      </c>
      <c r="F64" s="7" t="s">
        <v>27</v>
      </c>
      <c r="G64" s="8"/>
      <c r="H64" s="8"/>
      <c r="I64" s="8"/>
      <c r="J64" s="8"/>
      <c r="K64" s="8"/>
      <c r="L64" s="8"/>
      <c r="M64" s="8"/>
      <c r="N64" s="19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x14ac:dyDescent="0.2">
      <c r="A65" s="17" t="s">
        <v>103</v>
      </c>
      <c r="B65" s="7"/>
      <c r="C65" s="7"/>
      <c r="D65" s="7"/>
      <c r="E65" s="22">
        <f>(+E59*E62)/COS(ATAN((E60-E61)/E62))</f>
        <v>12.816005617976296</v>
      </c>
      <c r="F65" s="7" t="s">
        <v>27</v>
      </c>
      <c r="G65" s="8"/>
      <c r="H65" s="8"/>
      <c r="I65" s="8"/>
      <c r="J65" s="8"/>
      <c r="K65" s="8"/>
      <c r="L65" s="8"/>
      <c r="M65" s="8"/>
      <c r="N65" s="19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x14ac:dyDescent="0.2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9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x14ac:dyDescent="0.2">
      <c r="A67" s="17" t="s">
        <v>720</v>
      </c>
      <c r="B67" s="8"/>
      <c r="C67" s="8"/>
      <c r="D67" s="8"/>
      <c r="E67" s="7">
        <f>+(E60+E61)/2</f>
        <v>2.75</v>
      </c>
      <c r="F67" s="7" t="s">
        <v>474</v>
      </c>
      <c r="G67" s="8"/>
      <c r="H67" s="8"/>
      <c r="I67" s="8"/>
      <c r="J67" s="8"/>
      <c r="K67" s="8"/>
      <c r="L67" s="8"/>
      <c r="M67" s="8"/>
      <c r="N67" s="19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x14ac:dyDescent="0.2">
      <c r="A68" s="17" t="s">
        <v>104</v>
      </c>
      <c r="B68" s="7"/>
      <c r="C68" s="7"/>
      <c r="D68" s="7"/>
      <c r="E68" s="22">
        <f>+(E60+E61)*E62/2</f>
        <v>11</v>
      </c>
      <c r="F68" s="7" t="s">
        <v>27</v>
      </c>
      <c r="G68" s="8"/>
      <c r="H68" s="8"/>
      <c r="I68" s="8"/>
      <c r="J68" s="8"/>
      <c r="K68" s="8"/>
      <c r="L68" s="8"/>
      <c r="M68" s="8"/>
      <c r="N68" s="19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x14ac:dyDescent="0.2">
      <c r="A69" s="23" t="s">
        <v>105</v>
      </c>
      <c r="B69" s="232"/>
      <c r="C69" s="232"/>
      <c r="D69" s="232"/>
      <c r="E69" s="232">
        <f>+E68*E59</f>
        <v>33</v>
      </c>
      <c r="F69" s="232" t="s">
        <v>26</v>
      </c>
      <c r="G69" s="25"/>
      <c r="H69" s="25"/>
      <c r="I69" s="25"/>
      <c r="J69" s="25"/>
      <c r="K69" s="25"/>
      <c r="L69" s="25"/>
      <c r="M69" s="25"/>
      <c r="N69" s="16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</sheetData>
  <mergeCells count="6">
    <mergeCell ref="H5:H7"/>
    <mergeCell ref="J5:K7"/>
    <mergeCell ref="B5:B7"/>
    <mergeCell ref="D5:E6"/>
    <mergeCell ref="F5:F7"/>
    <mergeCell ref="G5:G7"/>
  </mergeCells>
  <phoneticPr fontId="14" type="noConversion"/>
  <pageMargins left="0.73" right="0.75" top="0.88" bottom="1" header="0" footer="0"/>
  <pageSetup paperSize="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N162"/>
  <sheetViews>
    <sheetView tabSelected="1" topLeftCell="H1" zoomScale="75" zoomScaleNormal="75" workbookViewId="0">
      <selection activeCell="AF12" sqref="AF12"/>
    </sheetView>
  </sheetViews>
  <sheetFormatPr baseColWidth="10" defaultColWidth="9.140625" defaultRowHeight="12.75" x14ac:dyDescent="0.2"/>
  <cols>
    <col min="1" max="1" width="12.85546875" customWidth="1"/>
    <col min="2" max="3" width="9.140625" customWidth="1"/>
    <col min="4" max="4" width="9.7109375" customWidth="1"/>
    <col min="5" max="7" width="9.140625" customWidth="1"/>
    <col min="8" max="8" width="11" customWidth="1"/>
    <col min="9" max="9" width="2.7109375" customWidth="1"/>
    <col min="12" max="12" width="15" customWidth="1"/>
    <col min="27" max="27" width="11" customWidth="1"/>
    <col min="29" max="29" width="14.140625" customWidth="1"/>
  </cols>
  <sheetData>
    <row r="1" spans="1:40" x14ac:dyDescent="0.2">
      <c r="A1" s="7" t="s">
        <v>280</v>
      </c>
      <c r="B1" s="8"/>
      <c r="C1" s="8"/>
      <c r="D1" s="8"/>
      <c r="E1" s="8"/>
      <c r="F1" s="8"/>
      <c r="G1" s="8" t="s">
        <v>2</v>
      </c>
      <c r="H1" s="8"/>
      <c r="I1" s="8"/>
      <c r="J1" s="8"/>
      <c r="K1" s="8"/>
      <c r="L1" s="8"/>
      <c r="M1" s="8"/>
      <c r="N1" s="8"/>
      <c r="O1" s="8"/>
      <c r="P1" s="8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</row>
    <row r="2" spans="1:40" x14ac:dyDescent="0.2">
      <c r="A2" s="72" t="s">
        <v>360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5"/>
      <c r="O2" s="155"/>
      <c r="P2" s="8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</row>
    <row r="3" spans="1:40" ht="13.5" thickBot="1" x14ac:dyDescent="0.25">
      <c r="A3" s="72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67"/>
      <c r="R3" s="167"/>
      <c r="S3" s="167"/>
      <c r="T3" s="167"/>
      <c r="U3" s="167"/>
      <c r="V3" s="469" t="s">
        <v>680</v>
      </c>
      <c r="W3" s="470"/>
      <c r="X3" s="470"/>
      <c r="Y3" s="470"/>
      <c r="Z3" s="470"/>
      <c r="AA3" s="470"/>
      <c r="AB3" s="471">
        <v>1</v>
      </c>
      <c r="AC3" s="472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</row>
    <row r="4" spans="1:40" x14ac:dyDescent="0.2">
      <c r="A4" s="7" t="s">
        <v>84</v>
      </c>
      <c r="B4" s="86" t="str">
        <f>VLOOKUP(Lugar!E84,Lugar!A65:C84,2)</f>
        <v>Las Heras-Guaymallén</v>
      </c>
      <c r="C4" s="426"/>
      <c r="D4" s="8" t="s">
        <v>97</v>
      </c>
      <c r="E4" s="86">
        <f>VLOOKUP(Lugar!E84,Lugar!A65:E84,3)</f>
        <v>1350</v>
      </c>
      <c r="F4" s="8" t="s">
        <v>98</v>
      </c>
      <c r="G4" s="8"/>
      <c r="H4" s="18">
        <f>1.1516-0.0022*E4</f>
        <v>-1.8184000000000002</v>
      </c>
      <c r="I4" s="8" t="s">
        <v>99</v>
      </c>
      <c r="J4" s="8"/>
      <c r="K4" s="8"/>
      <c r="L4" s="64" t="s">
        <v>326</v>
      </c>
      <c r="M4" s="27"/>
      <c r="N4" s="27"/>
      <c r="O4" s="27"/>
      <c r="P4" s="168" t="s">
        <v>144</v>
      </c>
      <c r="Q4" s="168"/>
      <c r="R4" s="168"/>
      <c r="S4" s="169"/>
      <c r="T4" s="167"/>
      <c r="U4" s="167"/>
      <c r="V4" s="473"/>
      <c r="W4" s="474"/>
      <c r="X4" s="474"/>
      <c r="Y4" s="474"/>
      <c r="Z4" s="474"/>
      <c r="AA4" s="474"/>
      <c r="AB4" s="474"/>
      <c r="AC4" s="475"/>
      <c r="AD4" s="155"/>
      <c r="AE4" s="155"/>
      <c r="AF4" s="167"/>
      <c r="AG4" s="167"/>
      <c r="AH4" s="167"/>
      <c r="AI4" s="167"/>
      <c r="AJ4" s="167"/>
      <c r="AK4" s="167"/>
      <c r="AL4" s="167"/>
      <c r="AM4" s="167"/>
      <c r="AN4" s="167"/>
    </row>
    <row r="5" spans="1:40" ht="13.5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29"/>
      <c r="M5" s="8"/>
      <c r="N5" s="8"/>
      <c r="O5" s="8"/>
      <c r="P5" s="155" t="s">
        <v>145</v>
      </c>
      <c r="Q5" s="155"/>
      <c r="R5" s="155"/>
      <c r="S5" s="228"/>
      <c r="T5" s="167"/>
      <c r="U5" s="167"/>
      <c r="V5" s="9" t="s">
        <v>106</v>
      </c>
      <c r="W5" s="10"/>
      <c r="X5" s="10"/>
      <c r="Y5" s="10"/>
      <c r="Z5" s="10"/>
      <c r="AA5" s="10"/>
      <c r="AB5" s="10"/>
      <c r="AC5" s="11"/>
      <c r="AD5" s="8"/>
      <c r="AE5" s="8"/>
      <c r="AF5" s="167"/>
      <c r="AG5" s="167"/>
      <c r="AH5" s="167"/>
      <c r="AI5" s="167"/>
      <c r="AJ5" s="167"/>
      <c r="AK5" s="167"/>
      <c r="AL5" s="167"/>
      <c r="AM5" s="167"/>
      <c r="AN5" s="167"/>
    </row>
    <row r="6" spans="1:40" ht="13.5" thickBot="1" x14ac:dyDescent="0.25">
      <c r="A6" s="38" t="s">
        <v>81</v>
      </c>
      <c r="B6" s="39"/>
      <c r="C6" s="39"/>
      <c r="D6" s="39"/>
      <c r="E6" s="39"/>
      <c r="F6" s="39"/>
      <c r="G6" s="39"/>
      <c r="H6" s="40"/>
      <c r="I6" s="8"/>
      <c r="J6" s="8"/>
      <c r="K6" s="8"/>
      <c r="L6" s="42" t="s">
        <v>138</v>
      </c>
      <c r="M6" s="67" t="s">
        <v>109</v>
      </c>
      <c r="N6" s="68" t="s">
        <v>76</v>
      </c>
      <c r="O6" s="69" t="s">
        <v>76</v>
      </c>
      <c r="P6" s="8"/>
      <c r="Q6" s="8"/>
      <c r="R6" s="8"/>
      <c r="S6" s="52"/>
      <c r="T6" s="167"/>
      <c r="U6" s="167"/>
      <c r="V6" s="12" t="s">
        <v>100</v>
      </c>
      <c r="W6" s="8"/>
      <c r="X6" s="8"/>
      <c r="Y6" s="8"/>
      <c r="Z6" s="2">
        <v>0.85</v>
      </c>
      <c r="AA6" s="8"/>
      <c r="AB6" s="8" t="s">
        <v>337</v>
      </c>
      <c r="AC6" s="19" t="s">
        <v>340</v>
      </c>
      <c r="AD6" s="8"/>
      <c r="AE6" s="8"/>
      <c r="AF6" s="167"/>
      <c r="AG6" s="167"/>
      <c r="AH6" s="167"/>
      <c r="AI6" s="167"/>
      <c r="AJ6" s="167"/>
      <c r="AK6" s="167"/>
      <c r="AL6" s="167"/>
      <c r="AM6" s="167"/>
      <c r="AN6" s="167"/>
    </row>
    <row r="7" spans="1:40" x14ac:dyDescent="0.2">
      <c r="A7" s="41"/>
      <c r="B7" s="27"/>
      <c r="C7" s="27"/>
      <c r="D7" s="27"/>
      <c r="E7" s="27"/>
      <c r="F7" s="27"/>
      <c r="G7" s="27"/>
      <c r="H7" s="28"/>
      <c r="I7" s="8"/>
      <c r="J7" s="8"/>
      <c r="K7" s="8"/>
      <c r="L7" s="42" t="s">
        <v>139</v>
      </c>
      <c r="M7" s="72" t="s">
        <v>140</v>
      </c>
      <c r="N7" s="72" t="s">
        <v>136</v>
      </c>
      <c r="O7" s="72" t="s">
        <v>137</v>
      </c>
      <c r="P7" s="8"/>
      <c r="Q7" s="8"/>
      <c r="R7" s="8"/>
      <c r="S7" s="52"/>
      <c r="T7" s="167"/>
      <c r="U7" s="167"/>
      <c r="V7" s="12" t="s">
        <v>21</v>
      </c>
      <c r="W7" s="12"/>
      <c r="X7" s="7">
        <f>+E4*F21*(1-Q37)*0.024*AB3/Z6</f>
        <v>10216.017805203781</v>
      </c>
      <c r="Y7" s="7" t="s">
        <v>101</v>
      </c>
      <c r="Z7" s="8"/>
      <c r="AA7" s="8"/>
      <c r="AB7" s="8" t="s">
        <v>338</v>
      </c>
      <c r="AC7" s="19" t="s">
        <v>339</v>
      </c>
      <c r="AD7" s="8"/>
      <c r="AE7" s="8"/>
      <c r="AF7" s="167"/>
      <c r="AG7" s="167"/>
      <c r="AH7" s="167"/>
      <c r="AI7" s="167"/>
      <c r="AJ7" s="167"/>
      <c r="AK7" s="167"/>
      <c r="AL7" s="167"/>
      <c r="AM7" s="167"/>
      <c r="AN7" s="167"/>
    </row>
    <row r="8" spans="1:40" x14ac:dyDescent="0.2">
      <c r="A8" s="42" t="s">
        <v>7</v>
      </c>
      <c r="B8" s="7"/>
      <c r="C8" s="7" t="s">
        <v>8</v>
      </c>
      <c r="D8" s="43" t="s">
        <v>82</v>
      </c>
      <c r="E8" s="7"/>
      <c r="F8" s="7" t="s">
        <v>10</v>
      </c>
      <c r="G8" s="7" t="s">
        <v>77</v>
      </c>
      <c r="H8" s="44"/>
      <c r="I8" s="7"/>
      <c r="J8" s="155"/>
      <c r="K8" s="8"/>
      <c r="L8" s="42"/>
      <c r="M8" s="72"/>
      <c r="N8" s="72"/>
      <c r="O8" s="72"/>
      <c r="P8" s="8"/>
      <c r="Q8" s="8"/>
      <c r="R8" s="8"/>
      <c r="S8" s="52"/>
      <c r="T8" s="167"/>
      <c r="U8" s="167"/>
      <c r="V8" s="12" t="s">
        <v>681</v>
      </c>
      <c r="W8" s="8"/>
      <c r="X8" s="34">
        <f>+X7</f>
        <v>10216.017805203781</v>
      </c>
      <c r="Y8" s="8"/>
      <c r="Z8" s="8"/>
      <c r="AA8" s="8"/>
      <c r="AB8" s="170">
        <v>147</v>
      </c>
      <c r="AC8" s="121">
        <f>+AB8*X8</f>
        <v>1501754.6173649558</v>
      </c>
      <c r="AD8" s="8"/>
      <c r="AE8" s="8"/>
      <c r="AF8" s="167"/>
      <c r="AG8" s="167"/>
      <c r="AH8" s="167"/>
      <c r="AI8" s="167"/>
      <c r="AJ8" s="167"/>
      <c r="AK8" s="167"/>
      <c r="AL8" s="167"/>
      <c r="AM8" s="167"/>
      <c r="AN8" s="167"/>
    </row>
    <row r="9" spans="1:40" ht="13.5" thickBot="1" x14ac:dyDescent="0.25">
      <c r="A9" s="31"/>
      <c r="B9" s="45"/>
      <c r="C9" s="45"/>
      <c r="D9" s="46" t="s">
        <v>83</v>
      </c>
      <c r="E9" s="45"/>
      <c r="F9" s="45" t="s">
        <v>328</v>
      </c>
      <c r="G9" s="46" t="s">
        <v>369</v>
      </c>
      <c r="H9" s="47"/>
      <c r="I9" s="8"/>
      <c r="J9" s="8"/>
      <c r="K9" s="48"/>
      <c r="L9" s="65" t="s">
        <v>85</v>
      </c>
      <c r="M9" s="118">
        <v>0</v>
      </c>
      <c r="N9" s="76">
        <f>+mensual!V23</f>
        <v>0.14001722672591677</v>
      </c>
      <c r="O9" s="76">
        <f>+N9*M9/$M$36</f>
        <v>0</v>
      </c>
      <c r="P9" s="8"/>
      <c r="Q9" s="8" t="s">
        <v>11</v>
      </c>
      <c r="R9" s="8"/>
      <c r="S9" s="52"/>
      <c r="T9" s="167"/>
      <c r="U9" s="167"/>
      <c r="V9" s="12" t="s">
        <v>333</v>
      </c>
      <c r="W9" s="8"/>
      <c r="X9" s="34">
        <f>X7/586.06*45</f>
        <v>784.42617007502668</v>
      </c>
      <c r="Y9" s="8"/>
      <c r="Z9" s="8"/>
      <c r="AA9" s="8"/>
      <c r="AB9" s="170">
        <v>400</v>
      </c>
      <c r="AC9" s="121">
        <f>+AB9*X9</f>
        <v>313770.4680300107</v>
      </c>
      <c r="AD9" s="8"/>
      <c r="AE9" s="8"/>
      <c r="AF9" s="167"/>
      <c r="AG9" s="167"/>
      <c r="AH9" s="167"/>
      <c r="AI9" s="167"/>
      <c r="AJ9" s="167"/>
      <c r="AK9" s="167"/>
      <c r="AL9" s="167"/>
      <c r="AM9" s="167"/>
      <c r="AN9" s="167"/>
    </row>
    <row r="10" spans="1:40" x14ac:dyDescent="0.2">
      <c r="A10" s="41" t="s">
        <v>69</v>
      </c>
      <c r="B10" s="27"/>
      <c r="C10" s="257">
        <f>+superficies!D16</f>
        <v>110.16</v>
      </c>
      <c r="D10" s="156">
        <v>2.4</v>
      </c>
      <c r="E10" s="157"/>
      <c r="F10" s="157">
        <f t="shared" ref="F10:F15" si="0">C10*D10</f>
        <v>264.38399999999996</v>
      </c>
      <c r="G10" s="265">
        <f t="shared" ref="G10:G16" si="1">+(F10/$F$21)*100</f>
        <v>63.77480895543777</v>
      </c>
      <c r="H10" s="158" t="s">
        <v>11</v>
      </c>
      <c r="I10" s="48"/>
      <c r="J10" s="48"/>
      <c r="K10" s="48"/>
      <c r="L10" s="65" t="s">
        <v>110</v>
      </c>
      <c r="M10" s="118">
        <v>14.6</v>
      </c>
      <c r="N10" s="76">
        <f>+mensual!V24</f>
        <v>0.35349847444076327</v>
      </c>
      <c r="O10" s="76">
        <f>+N10*M10/$M$36</f>
        <v>0.35349847444076327</v>
      </c>
      <c r="P10" s="8"/>
      <c r="Q10" s="8" t="s">
        <v>11</v>
      </c>
      <c r="R10" s="8"/>
      <c r="S10" s="52"/>
      <c r="T10" s="167"/>
      <c r="U10" s="167"/>
      <c r="V10" s="12" t="s">
        <v>334</v>
      </c>
      <c r="W10" s="8"/>
      <c r="X10" s="34">
        <f>X7/10.82</f>
        <v>944.17909475081149</v>
      </c>
      <c r="Y10" s="8"/>
      <c r="Z10" s="8"/>
      <c r="AA10" s="8"/>
      <c r="AB10" s="170">
        <v>107.5</v>
      </c>
      <c r="AC10" s="121">
        <f>+AB10*X10</f>
        <v>101499.25268571223</v>
      </c>
      <c r="AD10" s="8"/>
      <c r="AE10" s="8"/>
      <c r="AF10" s="167"/>
      <c r="AG10" s="167"/>
      <c r="AH10" s="167"/>
      <c r="AI10" s="167"/>
      <c r="AJ10" s="167"/>
      <c r="AK10" s="167"/>
      <c r="AL10" s="167"/>
      <c r="AM10" s="167"/>
      <c r="AN10" s="167"/>
    </row>
    <row r="11" spans="1:40" x14ac:dyDescent="0.2">
      <c r="A11" s="29" t="s">
        <v>70</v>
      </c>
      <c r="B11" s="8"/>
      <c r="C11" s="258">
        <f>+superficies!E16</f>
        <v>0</v>
      </c>
      <c r="D11" s="3">
        <v>0.65</v>
      </c>
      <c r="E11" s="48"/>
      <c r="F11" s="48">
        <f t="shared" si="0"/>
        <v>0</v>
      </c>
      <c r="G11" s="18">
        <f t="shared" si="1"/>
        <v>0</v>
      </c>
      <c r="H11" s="159" t="s">
        <v>11</v>
      </c>
      <c r="I11" s="48"/>
      <c r="J11" s="48"/>
      <c r="K11" s="48"/>
      <c r="L11" s="65" t="s">
        <v>111</v>
      </c>
      <c r="M11" s="118">
        <v>0</v>
      </c>
      <c r="N11" s="76">
        <f>+mensual!V25</f>
        <v>0.33955888340096896</v>
      </c>
      <c r="O11" s="76">
        <f>+N11*M11/$M$36</f>
        <v>0</v>
      </c>
      <c r="P11" s="8"/>
      <c r="Q11" s="8" t="s">
        <v>11</v>
      </c>
      <c r="R11" s="8"/>
      <c r="S11" s="52"/>
      <c r="T11" s="167"/>
      <c r="U11" s="167"/>
      <c r="V11" s="12" t="s">
        <v>335</v>
      </c>
      <c r="W11" s="8"/>
      <c r="X11" s="34">
        <f>X7/8.95</f>
        <v>1141.4545033747243</v>
      </c>
      <c r="Y11" s="8"/>
      <c r="Z11" s="8"/>
      <c r="AA11" s="8"/>
      <c r="AB11" s="170">
        <v>0</v>
      </c>
      <c r="AC11" s="121">
        <f>+AB11*X11</f>
        <v>0</v>
      </c>
      <c r="AD11" s="8"/>
      <c r="AE11" s="8"/>
      <c r="AF11" s="167"/>
      <c r="AG11" s="167"/>
      <c r="AH11" s="167"/>
      <c r="AI11" s="167"/>
      <c r="AJ11" s="167"/>
      <c r="AK11" s="167"/>
      <c r="AL11" s="167"/>
      <c r="AM11" s="167"/>
      <c r="AN11" s="167"/>
    </row>
    <row r="12" spans="1:40" x14ac:dyDescent="0.2">
      <c r="A12" s="29" t="s">
        <v>71</v>
      </c>
      <c r="B12" s="8"/>
      <c r="C12" s="258">
        <f>+superficies!D18</f>
        <v>109.12499999999999</v>
      </c>
      <c r="D12" s="3">
        <v>0.4</v>
      </c>
      <c r="E12" s="48"/>
      <c r="F12" s="48">
        <f t="shared" si="0"/>
        <v>43.65</v>
      </c>
      <c r="G12" s="18">
        <f t="shared" si="1"/>
        <v>10.529269588571392</v>
      </c>
      <c r="H12" s="159" t="s">
        <v>11</v>
      </c>
      <c r="I12" s="48"/>
      <c r="J12" s="48"/>
      <c r="K12" s="48"/>
      <c r="L12" s="65" t="s">
        <v>112</v>
      </c>
      <c r="M12" s="119">
        <v>0</v>
      </c>
      <c r="N12" s="76">
        <f>+mensual!V26</f>
        <v>0.39160090431441608</v>
      </c>
      <c r="O12" s="76">
        <f>+N12*M12/$M$36</f>
        <v>0</v>
      </c>
      <c r="P12" s="8"/>
      <c r="Q12" s="8"/>
      <c r="R12" s="8"/>
      <c r="S12" s="52"/>
      <c r="T12" s="167"/>
      <c r="U12" s="167"/>
      <c r="V12" s="15" t="s">
        <v>336</v>
      </c>
      <c r="W12" s="25"/>
      <c r="X12" s="36">
        <f>X7/3.48</f>
        <v>2935.6373003459139</v>
      </c>
      <c r="Y12" s="25"/>
      <c r="Z12" s="25"/>
      <c r="AA12" s="25"/>
      <c r="AB12" s="171">
        <v>180</v>
      </c>
      <c r="AC12" s="122">
        <f>+AB12*X12</f>
        <v>528414.71406226454</v>
      </c>
      <c r="AD12" s="8"/>
      <c r="AE12" s="8"/>
      <c r="AF12" s="167"/>
      <c r="AG12" s="167"/>
      <c r="AH12" s="167"/>
      <c r="AI12" s="167"/>
      <c r="AJ12" s="167"/>
      <c r="AK12" s="167"/>
      <c r="AL12" s="167"/>
      <c r="AM12" s="167"/>
      <c r="AN12" s="167"/>
    </row>
    <row r="13" spans="1:40" x14ac:dyDescent="0.2">
      <c r="A13" s="29" t="s">
        <v>72</v>
      </c>
      <c r="B13" s="8"/>
      <c r="C13" s="258">
        <f>+superficies!E18</f>
        <v>0</v>
      </c>
      <c r="D13" s="3">
        <v>0.34</v>
      </c>
      <c r="E13" s="48"/>
      <c r="F13" s="48">
        <f t="shared" si="0"/>
        <v>0</v>
      </c>
      <c r="G13" s="18">
        <f t="shared" si="1"/>
        <v>0</v>
      </c>
      <c r="H13" s="159" t="s">
        <v>11</v>
      </c>
      <c r="I13" s="48"/>
      <c r="J13" s="48"/>
      <c r="K13" s="48"/>
      <c r="L13" s="29"/>
      <c r="M13" s="8"/>
      <c r="N13" s="76"/>
      <c r="O13" s="76"/>
      <c r="P13" s="8"/>
      <c r="Q13" s="8"/>
      <c r="R13" s="8"/>
      <c r="S13" s="52"/>
      <c r="T13" s="167"/>
      <c r="U13" s="167"/>
      <c r="V13" s="8"/>
      <c r="W13" s="8"/>
      <c r="X13" s="8"/>
      <c r="Y13" s="8"/>
      <c r="Z13" s="8"/>
      <c r="AA13" s="8"/>
      <c r="AB13" s="8">
        <v>0.75</v>
      </c>
      <c r="AC13" s="8"/>
      <c r="AD13" s="8"/>
      <c r="AE13" s="8"/>
      <c r="AF13" s="167"/>
      <c r="AG13" s="167"/>
      <c r="AH13" s="167"/>
      <c r="AI13" s="167"/>
      <c r="AJ13" s="167"/>
      <c r="AK13" s="167"/>
      <c r="AL13" s="167"/>
      <c r="AM13" s="167"/>
      <c r="AN13" s="167"/>
    </row>
    <row r="14" spans="1:40" x14ac:dyDescent="0.2">
      <c r="A14" s="29" t="s">
        <v>73</v>
      </c>
      <c r="B14" s="8"/>
      <c r="C14" s="258">
        <f>+superficies!G12</f>
        <v>2.08</v>
      </c>
      <c r="D14" s="3">
        <v>4</v>
      </c>
      <c r="E14" s="48"/>
      <c r="F14" s="48">
        <f t="shared" si="0"/>
        <v>8.32</v>
      </c>
      <c r="G14" s="18">
        <f t="shared" si="1"/>
        <v>2.0069535618995187</v>
      </c>
      <c r="H14" s="159" t="s">
        <v>11</v>
      </c>
      <c r="I14" s="48"/>
      <c r="J14" s="48"/>
      <c r="K14" s="48"/>
      <c r="L14" s="71" t="s">
        <v>141</v>
      </c>
      <c r="M14" s="67" t="s">
        <v>109</v>
      </c>
      <c r="N14" s="78" t="s">
        <v>76</v>
      </c>
      <c r="O14" s="77" t="s">
        <v>76</v>
      </c>
      <c r="P14" s="8"/>
      <c r="Q14" s="8"/>
      <c r="R14" s="8"/>
      <c r="S14" s="52"/>
      <c r="T14" s="167"/>
      <c r="U14" s="16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167"/>
      <c r="AG14" s="167"/>
      <c r="AH14" s="167"/>
      <c r="AI14" s="167"/>
      <c r="AJ14" s="167"/>
      <c r="AK14" s="167"/>
      <c r="AL14" s="167"/>
      <c r="AM14" s="167"/>
      <c r="AN14" s="167"/>
    </row>
    <row r="15" spans="1:40" x14ac:dyDescent="0.2">
      <c r="A15" s="29" t="s">
        <v>90</v>
      </c>
      <c r="B15" s="8"/>
      <c r="C15" s="258">
        <f>+superficies!F16</f>
        <v>1.89</v>
      </c>
      <c r="D15" s="3">
        <v>2.64</v>
      </c>
      <c r="E15" s="48"/>
      <c r="F15" s="48">
        <f t="shared" si="0"/>
        <v>4.9896000000000003</v>
      </c>
      <c r="G15" s="18">
        <f t="shared" si="1"/>
        <v>1.2035932082276248</v>
      </c>
      <c r="H15" s="159" t="s">
        <v>11</v>
      </c>
      <c r="I15" s="48"/>
      <c r="J15" s="48"/>
      <c r="K15" s="48"/>
      <c r="L15" s="71" t="s">
        <v>142</v>
      </c>
      <c r="M15" s="8" t="s">
        <v>140</v>
      </c>
      <c r="N15" s="76" t="s">
        <v>136</v>
      </c>
      <c r="O15" s="76" t="s">
        <v>137</v>
      </c>
      <c r="P15" s="8"/>
      <c r="Q15" s="8"/>
      <c r="R15" s="8"/>
      <c r="S15" s="52"/>
      <c r="T15" s="167"/>
      <c r="U15" s="167"/>
      <c r="V15" s="9" t="s">
        <v>107</v>
      </c>
      <c r="W15" s="10"/>
      <c r="X15" s="10"/>
      <c r="Y15" s="10"/>
      <c r="Z15" s="10"/>
      <c r="AA15" s="11"/>
      <c r="AB15" s="8"/>
      <c r="AC15" s="8"/>
      <c r="AD15" s="8"/>
      <c r="AE15" s="8"/>
      <c r="AF15" s="167"/>
      <c r="AG15" s="167"/>
      <c r="AH15" s="167"/>
      <c r="AI15" s="167"/>
      <c r="AJ15" s="167"/>
      <c r="AK15" s="167"/>
      <c r="AL15" s="167"/>
      <c r="AM15" s="167"/>
      <c r="AN15" s="167"/>
    </row>
    <row r="16" spans="1:40" x14ac:dyDescent="0.2">
      <c r="A16" s="29" t="s">
        <v>13</v>
      </c>
      <c r="B16" s="8"/>
      <c r="C16" s="258">
        <f>+superficies!D21</f>
        <v>41.9</v>
      </c>
      <c r="D16" s="160">
        <v>0</v>
      </c>
      <c r="E16" s="48"/>
      <c r="F16" s="48">
        <f>IF(D16=0,((1.27*+superficies!D21)/1.024),(1.27*+superficies!D21)/(1.024+1/D16))</f>
        <v>51.9658203125</v>
      </c>
      <c r="G16" s="18">
        <f t="shared" si="1"/>
        <v>12.535214924663729</v>
      </c>
      <c r="H16" s="159" t="s">
        <v>11</v>
      </c>
      <c r="I16" s="48"/>
      <c r="J16" s="48"/>
      <c r="K16" s="48"/>
      <c r="L16" s="65" t="s">
        <v>125</v>
      </c>
      <c r="M16" s="119">
        <v>0</v>
      </c>
      <c r="N16" s="76">
        <f>+mensual!V27</f>
        <v>0.15378686925867346</v>
      </c>
      <c r="O16" s="76">
        <f t="shared" ref="O16:O21" si="2">+N16*M16/$M$36</f>
        <v>0</v>
      </c>
      <c r="P16" s="8"/>
      <c r="Q16" s="8"/>
      <c r="R16" s="8"/>
      <c r="S16" s="52"/>
      <c r="T16" s="167"/>
      <c r="U16" s="167"/>
      <c r="V16" s="9" t="s">
        <v>7</v>
      </c>
      <c r="W16" s="30"/>
      <c r="X16" s="53" t="s">
        <v>8</v>
      </c>
      <c r="Y16" s="9" t="s">
        <v>9</v>
      </c>
      <c r="Z16" s="30"/>
      <c r="AA16" s="53" t="s">
        <v>16</v>
      </c>
      <c r="AB16" s="8"/>
      <c r="AC16" s="8"/>
      <c r="AD16" s="8"/>
      <c r="AE16" s="8"/>
      <c r="AF16" s="167"/>
      <c r="AG16" s="167"/>
      <c r="AH16" s="167"/>
      <c r="AI16" s="167"/>
      <c r="AJ16" s="167"/>
      <c r="AK16" s="167"/>
      <c r="AL16" s="167"/>
      <c r="AM16" s="167"/>
      <c r="AN16" s="167"/>
    </row>
    <row r="17" spans="1:40" ht="14.25" x14ac:dyDescent="0.2">
      <c r="A17" s="29" t="s">
        <v>14</v>
      </c>
      <c r="B17" s="8" t="s">
        <v>105</v>
      </c>
      <c r="C17" s="8">
        <f>+superficies!D22</f>
        <v>261.89999999999998</v>
      </c>
      <c r="D17" s="8" t="s">
        <v>123</v>
      </c>
      <c r="E17" s="8"/>
      <c r="F17" s="48">
        <f>0.35*$D20*0.9*C17</f>
        <v>41.249249999999996</v>
      </c>
      <c r="G17" s="18">
        <f>+(F17/$F$21)*100</f>
        <v>9.9501597611999664</v>
      </c>
      <c r="H17" s="361" t="s">
        <v>11</v>
      </c>
      <c r="I17" s="48"/>
      <c r="J17" s="48"/>
      <c r="K17" s="48"/>
      <c r="L17" s="65" t="s">
        <v>113</v>
      </c>
      <c r="M17" s="119">
        <v>0</v>
      </c>
      <c r="N17" s="76">
        <f>+mensual!V28</f>
        <v>0.22829094253450247</v>
      </c>
      <c r="O17" s="76">
        <f t="shared" si="2"/>
        <v>0</v>
      </c>
      <c r="P17" s="8"/>
      <c r="Q17" s="8"/>
      <c r="R17" s="8"/>
      <c r="S17" s="52"/>
      <c r="T17" s="167"/>
      <c r="U17" s="167"/>
      <c r="V17" s="9" t="s">
        <v>15</v>
      </c>
      <c r="W17" s="11"/>
      <c r="X17" s="14"/>
      <c r="Y17" s="13"/>
      <c r="Z17" s="11"/>
      <c r="AA17" s="54">
        <f>F21</f>
        <v>414.55867031249994</v>
      </c>
      <c r="AB17" s="8"/>
      <c r="AC17" s="8"/>
      <c r="AD17" s="8"/>
      <c r="AE17" s="8"/>
      <c r="AF17" s="167"/>
      <c r="AG17" s="167"/>
      <c r="AH17" s="167"/>
      <c r="AI17" s="167"/>
      <c r="AJ17" s="167"/>
      <c r="AK17" s="167"/>
      <c r="AL17" s="167"/>
      <c r="AM17" s="167"/>
      <c r="AN17" s="167"/>
    </row>
    <row r="18" spans="1:40" x14ac:dyDescent="0.2">
      <c r="A18" s="29"/>
      <c r="B18" s="8" t="s">
        <v>440</v>
      </c>
      <c r="C18" s="8">
        <f>VLOOKUP(Lugar!E84,Lugar!A64:F84,6)</f>
        <v>700</v>
      </c>
      <c r="D18" s="8" t="s">
        <v>439</v>
      </c>
      <c r="E18" s="8"/>
      <c r="F18" s="8"/>
      <c r="G18" s="8" t="s">
        <v>2</v>
      </c>
      <c r="H18" s="52"/>
      <c r="I18" s="48"/>
      <c r="J18" s="48"/>
      <c r="K18" s="48"/>
      <c r="L18" s="65" t="s">
        <v>126</v>
      </c>
      <c r="M18" s="119">
        <v>0</v>
      </c>
      <c r="N18" s="76">
        <f>+mensual!V29</f>
        <v>0.23377439407824885</v>
      </c>
      <c r="O18" s="76">
        <f t="shared" si="2"/>
        <v>0</v>
      </c>
      <c r="P18" s="8"/>
      <c r="Q18" s="8"/>
      <c r="R18" s="8"/>
      <c r="S18" s="52"/>
      <c r="T18" s="167"/>
      <c r="U18" s="167"/>
      <c r="V18" s="12" t="s">
        <v>17</v>
      </c>
      <c r="W18" s="19"/>
      <c r="X18" s="55">
        <f>+superficies!G8</f>
        <v>7.41</v>
      </c>
      <c r="Y18" s="2">
        <v>4</v>
      </c>
      <c r="Z18" s="19"/>
      <c r="AA18" s="56">
        <f>X18*Y18</f>
        <v>29.64</v>
      </c>
      <c r="AB18" s="8"/>
      <c r="AC18" s="8"/>
      <c r="AD18" s="8"/>
      <c r="AE18" s="8"/>
      <c r="AF18" s="167"/>
      <c r="AG18" s="167"/>
      <c r="AH18" s="167"/>
      <c r="AI18" s="167"/>
      <c r="AJ18" s="167"/>
      <c r="AK18" s="167"/>
      <c r="AL18" s="167"/>
      <c r="AM18" s="167"/>
      <c r="AN18" s="167"/>
    </row>
    <row r="19" spans="1:40" x14ac:dyDescent="0.2">
      <c r="A19" s="29"/>
      <c r="B19" s="8" t="s">
        <v>306</v>
      </c>
      <c r="C19" s="8">
        <f>-0.00008*C18+ 0.9927</f>
        <v>0.93669999999999998</v>
      </c>
      <c r="D19" s="8"/>
      <c r="E19" s="8"/>
      <c r="F19" s="8"/>
      <c r="G19" s="8"/>
      <c r="H19" s="52"/>
      <c r="I19" s="48"/>
      <c r="J19" s="48"/>
      <c r="K19" s="48"/>
      <c r="L19" s="65" t="s">
        <v>114</v>
      </c>
      <c r="M19" s="119">
        <v>0</v>
      </c>
      <c r="N19" s="76">
        <f>+mensual!V30</f>
        <v>0.28728854707589818</v>
      </c>
      <c r="O19" s="76">
        <f t="shared" si="2"/>
        <v>0</v>
      </c>
      <c r="P19" s="8"/>
      <c r="Q19" s="8"/>
      <c r="R19" s="8"/>
      <c r="S19" s="52"/>
      <c r="T19" s="167"/>
      <c r="U19" s="167"/>
      <c r="V19" s="12" t="s">
        <v>18</v>
      </c>
      <c r="W19" s="19"/>
      <c r="X19" s="55">
        <f>+superficies!G10+superficies!G14</f>
        <v>4.16</v>
      </c>
      <c r="Y19" s="4">
        <v>4</v>
      </c>
      <c r="Z19" s="19"/>
      <c r="AA19" s="56">
        <f>X19*Y19</f>
        <v>16.64</v>
      </c>
      <c r="AB19" s="8"/>
      <c r="AC19" s="8"/>
      <c r="AD19" s="8"/>
      <c r="AE19" s="8"/>
      <c r="AF19" s="167"/>
      <c r="AG19" s="167"/>
      <c r="AH19" s="167"/>
      <c r="AI19" s="167"/>
      <c r="AJ19" s="167"/>
      <c r="AK19" s="167"/>
      <c r="AL19" s="167"/>
      <c r="AM19" s="167"/>
      <c r="AN19" s="167"/>
    </row>
    <row r="20" spans="1:40" ht="13.5" thickBot="1" x14ac:dyDescent="0.25">
      <c r="A20" s="29"/>
      <c r="B20" s="8"/>
      <c r="C20" s="8" t="s">
        <v>211</v>
      </c>
      <c r="D20" s="264">
        <v>0.5</v>
      </c>
      <c r="E20" s="8"/>
      <c r="F20" s="8"/>
      <c r="G20" s="8"/>
      <c r="H20" s="52"/>
      <c r="I20" s="48"/>
      <c r="J20" s="48"/>
      <c r="K20" s="8"/>
      <c r="L20" s="65" t="s">
        <v>127</v>
      </c>
      <c r="M20" s="119">
        <v>0</v>
      </c>
      <c r="N20" s="76">
        <f>+mensual!V31</f>
        <v>0.20553273409963238</v>
      </c>
      <c r="O20" s="76">
        <f t="shared" si="2"/>
        <v>0</v>
      </c>
      <c r="P20" s="8"/>
      <c r="Q20" s="8"/>
      <c r="R20" s="8"/>
      <c r="S20" s="52"/>
      <c r="T20" s="167"/>
      <c r="U20" s="167"/>
      <c r="V20" s="23" t="s">
        <v>19</v>
      </c>
      <c r="W20" s="16"/>
      <c r="X20" s="57"/>
      <c r="Y20" s="15"/>
      <c r="Z20" s="16"/>
      <c r="AA20" s="56">
        <f>+AA19+AA18+AA17</f>
        <v>460.83867031249997</v>
      </c>
      <c r="AB20" s="8"/>
      <c r="AC20" s="8"/>
      <c r="AD20" s="8"/>
      <c r="AE20" s="8"/>
      <c r="AF20" s="167"/>
      <c r="AG20" s="167"/>
      <c r="AH20" s="167"/>
      <c r="AI20" s="167"/>
      <c r="AJ20" s="167"/>
      <c r="AK20" s="167"/>
      <c r="AL20" s="167"/>
      <c r="AM20" s="167"/>
      <c r="AN20" s="167"/>
    </row>
    <row r="21" spans="1:40" ht="15" thickBot="1" x14ac:dyDescent="0.25">
      <c r="A21" s="38" t="s">
        <v>15</v>
      </c>
      <c r="B21" s="162"/>
      <c r="C21" s="162"/>
      <c r="D21" s="263" t="s">
        <v>2</v>
      </c>
      <c r="E21" s="163"/>
      <c r="F21" s="164">
        <f>SUM(F10:F19)</f>
        <v>414.55867031249994</v>
      </c>
      <c r="G21" s="66">
        <f>(+F21/$F$21)*100</f>
        <v>100</v>
      </c>
      <c r="H21" s="161" t="s">
        <v>11</v>
      </c>
      <c r="I21" s="8"/>
      <c r="J21" s="48"/>
      <c r="K21" s="48"/>
      <c r="L21" s="65" t="s">
        <v>115</v>
      </c>
      <c r="M21" s="119">
        <v>0</v>
      </c>
      <c r="N21" s="76">
        <f>+mensual!V32</f>
        <v>0.12652341197662692</v>
      </c>
      <c r="O21" s="76">
        <f t="shared" si="2"/>
        <v>0</v>
      </c>
      <c r="P21" s="8"/>
      <c r="Q21" s="8"/>
      <c r="R21" s="8"/>
      <c r="S21" s="52"/>
      <c r="T21" s="167"/>
      <c r="U21" s="167"/>
      <c r="V21" s="72" t="s">
        <v>435</v>
      </c>
      <c r="W21" s="8"/>
      <c r="X21" s="8"/>
      <c r="Y21" s="8"/>
      <c r="Z21" s="8"/>
      <c r="AA21" s="58">
        <f>(AA20)/C17</f>
        <v>1.7595978247899962</v>
      </c>
      <c r="AB21" s="72" t="s">
        <v>415</v>
      </c>
      <c r="AC21" s="8"/>
      <c r="AD21" s="8"/>
      <c r="AE21" s="8"/>
      <c r="AF21" s="167"/>
      <c r="AG21" s="167"/>
      <c r="AH21" s="167"/>
      <c r="AI21" s="167"/>
      <c r="AJ21" s="167"/>
      <c r="AK21" s="167"/>
      <c r="AL21" s="167"/>
      <c r="AM21" s="167"/>
      <c r="AN21" s="167"/>
    </row>
    <row r="22" spans="1:40" x14ac:dyDescent="0.2">
      <c r="A22" s="7"/>
      <c r="B22" s="7"/>
      <c r="C22" s="7"/>
      <c r="D22" s="165"/>
      <c r="E22" s="165"/>
      <c r="F22" s="165"/>
      <c r="G22" s="34"/>
      <c r="H22" s="166"/>
      <c r="I22" s="8"/>
      <c r="J22" s="48"/>
      <c r="K22" s="8"/>
      <c r="L22" s="65" t="s">
        <v>619</v>
      </c>
      <c r="M22" s="119">
        <v>0</v>
      </c>
      <c r="N22" s="76">
        <f>+mensual!V33</f>
        <v>0.16279849106372829</v>
      </c>
      <c r="O22" s="76">
        <f t="shared" ref="O22:O24" si="3">+N22*M22/$M$36</f>
        <v>0</v>
      </c>
      <c r="P22" s="8"/>
      <c r="S22" s="52"/>
      <c r="T22" s="167"/>
      <c r="U22" s="16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167"/>
      <c r="AG22" s="167"/>
      <c r="AH22" s="167"/>
      <c r="AI22" s="167"/>
      <c r="AJ22" s="167"/>
      <c r="AK22" s="167"/>
      <c r="AL22" s="167"/>
      <c r="AM22" s="167"/>
      <c r="AN22" s="167"/>
    </row>
    <row r="23" spans="1:4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65" t="s">
        <v>620</v>
      </c>
      <c r="M23" s="119">
        <v>0</v>
      </c>
      <c r="N23" s="76">
        <f>+mensual!V34</f>
        <v>0.24186832108741538</v>
      </c>
      <c r="O23" s="76">
        <f t="shared" si="3"/>
        <v>0</v>
      </c>
      <c r="P23" s="8"/>
      <c r="S23" s="52"/>
      <c r="T23" s="167"/>
      <c r="U23" s="167"/>
      <c r="V23" s="297" t="s">
        <v>538</v>
      </c>
      <c r="W23" s="8"/>
      <c r="X23" s="340">
        <v>21</v>
      </c>
      <c r="Y23" s="8" t="s">
        <v>99</v>
      </c>
      <c r="Z23" s="8"/>
      <c r="AA23" s="8"/>
      <c r="AB23" s="8"/>
      <c r="AC23" s="8"/>
      <c r="AD23" s="8"/>
      <c r="AE23" s="8"/>
      <c r="AF23" s="167"/>
      <c r="AG23" s="167"/>
      <c r="AH23" s="167"/>
      <c r="AI23" s="167"/>
      <c r="AJ23" s="167"/>
      <c r="AK23" s="167"/>
      <c r="AL23" s="167"/>
      <c r="AM23" s="167"/>
      <c r="AN23" s="167"/>
    </row>
    <row r="24" spans="1:4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65" t="s">
        <v>116</v>
      </c>
      <c r="M24" s="119">
        <v>0</v>
      </c>
      <c r="N24" s="76">
        <f>+mensual!V35</f>
        <v>0.21356094309843279</v>
      </c>
      <c r="O24" s="76">
        <f t="shared" si="3"/>
        <v>0</v>
      </c>
      <c r="P24" s="8"/>
      <c r="Q24" s="8"/>
      <c r="R24" s="8"/>
      <c r="S24" s="52"/>
      <c r="T24" s="167"/>
      <c r="U24" s="16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167"/>
      <c r="AG24" s="167"/>
      <c r="AH24" s="167"/>
      <c r="AI24" s="167"/>
      <c r="AJ24" s="167"/>
      <c r="AK24" s="167"/>
      <c r="AL24" s="167"/>
      <c r="AM24" s="167"/>
      <c r="AN24" s="167"/>
    </row>
    <row r="25" spans="1:40" ht="13.5" thickBo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65" t="s">
        <v>117</v>
      </c>
      <c r="M25" s="119">
        <v>0</v>
      </c>
      <c r="N25" s="76">
        <f>+mensual!V36</f>
        <v>0.30102547286264458</v>
      </c>
      <c r="O25" s="76">
        <f>+N25*M25/$M$36</f>
        <v>0</v>
      </c>
      <c r="P25" s="8"/>
      <c r="Q25" s="8"/>
      <c r="R25" s="8"/>
      <c r="S25" s="52"/>
      <c r="T25" s="167"/>
      <c r="U25" s="167"/>
      <c r="V25" s="9" t="s">
        <v>108</v>
      </c>
      <c r="W25" s="10"/>
      <c r="X25" s="10"/>
      <c r="Y25" s="10"/>
      <c r="Z25" s="10"/>
      <c r="AA25" s="10"/>
      <c r="AB25" s="10"/>
      <c r="AC25" s="11"/>
      <c r="AD25" s="8"/>
      <c r="AE25" s="8"/>
      <c r="AF25" s="167"/>
      <c r="AG25" s="167"/>
      <c r="AH25" s="167"/>
      <c r="AI25" s="167"/>
      <c r="AJ25" s="167"/>
      <c r="AK25" s="167"/>
      <c r="AL25" s="167"/>
      <c r="AM25" s="167"/>
      <c r="AN25" s="167"/>
    </row>
    <row r="26" spans="1:40" ht="13.5" thickBo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65" t="s">
        <v>118</v>
      </c>
      <c r="M26" s="119">
        <v>0</v>
      </c>
      <c r="N26" s="76">
        <f>+mensual!V37</f>
        <v>0.31070470848936171</v>
      </c>
      <c r="O26" s="76">
        <f>+N26*M26/$M$36</f>
        <v>0</v>
      </c>
      <c r="P26" s="8"/>
      <c r="Q26" s="8"/>
      <c r="R26" s="8"/>
      <c r="S26" s="52"/>
      <c r="T26" s="167"/>
      <c r="U26" s="167"/>
      <c r="V26" s="233" t="s">
        <v>416</v>
      </c>
      <c r="W26" s="25"/>
      <c r="X26" s="25"/>
      <c r="Y26" s="59">
        <f>+AA20*(X23-H4)*3600/4186/Z6</f>
        <v>10639.432284863129</v>
      </c>
      <c r="Z26" s="60" t="s">
        <v>75</v>
      </c>
      <c r="AA26" s="25"/>
      <c r="AB26" s="25"/>
      <c r="AC26" s="16"/>
      <c r="AD26" s="8"/>
      <c r="AE26" s="8"/>
      <c r="AF26" s="167"/>
      <c r="AG26" s="167"/>
      <c r="AH26" s="167"/>
      <c r="AI26" s="167"/>
      <c r="AJ26" s="167"/>
      <c r="AK26" s="167"/>
      <c r="AL26" s="167"/>
      <c r="AM26" s="167"/>
      <c r="AN26" s="167"/>
    </row>
    <row r="27" spans="1:40" x14ac:dyDescent="0.2">
      <c r="A27" s="167"/>
      <c r="B27" s="167"/>
      <c r="C27" s="167"/>
      <c r="D27" s="167"/>
      <c r="E27" s="167"/>
      <c r="F27" s="167"/>
      <c r="G27" s="167"/>
      <c r="H27" s="167"/>
      <c r="I27" s="155"/>
      <c r="J27" s="155"/>
      <c r="K27" s="8"/>
      <c r="L27" s="65" t="s">
        <v>119</v>
      </c>
      <c r="M27" s="119">
        <v>0</v>
      </c>
      <c r="N27" s="76">
        <f>+mensual!V38</f>
        <v>0.35299000658642626</v>
      </c>
      <c r="O27" s="76">
        <f>+N27*M27/$M$36</f>
        <v>0</v>
      </c>
      <c r="P27" s="8"/>
      <c r="Q27" s="8"/>
      <c r="R27" s="8"/>
      <c r="S27" s="52"/>
      <c r="T27" s="167"/>
      <c r="U27" s="167"/>
      <c r="V27" s="72" t="s">
        <v>442</v>
      </c>
      <c r="W27" s="8"/>
      <c r="X27" s="167"/>
      <c r="Y27" s="167"/>
      <c r="Z27" s="8"/>
      <c r="AA27" s="8"/>
      <c r="AB27" s="8"/>
      <c r="AC27" s="8"/>
      <c r="AD27" s="8"/>
      <c r="AE27" s="8"/>
      <c r="AF27" s="167"/>
      <c r="AG27" s="167"/>
      <c r="AH27" s="167"/>
      <c r="AI27" s="167"/>
      <c r="AJ27" s="167"/>
      <c r="AK27" s="167"/>
      <c r="AL27" s="167"/>
      <c r="AM27" s="167"/>
      <c r="AN27" s="167"/>
    </row>
    <row r="28" spans="1:40" x14ac:dyDescent="0.2">
      <c r="A28" s="167"/>
      <c r="B28" s="167"/>
      <c r="C28" s="167"/>
      <c r="D28" s="167"/>
      <c r="E28" s="167"/>
      <c r="F28" s="167"/>
      <c r="G28" s="167"/>
      <c r="H28" s="167"/>
      <c r="I28" s="155"/>
      <c r="J28" s="155"/>
      <c r="K28" s="8"/>
      <c r="L28" s="29"/>
      <c r="M28" s="8"/>
      <c r="N28" s="76"/>
      <c r="O28" s="76"/>
      <c r="P28" s="8"/>
      <c r="Q28" s="8"/>
      <c r="R28" s="8"/>
      <c r="S28" s="52"/>
      <c r="T28" s="167"/>
      <c r="U28" s="167"/>
      <c r="V28" s="72" t="s">
        <v>441</v>
      </c>
      <c r="W28" s="8"/>
      <c r="X28" s="167"/>
      <c r="Y28" s="167"/>
      <c r="Z28" s="167"/>
      <c r="AA28" s="167"/>
      <c r="AB28" s="18">
        <f>+H4</f>
        <v>-1.8184000000000002</v>
      </c>
      <c r="AC28" s="18" t="str">
        <f>+I4</f>
        <v>°C</v>
      </c>
      <c r="AD28" s="8"/>
      <c r="AE28" s="8"/>
      <c r="AF28" s="167"/>
      <c r="AG28" s="167"/>
      <c r="AH28" s="167"/>
      <c r="AI28" s="167"/>
      <c r="AJ28" s="167"/>
      <c r="AK28" s="167"/>
      <c r="AL28" s="167"/>
      <c r="AM28" s="167"/>
      <c r="AN28" s="167"/>
    </row>
    <row r="29" spans="1:40" x14ac:dyDescent="0.2">
      <c r="A29" s="167"/>
      <c r="B29" s="167"/>
      <c r="C29" s="167"/>
      <c r="D29" s="167"/>
      <c r="E29" s="167"/>
      <c r="F29" s="167"/>
      <c r="G29" s="167"/>
      <c r="H29" s="167"/>
      <c r="I29" s="155"/>
      <c r="J29" s="8"/>
      <c r="K29" s="8"/>
      <c r="L29" s="70" t="s">
        <v>143</v>
      </c>
      <c r="M29" s="67" t="s">
        <v>109</v>
      </c>
      <c r="N29" s="78" t="s">
        <v>76</v>
      </c>
      <c r="O29" s="77" t="s">
        <v>76</v>
      </c>
      <c r="P29" s="8"/>
      <c r="Q29" s="8"/>
      <c r="R29" s="8"/>
      <c r="S29" s="52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</row>
    <row r="30" spans="1:40" x14ac:dyDescent="0.2">
      <c r="A30" s="167"/>
      <c r="B30" s="167"/>
      <c r="C30" s="167"/>
      <c r="D30" s="167"/>
      <c r="E30" s="167"/>
      <c r="F30" s="167"/>
      <c r="G30" s="167"/>
      <c r="H30" s="167"/>
      <c r="I30" s="155"/>
      <c r="J30" s="8"/>
      <c r="K30" s="8"/>
      <c r="L30" s="29"/>
      <c r="M30" s="8" t="s">
        <v>140</v>
      </c>
      <c r="N30" s="76" t="s">
        <v>136</v>
      </c>
      <c r="O30" s="76" t="s">
        <v>137</v>
      </c>
      <c r="P30" s="8"/>
      <c r="Q30" s="8"/>
      <c r="R30" s="8"/>
      <c r="S30" s="52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</row>
    <row r="31" spans="1:40" x14ac:dyDescent="0.2">
      <c r="A31" s="167"/>
      <c r="B31" s="167"/>
      <c r="C31" s="167"/>
      <c r="D31" s="167"/>
      <c r="E31" s="167"/>
      <c r="F31" s="167"/>
      <c r="G31" s="167"/>
      <c r="H31" s="167"/>
      <c r="I31" s="155"/>
      <c r="J31" s="8"/>
      <c r="K31" s="8"/>
      <c r="L31" s="65" t="s">
        <v>120</v>
      </c>
      <c r="M31" s="119">
        <v>0</v>
      </c>
      <c r="N31" s="76">
        <f>+mensual!V39</f>
        <v>0.20630760863977718</v>
      </c>
      <c r="O31" s="76">
        <f>+N31*M31/$M$36</f>
        <v>0</v>
      </c>
      <c r="P31" s="8"/>
      <c r="Q31" s="8"/>
      <c r="R31" s="8"/>
      <c r="S31" s="52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</row>
    <row r="32" spans="1:40" x14ac:dyDescent="0.2">
      <c r="A32" s="167"/>
      <c r="B32" s="167"/>
      <c r="C32" s="167"/>
      <c r="D32" s="167"/>
      <c r="E32" s="167"/>
      <c r="F32" s="167"/>
      <c r="G32" s="167"/>
      <c r="H32" s="167"/>
      <c r="I32" s="155"/>
      <c r="J32" s="8"/>
      <c r="K32" s="8"/>
      <c r="L32" s="65" t="s">
        <v>121</v>
      </c>
      <c r="M32" s="119">
        <v>0</v>
      </c>
      <c r="N32" s="76">
        <f>+mensual!V40</f>
        <v>0.18604780666018197</v>
      </c>
      <c r="O32" s="76">
        <f>+N32*M32/$M$36</f>
        <v>0</v>
      </c>
      <c r="P32" s="8"/>
      <c r="Q32" s="8"/>
      <c r="R32" s="8"/>
      <c r="S32" s="52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</row>
    <row r="33" spans="1:40" x14ac:dyDescent="0.2">
      <c r="A33" s="167"/>
      <c r="B33" s="167"/>
      <c r="C33" s="167"/>
      <c r="D33" s="167"/>
      <c r="E33" s="167"/>
      <c r="F33" s="167"/>
      <c r="G33" s="167"/>
      <c r="H33" s="167"/>
      <c r="I33" s="155"/>
      <c r="J33" s="8"/>
      <c r="K33" s="8"/>
      <c r="L33" s="65" t="s">
        <v>128</v>
      </c>
      <c r="M33" s="119">
        <v>0</v>
      </c>
      <c r="N33" s="76">
        <f>+mensual!V41</f>
        <v>0.30889587635297405</v>
      </c>
      <c r="O33" s="76">
        <f>+N33*M33/$M$36</f>
        <v>0</v>
      </c>
      <c r="P33" s="8"/>
      <c r="Q33" s="8"/>
      <c r="R33" s="8"/>
      <c r="S33" s="52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</row>
    <row r="34" spans="1:40" x14ac:dyDescent="0.2">
      <c r="A34" s="167"/>
      <c r="B34" s="167"/>
      <c r="C34" s="167"/>
      <c r="D34" s="167"/>
      <c r="E34" s="167"/>
      <c r="F34" s="167"/>
      <c r="G34" s="167"/>
      <c r="H34" s="167"/>
      <c r="I34" s="155"/>
      <c r="J34" s="8"/>
      <c r="K34" s="8"/>
      <c r="L34" s="65" t="s">
        <v>129</v>
      </c>
      <c r="M34" s="119">
        <v>0</v>
      </c>
      <c r="N34" s="76">
        <f>+mensual!V42</f>
        <v>0.29736124099047673</v>
      </c>
      <c r="O34" s="76">
        <f>+N34*M34/$M$36</f>
        <v>0</v>
      </c>
      <c r="P34" s="8"/>
      <c r="Q34" s="8"/>
      <c r="R34" s="8"/>
      <c r="S34" s="52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</row>
    <row r="35" spans="1:40" x14ac:dyDescent="0.2">
      <c r="A35" s="167"/>
      <c r="B35" s="167"/>
      <c r="C35" s="167"/>
      <c r="D35" s="167"/>
      <c r="E35" s="167"/>
      <c r="F35" s="167"/>
      <c r="G35" s="167"/>
      <c r="H35" s="167"/>
      <c r="I35" s="155"/>
      <c r="J35" s="8"/>
      <c r="K35" s="8"/>
      <c r="L35" s="29"/>
      <c r="M35" s="8"/>
      <c r="N35" s="8"/>
      <c r="O35" s="8"/>
      <c r="P35" s="8"/>
      <c r="Q35" s="8"/>
      <c r="R35" s="8"/>
      <c r="S35" s="52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</row>
    <row r="36" spans="1:40" ht="13.5" thickBot="1" x14ac:dyDescent="0.25">
      <c r="A36" s="167"/>
      <c r="B36" s="167"/>
      <c r="C36" s="167"/>
      <c r="D36" s="167"/>
      <c r="E36" s="167"/>
      <c r="F36" s="167"/>
      <c r="G36" s="167"/>
      <c r="H36" s="167"/>
      <c r="I36" s="155"/>
      <c r="J36" s="8"/>
      <c r="K36" s="8"/>
      <c r="L36" s="50" t="s">
        <v>0</v>
      </c>
      <c r="M36" s="66">
        <f>SUM(M9:M34)</f>
        <v>14.6</v>
      </c>
      <c r="N36" s="45" t="s">
        <v>27</v>
      </c>
      <c r="O36" s="45"/>
      <c r="P36" s="51"/>
      <c r="Q36" s="45"/>
      <c r="R36" s="66"/>
      <c r="S36" s="4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</row>
    <row r="37" spans="1:40" x14ac:dyDescent="0.2">
      <c r="A37" s="167"/>
      <c r="B37" s="167"/>
      <c r="C37" s="167"/>
      <c r="D37" s="167"/>
      <c r="E37" s="167"/>
      <c r="F37" s="167"/>
      <c r="G37" s="167"/>
      <c r="H37" s="167"/>
      <c r="I37" s="155"/>
      <c r="J37" s="8"/>
      <c r="K37" s="8"/>
      <c r="L37" s="64" t="s">
        <v>146</v>
      </c>
      <c r="M37" s="27"/>
      <c r="N37" s="27"/>
      <c r="O37" s="27"/>
      <c r="P37" s="27"/>
      <c r="Q37" s="79">
        <f>SUM(O9:O34)</f>
        <v>0.35349847444076327</v>
      </c>
      <c r="R37" s="27"/>
      <c r="S37" s="28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</row>
    <row r="38" spans="1:40" ht="13.5" thickBot="1" x14ac:dyDescent="0.25">
      <c r="A38" s="167"/>
      <c r="B38" s="167"/>
      <c r="C38" s="167"/>
      <c r="D38" s="167"/>
      <c r="E38" s="167"/>
      <c r="F38" s="167"/>
      <c r="G38" s="167"/>
      <c r="H38" s="167"/>
      <c r="I38" s="155"/>
      <c r="J38" s="8"/>
      <c r="K38" s="8"/>
      <c r="L38" s="31" t="s">
        <v>147</v>
      </c>
      <c r="M38" s="45"/>
      <c r="N38" s="45"/>
      <c r="O38" s="45"/>
      <c r="P38" s="45"/>
      <c r="Q38" s="45"/>
      <c r="R38" s="45"/>
      <c r="S38" s="4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</row>
    <row r="39" spans="1:40" ht="13.5" thickBot="1" x14ac:dyDescent="0.25">
      <c r="A39" s="167"/>
      <c r="B39" s="167"/>
      <c r="C39" s="167"/>
      <c r="D39" s="167"/>
      <c r="E39" s="167"/>
      <c r="F39" s="167"/>
      <c r="G39" s="167"/>
      <c r="H39" s="167"/>
      <c r="I39" s="155"/>
      <c r="J39" s="8"/>
      <c r="K39" s="8"/>
      <c r="L39" s="8"/>
      <c r="M39" s="8"/>
      <c r="N39" s="8"/>
      <c r="O39" s="8"/>
      <c r="P39" s="8"/>
      <c r="Q39" s="8"/>
      <c r="R39" s="8"/>
      <c r="S39" s="8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</row>
    <row r="40" spans="1:40" x14ac:dyDescent="0.2">
      <c r="A40" s="167"/>
      <c r="B40" s="167"/>
      <c r="C40" s="167"/>
      <c r="D40" s="167"/>
      <c r="E40" s="167"/>
      <c r="F40" s="167"/>
      <c r="G40" s="167"/>
      <c r="H40" s="167"/>
      <c r="I40" s="155"/>
      <c r="J40" s="8"/>
      <c r="K40" s="8"/>
      <c r="L40" s="26" t="s">
        <v>327</v>
      </c>
      <c r="M40" s="27"/>
      <c r="N40" s="27"/>
      <c r="O40" s="27"/>
      <c r="P40" s="27"/>
      <c r="Q40" s="27"/>
      <c r="R40" s="27"/>
      <c r="S40" s="28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</row>
    <row r="41" spans="1:40" x14ac:dyDescent="0.2">
      <c r="A41" s="167"/>
      <c r="B41" s="167"/>
      <c r="C41" s="167"/>
      <c r="D41" s="167"/>
      <c r="E41" s="167"/>
      <c r="F41" s="167"/>
      <c r="G41" s="167"/>
      <c r="H41" s="167"/>
      <c r="I41" s="155"/>
      <c r="J41" s="8"/>
      <c r="K41" s="8"/>
      <c r="L41" s="29"/>
      <c r="M41" s="8"/>
      <c r="N41" s="8"/>
      <c r="O41" s="8"/>
      <c r="P41" s="8"/>
      <c r="Q41" s="8"/>
      <c r="R41" s="8"/>
      <c r="S41" s="52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</row>
    <row r="42" spans="1:40" ht="13.5" thickBot="1" x14ac:dyDescent="0.25">
      <c r="A42" s="167"/>
      <c r="B42" s="167"/>
      <c r="C42" s="167"/>
      <c r="D42" s="167"/>
      <c r="E42" s="167"/>
      <c r="F42" s="167"/>
      <c r="G42" s="167"/>
      <c r="H42" s="167"/>
      <c r="I42" s="155"/>
      <c r="J42" s="8"/>
      <c r="K42" s="8"/>
      <c r="L42" s="50" t="s">
        <v>20</v>
      </c>
      <c r="M42" s="115">
        <f>F21/M36</f>
        <v>28.394429473458899</v>
      </c>
      <c r="N42" s="45" t="s">
        <v>325</v>
      </c>
      <c r="O42" s="45"/>
      <c r="P42" s="45"/>
      <c r="Q42" s="45"/>
      <c r="R42" s="45"/>
      <c r="S42" s="4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</row>
    <row r="43" spans="1:40" x14ac:dyDescent="0.2">
      <c r="A43" s="167"/>
      <c r="B43" s="167"/>
      <c r="C43" s="167"/>
      <c r="D43" s="167"/>
      <c r="E43" s="167"/>
      <c r="F43" s="167"/>
      <c r="G43" s="167"/>
      <c r="H43" s="167"/>
      <c r="I43" s="155"/>
      <c r="J43" s="8"/>
      <c r="K43" s="8"/>
      <c r="L43" s="8"/>
      <c r="M43" s="8"/>
      <c r="N43" s="8"/>
      <c r="O43" s="8"/>
      <c r="P43" s="155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</row>
    <row r="44" spans="1:40" x14ac:dyDescent="0.2">
      <c r="A44" s="167"/>
      <c r="B44" s="167"/>
      <c r="C44" s="167"/>
      <c r="D44" s="167"/>
      <c r="E44" s="167"/>
      <c r="F44" s="167"/>
      <c r="G44" s="167"/>
      <c r="H44" s="167"/>
      <c r="I44" s="155"/>
      <c r="J44" s="8"/>
      <c r="K44" s="8"/>
      <c r="L44" s="72" t="s">
        <v>647</v>
      </c>
      <c r="M44" s="8"/>
      <c r="N44" s="8"/>
      <c r="O44" s="8"/>
      <c r="P44" s="155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</row>
    <row r="45" spans="1:40" x14ac:dyDescent="0.2">
      <c r="A45" s="167"/>
      <c r="B45" s="167"/>
      <c r="C45" s="167"/>
      <c r="D45" s="167"/>
      <c r="E45" s="167"/>
      <c r="F45" s="167"/>
      <c r="G45" s="167"/>
      <c r="H45" s="167"/>
      <c r="I45" s="155"/>
      <c r="J45" s="8"/>
      <c r="K45" s="8"/>
      <c r="L45" s="8" t="s">
        <v>648</v>
      </c>
      <c r="M45" s="8"/>
      <c r="N45" s="8"/>
      <c r="O45" s="8"/>
      <c r="P45" s="155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</row>
    <row r="46" spans="1:40" x14ac:dyDescent="0.2">
      <c r="A46" s="167"/>
      <c r="B46" s="167"/>
      <c r="C46" s="167"/>
      <c r="D46" s="167"/>
      <c r="E46" s="167"/>
      <c r="F46" s="167"/>
      <c r="G46" s="167"/>
      <c r="H46" s="167"/>
      <c r="I46" s="155"/>
      <c r="J46" s="8"/>
      <c r="K46" s="8"/>
      <c r="L46" s="8"/>
      <c r="M46" s="8"/>
      <c r="N46" s="8"/>
      <c r="O46" s="8"/>
      <c r="P46" s="155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</row>
    <row r="47" spans="1:40" x14ac:dyDescent="0.2">
      <c r="A47" s="167"/>
      <c r="B47" s="167"/>
      <c r="C47" s="167"/>
      <c r="D47" s="167"/>
      <c r="E47" s="167"/>
      <c r="F47" s="167"/>
      <c r="G47" s="167"/>
      <c r="H47" s="167"/>
      <c r="I47" s="155"/>
      <c r="J47" s="8"/>
      <c r="K47" s="8"/>
      <c r="L47" s="8"/>
      <c r="M47" s="8"/>
      <c r="N47" s="8"/>
      <c r="O47" s="8"/>
      <c r="P47" s="155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</row>
    <row r="48" spans="1:40" x14ac:dyDescent="0.2">
      <c r="A48" s="167"/>
      <c r="B48" s="167"/>
      <c r="C48" s="167"/>
      <c r="D48" s="167"/>
      <c r="E48" s="167"/>
      <c r="F48" s="167"/>
      <c r="G48" s="167"/>
      <c r="H48" s="167"/>
      <c r="I48" s="155"/>
      <c r="J48" s="8"/>
      <c r="K48" s="8"/>
      <c r="L48" s="8"/>
      <c r="M48" s="8"/>
      <c r="N48" s="8"/>
      <c r="O48" s="8"/>
      <c r="P48" s="155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</row>
    <row r="49" spans="1:40" x14ac:dyDescent="0.2">
      <c r="A49" s="167"/>
      <c r="B49" s="167"/>
      <c r="C49" s="167"/>
      <c r="D49" s="167"/>
      <c r="E49" s="167"/>
      <c r="F49" s="167"/>
      <c r="G49" s="167"/>
      <c r="H49" s="167"/>
      <c r="I49" s="155"/>
      <c r="J49" s="8"/>
      <c r="K49" s="8"/>
      <c r="L49" s="8"/>
      <c r="M49" s="8"/>
      <c r="N49" s="8"/>
      <c r="O49" s="8"/>
      <c r="P49" s="155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</row>
    <row r="50" spans="1:40" x14ac:dyDescent="0.2">
      <c r="A50" s="167"/>
      <c r="B50" s="167"/>
      <c r="C50" s="167"/>
      <c r="D50" s="167"/>
      <c r="E50" s="167"/>
      <c r="F50" s="167"/>
      <c r="G50" s="167"/>
      <c r="H50" s="167"/>
      <c r="I50" s="155"/>
      <c r="J50" s="8"/>
      <c r="K50" s="8"/>
      <c r="L50" s="8"/>
      <c r="M50" s="8"/>
      <c r="N50" s="8"/>
      <c r="O50" s="8"/>
      <c r="P50" s="155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</row>
    <row r="51" spans="1:40" x14ac:dyDescent="0.2">
      <c r="A51" s="167"/>
      <c r="B51" s="167"/>
      <c r="C51" s="167"/>
      <c r="D51" s="167"/>
      <c r="E51" s="167"/>
      <c r="F51" s="167"/>
      <c r="G51" s="167"/>
      <c r="H51" s="167"/>
      <c r="I51" s="155"/>
      <c r="J51" s="8"/>
      <c r="K51" s="8"/>
      <c r="L51" s="8"/>
      <c r="M51" s="8"/>
      <c r="N51" s="8"/>
      <c r="O51" s="8"/>
      <c r="P51" s="155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</row>
    <row r="52" spans="1:40" x14ac:dyDescent="0.2">
      <c r="A52" s="167"/>
      <c r="B52" s="167"/>
      <c r="C52" s="167"/>
      <c r="D52" s="167"/>
      <c r="E52" s="167"/>
      <c r="F52" s="167"/>
      <c r="G52" s="167"/>
      <c r="H52" s="167"/>
      <c r="I52" s="155"/>
      <c r="J52" s="8"/>
      <c r="K52" s="8"/>
      <c r="L52" s="8"/>
      <c r="M52" s="8"/>
      <c r="N52" s="8"/>
      <c r="O52" s="8"/>
      <c r="P52" s="155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</row>
    <row r="53" spans="1:40" x14ac:dyDescent="0.2">
      <c r="A53" s="167"/>
      <c r="B53" s="167"/>
      <c r="C53" s="167"/>
      <c r="D53" s="167"/>
      <c r="E53" s="167"/>
      <c r="F53" s="167"/>
      <c r="G53" s="167"/>
      <c r="H53" s="167"/>
      <c r="I53" s="155"/>
      <c r="J53" s="8"/>
      <c r="K53" s="8"/>
      <c r="L53" s="8"/>
      <c r="M53" s="8"/>
      <c r="N53" s="8"/>
      <c r="O53" s="8"/>
      <c r="P53" s="155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</row>
    <row r="54" spans="1:40" x14ac:dyDescent="0.2">
      <c r="A54" s="167"/>
      <c r="B54" s="167"/>
      <c r="C54" s="167"/>
      <c r="D54" s="167"/>
      <c r="E54" s="167"/>
      <c r="F54" s="167"/>
      <c r="G54" s="167"/>
      <c r="H54" s="167"/>
      <c r="I54" s="155"/>
      <c r="J54" s="8"/>
      <c r="K54" s="8"/>
      <c r="L54" s="8"/>
      <c r="M54" s="8"/>
      <c r="N54" s="8"/>
      <c r="O54" s="8"/>
      <c r="P54" s="155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</row>
    <row r="55" spans="1:40" x14ac:dyDescent="0.2">
      <c r="A55" s="167"/>
      <c r="B55" s="167"/>
      <c r="C55" s="167"/>
      <c r="D55" s="167"/>
      <c r="E55" s="167"/>
      <c r="F55" s="167"/>
      <c r="G55" s="167"/>
      <c r="H55" s="167"/>
      <c r="I55" s="155"/>
      <c r="J55" s="8"/>
      <c r="K55" s="8"/>
      <c r="L55" s="8"/>
      <c r="M55" s="8"/>
      <c r="N55" s="8"/>
      <c r="O55" s="8"/>
      <c r="P55" s="155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</row>
    <row r="56" spans="1:40" x14ac:dyDescent="0.2">
      <c r="A56" s="167"/>
      <c r="B56" s="167"/>
      <c r="C56" s="167"/>
      <c r="D56" s="167"/>
      <c r="E56" s="167"/>
      <c r="F56" s="167"/>
      <c r="G56" s="167"/>
      <c r="H56" s="167"/>
      <c r="I56" s="155"/>
      <c r="J56" s="8"/>
      <c r="K56" s="8"/>
      <c r="L56" s="8"/>
      <c r="M56" s="8"/>
      <c r="N56" s="8"/>
      <c r="O56" s="8"/>
      <c r="P56" s="155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</row>
    <row r="57" spans="1:40" x14ac:dyDescent="0.2">
      <c r="A57" s="167"/>
      <c r="B57" s="167"/>
      <c r="C57" s="167"/>
      <c r="D57" s="167"/>
      <c r="E57" s="167"/>
      <c r="F57" s="167"/>
      <c r="G57" s="167"/>
      <c r="H57" s="167"/>
      <c r="I57" s="155"/>
      <c r="J57" s="8"/>
      <c r="K57" s="8"/>
      <c r="L57" s="8"/>
      <c r="M57" s="8"/>
      <c r="N57" s="8"/>
      <c r="O57" s="8"/>
      <c r="P57" s="155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</row>
    <row r="58" spans="1:40" x14ac:dyDescent="0.2">
      <c r="A58" s="167"/>
      <c r="B58" s="167"/>
      <c r="C58" s="167"/>
      <c r="D58" s="167"/>
      <c r="E58" s="167"/>
      <c r="F58" s="167"/>
      <c r="G58" s="167"/>
      <c r="H58" s="167"/>
      <c r="I58" s="155"/>
      <c r="J58" s="8"/>
      <c r="K58" s="8"/>
      <c r="L58" s="8"/>
      <c r="M58" s="8"/>
      <c r="N58" s="8"/>
      <c r="O58" s="8"/>
      <c r="P58" s="155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</row>
    <row r="59" spans="1:40" x14ac:dyDescent="0.2">
      <c r="A59" s="167"/>
      <c r="B59" s="167"/>
      <c r="C59" s="167"/>
      <c r="D59" s="167"/>
      <c r="E59" s="167"/>
      <c r="F59" s="167"/>
      <c r="G59" s="167"/>
      <c r="H59" s="167"/>
      <c r="I59" s="155"/>
      <c r="J59" s="8"/>
      <c r="K59" s="8"/>
      <c r="L59" s="8"/>
      <c r="M59" s="8"/>
      <c r="N59" s="8"/>
      <c r="O59" s="8"/>
      <c r="P59" s="155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</row>
    <row r="60" spans="1:40" x14ac:dyDescent="0.2">
      <c r="A60" s="167"/>
      <c r="B60" s="167"/>
      <c r="C60" s="167"/>
      <c r="D60" s="167"/>
      <c r="E60" s="167"/>
      <c r="F60" s="167"/>
      <c r="G60" s="167"/>
      <c r="H60" s="167"/>
      <c r="I60" s="155"/>
      <c r="J60" s="8"/>
      <c r="K60" s="8"/>
      <c r="L60" s="8"/>
      <c r="M60" s="8"/>
      <c r="N60" s="8"/>
      <c r="O60" s="8"/>
      <c r="P60" s="155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</row>
    <row r="61" spans="1:40" x14ac:dyDescent="0.2">
      <c r="A61" s="167"/>
      <c r="B61" s="167"/>
      <c r="C61" s="167"/>
      <c r="D61" s="167"/>
      <c r="E61" s="167"/>
      <c r="F61" s="167"/>
      <c r="G61" s="167"/>
      <c r="H61" s="167"/>
      <c r="I61" s="155"/>
      <c r="J61" s="8"/>
      <c r="K61" s="8"/>
      <c r="L61" s="8"/>
      <c r="M61" s="8"/>
      <c r="N61" s="8"/>
      <c r="O61" s="8"/>
      <c r="P61" s="155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</row>
    <row r="62" spans="1:40" x14ac:dyDescent="0.2">
      <c r="A62" s="167"/>
      <c r="B62" s="167"/>
      <c r="C62" s="167"/>
      <c r="D62" s="167"/>
      <c r="E62" s="167"/>
      <c r="F62" s="167"/>
      <c r="G62" s="167"/>
      <c r="H62" s="167"/>
      <c r="I62" s="155"/>
      <c r="J62" s="8"/>
      <c r="K62" s="8"/>
      <c r="L62" s="8"/>
      <c r="M62" s="8"/>
      <c r="N62" s="8"/>
      <c r="O62" s="8"/>
      <c r="P62" s="155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</row>
    <row r="63" spans="1:40" x14ac:dyDescent="0.2">
      <c r="A63" s="167"/>
      <c r="B63" s="167"/>
      <c r="C63" s="167"/>
      <c r="D63" s="167"/>
      <c r="E63" s="167"/>
      <c r="F63" s="167"/>
      <c r="G63" s="167"/>
      <c r="H63" s="167"/>
      <c r="I63" s="155"/>
      <c r="J63" s="8"/>
      <c r="K63" s="8"/>
      <c r="L63" s="8"/>
      <c r="M63" s="8"/>
      <c r="N63" s="8"/>
      <c r="O63" s="8"/>
      <c r="P63" s="155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</row>
    <row r="64" spans="1:40" x14ac:dyDescent="0.2">
      <c r="A64" s="167"/>
      <c r="B64" s="167"/>
      <c r="C64" s="167"/>
      <c r="D64" s="167"/>
      <c r="E64" s="167"/>
      <c r="F64" s="167"/>
      <c r="G64" s="167"/>
      <c r="H64" s="167"/>
      <c r="I64" s="155"/>
      <c r="J64" s="8"/>
      <c r="K64" s="8"/>
      <c r="L64" s="8"/>
      <c r="M64" s="8"/>
      <c r="N64" s="8"/>
      <c r="O64" s="8"/>
      <c r="P64" s="155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</row>
    <row r="65" spans="1:40" x14ac:dyDescent="0.2">
      <c r="A65" s="155"/>
      <c r="B65" s="155"/>
      <c r="C65" s="155"/>
      <c r="D65" s="155"/>
      <c r="E65" s="155"/>
      <c r="F65" s="155"/>
      <c r="G65" s="155"/>
      <c r="H65" s="155"/>
      <c r="I65" s="155"/>
      <c r="J65" s="8"/>
      <c r="K65" s="8"/>
      <c r="L65" s="8"/>
      <c r="M65" s="8"/>
      <c r="N65" s="8"/>
      <c r="O65" s="8"/>
      <c r="P65" s="155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</row>
    <row r="66" spans="1:40" x14ac:dyDescent="0.2">
      <c r="A66" s="167"/>
      <c r="B66" s="167"/>
      <c r="C66" s="167"/>
      <c r="D66" s="167"/>
      <c r="E66" s="167"/>
      <c r="F66" s="167"/>
      <c r="G66" s="167"/>
      <c r="H66" s="167"/>
      <c r="I66" s="167"/>
      <c r="K66" s="8"/>
      <c r="L66" s="8"/>
      <c r="M66" s="8"/>
      <c r="N66" s="8"/>
      <c r="O66" s="8"/>
      <c r="P66" s="155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</row>
    <row r="67" spans="1:40" x14ac:dyDescent="0.2">
      <c r="A67" s="167"/>
      <c r="B67" s="167"/>
      <c r="C67" s="167"/>
      <c r="D67" s="167"/>
      <c r="E67" s="167"/>
      <c r="F67" s="167"/>
      <c r="G67" s="167"/>
      <c r="H67" s="167"/>
      <c r="I67" s="167"/>
      <c r="K67" s="8"/>
      <c r="L67" s="8"/>
      <c r="M67" s="8"/>
      <c r="N67" s="8"/>
      <c r="O67" s="8"/>
      <c r="P67" s="155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</row>
    <row r="68" spans="1:40" ht="18" x14ac:dyDescent="0.25">
      <c r="A68" s="167"/>
      <c r="B68" s="167"/>
      <c r="C68" s="167"/>
      <c r="D68" s="167"/>
      <c r="E68" s="167"/>
      <c r="F68" s="167"/>
      <c r="G68" s="167"/>
      <c r="H68" s="167"/>
      <c r="I68" s="167"/>
      <c r="K68" s="120"/>
      <c r="L68" s="8"/>
      <c r="M68" s="8"/>
      <c r="N68" s="8"/>
      <c r="O68" s="8"/>
      <c r="P68" s="155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</row>
    <row r="69" spans="1:40" x14ac:dyDescent="0.2">
      <c r="A69" s="167"/>
      <c r="B69" s="167"/>
      <c r="C69" s="167"/>
      <c r="D69" s="167"/>
      <c r="E69" s="167"/>
      <c r="F69" s="167"/>
      <c r="G69" s="167"/>
      <c r="H69" s="167"/>
      <c r="I69" s="167"/>
      <c r="K69" s="8"/>
      <c r="L69" s="8"/>
      <c r="M69" s="8"/>
      <c r="N69" s="8"/>
      <c r="O69" s="8"/>
      <c r="P69" s="155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</row>
    <row r="70" spans="1:40" x14ac:dyDescent="0.2">
      <c r="A70" s="167"/>
      <c r="B70" s="167"/>
      <c r="C70" s="167"/>
      <c r="D70" s="167"/>
      <c r="E70" s="167"/>
      <c r="F70" s="167"/>
      <c r="G70" s="167"/>
      <c r="H70" s="167"/>
      <c r="I70" s="167"/>
      <c r="K70" s="8"/>
      <c r="L70" s="8"/>
      <c r="M70" s="8"/>
      <c r="N70" s="8"/>
      <c r="O70" s="8"/>
      <c r="P70" s="155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</row>
    <row r="71" spans="1:40" x14ac:dyDescent="0.2">
      <c r="A71" s="167"/>
      <c r="B71" s="167"/>
      <c r="C71" s="167"/>
      <c r="D71" s="167"/>
      <c r="E71" s="167"/>
      <c r="F71" s="167"/>
      <c r="G71" s="167"/>
      <c r="H71" s="167"/>
      <c r="I71" s="167"/>
      <c r="K71" s="8"/>
      <c r="L71" s="8"/>
      <c r="M71" s="8"/>
      <c r="N71" s="8"/>
      <c r="O71" s="8"/>
      <c r="P71" s="155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</row>
    <row r="72" spans="1:40" x14ac:dyDescent="0.2">
      <c r="A72" s="167"/>
      <c r="B72" s="167"/>
      <c r="C72" s="167"/>
      <c r="D72" s="167"/>
      <c r="E72" s="167"/>
      <c r="F72" s="167"/>
      <c r="G72" s="167"/>
      <c r="H72" s="167"/>
      <c r="I72" s="167"/>
      <c r="K72" s="8"/>
      <c r="L72" s="8"/>
      <c r="M72" s="8"/>
      <c r="N72" s="8"/>
      <c r="O72" s="8"/>
      <c r="P72" s="155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</row>
    <row r="73" spans="1:40" x14ac:dyDescent="0.2">
      <c r="A73" s="167"/>
      <c r="B73" s="167"/>
      <c r="C73" s="167"/>
      <c r="D73" s="167"/>
      <c r="E73" s="167"/>
      <c r="F73" s="167"/>
      <c r="G73" s="167"/>
      <c r="H73" s="167"/>
      <c r="I73" s="167"/>
      <c r="K73" s="8"/>
      <c r="L73" s="8"/>
      <c r="M73" s="8"/>
      <c r="N73" s="8"/>
      <c r="O73" s="8"/>
      <c r="P73" s="155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</row>
    <row r="74" spans="1:40" x14ac:dyDescent="0.2">
      <c r="A74" s="167"/>
      <c r="B74" s="167"/>
      <c r="C74" s="167"/>
      <c r="D74" s="167"/>
      <c r="E74" s="167"/>
      <c r="F74" s="167"/>
      <c r="G74" s="167"/>
      <c r="H74" s="167"/>
      <c r="I74" s="167"/>
      <c r="K74" s="8"/>
      <c r="L74" s="8"/>
      <c r="M74" s="8"/>
      <c r="N74" s="8"/>
      <c r="O74" s="8"/>
      <c r="P74" s="155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</row>
    <row r="75" spans="1:40" x14ac:dyDescent="0.2">
      <c r="A75" s="167"/>
      <c r="B75" s="167"/>
      <c r="C75" s="167"/>
      <c r="D75" s="167"/>
      <c r="E75" s="167"/>
      <c r="F75" s="167"/>
      <c r="G75" s="167"/>
      <c r="H75" s="167"/>
      <c r="I75" s="167"/>
      <c r="K75" s="8"/>
      <c r="L75" s="8"/>
      <c r="M75" s="8"/>
      <c r="N75" s="8"/>
      <c r="O75" s="8"/>
      <c r="P75" s="155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</row>
    <row r="76" spans="1:40" x14ac:dyDescent="0.2">
      <c r="A76" s="167"/>
      <c r="B76" s="167"/>
      <c r="C76" s="167"/>
      <c r="D76" s="167"/>
      <c r="E76" s="167"/>
      <c r="F76" s="167"/>
      <c r="G76" s="167"/>
      <c r="H76" s="167"/>
      <c r="I76" s="167"/>
      <c r="K76" s="8"/>
      <c r="L76" s="8"/>
      <c r="M76" s="8"/>
      <c r="N76" s="8"/>
      <c r="O76" s="8"/>
      <c r="P76" s="155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</row>
    <row r="77" spans="1:40" x14ac:dyDescent="0.2">
      <c r="A77" s="167"/>
      <c r="B77" s="167"/>
      <c r="C77" s="167"/>
      <c r="D77" s="167"/>
      <c r="E77" s="167"/>
      <c r="F77" s="167"/>
      <c r="G77" s="167"/>
      <c r="H77" s="167"/>
      <c r="I77" s="167"/>
      <c r="K77" s="8"/>
      <c r="L77" s="8"/>
      <c r="M77" s="8"/>
      <c r="N77" s="8"/>
      <c r="O77" s="8"/>
      <c r="P77" s="155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</row>
    <row r="78" spans="1:40" x14ac:dyDescent="0.2">
      <c r="A78" s="167"/>
      <c r="B78" s="167"/>
      <c r="C78" s="167"/>
      <c r="D78" s="167"/>
      <c r="E78" s="167"/>
      <c r="F78" s="167"/>
      <c r="G78" s="167"/>
      <c r="H78" s="167"/>
      <c r="I78" s="167"/>
      <c r="K78" s="8"/>
      <c r="L78" s="8"/>
      <c r="M78" s="8"/>
      <c r="N78" s="8"/>
      <c r="O78" s="8"/>
      <c r="P78" s="155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</row>
    <row r="79" spans="1:40" x14ac:dyDescent="0.2">
      <c r="A79" s="167"/>
      <c r="B79" s="167"/>
      <c r="C79" s="167"/>
      <c r="D79" s="167"/>
      <c r="E79" s="167"/>
      <c r="F79" s="167"/>
      <c r="G79" s="167"/>
      <c r="H79" s="167"/>
      <c r="I79" s="167"/>
      <c r="K79" s="8"/>
      <c r="L79" s="8"/>
      <c r="M79" s="8"/>
      <c r="N79" s="8"/>
      <c r="O79" s="8"/>
      <c r="P79" s="155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</row>
    <row r="80" spans="1:40" x14ac:dyDescent="0.2">
      <c r="A80" s="167"/>
      <c r="B80" s="167"/>
      <c r="C80" s="167"/>
      <c r="D80" s="167"/>
      <c r="E80" s="167"/>
      <c r="F80" s="167"/>
      <c r="G80" s="167"/>
      <c r="H80" s="167"/>
      <c r="I80" s="167"/>
      <c r="K80" s="8"/>
      <c r="L80" s="8"/>
      <c r="M80" s="8"/>
      <c r="N80" s="8"/>
      <c r="O80" s="8"/>
      <c r="P80" s="155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</row>
    <row r="81" spans="1:40" x14ac:dyDescent="0.2">
      <c r="A81" s="167"/>
      <c r="B81" s="167"/>
      <c r="C81" s="167"/>
      <c r="D81" s="167"/>
      <c r="E81" s="167"/>
      <c r="F81" s="167"/>
      <c r="G81" s="167"/>
      <c r="H81" s="167"/>
      <c r="I81" s="167"/>
      <c r="K81" s="8"/>
      <c r="L81" s="8"/>
      <c r="M81" s="8"/>
      <c r="N81" s="8"/>
      <c r="O81" s="8"/>
      <c r="P81" s="155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</row>
    <row r="82" spans="1:40" x14ac:dyDescent="0.2">
      <c r="A82" s="167"/>
      <c r="B82" s="167"/>
      <c r="C82" s="167"/>
      <c r="D82" s="167"/>
      <c r="E82" s="167"/>
      <c r="F82" s="167"/>
      <c r="G82" s="167"/>
      <c r="H82" s="167"/>
      <c r="I82" s="167"/>
      <c r="K82" s="8"/>
      <c r="L82" s="8"/>
      <c r="M82" s="8"/>
      <c r="N82" s="8"/>
      <c r="O82" s="8"/>
      <c r="P82" s="155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</row>
    <row r="83" spans="1:40" x14ac:dyDescent="0.2">
      <c r="A83" s="167"/>
      <c r="B83" s="167"/>
      <c r="C83" s="167"/>
      <c r="D83" s="167"/>
      <c r="E83" s="167"/>
      <c r="F83" s="167"/>
      <c r="G83" s="167"/>
      <c r="H83" s="167"/>
      <c r="I83" s="167"/>
      <c r="K83" s="8"/>
      <c r="L83" s="8"/>
      <c r="M83" s="8"/>
      <c r="N83" s="8"/>
      <c r="O83" s="8"/>
      <c r="P83" s="155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</row>
    <row r="84" spans="1:40" x14ac:dyDescent="0.2">
      <c r="A84" s="167"/>
      <c r="B84" s="167"/>
      <c r="C84" s="167"/>
      <c r="D84" s="167"/>
      <c r="E84" s="167"/>
      <c r="F84" s="167"/>
      <c r="G84" s="167"/>
      <c r="H84" s="167"/>
      <c r="I84" s="167"/>
      <c r="K84" s="8"/>
      <c r="L84" s="8"/>
      <c r="M84" s="8"/>
      <c r="N84" s="8"/>
      <c r="O84" s="8"/>
      <c r="P84" s="155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</row>
    <row r="85" spans="1:40" x14ac:dyDescent="0.2">
      <c r="A85" s="167"/>
      <c r="B85" s="167"/>
      <c r="C85" s="167"/>
      <c r="D85" s="167"/>
      <c r="E85" s="167"/>
      <c r="F85" s="167"/>
      <c r="G85" s="167"/>
      <c r="H85" s="167"/>
      <c r="I85" s="167"/>
      <c r="K85" s="8"/>
      <c r="L85" s="8"/>
      <c r="M85" s="8"/>
      <c r="N85" s="8"/>
      <c r="O85" s="8"/>
      <c r="P85" s="155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</row>
    <row r="86" spans="1:40" x14ac:dyDescent="0.2">
      <c r="A86" s="167"/>
      <c r="B86" s="167"/>
      <c r="C86" s="167"/>
      <c r="D86" s="167"/>
      <c r="E86" s="167"/>
      <c r="F86" s="167"/>
      <c r="G86" s="167"/>
      <c r="H86" s="167"/>
      <c r="I86" s="167"/>
      <c r="K86" s="8"/>
      <c r="L86" s="8"/>
      <c r="M86" s="8"/>
      <c r="N86" s="8"/>
      <c r="O86" s="8"/>
      <c r="P86" s="155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</row>
    <row r="87" spans="1:40" x14ac:dyDescent="0.2">
      <c r="A87" s="167"/>
      <c r="B87" s="167"/>
      <c r="C87" s="167"/>
      <c r="D87" s="167"/>
      <c r="E87" s="167"/>
      <c r="F87" s="167"/>
      <c r="G87" s="167"/>
      <c r="H87" s="167"/>
      <c r="I87" s="167"/>
      <c r="K87" s="8"/>
      <c r="L87" s="8"/>
      <c r="M87" s="8"/>
      <c r="N87" s="8"/>
      <c r="O87" s="8"/>
      <c r="P87" s="155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</row>
    <row r="88" spans="1:40" x14ac:dyDescent="0.2">
      <c r="A88" s="167"/>
      <c r="B88" s="167"/>
      <c r="C88" s="167"/>
      <c r="D88" s="167"/>
      <c r="E88" s="167"/>
      <c r="F88" s="167"/>
      <c r="G88" s="167"/>
      <c r="H88" s="167"/>
      <c r="I88" s="167"/>
      <c r="K88" s="8"/>
      <c r="L88" s="8"/>
      <c r="M88" s="8"/>
      <c r="N88" s="8"/>
      <c r="O88" s="8"/>
      <c r="P88" s="155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</row>
    <row r="89" spans="1:40" x14ac:dyDescent="0.2">
      <c r="A89" s="167"/>
      <c r="B89" s="167"/>
      <c r="C89" s="167"/>
      <c r="D89" s="167"/>
      <c r="E89" s="167"/>
      <c r="F89" s="167"/>
      <c r="G89" s="167"/>
      <c r="H89" s="167"/>
      <c r="I89" s="167"/>
      <c r="K89" s="8"/>
      <c r="L89" s="8"/>
      <c r="M89" s="8"/>
      <c r="N89" s="8"/>
      <c r="O89" s="8"/>
      <c r="P89" s="155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</row>
    <row r="90" spans="1:40" x14ac:dyDescent="0.2">
      <c r="A90" s="167"/>
      <c r="B90" s="167"/>
      <c r="C90" s="167"/>
      <c r="D90" s="167"/>
      <c r="E90" s="167"/>
      <c r="F90" s="167"/>
      <c r="G90" s="167"/>
      <c r="H90" s="167"/>
      <c r="I90" s="167"/>
      <c r="K90" s="8"/>
      <c r="L90" s="8"/>
      <c r="M90" s="8"/>
      <c r="N90" s="8"/>
      <c r="O90" s="8"/>
      <c r="P90" s="155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</row>
    <row r="91" spans="1:40" x14ac:dyDescent="0.2">
      <c r="A91" s="155"/>
      <c r="B91" s="155"/>
      <c r="C91" s="155"/>
      <c r="D91" s="155"/>
      <c r="E91" s="155"/>
      <c r="F91" s="155"/>
      <c r="G91" s="155"/>
      <c r="H91" s="155"/>
      <c r="I91" s="155"/>
      <c r="J91" s="8"/>
      <c r="K91" s="8"/>
      <c r="L91" s="8"/>
      <c r="M91" s="8"/>
      <c r="N91" s="8"/>
      <c r="O91" s="8"/>
      <c r="P91" s="155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</row>
    <row r="92" spans="1:40" x14ac:dyDescent="0.2">
      <c r="A92" s="155"/>
      <c r="B92" s="155"/>
      <c r="C92" s="155"/>
      <c r="D92" s="155"/>
      <c r="E92" s="155"/>
      <c r="F92" s="155"/>
      <c r="G92" s="155"/>
      <c r="H92" s="155"/>
      <c r="I92" s="155"/>
      <c r="J92" s="8"/>
      <c r="K92" s="8"/>
      <c r="L92" s="8"/>
      <c r="M92" s="8"/>
      <c r="N92" s="8"/>
      <c r="O92" s="8"/>
      <c r="P92" s="155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</row>
    <row r="93" spans="1:40" x14ac:dyDescent="0.2">
      <c r="A93" s="155"/>
      <c r="B93" s="155"/>
      <c r="C93" s="155"/>
      <c r="D93" s="155"/>
      <c r="E93" s="155"/>
      <c r="F93" s="155"/>
      <c r="G93" s="155"/>
      <c r="H93" s="155"/>
      <c r="I93" s="155"/>
      <c r="J93" s="8"/>
      <c r="K93" s="8"/>
      <c r="L93" s="8"/>
      <c r="M93" s="8"/>
      <c r="N93" s="8"/>
      <c r="O93" s="8"/>
      <c r="P93" s="155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</row>
    <row r="94" spans="1:40" x14ac:dyDescent="0.2">
      <c r="A94" s="155"/>
      <c r="B94" s="155"/>
      <c r="C94" s="155"/>
      <c r="D94" s="155"/>
      <c r="E94" s="155"/>
      <c r="F94" s="155"/>
      <c r="G94" s="155"/>
      <c r="H94" s="155"/>
      <c r="I94" s="155"/>
      <c r="J94" s="8"/>
      <c r="K94" s="8"/>
      <c r="L94" s="8"/>
      <c r="M94" s="8"/>
      <c r="N94" s="8"/>
      <c r="O94" s="8"/>
      <c r="P94" s="155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</row>
    <row r="95" spans="1:40" x14ac:dyDescent="0.2">
      <c r="A95" s="155"/>
      <c r="B95" s="155"/>
      <c r="C95" s="155"/>
      <c r="D95" s="155"/>
      <c r="E95" s="155"/>
      <c r="F95" s="155"/>
      <c r="G95" s="155"/>
      <c r="H95" s="155"/>
      <c r="I95" s="155"/>
      <c r="J95" s="8"/>
      <c r="K95" s="8"/>
      <c r="L95" s="8"/>
      <c r="M95" s="8"/>
      <c r="N95" s="8"/>
      <c r="O95" s="8"/>
      <c r="P95" s="155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</row>
    <row r="96" spans="1:40" x14ac:dyDescent="0.2">
      <c r="A96" s="155"/>
      <c r="B96" s="155"/>
      <c r="C96" s="155"/>
      <c r="D96" s="155"/>
      <c r="E96" s="155"/>
      <c r="F96" s="155"/>
      <c r="G96" s="155"/>
      <c r="H96" s="155"/>
      <c r="I96" s="155"/>
      <c r="J96" s="8"/>
      <c r="K96" s="8"/>
      <c r="L96" s="8"/>
      <c r="M96" s="8"/>
      <c r="N96" s="8"/>
      <c r="O96" s="8"/>
      <c r="P96" s="155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</row>
    <row r="97" spans="1:40" x14ac:dyDescent="0.2">
      <c r="A97" s="155"/>
      <c r="B97" s="155"/>
      <c r="C97" s="155"/>
      <c r="D97" s="155"/>
      <c r="E97" s="155"/>
      <c r="F97" s="155"/>
      <c r="G97" s="155"/>
      <c r="H97" s="155"/>
      <c r="I97" s="155"/>
      <c r="J97" s="8"/>
      <c r="K97" s="8"/>
      <c r="L97" s="8"/>
      <c r="M97" s="8"/>
      <c r="N97" s="8"/>
      <c r="O97" s="8"/>
      <c r="P97" s="155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</row>
    <row r="98" spans="1:40" x14ac:dyDescent="0.2">
      <c r="A98" s="155"/>
      <c r="B98" s="155"/>
      <c r="C98" s="155"/>
      <c r="D98" s="155"/>
      <c r="E98" s="155"/>
      <c r="F98" s="155"/>
      <c r="G98" s="155"/>
      <c r="H98" s="155"/>
      <c r="I98" s="155"/>
      <c r="J98" s="8"/>
      <c r="K98" s="8"/>
      <c r="L98" s="8"/>
      <c r="M98" s="8"/>
      <c r="N98" s="8"/>
      <c r="O98" s="8"/>
      <c r="P98" s="155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</row>
    <row r="99" spans="1:40" x14ac:dyDescent="0.2">
      <c r="A99" s="155"/>
      <c r="B99" s="155"/>
      <c r="C99" s="155"/>
      <c r="D99" s="155"/>
      <c r="E99" s="155"/>
      <c r="F99" s="155"/>
      <c r="G99" s="155"/>
      <c r="H99" s="155"/>
      <c r="I99" s="155"/>
      <c r="J99" s="8"/>
      <c r="K99" s="8"/>
      <c r="L99" s="8"/>
      <c r="M99" s="8"/>
      <c r="N99" s="8"/>
      <c r="O99" s="8"/>
      <c r="P99" s="155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</row>
    <row r="100" spans="1:40" x14ac:dyDescent="0.2">
      <c r="A100" s="155"/>
      <c r="B100" s="155"/>
      <c r="C100" s="155"/>
      <c r="D100" s="155"/>
      <c r="E100" s="155"/>
      <c r="F100" s="155"/>
      <c r="G100" s="155"/>
      <c r="H100" s="155"/>
      <c r="I100" s="155"/>
      <c r="J100" s="8"/>
      <c r="K100" s="8"/>
      <c r="L100" s="8"/>
      <c r="M100" s="8"/>
      <c r="N100" s="8"/>
      <c r="O100" s="8"/>
      <c r="P100" s="155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</row>
    <row r="101" spans="1:40" x14ac:dyDescent="0.2">
      <c r="A101" s="155"/>
      <c r="B101" s="155"/>
      <c r="C101" s="155"/>
      <c r="D101" s="155"/>
      <c r="E101" s="155"/>
      <c r="F101" s="155"/>
      <c r="G101" s="155"/>
      <c r="H101" s="155"/>
      <c r="I101" s="155"/>
      <c r="J101" s="8"/>
      <c r="K101" s="8"/>
      <c r="L101" s="8"/>
      <c r="M101" s="8"/>
      <c r="N101" s="8"/>
      <c r="O101" s="8"/>
      <c r="P101" s="155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</row>
    <row r="102" spans="1:40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155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</row>
    <row r="103" spans="1:40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155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</row>
    <row r="104" spans="1:40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155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</row>
    <row r="105" spans="1:40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155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</row>
    <row r="106" spans="1:40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55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</row>
    <row r="107" spans="1:40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155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</row>
    <row r="108" spans="1:40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155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</row>
    <row r="109" spans="1:40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155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</row>
    <row r="110" spans="1:40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155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</row>
    <row r="111" spans="1:40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155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</row>
    <row r="112" spans="1:40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155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</row>
    <row r="113" spans="1:40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155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</row>
    <row r="114" spans="1:40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155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</row>
    <row r="115" spans="1:40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155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</row>
    <row r="116" spans="1:40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155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</row>
    <row r="117" spans="1:40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155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</row>
    <row r="118" spans="1:4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55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</row>
    <row r="119" spans="1:4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155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</row>
    <row r="120" spans="1:40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55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</row>
    <row r="121" spans="1:40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55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</row>
    <row r="122" spans="1:40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155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</row>
    <row r="123" spans="1:40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155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</row>
    <row r="124" spans="1:40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155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</row>
    <row r="125" spans="1:40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155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</row>
    <row r="126" spans="1:40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155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</row>
    <row r="127" spans="1:40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155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</row>
    <row r="128" spans="1:40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155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</row>
    <row r="129" spans="1:40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155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</row>
    <row r="130" spans="1:40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155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</row>
    <row r="131" spans="1:40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155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</row>
    <row r="132" spans="1:40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155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</row>
    <row r="133" spans="1:40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155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</row>
    <row r="134" spans="1:40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155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</row>
    <row r="135" spans="1:40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155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</row>
    <row r="136" spans="1:40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155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</row>
    <row r="137" spans="1:40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155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</row>
    <row r="138" spans="1:40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155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</row>
    <row r="139" spans="1:40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155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</row>
    <row r="140" spans="1:40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155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</row>
    <row r="141" spans="1:40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155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</row>
    <row r="142" spans="1:40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155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</row>
    <row r="143" spans="1:40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155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</row>
    <row r="144" spans="1:40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155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</row>
    <row r="145" spans="1:40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155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</row>
    <row r="146" spans="1:40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155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</row>
    <row r="147" spans="1:40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155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</row>
    <row r="148" spans="1:40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155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</row>
    <row r="149" spans="1:40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155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</row>
    <row r="150" spans="1:40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155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</row>
    <row r="151" spans="1:40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155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</row>
    <row r="152" spans="1:40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155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</row>
    <row r="153" spans="1:40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155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</row>
    <row r="154" spans="1:40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155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</row>
    <row r="155" spans="1:40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40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40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1:40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40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40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phoneticPr fontId="14" type="noConversion"/>
  <pageMargins left="0.78" right="0.75" top="0.75" bottom="1" header="0" footer="0"/>
  <pageSetup paperSize="9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G574"/>
  <sheetViews>
    <sheetView topLeftCell="K1" zoomScaleNormal="100" workbookViewId="0">
      <pane ySplit="6" topLeftCell="A11" activePane="bottomLeft" state="frozen"/>
      <selection pane="bottomLeft" activeCell="M27" sqref="M27"/>
    </sheetView>
  </sheetViews>
  <sheetFormatPr baseColWidth="10" defaultColWidth="9.140625" defaultRowHeight="12.75" x14ac:dyDescent="0.2"/>
  <cols>
    <col min="1" max="1" width="46.85546875" customWidth="1"/>
    <col min="2" max="2" width="18" hidden="1" customWidth="1"/>
    <col min="3" max="3" width="16.140625" customWidth="1"/>
    <col min="4" max="4" width="55.42578125" customWidth="1"/>
    <col min="7" max="7" width="44.140625" customWidth="1"/>
    <col min="8" max="8" width="11.42578125" customWidth="1"/>
    <col min="9" max="9" width="16.5703125" customWidth="1"/>
    <col min="10" max="10" width="11.28515625" customWidth="1"/>
    <col min="12" max="12" width="56" customWidth="1"/>
    <col min="15" max="15" width="12.85546875" customWidth="1"/>
  </cols>
  <sheetData>
    <row r="1" spans="1:59" x14ac:dyDescent="0.2">
      <c r="A1" s="7" t="s">
        <v>400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</row>
    <row r="2" spans="1:59" x14ac:dyDescent="0.2">
      <c r="A2" s="7" t="s">
        <v>401</v>
      </c>
      <c r="B2" s="8"/>
      <c r="C2" s="8"/>
      <c r="D2" s="8"/>
      <c r="E2" s="8"/>
      <c r="F2" s="8"/>
      <c r="G2" s="172" t="s">
        <v>370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</row>
    <row r="3" spans="1:59" x14ac:dyDescent="0.2">
      <c r="A3" s="167"/>
      <c r="B3" s="167"/>
      <c r="C3" s="167"/>
      <c r="D3" s="167"/>
      <c r="E3" s="8"/>
      <c r="F3" s="8"/>
      <c r="G3" s="72" t="s">
        <v>360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</row>
    <row r="4" spans="1:59" x14ac:dyDescent="0.2">
      <c r="A4" s="14"/>
      <c r="B4" s="14"/>
      <c r="C4" s="123" t="s">
        <v>82</v>
      </c>
      <c r="D4" s="14" t="s">
        <v>2</v>
      </c>
      <c r="E4" s="8" t="s">
        <v>2</v>
      </c>
      <c r="F4" s="8"/>
      <c r="G4" s="167"/>
      <c r="H4" s="155"/>
      <c r="I4" s="155"/>
      <c r="J4" s="155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</row>
    <row r="5" spans="1:59" x14ac:dyDescent="0.2">
      <c r="A5" s="126" t="s">
        <v>371</v>
      </c>
      <c r="B5" s="62" t="s">
        <v>2</v>
      </c>
      <c r="C5" s="124" t="s">
        <v>124</v>
      </c>
      <c r="D5" s="62" t="s">
        <v>2</v>
      </c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</row>
    <row r="6" spans="1:59" ht="14.25" x14ac:dyDescent="0.2">
      <c r="A6" s="32"/>
      <c r="B6" s="32" t="s">
        <v>31</v>
      </c>
      <c r="C6" s="144" t="s">
        <v>372</v>
      </c>
      <c r="D6" s="32" t="s">
        <v>12</v>
      </c>
      <c r="E6" s="7"/>
      <c r="F6" s="7"/>
      <c r="G6" s="8"/>
      <c r="H6" s="8"/>
      <c r="I6" s="8"/>
      <c r="J6" s="8"/>
      <c r="K6" s="8"/>
      <c r="L6" s="15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</row>
    <row r="7" spans="1:59" x14ac:dyDescent="0.2">
      <c r="A7" s="7" t="s">
        <v>6</v>
      </c>
      <c r="B7" s="8" t="s">
        <v>2</v>
      </c>
      <c r="C7" s="61"/>
      <c r="D7" s="8"/>
      <c r="E7" s="8"/>
      <c r="F7" s="8"/>
      <c r="G7" s="8"/>
      <c r="H7" s="8"/>
      <c r="I7" s="8"/>
      <c r="J7" s="8"/>
      <c r="K7" s="8"/>
      <c r="L7" s="155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</row>
    <row r="8" spans="1:59" x14ac:dyDescent="0.2">
      <c r="A8" s="7" t="s">
        <v>30</v>
      </c>
      <c r="B8" s="7" t="s">
        <v>31</v>
      </c>
      <c r="C8" s="61"/>
      <c r="D8" s="7"/>
      <c r="E8" s="8"/>
      <c r="F8" s="8"/>
      <c r="G8" s="173" t="s">
        <v>373</v>
      </c>
      <c r="H8" s="174"/>
      <c r="I8" s="174"/>
      <c r="J8" s="174"/>
      <c r="K8" s="8"/>
      <c r="L8" s="155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</row>
    <row r="9" spans="1:59" x14ac:dyDescent="0.2">
      <c r="A9" s="7"/>
      <c r="B9" s="7"/>
      <c r="C9" s="61"/>
      <c r="D9" s="7"/>
      <c r="E9" s="8"/>
      <c r="F9" s="8"/>
      <c r="G9" s="8" t="str">
        <f>VLOOKUP(Lugar!E84,Lugar!A65:E78,2)</f>
        <v>Las Heras-Guaymallén</v>
      </c>
      <c r="H9" s="8">
        <f>VLOOKUP(Lugar!E84,Lugar!A65:E78,4)</f>
        <v>12.7</v>
      </c>
      <c r="I9" s="175" t="s">
        <v>374</v>
      </c>
      <c r="J9" s="155"/>
      <c r="K9" s="167"/>
      <c r="L9" s="155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</row>
    <row r="10" spans="1:59" x14ac:dyDescent="0.2">
      <c r="A10" s="199" t="s">
        <v>421</v>
      </c>
      <c r="B10" s="177">
        <f>0.111+0.063+0.05</f>
        <v>0.22399999999999998</v>
      </c>
      <c r="C10" s="178">
        <f>1/B10</f>
        <v>4.4642857142857144</v>
      </c>
      <c r="D10" s="131" t="s">
        <v>37</v>
      </c>
      <c r="E10" s="8"/>
      <c r="F10" s="8"/>
      <c r="G10" s="176" t="s">
        <v>375</v>
      </c>
      <c r="H10" s="206">
        <f>+H9/3.6</f>
        <v>3.5277777777777777</v>
      </c>
      <c r="I10" s="175" t="s">
        <v>376</v>
      </c>
      <c r="J10" s="155"/>
      <c r="K10" s="167"/>
      <c r="L10" s="155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</row>
    <row r="11" spans="1:59" x14ac:dyDescent="0.2">
      <c r="A11" s="131" t="s">
        <v>160</v>
      </c>
      <c r="B11" s="178">
        <f>0.025/0.044+$B$10</f>
        <v>0.79218181818181821</v>
      </c>
      <c r="C11" s="178">
        <f>1/B11</f>
        <v>1.2623364700481983</v>
      </c>
      <c r="D11" s="131"/>
      <c r="E11" s="8"/>
      <c r="F11" s="8"/>
      <c r="G11" s="155"/>
      <c r="H11" s="174"/>
      <c r="I11" s="174"/>
      <c r="J11" s="155"/>
      <c r="K11" s="167"/>
      <c r="L11" s="155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</row>
    <row r="12" spans="1:59" x14ac:dyDescent="0.2">
      <c r="A12" s="131" t="s">
        <v>149</v>
      </c>
      <c r="B12" s="178">
        <f>0.05/0.044+$B$10</f>
        <v>1.3603636363636364</v>
      </c>
      <c r="C12" s="178">
        <f>1/B12</f>
        <v>0.73509756749532207</v>
      </c>
      <c r="D12" s="131"/>
      <c r="E12" s="8"/>
      <c r="F12" s="8"/>
      <c r="G12" s="173" t="s">
        <v>451</v>
      </c>
      <c r="H12" s="174"/>
      <c r="I12" s="174"/>
      <c r="J12" s="155"/>
      <c r="K12" s="167"/>
      <c r="L12" s="173" t="s">
        <v>452</v>
      </c>
      <c r="M12" s="174"/>
      <c r="N12" s="174"/>
      <c r="O12" s="155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</row>
    <row r="13" spans="1:59" x14ac:dyDescent="0.2">
      <c r="A13" s="131" t="s">
        <v>150</v>
      </c>
      <c r="B13" s="178">
        <f>0.075/0.044+$B$10</f>
        <v>1.9285454545454546</v>
      </c>
      <c r="C13" s="178">
        <f>1/B13</f>
        <v>0.51852550202696335</v>
      </c>
      <c r="D13" s="131"/>
      <c r="E13" s="8"/>
      <c r="F13" s="8"/>
      <c r="G13" s="179" t="s">
        <v>444</v>
      </c>
      <c r="H13" s="180" t="s">
        <v>307</v>
      </c>
      <c r="I13" s="180" t="s">
        <v>350</v>
      </c>
      <c r="J13" s="181" t="s">
        <v>377</v>
      </c>
      <c r="K13" s="167"/>
      <c r="L13" s="179" t="s">
        <v>725</v>
      </c>
      <c r="M13" s="180" t="s">
        <v>307</v>
      </c>
      <c r="N13" s="180" t="s">
        <v>350</v>
      </c>
      <c r="O13" s="181" t="s">
        <v>377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</row>
    <row r="14" spans="1:59" x14ac:dyDescent="0.2">
      <c r="A14" s="131" t="s">
        <v>151</v>
      </c>
      <c r="B14" s="178">
        <f>0.1/0.044+$B$10</f>
        <v>2.4967272727272727</v>
      </c>
      <c r="C14" s="178">
        <f>1/B14</f>
        <v>0.40052432274978156</v>
      </c>
      <c r="D14" s="131"/>
      <c r="E14" s="8"/>
      <c r="F14" s="8"/>
      <c r="G14" s="182" t="s">
        <v>445</v>
      </c>
      <c r="H14" s="183" t="s">
        <v>351</v>
      </c>
      <c r="I14" s="183" t="s">
        <v>352</v>
      </c>
      <c r="J14" s="184" t="s">
        <v>124</v>
      </c>
      <c r="K14" s="167"/>
      <c r="L14" s="182" t="s">
        <v>445</v>
      </c>
      <c r="M14" s="183" t="s">
        <v>351</v>
      </c>
      <c r="N14" s="183" t="s">
        <v>352</v>
      </c>
      <c r="O14" s="184" t="s">
        <v>124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</row>
    <row r="15" spans="1:59" x14ac:dyDescent="0.2">
      <c r="A15" s="8"/>
      <c r="B15" s="20"/>
      <c r="C15" s="20"/>
      <c r="D15" s="8"/>
      <c r="E15" s="8"/>
      <c r="F15" s="8"/>
      <c r="G15" s="268" t="s">
        <v>346</v>
      </c>
      <c r="H15" s="186">
        <v>0</v>
      </c>
      <c r="I15" s="186">
        <v>0.82</v>
      </c>
      <c r="J15" s="187">
        <f>+H15/I15</f>
        <v>0</v>
      </c>
      <c r="K15" s="167"/>
      <c r="L15" s="269" t="s">
        <v>726</v>
      </c>
      <c r="M15" s="186">
        <v>0.02</v>
      </c>
      <c r="N15" s="186">
        <v>1.1599999999999999</v>
      </c>
      <c r="O15" s="187">
        <f>+M15/N15</f>
        <v>1.7241379310344831E-2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</row>
    <row r="16" spans="1:59" x14ac:dyDescent="0.2">
      <c r="A16" s="199" t="s">
        <v>420</v>
      </c>
      <c r="B16" s="177">
        <f>0.111+0.16+0.05</f>
        <v>0.32100000000000001</v>
      </c>
      <c r="C16" s="178">
        <f>1/B16</f>
        <v>3.1152647975077881</v>
      </c>
      <c r="D16" s="131" t="s">
        <v>40</v>
      </c>
      <c r="E16" s="8"/>
      <c r="F16" s="8"/>
      <c r="G16" s="269" t="s">
        <v>349</v>
      </c>
      <c r="H16" s="186">
        <v>0</v>
      </c>
      <c r="I16" s="186">
        <v>4.3999999999999997E-2</v>
      </c>
      <c r="J16" s="187">
        <f t="shared" ref="J16:J21" si="0">+H16/I16</f>
        <v>0</v>
      </c>
      <c r="K16" s="167"/>
      <c r="L16" s="269" t="s">
        <v>349</v>
      </c>
      <c r="M16" s="186">
        <v>0.05</v>
      </c>
      <c r="N16" s="186">
        <v>0.04</v>
      </c>
      <c r="O16" s="187">
        <f t="shared" ref="O16:O21" si="1">+M16/N16</f>
        <v>1.25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</row>
    <row r="17" spans="1:59" x14ac:dyDescent="0.2">
      <c r="A17" s="131" t="s">
        <v>148</v>
      </c>
      <c r="B17" s="178">
        <f>0.025/0.044+$B$16</f>
        <v>0.8891818181818183</v>
      </c>
      <c r="C17" s="178">
        <f>1/B17</f>
        <v>1.1246293834986196</v>
      </c>
      <c r="D17" s="131"/>
      <c r="E17" s="8"/>
      <c r="F17" s="8"/>
      <c r="G17" s="269" t="s">
        <v>446</v>
      </c>
      <c r="H17" s="186">
        <v>0.05</v>
      </c>
      <c r="I17" s="186">
        <v>1.1599999999999999</v>
      </c>
      <c r="J17" s="187">
        <f t="shared" si="0"/>
        <v>4.3103448275862072E-2</v>
      </c>
      <c r="K17" s="167"/>
      <c r="L17" s="270" t="s">
        <v>727</v>
      </c>
      <c r="M17" s="186">
        <v>0.17</v>
      </c>
      <c r="N17" s="186">
        <v>0.72</v>
      </c>
      <c r="O17" s="187">
        <f t="shared" si="1"/>
        <v>0.23611111111111113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</row>
    <row r="18" spans="1:59" x14ac:dyDescent="0.2">
      <c r="A18" s="131" t="s">
        <v>149</v>
      </c>
      <c r="B18" s="178">
        <f>0.05/0.044+B16</f>
        <v>1.4573636363636364</v>
      </c>
      <c r="C18" s="178">
        <f>1/B18</f>
        <v>0.68617054456989579</v>
      </c>
      <c r="D18" s="131"/>
      <c r="E18" s="8"/>
      <c r="F18" s="8"/>
      <c r="G18" s="268" t="s">
        <v>721</v>
      </c>
      <c r="H18" s="186">
        <v>0.01</v>
      </c>
      <c r="I18" s="186">
        <v>0.49</v>
      </c>
      <c r="J18" s="187">
        <f t="shared" si="0"/>
        <v>2.0408163265306124E-2</v>
      </c>
      <c r="K18" s="167"/>
      <c r="L18" s="269" t="s">
        <v>726</v>
      </c>
      <c r="M18" s="186">
        <v>0.02</v>
      </c>
      <c r="N18" s="186">
        <v>1.1599999999999999</v>
      </c>
      <c r="O18" s="187">
        <f t="shared" si="1"/>
        <v>1.7241379310344831E-2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</row>
    <row r="19" spans="1:59" x14ac:dyDescent="0.2">
      <c r="A19" s="131" t="s">
        <v>150</v>
      </c>
      <c r="B19" s="178">
        <f>0.075/0.044+B16</f>
        <v>2.0255454545454548</v>
      </c>
      <c r="C19" s="178">
        <f>1/B19</f>
        <v>0.49369417889681788</v>
      </c>
      <c r="D19" s="131"/>
      <c r="E19" s="8"/>
      <c r="F19" s="8"/>
      <c r="G19" s="269" t="s">
        <v>723</v>
      </c>
      <c r="H19" s="186">
        <v>0</v>
      </c>
      <c r="I19" s="186">
        <v>0.11</v>
      </c>
      <c r="J19" s="187">
        <f t="shared" si="0"/>
        <v>0</v>
      </c>
      <c r="K19" s="167"/>
      <c r="L19" s="269" t="s">
        <v>721</v>
      </c>
      <c r="M19" s="186">
        <v>0</v>
      </c>
      <c r="N19" s="186">
        <v>1</v>
      </c>
      <c r="O19" s="187">
        <f t="shared" si="1"/>
        <v>0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</row>
    <row r="20" spans="1:59" x14ac:dyDescent="0.2">
      <c r="A20" s="131" t="s">
        <v>151</v>
      </c>
      <c r="B20" s="178">
        <f>0.1/0.044+$B$16</f>
        <v>2.5937272727272731</v>
      </c>
      <c r="C20" s="178">
        <f>1/B20</f>
        <v>0.38554554694893267</v>
      </c>
      <c r="D20" s="131"/>
      <c r="E20" s="8"/>
      <c r="F20" s="8"/>
      <c r="G20" s="269" t="s">
        <v>722</v>
      </c>
      <c r="H20" s="188">
        <v>0</v>
      </c>
      <c r="I20" s="188">
        <v>0.03</v>
      </c>
      <c r="J20" s="189">
        <f t="shared" si="0"/>
        <v>0</v>
      </c>
      <c r="K20" s="167"/>
      <c r="L20" s="269" t="s">
        <v>449</v>
      </c>
      <c r="M20" s="188">
        <v>0</v>
      </c>
      <c r="N20" s="188">
        <v>1</v>
      </c>
      <c r="O20" s="189">
        <f t="shared" si="1"/>
        <v>0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</row>
    <row r="21" spans="1:59" x14ac:dyDescent="0.2">
      <c r="A21" s="8"/>
      <c r="B21" s="20"/>
      <c r="C21" s="20"/>
      <c r="D21" s="8"/>
      <c r="E21" s="8"/>
      <c r="F21" s="8"/>
      <c r="G21" s="269" t="s">
        <v>724</v>
      </c>
      <c r="H21" s="188">
        <v>0.16</v>
      </c>
      <c r="I21" s="188">
        <v>0.81</v>
      </c>
      <c r="J21" s="189">
        <f t="shared" si="0"/>
        <v>0.19753086419753085</v>
      </c>
      <c r="K21" s="167"/>
      <c r="L21" s="269" t="s">
        <v>450</v>
      </c>
      <c r="M21" s="188">
        <v>0</v>
      </c>
      <c r="N21" s="188">
        <v>1</v>
      </c>
      <c r="O21" s="189">
        <f t="shared" si="1"/>
        <v>0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</row>
    <row r="22" spans="1:59" x14ac:dyDescent="0.2">
      <c r="A22" s="199" t="s">
        <v>419</v>
      </c>
      <c r="B22" s="177">
        <f>0.1/1.73+0.111+0.05</f>
        <v>0.21880346820809249</v>
      </c>
      <c r="C22" s="178">
        <f>1/B22</f>
        <v>4.5703114680474464</v>
      </c>
      <c r="D22" s="131"/>
      <c r="E22" s="8"/>
      <c r="F22" s="8"/>
      <c r="G22" s="167"/>
      <c r="H22" s="167"/>
      <c r="I22" s="167"/>
      <c r="J22" s="187">
        <f>SUM(J15:J21)</f>
        <v>0.26104247573869904</v>
      </c>
      <c r="K22" s="167"/>
      <c r="L22" s="167"/>
      <c r="M22" s="167"/>
      <c r="N22" s="167"/>
      <c r="O22" s="187">
        <f>SUM(O15:O21)</f>
        <v>1.5205938697318007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</row>
    <row r="23" spans="1:59" x14ac:dyDescent="0.2">
      <c r="A23" s="131" t="s">
        <v>148</v>
      </c>
      <c r="B23" s="178">
        <f>0.025/0.044+$B$22</f>
        <v>0.78698528638991072</v>
      </c>
      <c r="C23" s="178">
        <f>1/B23</f>
        <v>1.2706717867461521</v>
      </c>
      <c r="D23" s="131"/>
      <c r="E23" s="8"/>
      <c r="F23" s="8"/>
      <c r="G23" s="190" t="s">
        <v>341</v>
      </c>
      <c r="H23" s="174"/>
      <c r="I23" s="174"/>
      <c r="J23" s="155"/>
      <c r="K23" s="167"/>
      <c r="L23" s="190" t="s">
        <v>341</v>
      </c>
      <c r="M23" s="174"/>
      <c r="N23" s="174"/>
      <c r="O23" s="155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</row>
    <row r="24" spans="1:59" x14ac:dyDescent="0.2">
      <c r="A24" s="131" t="s">
        <v>149</v>
      </c>
      <c r="B24" s="178">
        <f>0.05/0.044+$B$22</f>
        <v>1.3551671045717288</v>
      </c>
      <c r="C24" s="178">
        <f>1/B24</f>
        <v>0.73791637697406198</v>
      </c>
      <c r="D24" s="131"/>
      <c r="E24" s="8"/>
      <c r="F24" s="8"/>
      <c r="G24" s="267" t="s">
        <v>447</v>
      </c>
      <c r="H24" s="185">
        <v>5.7</v>
      </c>
      <c r="I24" s="191" t="s">
        <v>342</v>
      </c>
      <c r="J24" s="192"/>
      <c r="K24" s="167"/>
      <c r="L24" s="267" t="s">
        <v>447</v>
      </c>
      <c r="M24" s="185">
        <v>5.7</v>
      </c>
      <c r="N24" s="191" t="s">
        <v>342</v>
      </c>
      <c r="O24" s="192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</row>
    <row r="25" spans="1:59" x14ac:dyDescent="0.2">
      <c r="A25" s="131" t="s">
        <v>150</v>
      </c>
      <c r="B25" s="178">
        <f>0.075/0.044+$B$22</f>
        <v>1.9233489227535472</v>
      </c>
      <c r="C25" s="178">
        <f>1/B25</f>
        <v>0.51992646168868728</v>
      </c>
      <c r="D25" s="131"/>
      <c r="E25" s="8"/>
      <c r="F25" s="8"/>
      <c r="G25" s="267" t="s">
        <v>448</v>
      </c>
      <c r="H25" s="185">
        <f>5.7+3.6*H10</f>
        <v>18.399999999999999</v>
      </c>
      <c r="I25" s="185" t="s">
        <v>343</v>
      </c>
      <c r="J25" s="192"/>
      <c r="K25" s="167"/>
      <c r="L25" s="267" t="s">
        <v>448</v>
      </c>
      <c r="M25" s="185">
        <f>5.7+3.6*M10</f>
        <v>5.7</v>
      </c>
      <c r="N25" s="185" t="s">
        <v>343</v>
      </c>
      <c r="O25" s="192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</row>
    <row r="26" spans="1:59" x14ac:dyDescent="0.2">
      <c r="A26" s="131" t="s">
        <v>151</v>
      </c>
      <c r="B26" s="178">
        <f>0.1/0.044+$B$22</f>
        <v>2.4915307409353655</v>
      </c>
      <c r="C26" s="178">
        <f>1/B26</f>
        <v>0.40135968766918845</v>
      </c>
      <c r="D26" s="131"/>
      <c r="E26" s="8"/>
      <c r="F26" s="8"/>
      <c r="G26" s="174"/>
      <c r="H26" s="167"/>
      <c r="I26" s="167"/>
      <c r="J26" s="155"/>
      <c r="K26" s="155"/>
      <c r="L26" s="174"/>
      <c r="M26" s="167"/>
      <c r="N26" s="167"/>
      <c r="O26" s="155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</row>
    <row r="27" spans="1:59" ht="13.5" thickBot="1" x14ac:dyDescent="0.25">
      <c r="A27" s="8"/>
      <c r="B27" s="20"/>
      <c r="C27" s="20"/>
      <c r="D27" s="8"/>
      <c r="E27" s="8"/>
      <c r="F27" s="8"/>
      <c r="G27" s="174" t="s">
        <v>344</v>
      </c>
      <c r="H27" s="193">
        <f>1/H24+1/H25+J22</f>
        <v>0.49082889831688364</v>
      </c>
      <c r="I27" s="174" t="s">
        <v>345</v>
      </c>
      <c r="J27" s="155"/>
      <c r="K27" s="155"/>
      <c r="L27" s="174" t="s">
        <v>344</v>
      </c>
      <c r="M27" s="193">
        <f>1/M24+1/M25+O22</f>
        <v>1.8714710627142568</v>
      </c>
      <c r="N27" s="174" t="s">
        <v>345</v>
      </c>
      <c r="O27" s="155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</row>
    <row r="28" spans="1:59" ht="13.5" thickBot="1" x14ac:dyDescent="0.25">
      <c r="A28" s="131" t="s">
        <v>155</v>
      </c>
      <c r="B28" s="177">
        <f>0.12/0.73+0.111+0.05</f>
        <v>0.32538356164383558</v>
      </c>
      <c r="C28" s="178">
        <f>1/B28</f>
        <v>3.073296004715194</v>
      </c>
      <c r="D28" s="131"/>
      <c r="E28" s="8" t="s">
        <v>2</v>
      </c>
      <c r="F28" s="8"/>
      <c r="G28" s="194" t="s">
        <v>378</v>
      </c>
      <c r="H28" s="195">
        <f>1/H27</f>
        <v>2.0373698521605603</v>
      </c>
      <c r="I28" s="196" t="s">
        <v>325</v>
      </c>
      <c r="J28" s="155"/>
      <c r="K28" s="155"/>
      <c r="L28" s="194" t="s">
        <v>378</v>
      </c>
      <c r="M28" s="195">
        <f>1/M27</f>
        <v>0.53433901272812989</v>
      </c>
      <c r="N28" s="196" t="s">
        <v>325</v>
      </c>
      <c r="O28" s="155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</row>
    <row r="29" spans="1:59" x14ac:dyDescent="0.2">
      <c r="A29" s="131" t="s">
        <v>148</v>
      </c>
      <c r="B29" s="178">
        <f>0.025/0.044+$B$28</f>
        <v>0.89356537982565376</v>
      </c>
      <c r="C29" s="178">
        <f>1/B29</f>
        <v>1.1191122916994758</v>
      </c>
      <c r="D29" s="131"/>
      <c r="E29" s="8"/>
      <c r="F29" s="8"/>
      <c r="G29" s="155"/>
      <c r="H29" s="155"/>
      <c r="I29" s="155"/>
      <c r="J29" s="155"/>
      <c r="K29" s="155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</row>
    <row r="30" spans="1:59" x14ac:dyDescent="0.2">
      <c r="A30" s="131" t="s">
        <v>149</v>
      </c>
      <c r="B30" s="178">
        <f>0.05/0.044+$B$28</f>
        <v>1.4617471980074721</v>
      </c>
      <c r="C30" s="178">
        <f>1/B30</f>
        <v>0.68411282153515596</v>
      </c>
      <c r="D30" s="131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</row>
    <row r="31" spans="1:59" x14ac:dyDescent="0.2">
      <c r="A31" s="131" t="s">
        <v>150</v>
      </c>
      <c r="B31" s="178">
        <f>0.075/0.044+$B$28</f>
        <v>2.02992901618929</v>
      </c>
      <c r="C31" s="178">
        <f>1/B31</f>
        <v>0.49262806335822651</v>
      </c>
      <c r="D31" s="131" t="s">
        <v>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</row>
    <row r="32" spans="1:59" x14ac:dyDescent="0.2">
      <c r="A32" s="131" t="s">
        <v>151</v>
      </c>
      <c r="B32" s="178">
        <f>0.1/0.044+$B$28</f>
        <v>2.5981108343711083</v>
      </c>
      <c r="C32" s="178">
        <f>1/B32</f>
        <v>0.38489505019213599</v>
      </c>
      <c r="D32" s="131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</row>
    <row r="33" spans="1:59" x14ac:dyDescent="0.2">
      <c r="A33" s="8"/>
      <c r="B33" s="20"/>
      <c r="C33" s="22" t="s">
        <v>82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</row>
    <row r="34" spans="1:59" x14ac:dyDescent="0.2">
      <c r="A34" s="7" t="s">
        <v>158</v>
      </c>
      <c r="B34" s="22" t="s">
        <v>159</v>
      </c>
      <c r="C34" s="22" t="s">
        <v>417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</row>
    <row r="35" spans="1:59" ht="14.25" x14ac:dyDescent="0.2">
      <c r="A35" s="8"/>
      <c r="B35" s="20"/>
      <c r="C35" s="144" t="s">
        <v>372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</row>
    <row r="36" spans="1:59" x14ac:dyDescent="0.2">
      <c r="A36" s="131" t="s">
        <v>154</v>
      </c>
      <c r="B36" s="177">
        <f>0.04/1.16+0.18/0.82+0.05+0.111</f>
        <v>0.41499495374264084</v>
      </c>
      <c r="C36" s="178">
        <f>1/B36</f>
        <v>2.4096678549497499</v>
      </c>
      <c r="D36" s="131" t="s">
        <v>63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</row>
    <row r="37" spans="1:59" x14ac:dyDescent="0.2">
      <c r="A37" s="131" t="s">
        <v>148</v>
      </c>
      <c r="B37" s="178">
        <f>0.025/0.044+$B$36</f>
        <v>0.98317677192445907</v>
      </c>
      <c r="C37" s="178">
        <f>1/B37</f>
        <v>1.017111091876806</v>
      </c>
      <c r="D37" s="131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</row>
    <row r="38" spans="1:59" x14ac:dyDescent="0.2">
      <c r="A38" s="131" t="s">
        <v>149</v>
      </c>
      <c r="B38" s="178">
        <f>0.05/0.044+$B$36</f>
        <v>1.5513585901062772</v>
      </c>
      <c r="C38" s="178">
        <f>1/B38</f>
        <v>0.64459629538744756</v>
      </c>
      <c r="D38" s="13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</row>
    <row r="39" spans="1:59" x14ac:dyDescent="0.2">
      <c r="A39" s="131" t="s">
        <v>150</v>
      </c>
      <c r="B39" s="178">
        <f>0.075/0.044+$B$36</f>
        <v>2.1195404082880955</v>
      </c>
      <c r="C39" s="178">
        <f>1/B39</f>
        <v>0.47180039412774261</v>
      </c>
      <c r="D39" s="131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</row>
    <row r="40" spans="1:59" x14ac:dyDescent="0.2">
      <c r="A40" s="131" t="s">
        <v>151</v>
      </c>
      <c r="B40" s="178">
        <f>0.1/0.044+$B$36</f>
        <v>2.6877222264699139</v>
      </c>
      <c r="C40" s="178">
        <f>1/B40</f>
        <v>0.37206225782989927</v>
      </c>
      <c r="D40" s="131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</row>
    <row r="41" spans="1:59" x14ac:dyDescent="0.2">
      <c r="A41" s="8"/>
      <c r="B41" s="20"/>
      <c r="C41" s="20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</row>
    <row r="42" spans="1:59" x14ac:dyDescent="0.2">
      <c r="A42" s="131" t="s">
        <v>152</v>
      </c>
      <c r="B42" s="177">
        <f>0.04/1.16+0.12/0.82+0.05+0.111</f>
        <v>0.34182422203532381</v>
      </c>
      <c r="C42" s="178">
        <f>1/B42</f>
        <v>2.9254802191772731</v>
      </c>
      <c r="D42" s="131" t="s">
        <v>63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</row>
    <row r="43" spans="1:59" x14ac:dyDescent="0.2">
      <c r="A43" s="131" t="s">
        <v>148</v>
      </c>
      <c r="B43" s="178">
        <f>0.025/0.044+$B$42</f>
        <v>0.91000604021714204</v>
      </c>
      <c r="C43" s="178">
        <f>1/B43</f>
        <v>1.0988938048822006</v>
      </c>
      <c r="D43" s="131" t="s">
        <v>379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</row>
    <row r="44" spans="1:59" x14ac:dyDescent="0.2">
      <c r="A44" s="131" t="s">
        <v>149</v>
      </c>
      <c r="B44" s="178">
        <f>0.05/0.044+$B$42</f>
        <v>1.4781878583989603</v>
      </c>
      <c r="C44" s="178">
        <f>1/B44</f>
        <v>0.67650400070469374</v>
      </c>
      <c r="D44" s="131" t="s">
        <v>380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</row>
    <row r="45" spans="1:59" x14ac:dyDescent="0.2">
      <c r="A45" s="131" t="s">
        <v>150</v>
      </c>
      <c r="B45" s="178">
        <f>0.075/0.044+$B$42</f>
        <v>2.0463696765807784</v>
      </c>
      <c r="C45" s="178">
        <f>1/B45</f>
        <v>0.48867025906622691</v>
      </c>
      <c r="D45" s="131" t="s">
        <v>380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</row>
    <row r="46" spans="1:59" x14ac:dyDescent="0.2">
      <c r="A46" s="131" t="s">
        <v>151</v>
      </c>
      <c r="B46" s="178">
        <f>0.1/0.044+$B$42</f>
        <v>2.6145514947625967</v>
      </c>
      <c r="C46" s="178">
        <f>1/B46</f>
        <v>0.38247477703276245</v>
      </c>
      <c r="D46" s="131" t="s">
        <v>380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</row>
    <row r="47" spans="1:59" x14ac:dyDescent="0.2">
      <c r="A47" s="8"/>
      <c r="B47" s="20"/>
      <c r="C47" s="20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</row>
    <row r="48" spans="1:59" x14ac:dyDescent="0.2">
      <c r="A48" s="131" t="s">
        <v>153</v>
      </c>
      <c r="B48" s="177">
        <f>0.04/1.16+2*0.12/0.82+0.05+0.111</f>
        <v>0.48816568544995792</v>
      </c>
      <c r="C48" s="178">
        <f>1/B48</f>
        <v>2.0484848276016532</v>
      </c>
      <c r="D48" s="131" t="s">
        <v>64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</row>
    <row r="49" spans="1:59" x14ac:dyDescent="0.2">
      <c r="A49" s="131" t="s">
        <v>148</v>
      </c>
      <c r="B49" s="178">
        <f>0.025/0.044+$B$48</f>
        <v>1.0563475036317762</v>
      </c>
      <c r="C49" s="178">
        <f>1/B49</f>
        <v>0.94665817504367589</v>
      </c>
      <c r="D49" s="266" t="s">
        <v>381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</row>
    <row r="50" spans="1:59" x14ac:dyDescent="0.2">
      <c r="A50" s="131" t="s">
        <v>149</v>
      </c>
      <c r="B50" s="178">
        <f>0.05/0.044+$B$48</f>
        <v>1.6245293218135943</v>
      </c>
      <c r="C50" s="178">
        <f>1/B50</f>
        <v>0.61556291202156854</v>
      </c>
      <c r="D50" s="131" t="s">
        <v>380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</row>
    <row r="51" spans="1:59" x14ac:dyDescent="0.2">
      <c r="A51" s="131" t="s">
        <v>150</v>
      </c>
      <c r="B51" s="178">
        <f>0.075/0.044+$B$48</f>
        <v>2.1927111399954127</v>
      </c>
      <c r="C51" s="178">
        <f>1/B51</f>
        <v>0.45605642337462293</v>
      </c>
      <c r="D51" s="131" t="s">
        <v>380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</row>
    <row r="52" spans="1:59" x14ac:dyDescent="0.2">
      <c r="A52" s="131" t="s">
        <v>151</v>
      </c>
      <c r="B52" s="178">
        <f>0.1/0.044+$B$48</f>
        <v>2.760892958177231</v>
      </c>
      <c r="C52" s="178">
        <f>1/B52</f>
        <v>0.36220165546012689</v>
      </c>
      <c r="D52" s="131" t="s">
        <v>380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</row>
    <row r="53" spans="1:59" x14ac:dyDescent="0.2">
      <c r="A53" s="8"/>
      <c r="B53" s="20"/>
      <c r="C53" s="20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</row>
    <row r="54" spans="1:59" x14ac:dyDescent="0.2">
      <c r="A54" s="131" t="s">
        <v>153</v>
      </c>
      <c r="B54" s="177">
        <f>0.04/1.16+2*0.12/0.82+0.05+0.111+0.16</f>
        <v>0.6481656854499579</v>
      </c>
      <c r="C54" s="178">
        <f>1/B54</f>
        <v>1.5428153980502655</v>
      </c>
      <c r="D54" s="131" t="s">
        <v>65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</row>
    <row r="55" spans="1:59" x14ac:dyDescent="0.2">
      <c r="A55" s="131" t="s">
        <v>148</v>
      </c>
      <c r="B55" s="178">
        <f>0.025/0.044+$B$54</f>
        <v>1.2163475036317761</v>
      </c>
      <c r="C55" s="178">
        <f>1/B55</f>
        <v>0.82213347502600631</v>
      </c>
      <c r="D55" s="266" t="s">
        <v>381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</row>
    <row r="56" spans="1:59" x14ac:dyDescent="0.2">
      <c r="A56" s="131" t="s">
        <v>149</v>
      </c>
      <c r="B56" s="178">
        <f>0.05/0.044+$B$54</f>
        <v>1.7845293218135945</v>
      </c>
      <c r="C56" s="178">
        <f>1/B56</f>
        <v>0.56037185143235013</v>
      </c>
      <c r="D56" s="131" t="s">
        <v>380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</row>
    <row r="57" spans="1:59" x14ac:dyDescent="0.2">
      <c r="A57" s="131" t="s">
        <v>150</v>
      </c>
      <c r="B57" s="178">
        <f>0.075/0.044+$B$54</f>
        <v>2.3527111399954124</v>
      </c>
      <c r="C57" s="178">
        <f>1/B57</f>
        <v>0.42504155440091551</v>
      </c>
      <c r="D57" s="131" t="s">
        <v>380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</row>
    <row r="58" spans="1:59" x14ac:dyDescent="0.2">
      <c r="A58" s="131" t="s">
        <v>151</v>
      </c>
      <c r="B58" s="178">
        <f>0.1/0.044+$B$54</f>
        <v>2.9208929581772307</v>
      </c>
      <c r="C58" s="178">
        <f>1/B58</f>
        <v>0.34236105681327167</v>
      </c>
      <c r="D58" s="131" t="s">
        <v>380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</row>
    <row r="59" spans="1:59" x14ac:dyDescent="0.2">
      <c r="A59" s="8"/>
      <c r="B59" s="20"/>
      <c r="C59" s="20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</row>
    <row r="60" spans="1:59" x14ac:dyDescent="0.2">
      <c r="A60" s="131" t="s">
        <v>156</v>
      </c>
      <c r="B60" s="177">
        <f>0.02/1.16+0.17/0.82+0.05+0.111</f>
        <v>0.38555845248107656</v>
      </c>
      <c r="C60" s="178">
        <f>1/B60</f>
        <v>2.593640454683277</v>
      </c>
      <c r="D60" s="131" t="s">
        <v>66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</row>
    <row r="61" spans="1:59" x14ac:dyDescent="0.2">
      <c r="A61" s="131" t="s">
        <v>148</v>
      </c>
      <c r="B61" s="178">
        <f>0.025/0.044+$B$60</f>
        <v>0.9537402706628948</v>
      </c>
      <c r="C61" s="178">
        <f>1/B61</f>
        <v>1.0485034875427379</v>
      </c>
      <c r="D61" s="131" t="s">
        <v>382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</row>
    <row r="62" spans="1:59" x14ac:dyDescent="0.2">
      <c r="A62" s="131" t="s">
        <v>149</v>
      </c>
      <c r="B62" s="178">
        <f>0.05/0.044+$B$60</f>
        <v>1.5219220888447129</v>
      </c>
      <c r="C62" s="178">
        <f>1/B62</f>
        <v>0.65706385847852267</v>
      </c>
      <c r="D62" s="131" t="s">
        <v>380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</row>
    <row r="63" spans="1:59" x14ac:dyDescent="0.2">
      <c r="A63" s="131" t="s">
        <v>150</v>
      </c>
      <c r="B63" s="178">
        <f>0.075/0.044+$B$60</f>
        <v>2.0901039070265313</v>
      </c>
      <c r="C63" s="178">
        <f>1/B63</f>
        <v>0.47844511301002329</v>
      </c>
      <c r="D63" s="131" t="s">
        <v>380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</row>
    <row r="64" spans="1:59" x14ac:dyDescent="0.2">
      <c r="A64" s="131" t="s">
        <v>151</v>
      </c>
      <c r="B64" s="178">
        <f>0.1/0.044+$B$60</f>
        <v>2.6582857252083496</v>
      </c>
      <c r="C64" s="178">
        <f>1/B64</f>
        <v>0.37618228564260997</v>
      </c>
      <c r="D64" s="131" t="s">
        <v>380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</row>
    <row r="65" spans="1:59" x14ac:dyDescent="0.2">
      <c r="A65" s="8"/>
      <c r="B65" s="20"/>
      <c r="C65" s="20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</row>
    <row r="66" spans="1:59" x14ac:dyDescent="0.2">
      <c r="A66" s="131" t="s">
        <v>157</v>
      </c>
      <c r="B66" s="177">
        <f>0.04/1.16+0.12/0.82+0.05+0.111</f>
        <v>0.34182422203532381</v>
      </c>
      <c r="C66" s="178">
        <f>1/B66</f>
        <v>2.9254802191772731</v>
      </c>
      <c r="D66" s="131" t="s">
        <v>67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</row>
    <row r="67" spans="1:59" x14ac:dyDescent="0.2">
      <c r="A67" s="131" t="s">
        <v>148</v>
      </c>
      <c r="B67" s="178">
        <f>0.025/0.044+$B$66</f>
        <v>0.91000604021714204</v>
      </c>
      <c r="C67" s="178">
        <f>1/B67</f>
        <v>1.0988938048822006</v>
      </c>
      <c r="D67" s="131" t="s">
        <v>383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</row>
    <row r="68" spans="1:59" x14ac:dyDescent="0.2">
      <c r="A68" s="131" t="s">
        <v>149</v>
      </c>
      <c r="B68" s="178">
        <f>0.05/0.044+$B$66</f>
        <v>1.4781878583989603</v>
      </c>
      <c r="C68" s="178">
        <f>1/B68</f>
        <v>0.67650400070469374</v>
      </c>
      <c r="D68" s="131" t="s">
        <v>380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</row>
    <row r="69" spans="1:59" x14ac:dyDescent="0.2">
      <c r="A69" s="131" t="s">
        <v>150</v>
      </c>
      <c r="B69" s="178">
        <f>0.075/0.044+$B$66</f>
        <v>2.0463696765807784</v>
      </c>
      <c r="C69" s="178">
        <f>1/B69</f>
        <v>0.48867025906622691</v>
      </c>
      <c r="D69" s="131" t="s">
        <v>380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</row>
    <row r="70" spans="1:59" x14ac:dyDescent="0.2">
      <c r="A70" s="131" t="s">
        <v>151</v>
      </c>
      <c r="B70" s="178">
        <f>0.1/0.044+$B$66</f>
        <v>2.6145514947625967</v>
      </c>
      <c r="C70" s="178">
        <f>1/B70</f>
        <v>0.38247477703276245</v>
      </c>
      <c r="D70" s="131" t="s">
        <v>380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</row>
    <row r="71" spans="1:59" x14ac:dyDescent="0.2">
      <c r="A71" s="8"/>
      <c r="B71" s="20"/>
      <c r="C71" s="20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</row>
    <row r="72" spans="1:59" x14ac:dyDescent="0.2">
      <c r="A72" s="131" t="s">
        <v>384</v>
      </c>
      <c r="B72" s="177">
        <f>0.02/1.16+0.12/0.82+0.05+0.111+0.169</f>
        <v>0.49358284272497899</v>
      </c>
      <c r="C72" s="178">
        <f>1/B72</f>
        <v>2.0260023514577332</v>
      </c>
      <c r="D72" s="131" t="s">
        <v>385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</row>
    <row r="73" spans="1:59" x14ac:dyDescent="0.2">
      <c r="A73" s="131" t="s">
        <v>148</v>
      </c>
      <c r="B73" s="178">
        <f>0.025/0.044+$B$72</f>
        <v>1.0617646609067972</v>
      </c>
      <c r="C73" s="178">
        <f>1/B73</f>
        <v>0.94182829474278484</v>
      </c>
      <c r="D73" s="131" t="s">
        <v>386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</row>
    <row r="74" spans="1:59" x14ac:dyDescent="0.2">
      <c r="A74" s="131" t="s">
        <v>149</v>
      </c>
      <c r="B74" s="178">
        <f>0.05/0.044+$B$72</f>
        <v>1.6299464790886153</v>
      </c>
      <c r="C74" s="178">
        <f>1/B74</f>
        <v>0.61351707729639693</v>
      </c>
      <c r="D74" s="131" t="s">
        <v>380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</row>
    <row r="75" spans="1:59" x14ac:dyDescent="0.2">
      <c r="A75" s="131" t="s">
        <v>150</v>
      </c>
      <c r="B75" s="178">
        <f>0.075/0.044+$B$72</f>
        <v>2.1981282972704337</v>
      </c>
      <c r="C75" s="178">
        <f>1/B75</f>
        <v>0.45493249927302626</v>
      </c>
      <c r="D75" s="131" t="s">
        <v>380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</row>
    <row r="76" spans="1:59" x14ac:dyDescent="0.2">
      <c r="A76" s="131" t="s">
        <v>151</v>
      </c>
      <c r="B76" s="178">
        <f>0.1/0.044+$B$72</f>
        <v>2.766310115452252</v>
      </c>
      <c r="C76" s="178">
        <f>1/B76</f>
        <v>0.36149237007598273</v>
      </c>
      <c r="D76" s="131" t="s">
        <v>380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</row>
    <row r="77" spans="1:59" x14ac:dyDescent="0.2">
      <c r="A77" s="8"/>
      <c r="B77" s="35"/>
      <c r="C77" s="20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</row>
    <row r="78" spans="1:59" x14ac:dyDescent="0.2">
      <c r="A78" s="9" t="s">
        <v>426</v>
      </c>
      <c r="B78" s="238"/>
      <c r="C78" s="23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</row>
    <row r="79" spans="1:59" x14ac:dyDescent="0.2">
      <c r="A79" s="12"/>
      <c r="B79" s="35"/>
      <c r="C79" s="240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</row>
    <row r="80" spans="1:59" x14ac:dyDescent="0.2">
      <c r="A80" s="17" t="s">
        <v>418</v>
      </c>
      <c r="B80" s="8"/>
      <c r="C80" s="19"/>
      <c r="D80" s="8"/>
      <c r="E80" s="7"/>
      <c r="F80" s="7"/>
      <c r="G80" s="7"/>
      <c r="H80" s="7"/>
      <c r="I80" s="7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</row>
    <row r="81" spans="1:59" x14ac:dyDescent="0.2">
      <c r="A81" s="12" t="s">
        <v>130</v>
      </c>
      <c r="B81" s="8"/>
      <c r="C81" s="19"/>
      <c r="D81" s="8"/>
      <c r="E81" s="7"/>
      <c r="F81" s="7"/>
      <c r="G81" s="7"/>
      <c r="H81" s="7"/>
      <c r="I81" s="7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</row>
    <row r="82" spans="1:59" x14ac:dyDescent="0.2">
      <c r="A82" s="15"/>
      <c r="B82" s="25"/>
      <c r="C82" s="16"/>
      <c r="D82" s="155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</row>
    <row r="83" spans="1:59" x14ac:dyDescent="0.2">
      <c r="A83" s="53" t="s">
        <v>131</v>
      </c>
      <c r="B83" s="197" t="s">
        <v>132</v>
      </c>
      <c r="C83" s="123" t="s">
        <v>422</v>
      </c>
      <c r="D83" s="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</row>
    <row r="84" spans="1:59" x14ac:dyDescent="0.2">
      <c r="A84" s="32"/>
      <c r="B84" s="198" t="s">
        <v>133</v>
      </c>
      <c r="C84" s="243" t="s">
        <v>430</v>
      </c>
      <c r="D84" s="7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</row>
    <row r="85" spans="1:59" x14ac:dyDescent="0.2">
      <c r="A85" s="199" t="s">
        <v>387</v>
      </c>
      <c r="B85" s="131">
        <v>20</v>
      </c>
      <c r="C85" s="131">
        <v>5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</row>
    <row r="86" spans="1:59" x14ac:dyDescent="0.2">
      <c r="A86" s="199" t="s">
        <v>388</v>
      </c>
      <c r="B86" s="131">
        <v>20</v>
      </c>
      <c r="C86" s="131">
        <v>4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x14ac:dyDescent="0.2">
      <c r="A87" s="199" t="s">
        <v>389</v>
      </c>
      <c r="B87" s="131">
        <v>20</v>
      </c>
      <c r="C87" s="131">
        <v>3.7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</row>
    <row r="88" spans="1:59" x14ac:dyDescent="0.2">
      <c r="A88" s="199" t="s">
        <v>390</v>
      </c>
      <c r="B88" s="131">
        <v>20</v>
      </c>
      <c r="C88" s="131">
        <v>3.1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x14ac:dyDescent="0.2">
      <c r="A89" s="23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x14ac:dyDescent="0.2">
      <c r="A90" s="199" t="s">
        <v>134</v>
      </c>
      <c r="B90" s="131">
        <v>20</v>
      </c>
      <c r="C90" s="131">
        <v>6.4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x14ac:dyDescent="0.2">
      <c r="A91" s="199" t="s">
        <v>391</v>
      </c>
      <c r="B91" s="131">
        <v>20</v>
      </c>
      <c r="C91" s="131">
        <v>4.8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x14ac:dyDescent="0.2">
      <c r="A92" s="199" t="s">
        <v>392</v>
      </c>
      <c r="B92" s="177">
        <v>20</v>
      </c>
      <c r="C92" s="178">
        <v>4.4000000000000004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</row>
    <row r="93" spans="1:59" x14ac:dyDescent="0.2">
      <c r="A93" s="199" t="s">
        <v>393</v>
      </c>
      <c r="B93" s="177"/>
      <c r="C93" s="178">
        <v>3.6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</row>
    <row r="94" spans="1:59" x14ac:dyDescent="0.2">
      <c r="A94" s="231"/>
      <c r="B94" s="35"/>
      <c r="C94" s="20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</row>
    <row r="95" spans="1:59" x14ac:dyDescent="0.2">
      <c r="A95" s="199" t="s">
        <v>135</v>
      </c>
      <c r="B95" s="177">
        <v>20</v>
      </c>
      <c r="C95" s="178">
        <v>6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</row>
    <row r="96" spans="1:59" x14ac:dyDescent="0.2">
      <c r="A96" s="199" t="s">
        <v>394</v>
      </c>
      <c r="B96" s="177">
        <v>20</v>
      </c>
      <c r="C96" s="178">
        <v>4.5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</row>
    <row r="97" spans="1:59" x14ac:dyDescent="0.2">
      <c r="A97" s="199" t="s">
        <v>395</v>
      </c>
      <c r="B97" s="177">
        <v>20</v>
      </c>
      <c r="C97" s="178">
        <v>4.0999999999999996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</row>
    <row r="98" spans="1:59" x14ac:dyDescent="0.2">
      <c r="A98" s="199" t="s">
        <v>396</v>
      </c>
      <c r="B98" s="177">
        <v>20</v>
      </c>
      <c r="C98" s="178">
        <v>3.4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</row>
    <row r="99" spans="1:59" x14ac:dyDescent="0.2">
      <c r="A99" s="8"/>
      <c r="B99" s="35"/>
      <c r="C99" s="20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</row>
    <row r="100" spans="1:59" x14ac:dyDescent="0.2">
      <c r="A100" s="53" t="s">
        <v>131</v>
      </c>
      <c r="B100" s="197" t="s">
        <v>132</v>
      </c>
      <c r="C100" s="123" t="s">
        <v>423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1:59" x14ac:dyDescent="0.2">
      <c r="A101" s="126"/>
      <c r="B101" s="241"/>
      <c r="C101" s="124" t="s">
        <v>424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59" x14ac:dyDescent="0.2">
      <c r="A102" s="32"/>
      <c r="B102" s="242" t="s">
        <v>133</v>
      </c>
      <c r="C102" s="243" t="s">
        <v>431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1:59" x14ac:dyDescent="0.2">
      <c r="A103" s="199" t="s">
        <v>387</v>
      </c>
      <c r="B103" s="131">
        <v>20</v>
      </c>
      <c r="C103" s="57">
        <v>2.9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1:59" x14ac:dyDescent="0.2">
      <c r="A104" s="199" t="s">
        <v>388</v>
      </c>
      <c r="B104" s="131">
        <v>20</v>
      </c>
      <c r="C104" s="131">
        <v>2.5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</row>
    <row r="105" spans="1:59" x14ac:dyDescent="0.2">
      <c r="A105" s="199" t="s">
        <v>389</v>
      </c>
      <c r="B105" s="131">
        <v>20</v>
      </c>
      <c r="C105" s="131">
        <v>2.4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</row>
    <row r="106" spans="1:59" x14ac:dyDescent="0.2">
      <c r="A106" s="236"/>
      <c r="B106" s="14"/>
      <c r="C106" s="10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</row>
    <row r="107" spans="1:59" x14ac:dyDescent="0.2">
      <c r="A107" s="199" t="s">
        <v>134</v>
      </c>
      <c r="B107" s="131">
        <v>20</v>
      </c>
      <c r="C107" s="131">
        <v>4.3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</row>
    <row r="108" spans="1:59" x14ac:dyDescent="0.2">
      <c r="A108" s="199" t="s">
        <v>391</v>
      </c>
      <c r="B108" s="131">
        <v>20</v>
      </c>
      <c r="C108" s="131">
        <v>3.6</v>
      </c>
      <c r="D108" s="8"/>
      <c r="E108" s="8"/>
      <c r="F108" s="72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</row>
    <row r="109" spans="1:59" x14ac:dyDescent="0.2">
      <c r="A109" s="199" t="s">
        <v>392</v>
      </c>
      <c r="B109" s="177">
        <v>20</v>
      </c>
      <c r="C109" s="178">
        <v>3.3</v>
      </c>
      <c r="D109" s="8"/>
      <c r="E109" s="7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</row>
    <row r="110" spans="1:59" x14ac:dyDescent="0.2">
      <c r="A110" s="231"/>
      <c r="C110" s="16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</row>
    <row r="111" spans="1:59" x14ac:dyDescent="0.2">
      <c r="A111" s="199" t="s">
        <v>135</v>
      </c>
      <c r="B111" s="177">
        <v>20</v>
      </c>
      <c r="C111" s="178">
        <v>3.4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</row>
    <row r="112" spans="1:59" x14ac:dyDescent="0.2">
      <c r="A112" s="199" t="s">
        <v>394</v>
      </c>
      <c r="B112" s="177">
        <v>20</v>
      </c>
      <c r="C112" s="178">
        <v>3.1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</row>
    <row r="113" spans="1:59" x14ac:dyDescent="0.2">
      <c r="A113" s="199" t="s">
        <v>395</v>
      </c>
      <c r="B113" s="177">
        <v>20</v>
      </c>
      <c r="C113" s="178">
        <v>2.9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1:59" x14ac:dyDescent="0.2">
      <c r="A114" s="17"/>
      <c r="B114" s="35"/>
      <c r="C114" s="20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1:59" x14ac:dyDescent="0.2">
      <c r="A115" s="53" t="s">
        <v>425</v>
      </c>
      <c r="B115" s="14"/>
      <c r="C115" s="14"/>
      <c r="D115" s="14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1:59" x14ac:dyDescent="0.2">
      <c r="A116" s="199" t="s">
        <v>427</v>
      </c>
      <c r="B116" s="199" t="s">
        <v>2</v>
      </c>
      <c r="C116" s="234">
        <v>2.64</v>
      </c>
      <c r="D116" s="199" t="s">
        <v>2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1:59" x14ac:dyDescent="0.2">
      <c r="A117" s="199" t="s">
        <v>428</v>
      </c>
      <c r="B117" s="131"/>
      <c r="C117" s="131">
        <v>4.05</v>
      </c>
      <c r="D117" s="131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1:59" x14ac:dyDescent="0.2">
      <c r="A118" s="199" t="s">
        <v>429</v>
      </c>
      <c r="B118" s="177"/>
      <c r="C118" s="131">
        <v>2.2200000000000002</v>
      </c>
      <c r="D118" s="131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1:59" x14ac:dyDescent="0.2">
      <c r="A119" s="8"/>
      <c r="B119" s="35"/>
      <c r="C119" s="20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1:59" x14ac:dyDescent="0.2">
      <c r="A120" s="53" t="s">
        <v>13</v>
      </c>
      <c r="B120" s="14"/>
      <c r="C120" s="14"/>
      <c r="D120" s="14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1:59" x14ac:dyDescent="0.2">
      <c r="A121" s="199" t="s">
        <v>68</v>
      </c>
      <c r="B121" s="199" t="s">
        <v>2</v>
      </c>
      <c r="C121" s="235">
        <v>0.72</v>
      </c>
      <c r="D121" s="199" t="s">
        <v>432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1:59" x14ac:dyDescent="0.2">
      <c r="A122" s="199" t="s">
        <v>397</v>
      </c>
      <c r="B122" s="131"/>
      <c r="C122" s="235">
        <f>1/(1/C121+0.05/0.19)</f>
        <v>0.60530973451327441</v>
      </c>
      <c r="D122" s="131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1:59" x14ac:dyDescent="0.2">
      <c r="A123" s="199" t="s">
        <v>398</v>
      </c>
      <c r="B123" s="177"/>
      <c r="C123" s="235">
        <f>1/(1/C121+0.1/0.19)</f>
        <v>0.52213740458015268</v>
      </c>
      <c r="D123" s="131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1:59" x14ac:dyDescent="0.2">
      <c r="A124" s="199" t="s">
        <v>443</v>
      </c>
      <c r="B124" s="177"/>
      <c r="C124" s="235">
        <f>1/(1/C121+0.025/0.019)</f>
        <v>0.36972972972972973</v>
      </c>
      <c r="D124" s="131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1:59" x14ac:dyDescent="0.2">
      <c r="A125" s="8"/>
      <c r="B125" s="35"/>
      <c r="C125" s="20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1:59" x14ac:dyDescent="0.2">
      <c r="A126" s="8"/>
      <c r="B126" s="35"/>
      <c r="C126" s="20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1:59" x14ac:dyDescent="0.2">
      <c r="A127" s="8"/>
      <c r="B127" s="35"/>
      <c r="C127" s="20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1:59" x14ac:dyDescent="0.2">
      <c r="A128" s="8"/>
      <c r="B128" s="35"/>
      <c r="C128" s="20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1:59" x14ac:dyDescent="0.2">
      <c r="A129" s="8"/>
      <c r="B129" s="35"/>
      <c r="C129" s="20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1:59" x14ac:dyDescent="0.2">
      <c r="A130" s="8"/>
      <c r="B130" s="35"/>
      <c r="C130" s="20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1:59" x14ac:dyDescent="0.2">
      <c r="A131" s="8"/>
      <c r="B131" s="35"/>
      <c r="C131" s="20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1:59" x14ac:dyDescent="0.2">
      <c r="A132" s="8"/>
      <c r="B132" s="35"/>
      <c r="C132" s="20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1:59" x14ac:dyDescent="0.2">
      <c r="A133" s="8"/>
      <c r="B133" s="35"/>
      <c r="C133" s="20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1:59" x14ac:dyDescent="0.2">
      <c r="A134" s="8"/>
      <c r="B134" s="35"/>
      <c r="C134" s="20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1:59" x14ac:dyDescent="0.2">
      <c r="A135" s="8"/>
      <c r="B135" s="35"/>
      <c r="C135" s="20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1:59" x14ac:dyDescent="0.2">
      <c r="A136" s="8"/>
      <c r="B136" s="35"/>
      <c r="C136" s="20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1:59" x14ac:dyDescent="0.2">
      <c r="A137" s="8"/>
      <c r="B137" s="35"/>
      <c r="C137" s="20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1:59" x14ac:dyDescent="0.2">
      <c r="A138" s="8"/>
      <c r="B138" s="35"/>
      <c r="C138" s="20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1:59" x14ac:dyDescent="0.2">
      <c r="A139" s="8"/>
      <c r="B139" s="35"/>
      <c r="C139" s="20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1:59" x14ac:dyDescent="0.2">
      <c r="A140" s="8"/>
      <c r="B140" s="35"/>
      <c r="C140" s="20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1:59" x14ac:dyDescent="0.2">
      <c r="A141" s="8"/>
      <c r="B141" s="35"/>
      <c r="C141" s="20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1:59" x14ac:dyDescent="0.2">
      <c r="A142" s="8"/>
      <c r="B142" s="35"/>
      <c r="C142" s="20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1:59" x14ac:dyDescent="0.2">
      <c r="A143" s="8"/>
      <c r="B143" s="35"/>
      <c r="C143" s="20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1:59" x14ac:dyDescent="0.2">
      <c r="A144" s="8"/>
      <c r="B144" s="35"/>
      <c r="C144" s="20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1:59" x14ac:dyDescent="0.2">
      <c r="A145" s="8"/>
      <c r="B145" s="35"/>
      <c r="C145" s="20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1:59" x14ac:dyDescent="0.2">
      <c r="A146" s="8"/>
      <c r="B146" s="35"/>
      <c r="C146" s="20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1:59" x14ac:dyDescent="0.2">
      <c r="A147" s="8"/>
      <c r="B147" s="35"/>
      <c r="C147" s="20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1:59" x14ac:dyDescent="0.2">
      <c r="A148" s="8"/>
      <c r="B148" s="35"/>
      <c r="C148" s="20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1:59" x14ac:dyDescent="0.2">
      <c r="A149" s="8"/>
      <c r="B149" s="35"/>
      <c r="C149" s="20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1:59" x14ac:dyDescent="0.2">
      <c r="A150" s="8"/>
      <c r="B150" s="35"/>
      <c r="C150" s="20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1:59" x14ac:dyDescent="0.2">
      <c r="A151" s="8"/>
      <c r="B151" s="35"/>
      <c r="C151" s="20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1:59" x14ac:dyDescent="0.2">
      <c r="A152" s="8"/>
      <c r="B152" s="35"/>
      <c r="C152" s="20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1:59" x14ac:dyDescent="0.2">
      <c r="A153" s="8"/>
      <c r="B153" s="35"/>
      <c r="C153" s="20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1:59" x14ac:dyDescent="0.2">
      <c r="A154" s="8"/>
      <c r="B154" s="35"/>
      <c r="C154" s="2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1:59" x14ac:dyDescent="0.2">
      <c r="A155" s="8"/>
      <c r="B155" s="35"/>
      <c r="C155" s="20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1:59" x14ac:dyDescent="0.2">
      <c r="A156" s="8"/>
      <c r="B156" s="35"/>
      <c r="C156" s="20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1:59" x14ac:dyDescent="0.2">
      <c r="A157" s="8"/>
      <c r="B157" s="35"/>
      <c r="C157" s="20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1:59" x14ac:dyDescent="0.2">
      <c r="A158" s="8"/>
      <c r="B158" s="35"/>
      <c r="C158" s="20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1:59" x14ac:dyDescent="0.2">
      <c r="A159" s="8"/>
      <c r="B159" s="35"/>
      <c r="C159" s="20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1:59" x14ac:dyDescent="0.2">
      <c r="A160" s="8"/>
      <c r="B160" s="35"/>
      <c r="C160" s="20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1:59" x14ac:dyDescent="0.2">
      <c r="A161" s="8"/>
      <c r="B161" s="35"/>
      <c r="C161" s="20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1:59" x14ac:dyDescent="0.2">
      <c r="A162" s="8"/>
      <c r="B162" s="35"/>
      <c r="C162" s="20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1:59" x14ac:dyDescent="0.2">
      <c r="A163" s="8"/>
      <c r="B163" s="35"/>
      <c r="C163" s="20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1:59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1:59" x14ac:dyDescent="0.2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1:59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1:59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1:59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1:59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1:59" x14ac:dyDescent="0.2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1:59" x14ac:dyDescent="0.2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1:59" x14ac:dyDescent="0.2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1:59" x14ac:dyDescent="0.2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1:59" x14ac:dyDescent="0.2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1:59" x14ac:dyDescent="0.2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1:59" x14ac:dyDescent="0.2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1:59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1:59" x14ac:dyDescent="0.2">
      <c r="A178" s="8"/>
      <c r="B178" s="8"/>
      <c r="C178" s="61"/>
      <c r="D178" s="8" t="s">
        <v>2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1:59" x14ac:dyDescent="0.2">
      <c r="A179" s="8"/>
      <c r="B179" s="8" t="s">
        <v>2</v>
      </c>
      <c r="C179" s="61"/>
      <c r="D179" s="8" t="s">
        <v>2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1:59" x14ac:dyDescent="0.2">
      <c r="A180" s="200"/>
      <c r="B180" s="167"/>
      <c r="C180" s="167"/>
      <c r="D180" s="167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1:59" x14ac:dyDescent="0.2">
      <c r="A181" s="155"/>
      <c r="B181" s="167"/>
      <c r="C181" s="173"/>
      <c r="D181" s="173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1:59" x14ac:dyDescent="0.2">
      <c r="A182" s="7"/>
      <c r="B182" s="167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1:59" x14ac:dyDescent="0.2">
      <c r="A183" s="72"/>
      <c r="B183" s="167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1:59" x14ac:dyDescent="0.2">
      <c r="A184" s="8"/>
      <c r="B184" s="16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1:59" x14ac:dyDescent="0.2">
      <c r="A185" s="8"/>
      <c r="B185" s="16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1:59" x14ac:dyDescent="0.2">
      <c r="A186" s="7"/>
      <c r="B186" s="167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1:59" x14ac:dyDescent="0.2">
      <c r="A187" s="8"/>
      <c r="B187" s="167"/>
      <c r="C187" s="35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1:59" x14ac:dyDescent="0.2">
      <c r="A188" s="8"/>
      <c r="B188" s="167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1:59" x14ac:dyDescent="0.2">
      <c r="A189" s="7" t="s">
        <v>399</v>
      </c>
      <c r="B189" s="167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1:59" ht="13.5" thickBot="1" x14ac:dyDescent="0.25">
      <c r="A190" s="8"/>
      <c r="B190" s="167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1:59" x14ac:dyDescent="0.2">
      <c r="A191" s="64" t="s">
        <v>32</v>
      </c>
      <c r="B191" s="201"/>
      <c r="C191" s="202" t="s">
        <v>31</v>
      </c>
      <c r="D191" s="203" t="s">
        <v>12</v>
      </c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1:59" ht="13.5" thickBot="1" x14ac:dyDescent="0.25">
      <c r="A192" s="31"/>
      <c r="B192" s="204"/>
      <c r="C192" s="45"/>
      <c r="D192" s="205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1:59" x14ac:dyDescent="0.2">
      <c r="A193" s="17" t="s">
        <v>44</v>
      </c>
      <c r="B193" s="167"/>
      <c r="C193" s="126" t="s">
        <v>45</v>
      </c>
      <c r="D193" s="62"/>
      <c r="E193" s="8" t="s">
        <v>2</v>
      </c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1:59" x14ac:dyDescent="0.2">
      <c r="A194" s="12" t="s">
        <v>33</v>
      </c>
      <c r="B194" s="167"/>
      <c r="C194" s="125">
        <f>0.3/0.44</f>
        <v>0.68181818181818177</v>
      </c>
      <c r="D194" s="62" t="s">
        <v>38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1:59" x14ac:dyDescent="0.2">
      <c r="A195" s="12" t="s">
        <v>34</v>
      </c>
      <c r="B195" s="167"/>
      <c r="C195" s="125">
        <f>0.05/0.044</f>
        <v>1.1363636363636365</v>
      </c>
      <c r="D195" s="62" t="s">
        <v>39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1:59" x14ac:dyDescent="0.2">
      <c r="A196" s="12" t="s">
        <v>35</v>
      </c>
      <c r="B196" s="167"/>
      <c r="C196" s="125">
        <f>0.075/0.044</f>
        <v>1.7045454545454546</v>
      </c>
      <c r="D196" s="62" t="s">
        <v>2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1:59" x14ac:dyDescent="0.2">
      <c r="A197" s="12" t="s">
        <v>36</v>
      </c>
      <c r="B197" s="167"/>
      <c r="C197" s="125">
        <f>0.1/0.044</f>
        <v>2.2727272727272729</v>
      </c>
      <c r="D197" s="62" t="s">
        <v>2</v>
      </c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1:59" x14ac:dyDescent="0.2">
      <c r="A198" s="17" t="s">
        <v>46</v>
      </c>
      <c r="B198" s="167"/>
      <c r="C198" s="62"/>
      <c r="D198" s="62" t="s">
        <v>2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1:59" x14ac:dyDescent="0.2">
      <c r="A199" s="12" t="s">
        <v>41</v>
      </c>
      <c r="B199" s="167"/>
      <c r="C199" s="125">
        <f>0.01/0.025</f>
        <v>0.39999999999999997</v>
      </c>
      <c r="D199" s="62" t="s">
        <v>42</v>
      </c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1:59" x14ac:dyDescent="0.2">
      <c r="A200" s="12" t="s">
        <v>33</v>
      </c>
      <c r="B200" s="167"/>
      <c r="C200" s="125">
        <f>0.025/0.025</f>
        <v>1</v>
      </c>
      <c r="D200" s="62" t="s">
        <v>42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1:59" x14ac:dyDescent="0.2">
      <c r="A201" s="12" t="s">
        <v>34</v>
      </c>
      <c r="B201" s="167"/>
      <c r="C201" s="125">
        <f>0.05/0.025</f>
        <v>2</v>
      </c>
      <c r="D201" s="62" t="s">
        <v>42</v>
      </c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1:59" x14ac:dyDescent="0.2">
      <c r="A202" s="12" t="s">
        <v>35</v>
      </c>
      <c r="B202" s="167"/>
      <c r="C202" s="125">
        <f>0.075/0.025</f>
        <v>2.9999999999999996</v>
      </c>
      <c r="D202" s="62" t="s">
        <v>42</v>
      </c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1:59" x14ac:dyDescent="0.2">
      <c r="A203" s="12" t="s">
        <v>36</v>
      </c>
      <c r="B203" s="167"/>
      <c r="C203" s="125">
        <f>0.1/0.025</f>
        <v>4</v>
      </c>
      <c r="D203" s="62" t="s">
        <v>42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1:59" x14ac:dyDescent="0.2">
      <c r="A204" s="12" t="s">
        <v>41</v>
      </c>
      <c r="B204" s="167"/>
      <c r="C204" s="125">
        <f>0.01/0.019</f>
        <v>0.52631578947368418</v>
      </c>
      <c r="D204" s="62" t="s">
        <v>43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1:59" x14ac:dyDescent="0.2">
      <c r="A205" s="12" t="s">
        <v>33</v>
      </c>
      <c r="B205" s="167"/>
      <c r="C205" s="125">
        <f>0.025/0.019</f>
        <v>1.3157894736842106</v>
      </c>
      <c r="D205" s="62" t="str">
        <f>+D204</f>
        <v>Tipo rígido</v>
      </c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1:59" x14ac:dyDescent="0.2">
      <c r="A206" s="12" t="s">
        <v>34</v>
      </c>
      <c r="B206" s="167"/>
      <c r="C206" s="125">
        <f>0.05/0.019</f>
        <v>2.6315789473684212</v>
      </c>
      <c r="D206" s="62" t="s">
        <v>43</v>
      </c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1:59" x14ac:dyDescent="0.2">
      <c r="A207" s="12" t="s">
        <v>35</v>
      </c>
      <c r="B207" s="167"/>
      <c r="C207" s="125">
        <f>0.075/0.019</f>
        <v>3.9473684210526314</v>
      </c>
      <c r="D207" s="62" t="s">
        <v>43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1:59" x14ac:dyDescent="0.2">
      <c r="A208" s="12" t="s">
        <v>36</v>
      </c>
      <c r="B208" s="167"/>
      <c r="C208" s="125">
        <f>0.1/0.019</f>
        <v>5.2631578947368425</v>
      </c>
      <c r="D208" s="62" t="s">
        <v>43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1:59" x14ac:dyDescent="0.2">
      <c r="A209" s="17" t="s">
        <v>47</v>
      </c>
      <c r="B209" s="167"/>
      <c r="C209" s="62"/>
      <c r="D209" s="62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1:59" x14ac:dyDescent="0.2">
      <c r="A210" s="12" t="s">
        <v>48</v>
      </c>
      <c r="B210" s="167"/>
      <c r="C210" s="125">
        <f>0.05/0.056</f>
        <v>0.8928571428571429</v>
      </c>
      <c r="D210" s="62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1:59" x14ac:dyDescent="0.2">
      <c r="A211" s="12" t="s">
        <v>50</v>
      </c>
      <c r="B211" s="167"/>
      <c r="C211" s="125">
        <f>0.003/0.056</f>
        <v>5.3571428571428568E-2</v>
      </c>
      <c r="D211" s="62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1:59" x14ac:dyDescent="0.2">
      <c r="A212" s="12" t="s">
        <v>51</v>
      </c>
      <c r="B212" s="167"/>
      <c r="C212" s="125">
        <f>0.005/0.056</f>
        <v>8.9285714285714288E-2</v>
      </c>
      <c r="D212" s="62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1:59" x14ac:dyDescent="0.2">
      <c r="A213" s="17" t="s">
        <v>49</v>
      </c>
      <c r="B213" s="167"/>
      <c r="C213" s="125"/>
      <c r="D213" s="62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1:59" x14ac:dyDescent="0.2">
      <c r="A214" s="12" t="s">
        <v>34</v>
      </c>
      <c r="B214" s="167"/>
      <c r="C214" s="125">
        <f>0.05/0.16</f>
        <v>0.3125</v>
      </c>
      <c r="D214" s="62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1:59" x14ac:dyDescent="0.2">
      <c r="A215" s="12" t="s">
        <v>36</v>
      </c>
      <c r="B215" s="167"/>
      <c r="C215" s="125">
        <f>0.1/0.16</f>
        <v>0.625</v>
      </c>
      <c r="D215" s="62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1:59" x14ac:dyDescent="0.2">
      <c r="A216" s="12" t="s">
        <v>52</v>
      </c>
      <c r="B216" s="167"/>
      <c r="C216" s="125">
        <f>0.15/0.16</f>
        <v>0.9375</v>
      </c>
      <c r="D216" s="62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1:59" x14ac:dyDescent="0.2">
      <c r="A217" s="17" t="s">
        <v>53</v>
      </c>
      <c r="B217" s="167"/>
      <c r="C217" s="125"/>
      <c r="D217" s="62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1:59" x14ac:dyDescent="0.2">
      <c r="A218" s="12" t="s">
        <v>54</v>
      </c>
      <c r="B218" s="167"/>
      <c r="C218" s="125">
        <f>0.012/0.2</f>
        <v>0.06</v>
      </c>
      <c r="D218" s="62" t="s">
        <v>58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1:59" x14ac:dyDescent="0.2">
      <c r="A219" s="12" t="s">
        <v>55</v>
      </c>
      <c r="B219" s="167"/>
      <c r="C219" s="125">
        <f>0.019/0.2</f>
        <v>9.4999999999999987E-2</v>
      </c>
      <c r="D219" s="62" t="s">
        <v>58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1:59" x14ac:dyDescent="0.2">
      <c r="A220" s="12" t="s">
        <v>56</v>
      </c>
      <c r="B220" s="167"/>
      <c r="C220" s="125">
        <f>0.025/0.2</f>
        <v>0.125</v>
      </c>
      <c r="D220" s="62" t="s">
        <v>58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1:59" x14ac:dyDescent="0.2">
      <c r="A221" s="12" t="s">
        <v>57</v>
      </c>
      <c r="B221" s="167"/>
      <c r="C221" s="125">
        <f>0.05/0.2</f>
        <v>0.25</v>
      </c>
      <c r="D221" s="62" t="s">
        <v>58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1:59" x14ac:dyDescent="0.2">
      <c r="A222" s="12" t="s">
        <v>60</v>
      </c>
      <c r="B222" s="167"/>
      <c r="C222" s="62"/>
      <c r="D222" s="62"/>
      <c r="E222" s="167"/>
      <c r="F222" s="167"/>
      <c r="G222" s="167"/>
      <c r="H222" s="167"/>
      <c r="I222" s="167"/>
      <c r="J222" s="167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1:59" x14ac:dyDescent="0.2">
      <c r="A223" s="12" t="s">
        <v>61</v>
      </c>
      <c r="B223" s="167"/>
      <c r="C223" s="62"/>
      <c r="D223" s="62"/>
      <c r="E223" s="167"/>
      <c r="F223" s="167"/>
      <c r="G223" s="167"/>
      <c r="H223" s="167"/>
      <c r="I223" s="167"/>
      <c r="J223" s="167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1:59" x14ac:dyDescent="0.2">
      <c r="A224" s="12" t="s">
        <v>59</v>
      </c>
      <c r="B224" s="167"/>
      <c r="C224" s="62"/>
      <c r="D224" s="62"/>
      <c r="E224" s="167"/>
      <c r="F224" s="167"/>
      <c r="G224" s="167"/>
      <c r="H224" s="167"/>
      <c r="I224" s="167"/>
      <c r="J224" s="167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1:59" x14ac:dyDescent="0.2">
      <c r="A225" s="15" t="s">
        <v>62</v>
      </c>
      <c r="B225" s="167"/>
      <c r="C225" s="57"/>
      <c r="D225" s="57"/>
      <c r="E225" s="167"/>
      <c r="F225" s="167"/>
      <c r="G225" s="167"/>
      <c r="H225" s="167"/>
      <c r="I225" s="167"/>
      <c r="J225" s="167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1:59" x14ac:dyDescent="0.2">
      <c r="A226" s="8"/>
      <c r="B226" s="167"/>
      <c r="C226" s="8"/>
      <c r="D226" s="8"/>
      <c r="E226" s="167"/>
      <c r="F226" s="167"/>
      <c r="G226" s="167"/>
      <c r="H226" s="167"/>
      <c r="I226" s="167"/>
      <c r="J226" s="167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1:59" x14ac:dyDescent="0.2">
      <c r="B227" s="167"/>
      <c r="E227" s="167"/>
      <c r="F227" s="167"/>
      <c r="G227" s="167"/>
      <c r="H227" s="167"/>
      <c r="I227" s="167"/>
      <c r="J227" s="167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1:59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1:59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1:59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1:59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1:59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1:59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1:59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1:59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1:59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1:59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1:59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1:59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1:59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1:59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1:59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1:59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1:59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1:59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1:59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1:59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1:59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1:59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1:59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1:59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1:59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1:59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1:59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1:59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1:59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1:59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1:59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1:59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1:59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1:59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1:59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1:59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1:59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1:59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1:59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1:59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1:59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1:59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1:59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1:59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1:59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1:59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1:59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1:59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1:59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1:59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1:59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1:59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1:59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1:59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1:59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1:59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1:59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1:59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1:59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1:59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1:59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1:59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1:59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1:59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1:59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1:59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1:59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1:59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1:59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1:59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1:59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1:59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1:59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1:59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1:59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1:59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1:59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1:59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1:59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1:59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1:59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1:59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1:59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1:59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1:59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1:59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1:59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1:59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1:59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1:59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1:59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1:59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1:59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1:59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1:59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1:59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1:59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1:59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1:59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1:59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1:59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1:59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1:59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1:59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1:59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1:59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1:59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1:59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1:59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1:59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1:59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1:59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1:59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1:59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1:59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1:59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1:59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1:59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1:59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1:59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1:59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1:59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1:59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1:59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1:59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1:59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1:59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1:59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1:59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1:59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1:59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1:59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1:59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1:59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1:59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1:59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1:59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1:59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  <row r="366" spans="1:59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</row>
    <row r="367" spans="1:59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</row>
    <row r="368" spans="1:59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</row>
    <row r="369" spans="1:59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</row>
    <row r="370" spans="1:59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</row>
    <row r="371" spans="1:59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</row>
    <row r="372" spans="1:59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</row>
    <row r="373" spans="1:59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</row>
    <row r="374" spans="1:59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</row>
    <row r="375" spans="1:59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</row>
    <row r="376" spans="1:59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</row>
    <row r="377" spans="1:59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</row>
    <row r="378" spans="1:59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</row>
    <row r="379" spans="1:59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</row>
    <row r="380" spans="1:59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</row>
    <row r="381" spans="1:59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</row>
    <row r="382" spans="1:59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</row>
    <row r="383" spans="1:59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</row>
    <row r="384" spans="1:59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</row>
    <row r="385" spans="1:59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</row>
    <row r="386" spans="1:59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</row>
    <row r="387" spans="1:59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</row>
    <row r="388" spans="1:59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</row>
    <row r="389" spans="1:59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</row>
    <row r="390" spans="1:59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</row>
    <row r="391" spans="1:59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</row>
    <row r="392" spans="1:59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</row>
    <row r="393" spans="1:59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</row>
    <row r="394" spans="1:59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</row>
    <row r="395" spans="1:59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</row>
    <row r="396" spans="1:59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</row>
    <row r="397" spans="1:59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</row>
    <row r="398" spans="1:59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</row>
    <row r="399" spans="1:59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</row>
    <row r="400" spans="1:59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</row>
    <row r="401" spans="1:59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</row>
    <row r="402" spans="1:59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</row>
    <row r="403" spans="1:59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</row>
    <row r="404" spans="1:59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</row>
    <row r="405" spans="1:59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</row>
    <row r="406" spans="1:59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</row>
    <row r="407" spans="1:59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</row>
    <row r="408" spans="1:59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</row>
    <row r="409" spans="1:59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</row>
    <row r="410" spans="1:59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</row>
    <row r="411" spans="1:59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</row>
    <row r="412" spans="1:59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</row>
    <row r="413" spans="1:59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</row>
    <row r="414" spans="1:59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</row>
    <row r="415" spans="1:59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</row>
    <row r="416" spans="1:59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</row>
    <row r="417" spans="1:59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</row>
    <row r="418" spans="1:59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</row>
    <row r="419" spans="1:59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</row>
    <row r="420" spans="1:59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</row>
    <row r="421" spans="1:59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</row>
    <row r="422" spans="1:59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</row>
    <row r="423" spans="1:59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</row>
    <row r="424" spans="1:59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</row>
    <row r="425" spans="1:59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</row>
    <row r="426" spans="1:59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</row>
    <row r="427" spans="1:59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</row>
    <row r="428" spans="1:59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</row>
    <row r="429" spans="1:59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</row>
    <row r="430" spans="1:59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</row>
    <row r="431" spans="1:59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</row>
    <row r="432" spans="1:59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</row>
    <row r="433" spans="1:59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</row>
    <row r="434" spans="1:59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</row>
    <row r="435" spans="1:59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</row>
    <row r="436" spans="1:59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</row>
    <row r="437" spans="1:59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</row>
    <row r="438" spans="1:59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</row>
    <row r="439" spans="1:59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</row>
    <row r="440" spans="1:59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</row>
    <row r="441" spans="1:59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</row>
    <row r="442" spans="1:59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</row>
    <row r="443" spans="1:59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</row>
    <row r="444" spans="1:59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</row>
    <row r="445" spans="1:59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</row>
    <row r="446" spans="1:59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</row>
    <row r="447" spans="1:59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</row>
    <row r="448" spans="1:59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</row>
    <row r="449" spans="1:59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</row>
    <row r="450" spans="1:59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</row>
    <row r="451" spans="1:59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</row>
    <row r="452" spans="1:59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</row>
    <row r="453" spans="1:59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</row>
    <row r="454" spans="1:59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</row>
    <row r="455" spans="1:59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</row>
    <row r="456" spans="1:59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</row>
    <row r="457" spans="1:59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</row>
    <row r="458" spans="1:59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</row>
    <row r="459" spans="1:59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</row>
    <row r="460" spans="1:59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</row>
    <row r="461" spans="1:59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</row>
    <row r="462" spans="1:59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</row>
    <row r="463" spans="1:59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</row>
    <row r="464" spans="1:59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</row>
    <row r="465" spans="1:59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</row>
    <row r="466" spans="1:59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</row>
    <row r="467" spans="1:59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</row>
    <row r="468" spans="1:59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</row>
    <row r="469" spans="1:59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</row>
    <row r="470" spans="1:59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</row>
    <row r="471" spans="1:59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</row>
    <row r="472" spans="1:59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</row>
    <row r="473" spans="1:59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</row>
    <row r="474" spans="1:59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</row>
    <row r="475" spans="1:59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</row>
    <row r="476" spans="1:59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</row>
    <row r="477" spans="1:59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</row>
    <row r="478" spans="1:59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</row>
    <row r="479" spans="1:59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</row>
    <row r="480" spans="1:59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</row>
    <row r="481" spans="1:59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</row>
    <row r="482" spans="1:59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</row>
    <row r="483" spans="1:59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</row>
    <row r="484" spans="1:59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</row>
    <row r="485" spans="1:59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</row>
    <row r="486" spans="1:59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</row>
    <row r="487" spans="1:59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</row>
    <row r="488" spans="1:59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</row>
    <row r="489" spans="1:59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</row>
    <row r="490" spans="1:59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</row>
    <row r="491" spans="1:59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</row>
    <row r="492" spans="1:59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</row>
    <row r="493" spans="1:59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</row>
    <row r="494" spans="1:59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</row>
    <row r="495" spans="1:59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</row>
    <row r="496" spans="1:59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</row>
    <row r="497" spans="1:59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</row>
    <row r="498" spans="1:59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</row>
    <row r="499" spans="1:59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</row>
    <row r="500" spans="1:59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</row>
    <row r="501" spans="1:59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</row>
    <row r="502" spans="1:59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</row>
    <row r="503" spans="1:59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</row>
    <row r="504" spans="1:59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</row>
    <row r="505" spans="1:59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</row>
    <row r="506" spans="1:59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</row>
    <row r="507" spans="1:59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</row>
    <row r="508" spans="1:59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</row>
    <row r="509" spans="1:59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</row>
    <row r="510" spans="1:59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</row>
    <row r="511" spans="1:59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</row>
    <row r="512" spans="1:59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</row>
    <row r="513" spans="1:59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</row>
    <row r="514" spans="1:59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</row>
    <row r="515" spans="1:59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</row>
    <row r="516" spans="1:59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</row>
    <row r="517" spans="1:59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</row>
    <row r="518" spans="1:59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</row>
    <row r="519" spans="1:59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</row>
    <row r="520" spans="1:59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</row>
    <row r="521" spans="1:59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</row>
    <row r="522" spans="1:59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</row>
    <row r="523" spans="1:59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</row>
    <row r="524" spans="1:59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</row>
    <row r="525" spans="1:59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</row>
    <row r="526" spans="1:59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</row>
    <row r="527" spans="1:59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</row>
    <row r="528" spans="1:59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</row>
    <row r="529" spans="1:59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</row>
    <row r="530" spans="1:59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</row>
    <row r="531" spans="1:59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</row>
    <row r="532" spans="1:59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</row>
    <row r="533" spans="1:59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</row>
    <row r="534" spans="1:59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</row>
    <row r="535" spans="1:59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</row>
    <row r="536" spans="1:59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</row>
    <row r="537" spans="1:59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</row>
    <row r="538" spans="1:59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</row>
    <row r="539" spans="1:59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</row>
    <row r="540" spans="1:59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</row>
    <row r="541" spans="1:59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</row>
    <row r="542" spans="1:59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</row>
    <row r="543" spans="1:59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</row>
    <row r="544" spans="1:59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</row>
    <row r="545" spans="1:59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</row>
    <row r="546" spans="1:59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</row>
    <row r="547" spans="1:59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</row>
    <row r="548" spans="1:59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</row>
    <row r="549" spans="1:59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</row>
    <row r="550" spans="1:59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</row>
    <row r="551" spans="1:59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</row>
    <row r="552" spans="1:59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</row>
    <row r="553" spans="1:59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</row>
    <row r="554" spans="1:59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</row>
    <row r="555" spans="1:59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</row>
    <row r="556" spans="1:59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</row>
    <row r="557" spans="1:59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</row>
    <row r="558" spans="1:59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</row>
    <row r="559" spans="1:59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</row>
    <row r="560" spans="1:59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</row>
    <row r="561" spans="1:59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</row>
    <row r="562" spans="1:59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</row>
    <row r="563" spans="1:59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</row>
    <row r="564" spans="1:59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</row>
    <row r="565" spans="1:59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</row>
    <row r="566" spans="1:59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</row>
    <row r="567" spans="1:59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</row>
    <row r="568" spans="1:59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</row>
    <row r="569" spans="1:59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</row>
    <row r="570" spans="1:59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</row>
    <row r="571" spans="1:59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</row>
    <row r="572" spans="1:59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</row>
    <row r="573" spans="1:59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</row>
    <row r="574" spans="1:59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</row>
  </sheetData>
  <phoneticPr fontId="14" type="noConversion"/>
  <pageMargins left="0.75" right="0.75" top="1" bottom="1" header="0" footer="0"/>
  <pageSetup paperSize="9" scale="82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Y193"/>
  <sheetViews>
    <sheetView topLeftCell="A157" workbookViewId="0">
      <selection activeCell="J13" sqref="J13:U16"/>
    </sheetView>
  </sheetViews>
  <sheetFormatPr baseColWidth="10" defaultRowHeight="12.75" x14ac:dyDescent="0.2"/>
  <cols>
    <col min="2" max="8" width="6.7109375" customWidth="1"/>
    <col min="9" max="9" width="9.7109375" customWidth="1"/>
    <col min="10" max="22" width="6.7109375" customWidth="1"/>
  </cols>
  <sheetData>
    <row r="1" spans="9:22" x14ac:dyDescent="0.2">
      <c r="I1" s="1" t="s">
        <v>523</v>
      </c>
      <c r="M1" s="63" t="str">
        <f>VLOOKUP(Lugar!E84,Lugar!A65:C84,2)</f>
        <v>Las Heras-Guaymallén</v>
      </c>
    </row>
    <row r="2" spans="9:22" x14ac:dyDescent="0.2">
      <c r="I2" s="1" t="s">
        <v>161</v>
      </c>
    </row>
    <row r="3" spans="9:22" x14ac:dyDescent="0.2">
      <c r="I3" s="1" t="s">
        <v>162</v>
      </c>
      <c r="J3" s="1">
        <v>1</v>
      </c>
      <c r="K3" s="1">
        <v>2</v>
      </c>
      <c r="L3" s="1">
        <v>3</v>
      </c>
      <c r="M3" s="1">
        <v>4</v>
      </c>
      <c r="N3" s="1">
        <v>5</v>
      </c>
      <c r="O3" s="1">
        <v>6</v>
      </c>
      <c r="P3" s="1">
        <v>7</v>
      </c>
      <c r="Q3" s="1">
        <v>8</v>
      </c>
      <c r="R3" s="1">
        <v>9</v>
      </c>
      <c r="S3" s="1">
        <v>10</v>
      </c>
      <c r="T3" s="1">
        <v>11</v>
      </c>
      <c r="U3" s="1">
        <v>12</v>
      </c>
    </row>
    <row r="4" spans="9:22" x14ac:dyDescent="0.2">
      <c r="I4" s="1" t="s">
        <v>163</v>
      </c>
      <c r="J4" s="73">
        <f>IF($M$1="San Martín",B49,IF($M$1="Chacras de Coria",B70,IF($M$1="Dagoberto Sardina",B89,IF($M$1="Godoy Cruz",B107,IF($M$1="Las Heras-Guaymallén",B107,IF($M$1="Potrerillos",B144,IF($M$1="Uspallata",B162,IF($M$1="Puente del Inca",B180,0))))))))</f>
        <v>0</v>
      </c>
      <c r="K4" s="73">
        <f t="shared" ref="K4:V4" si="0">IF($M$1="San Martín",C49,IF($M$1="Chacras de Coria",C70,IF($M$1="Dagoberto Sardina",C89,IF($M$1="Godoy Cruz",C107,IF($M$1="Las Heras-Guaymallén",C107,IF($M$1="Potrerillos",C144,IF($M$1="Uspallata",C162,IF($M$1="Puente del Inca",C180,0))))))))</f>
        <v>5</v>
      </c>
      <c r="L4" s="73">
        <f t="shared" si="0"/>
        <v>13</v>
      </c>
      <c r="M4" s="73">
        <f t="shared" si="0"/>
        <v>91</v>
      </c>
      <c r="N4" s="73">
        <f t="shared" si="0"/>
        <v>193</v>
      </c>
      <c r="O4" s="73">
        <f t="shared" si="0"/>
        <v>302</v>
      </c>
      <c r="P4" s="73">
        <f t="shared" si="0"/>
        <v>316</v>
      </c>
      <c r="Q4" s="73">
        <f t="shared" si="0"/>
        <v>245</v>
      </c>
      <c r="R4" s="73">
        <f t="shared" si="0"/>
        <v>146</v>
      </c>
      <c r="S4" s="73">
        <f t="shared" si="0"/>
        <v>54</v>
      </c>
      <c r="T4" s="73">
        <f t="shared" si="0"/>
        <v>17</v>
      </c>
      <c r="U4" s="73">
        <f t="shared" si="0"/>
        <v>2</v>
      </c>
      <c r="V4" s="73">
        <f t="shared" si="0"/>
        <v>1384</v>
      </c>
    </row>
    <row r="5" spans="9:22" x14ac:dyDescent="0.2">
      <c r="I5" s="1"/>
    </row>
    <row r="6" spans="9:22" x14ac:dyDescent="0.2">
      <c r="I6" s="1" t="s">
        <v>164</v>
      </c>
      <c r="J6" s="1" t="s">
        <v>165</v>
      </c>
    </row>
    <row r="7" spans="9:22" x14ac:dyDescent="0.2">
      <c r="I7" s="1" t="s">
        <v>166</v>
      </c>
      <c r="J7" s="73">
        <f t="shared" ref="J7:U7" si="1">IF($M$1="San Martín",B52,IF($M$1="Chacras de Coria",B73,IF($M$1="Dagoberto Sardina",B92,IF($M$1="Godoy Cruz",B110,IF($M$1="Las Heras-Guaymallén",B110,IF($M$1="Potrerillos",B147,IF($M$1="Uspallata",B165,IF($M$1="Puente del Inca",B183,0))))))))</f>
        <v>0</v>
      </c>
      <c r="K7" s="73">
        <f t="shared" si="1"/>
        <v>44.21</v>
      </c>
      <c r="L7" s="73">
        <f t="shared" si="1"/>
        <v>20.98</v>
      </c>
      <c r="M7" s="73">
        <f t="shared" si="1"/>
        <v>3.51</v>
      </c>
      <c r="N7" s="73">
        <f t="shared" si="1"/>
        <v>1.76</v>
      </c>
      <c r="O7" s="73">
        <f t="shared" si="1"/>
        <v>1</v>
      </c>
      <c r="P7" s="73">
        <f t="shared" si="1"/>
        <v>1.02</v>
      </c>
      <c r="Q7" s="73">
        <f t="shared" si="1"/>
        <v>1.53</v>
      </c>
      <c r="R7" s="73">
        <f t="shared" si="1"/>
        <v>1.98</v>
      </c>
      <c r="S7" s="73">
        <f t="shared" si="1"/>
        <v>4.76</v>
      </c>
      <c r="T7" s="73">
        <f t="shared" si="1"/>
        <v>12.67</v>
      </c>
      <c r="U7" s="73">
        <f t="shared" si="1"/>
        <v>0</v>
      </c>
    </row>
    <row r="8" spans="9:22" x14ac:dyDescent="0.2">
      <c r="I8" s="1" t="s">
        <v>167</v>
      </c>
      <c r="J8" s="73">
        <f t="shared" ref="J8:U8" si="2">IF($M$1="San Martín",B53,IF($M$1="Chacras de Coria",B74,IF($M$1="Dagoberto Sardina",B93,IF($M$1="Godoy Cruz",B111,IF($M$1="Las Heras-Guaymallén",B111,IF($M$1="Potrerillos",B148,IF($M$1="Uspallata",B166,IF($M$1="Puente del Inca",B184,0))))))))</f>
        <v>0</v>
      </c>
      <c r="K8" s="73">
        <f t="shared" si="2"/>
        <v>43.89</v>
      </c>
      <c r="L8" s="73">
        <f t="shared" si="2"/>
        <v>20.82</v>
      </c>
      <c r="M8" s="73">
        <f t="shared" si="2"/>
        <v>3.48</v>
      </c>
      <c r="N8" s="73">
        <f t="shared" si="2"/>
        <v>1.75</v>
      </c>
      <c r="O8" s="73">
        <f t="shared" si="2"/>
        <v>0.99</v>
      </c>
      <c r="P8" s="73">
        <f t="shared" si="2"/>
        <v>1.01</v>
      </c>
      <c r="Q8" s="73">
        <f t="shared" si="2"/>
        <v>1.52</v>
      </c>
      <c r="R8" s="73">
        <f t="shared" si="2"/>
        <v>1.96</v>
      </c>
      <c r="S8" s="73">
        <f t="shared" si="2"/>
        <v>4.7300000000000004</v>
      </c>
      <c r="T8" s="73">
        <f t="shared" si="2"/>
        <v>12.58</v>
      </c>
      <c r="U8" s="73">
        <f t="shared" si="2"/>
        <v>0</v>
      </c>
    </row>
    <row r="9" spans="9:22" x14ac:dyDescent="0.2">
      <c r="I9" s="1" t="s">
        <v>168</v>
      </c>
      <c r="J9" s="73">
        <f t="shared" ref="J9:U9" si="3">IF($M$1="San Martín",B54,IF($M$1="Chacras de Coria",B75,IF($M$1="Dagoberto Sardina",B94,IF($M$1="Godoy Cruz",B112,IF($M$1="Las Heras-Guaymallén",B112,IF($M$1="Potrerillos",B149,IF($M$1="Uspallata",B167,IF($M$1="Puente del Inca",B185,0))))))))</f>
        <v>0</v>
      </c>
      <c r="K9" s="73">
        <f t="shared" si="3"/>
        <v>35.81</v>
      </c>
      <c r="L9" s="73">
        <f t="shared" si="3"/>
        <v>17.32</v>
      </c>
      <c r="M9" s="73">
        <f t="shared" si="3"/>
        <v>2.96</v>
      </c>
      <c r="N9" s="73">
        <f t="shared" si="3"/>
        <v>1.5</v>
      </c>
      <c r="O9" s="73">
        <f t="shared" si="3"/>
        <v>0.85</v>
      </c>
      <c r="P9" s="73">
        <f t="shared" si="3"/>
        <v>0.87</v>
      </c>
      <c r="Q9" s="73">
        <f t="shared" si="3"/>
        <v>1.3</v>
      </c>
      <c r="R9" s="73">
        <f t="shared" si="3"/>
        <v>1.65</v>
      </c>
      <c r="S9" s="73">
        <f t="shared" si="3"/>
        <v>3.87</v>
      </c>
      <c r="T9" s="73">
        <f t="shared" si="3"/>
        <v>10.3</v>
      </c>
      <c r="U9" s="73">
        <f t="shared" si="3"/>
        <v>0</v>
      </c>
    </row>
    <row r="10" spans="9:22" x14ac:dyDescent="0.2">
      <c r="I10" s="1" t="s">
        <v>169</v>
      </c>
      <c r="J10" s="73">
        <f t="shared" ref="J10:U10" si="4">IF($M$1="San Martín",B55,IF($M$1="Chacras de Coria",B76,IF($M$1="Dagoberto Sardina",B95,IF($M$1="Godoy Cruz",B113,IF($M$1="Las Heras-Guaymallén",B113,IF($M$1="Potrerillos",B150,IF($M$1="Uspallata",B168,IF($M$1="Puente del Inca",B186,0))))))))</f>
        <v>0</v>
      </c>
      <c r="K10" s="73">
        <f t="shared" si="4"/>
        <v>36.33</v>
      </c>
      <c r="L10" s="73">
        <f t="shared" si="4"/>
        <v>17.57</v>
      </c>
      <c r="M10" s="73">
        <f t="shared" si="4"/>
        <v>3</v>
      </c>
      <c r="N10" s="73">
        <f t="shared" si="4"/>
        <v>1.53</v>
      </c>
      <c r="O10" s="73">
        <f t="shared" si="4"/>
        <v>0.87</v>
      </c>
      <c r="P10" s="73">
        <f t="shared" si="4"/>
        <v>0.89</v>
      </c>
      <c r="Q10" s="73">
        <f t="shared" si="4"/>
        <v>1.32</v>
      </c>
      <c r="R10" s="73">
        <f t="shared" si="4"/>
        <v>1.67</v>
      </c>
      <c r="S10" s="73">
        <f t="shared" si="4"/>
        <v>3.93</v>
      </c>
      <c r="T10" s="73">
        <f t="shared" si="4"/>
        <v>10.45</v>
      </c>
      <c r="U10" s="73">
        <f t="shared" si="4"/>
        <v>0</v>
      </c>
    </row>
    <row r="11" spans="9:22" x14ac:dyDescent="0.2">
      <c r="I11" s="1"/>
    </row>
    <row r="12" spans="9:22" x14ac:dyDescent="0.2">
      <c r="I12" s="1" t="s">
        <v>164</v>
      </c>
      <c r="J12" s="1" t="s">
        <v>170</v>
      </c>
    </row>
    <row r="13" spans="9:22" x14ac:dyDescent="0.2">
      <c r="I13" s="1" t="s">
        <v>166</v>
      </c>
      <c r="J13" s="73">
        <f t="shared" ref="J13:J16" si="5">IF($M$1="San Martín",B58,IF($M$1="Chacras de Coria",B79,IF($M$1="Dagoberto Sardina",B98,IF($M$1="Godoy Cruz",B116,IF($M$1="Las Heras-Guaymallén",B116,IF($M$1="Potrerillos",B153,IF($M$1="Uspallata",B171,IF($M$1="Puente del Inca",B189,0))))))))</f>
        <v>0</v>
      </c>
      <c r="K13" s="73">
        <f t="shared" ref="K13:K16" si="6">IF($M$1="San Martín",C58,IF($M$1="Chacras de Coria",C79,IF($M$1="Dagoberto Sardina",C98,IF($M$1="Godoy Cruz",C116,IF($M$1="Las Heras-Guaymallén",C116,IF($M$1="Potrerillos",C153,IF($M$1="Uspallata",C171,IF($M$1="Puente del Inca",C189,0))))))))</f>
        <v>2162.5667088972914</v>
      </c>
      <c r="L13" s="73">
        <f t="shared" ref="L13:L16" si="7">IF($M$1="San Martín",D58,IF($M$1="Chacras de Coria",D79,IF($M$1="Dagoberto Sardina",D98,IF($M$1="Godoy Cruz",D116,IF($M$1="Las Heras-Guaymallén",D116,IF($M$1="Potrerillos",D153,IF($M$1="Uspallata",D171,IF($M$1="Puente del Inca",D189,0))))))))</f>
        <v>1026.253100037665</v>
      </c>
      <c r="M13" s="73">
        <f t="shared" ref="M13:M16" si="8">IF($M$1="San Martín",E58,IF($M$1="Chacras de Coria",E79,IF($M$1="Dagoberto Sardina",E98,IF($M$1="Godoy Cruz",E116,IF($M$1="Las Heras-Guaymallén",E116,IF($M$1="Potrerillos",E153,IF($M$1="Uspallata",E171,IF($M$1="Puente del Inca",E189,0))))))))</f>
        <v>171.69439376225949</v>
      </c>
      <c r="N13" s="73">
        <f t="shared" ref="N13:N16" si="9">IF($M$1="San Martín",F58,IF($M$1="Chacras de Coria",F79,IF($M$1="Dagoberto Sardina",F98,IF($M$1="Godoy Cruz",F116,IF($M$1="Las Heras-Guaymallén",F116,IF($M$1="Potrerillos",F153,IF($M$1="Uspallata",F171,IF($M$1="Puente del Inca",F189,0))))))))</f>
        <v>86.091775789623</v>
      </c>
      <c r="O13" s="73">
        <f t="shared" ref="O13:O16" si="10">IF($M$1="San Martín",G58,IF($M$1="Chacras de Coria",G79,IF($M$1="Dagoberto Sardina",G98,IF($M$1="Godoy Cruz",G116,IF($M$1="Las Heras-Guaymallén",G116,IF($M$1="Potrerillos",G153,IF($M$1="Uspallata",G171,IF($M$1="Puente del Inca",G189,0))))))))</f>
        <v>48.915781698649432</v>
      </c>
      <c r="P13" s="73">
        <f t="shared" ref="P13:P16" si="11">IF($M$1="San Martín",H58,IF($M$1="Chacras de Coria",H79,IF($M$1="Dagoberto Sardina",H98,IF($M$1="Godoy Cruz",H116,IF($M$1="Las Heras-Guaymallén",H116,IF($M$1="Potrerillos",H153,IF($M$1="Uspallata",H171,IF($M$1="Puente del Inca",H189,0))))))))</f>
        <v>49.894097332622422</v>
      </c>
      <c r="Q13" s="73">
        <f t="shared" ref="Q13:Q16" si="12">IF($M$1="San Martín",I58,IF($M$1="Chacras de Coria",I79,IF($M$1="Dagoberto Sardina",I98,IF($M$1="Godoy Cruz",I116,IF($M$1="Las Heras-Guaymallén",I116,IF($M$1="Potrerillos",I153,IF($M$1="Uspallata",I171,IF($M$1="Puente del Inca",I189,0))))))))</f>
        <v>74.841145998933627</v>
      </c>
      <c r="R13" s="73">
        <f t="shared" ref="R13:R16" si="13">IF($M$1="San Martín",J58,IF($M$1="Chacras de Coria",J79,IF($M$1="Dagoberto Sardina",J98,IF($M$1="Godoy Cruz",J116,IF($M$1="Las Heras-Guaymallén",J116,IF($M$1="Potrerillos",J153,IF($M$1="Uspallata",J171,IF($M$1="Puente del Inca",J189,0))))))))</f>
        <v>96.853247763325882</v>
      </c>
      <c r="S13" s="73">
        <f t="shared" ref="S13:S16" si="14">IF($M$1="San Martín",K58,IF($M$1="Chacras de Coria",K79,IF($M$1="Dagoberto Sardina",K98,IF($M$1="Godoy Cruz",K116,IF($M$1="Las Heras-Guaymallén",K116,IF($M$1="Potrerillos",K153,IF($M$1="Uspallata",K171,IF($M$1="Puente del Inca",K189,0))))))))</f>
        <v>232.83912088557128</v>
      </c>
      <c r="T13" s="73">
        <f t="shared" ref="T13:T16" si="15">IF($M$1="San Martín",L58,IF($M$1="Chacras de Coria",L79,IF($M$1="Dagoberto Sardina",L98,IF($M$1="Godoy Cruz",L116,IF($M$1="Las Heras-Guaymallén",L116,IF($M$1="Potrerillos",L153,IF($M$1="Uspallata",L171,IF($M$1="Puente del Inca",L189,0))))))))</f>
        <v>619.76295412188836</v>
      </c>
      <c r="U13" s="73">
        <f t="shared" ref="U13:U16" si="16">IF($M$1="San Martín",M58,IF($M$1="Chacras de Coria",M79,IF($M$1="Dagoberto Sardina",M98,IF($M$1="Godoy Cruz",M116,IF($M$1="Las Heras-Guaymallén",M116,IF($M$1="Potrerillos",M153,IF($M$1="Uspallata",M171,IF($M$1="Puente del Inca",M189,0))))))))</f>
        <v>0</v>
      </c>
    </row>
    <row r="14" spans="9:22" x14ac:dyDescent="0.2">
      <c r="I14" s="1" t="s">
        <v>167</v>
      </c>
      <c r="J14" s="73">
        <f t="shared" si="5"/>
        <v>0</v>
      </c>
      <c r="K14" s="73">
        <f t="shared" si="6"/>
        <v>2146.9136587537237</v>
      </c>
      <c r="L14" s="73">
        <f t="shared" si="7"/>
        <v>1018.4265749658812</v>
      </c>
      <c r="M14" s="73">
        <f t="shared" si="8"/>
        <v>170.22692031130003</v>
      </c>
      <c r="N14" s="73">
        <f t="shared" si="9"/>
        <v>85.602617972636509</v>
      </c>
      <c r="O14" s="73">
        <f t="shared" si="10"/>
        <v>48.426623881662941</v>
      </c>
      <c r="P14" s="73">
        <f t="shared" si="11"/>
        <v>49.404939515635931</v>
      </c>
      <c r="Q14" s="73">
        <f t="shared" si="12"/>
        <v>74.351988181947135</v>
      </c>
      <c r="R14" s="73">
        <f t="shared" si="13"/>
        <v>95.874932129352885</v>
      </c>
      <c r="S14" s="73">
        <f t="shared" si="14"/>
        <v>231.37164743461184</v>
      </c>
      <c r="T14" s="73">
        <f t="shared" si="15"/>
        <v>615.36053376900986</v>
      </c>
      <c r="U14" s="73">
        <f t="shared" si="16"/>
        <v>0</v>
      </c>
    </row>
    <row r="15" spans="9:22" x14ac:dyDescent="0.2">
      <c r="I15" s="1" t="s">
        <v>168</v>
      </c>
      <c r="J15" s="73">
        <f t="shared" si="5"/>
        <v>0</v>
      </c>
      <c r="K15" s="73">
        <f t="shared" si="6"/>
        <v>1751.6741426286362</v>
      </c>
      <c r="L15" s="73">
        <f t="shared" si="7"/>
        <v>847.22133902060818</v>
      </c>
      <c r="M15" s="73">
        <f t="shared" si="8"/>
        <v>144.79071382800231</v>
      </c>
      <c r="N15" s="73">
        <f t="shared" si="9"/>
        <v>73.373672547974152</v>
      </c>
      <c r="O15" s="73">
        <f t="shared" si="10"/>
        <v>41.578414443852019</v>
      </c>
      <c r="P15" s="73">
        <f t="shared" si="11"/>
        <v>42.556730077825009</v>
      </c>
      <c r="Q15" s="73">
        <f t="shared" si="12"/>
        <v>63.590516208244267</v>
      </c>
      <c r="R15" s="73">
        <f t="shared" si="13"/>
        <v>80.711039802771566</v>
      </c>
      <c r="S15" s="73">
        <f t="shared" si="14"/>
        <v>189.3040751737733</v>
      </c>
      <c r="T15" s="73">
        <f t="shared" si="15"/>
        <v>503.8325514960892</v>
      </c>
      <c r="U15" s="73">
        <f t="shared" si="16"/>
        <v>0</v>
      </c>
    </row>
    <row r="16" spans="9:22" x14ac:dyDescent="0.2">
      <c r="I16" s="1" t="s">
        <v>169</v>
      </c>
      <c r="J16" s="73">
        <f t="shared" si="5"/>
        <v>0</v>
      </c>
      <c r="K16" s="73">
        <f t="shared" si="6"/>
        <v>1777.1103491119338</v>
      </c>
      <c r="L16" s="73">
        <f t="shared" si="7"/>
        <v>859.45028444527054</v>
      </c>
      <c r="M16" s="73">
        <f t="shared" si="8"/>
        <v>146.7473450959483</v>
      </c>
      <c r="N16" s="73">
        <f t="shared" si="9"/>
        <v>74.841145998933627</v>
      </c>
      <c r="O16" s="73">
        <f t="shared" si="10"/>
        <v>42.556730077825009</v>
      </c>
      <c r="P16" s="73">
        <f t="shared" si="11"/>
        <v>43.535045711797999</v>
      </c>
      <c r="Q16" s="73">
        <f t="shared" si="12"/>
        <v>64.56883184221725</v>
      </c>
      <c r="R16" s="73">
        <f t="shared" si="13"/>
        <v>81.689355436744549</v>
      </c>
      <c r="S16" s="73">
        <f t="shared" si="14"/>
        <v>192.23902207569228</v>
      </c>
      <c r="T16" s="73">
        <f t="shared" si="15"/>
        <v>511.16991875088655</v>
      </c>
      <c r="U16" s="73">
        <f t="shared" si="16"/>
        <v>0</v>
      </c>
    </row>
    <row r="20" spans="1:22" x14ac:dyDescent="0.2">
      <c r="A20" t="s">
        <v>171</v>
      </c>
      <c r="B20">
        <f>+'Balance calefacción'!M42*5.67</f>
        <v>160.99641511451196</v>
      </c>
      <c r="J20" s="1" t="s">
        <v>172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2" x14ac:dyDescent="0.2">
      <c r="I21" t="s">
        <v>2</v>
      </c>
      <c r="J21" s="1">
        <v>1</v>
      </c>
      <c r="K21" s="1">
        <v>2</v>
      </c>
      <c r="L21" s="1">
        <v>3</v>
      </c>
      <c r="M21" s="1">
        <v>4</v>
      </c>
      <c r="N21" s="1">
        <v>5</v>
      </c>
      <c r="O21" s="1">
        <v>6</v>
      </c>
      <c r="P21" s="1">
        <v>7</v>
      </c>
      <c r="Q21" s="1">
        <v>8</v>
      </c>
      <c r="R21" s="1">
        <v>9</v>
      </c>
      <c r="S21" s="1">
        <v>10</v>
      </c>
      <c r="T21" s="1">
        <v>11</v>
      </c>
      <c r="U21" s="1">
        <v>12</v>
      </c>
    </row>
    <row r="22" spans="1:22" x14ac:dyDescent="0.2">
      <c r="B22" s="1" t="s">
        <v>173</v>
      </c>
      <c r="C22" s="1" t="s">
        <v>174</v>
      </c>
      <c r="D22" s="1" t="s">
        <v>175</v>
      </c>
      <c r="E22" s="1" t="s">
        <v>176</v>
      </c>
      <c r="F22" s="1" t="s">
        <v>177</v>
      </c>
      <c r="G22" s="1" t="s">
        <v>178</v>
      </c>
    </row>
    <row r="23" spans="1:22" x14ac:dyDescent="0.2">
      <c r="A23" s="1" t="s">
        <v>85</v>
      </c>
      <c r="B23">
        <v>1.0043</v>
      </c>
      <c r="C23">
        <v>0.47170000000000001</v>
      </c>
      <c r="D23">
        <v>1.19</v>
      </c>
      <c r="E23">
        <v>26.4</v>
      </c>
      <c r="F23">
        <v>0</v>
      </c>
      <c r="G23">
        <v>1.8</v>
      </c>
      <c r="J23" s="74">
        <f>IF(+(1-$B23*EXP((-$C23*(J$14-$E23*$D23)/$B$20)))&lt;0,0,+(1-$B23*EXP((-$C23*(J$14-$E23*$D23)/$B$20))))</f>
        <v>0</v>
      </c>
      <c r="K23" s="74">
        <f t="shared" ref="K23:U24" si="17">IF(+(1-$B23*EXP((-$C23*(K$14-$E23*$D23)/$B$20)))&lt;0,0,+(1-$B23*EXP((-$C23*(K$14-$E23*$D23)/$B$20))))</f>
        <v>0.99795807273009496</v>
      </c>
      <c r="L23" s="74">
        <f t="shared" si="17"/>
        <v>0.94428638227762529</v>
      </c>
      <c r="M23" s="74">
        <f t="shared" si="17"/>
        <v>0.33129241388864061</v>
      </c>
      <c r="N23" s="74">
        <f t="shared" si="17"/>
        <v>0.14313032863686836</v>
      </c>
      <c r="O23" s="74">
        <f t="shared" si="17"/>
        <v>4.4526535116279353E-2</v>
      </c>
      <c r="P23" s="74">
        <f t="shared" si="17"/>
        <v>4.726133167187696E-2</v>
      </c>
      <c r="Q23" s="74">
        <f t="shared" si="17"/>
        <v>0.11441467154415375</v>
      </c>
      <c r="R23" s="74">
        <f t="shared" si="17"/>
        <v>0.16853500836341384</v>
      </c>
      <c r="S23" s="74">
        <f t="shared" si="17"/>
        <v>0.44097162756072483</v>
      </c>
      <c r="T23" s="74">
        <f t="shared" si="17"/>
        <v>0.81851748903191601</v>
      </c>
      <c r="U23" s="74">
        <f t="shared" si="17"/>
        <v>0</v>
      </c>
      <c r="V23" s="74">
        <f t="shared" ref="V23:V42" si="18">+(J23*J$4+K23*K$4+L23*L$4+M23*M$4+N23*N$4+O23*O$4+P23*P$4+Q23*Q$4+R23*R$4+S23*S$4+T23*T$4+U23*U$4)/V$4</f>
        <v>0.14001722672591677</v>
      </c>
    </row>
    <row r="24" spans="1:22" x14ac:dyDescent="0.2">
      <c r="A24" s="1" t="s">
        <v>110</v>
      </c>
      <c r="B24">
        <v>1.0075000000000001</v>
      </c>
      <c r="C24">
        <v>1.105</v>
      </c>
      <c r="D24">
        <v>1.0900000000000001</v>
      </c>
      <c r="E24">
        <v>11.8</v>
      </c>
      <c r="F24">
        <v>0</v>
      </c>
      <c r="G24">
        <v>1.8</v>
      </c>
      <c r="J24" s="74">
        <f t="shared" ref="J24:U41" si="19">IF(+(1-$B24*EXP((-$C24*(J$14-$E24*$D24)/$B$20)))&lt;0,0,+(1-$B24*EXP((-$C24*(J$14-$E24*$D24)/$B$20))))</f>
        <v>0</v>
      </c>
      <c r="K24" s="74">
        <f t="shared" si="17"/>
        <v>0.99999956136850265</v>
      </c>
      <c r="L24" s="74">
        <f t="shared" si="17"/>
        <v>0.99898638015079799</v>
      </c>
      <c r="M24" s="74">
        <f t="shared" si="17"/>
        <v>0.65788323965176287</v>
      </c>
      <c r="N24" s="74">
        <f t="shared" si="17"/>
        <v>0.38846538320054735</v>
      </c>
      <c r="O24" s="74">
        <f t="shared" si="17"/>
        <v>0.21071359397534084</v>
      </c>
      <c r="P24" s="74">
        <f t="shared" si="17"/>
        <v>0.21599564304621233</v>
      </c>
      <c r="Q24" s="74">
        <f t="shared" si="17"/>
        <v>0.33937236983162833</v>
      </c>
      <c r="R24" s="74">
        <f t="shared" si="17"/>
        <v>0.43009626279917934</v>
      </c>
      <c r="S24" s="74">
        <f t="shared" si="17"/>
        <v>0.77513846132785125</v>
      </c>
      <c r="T24" s="74">
        <f t="shared" si="17"/>
        <v>0.98388139052401957</v>
      </c>
      <c r="U24" s="74">
        <f t="shared" si="17"/>
        <v>0</v>
      </c>
      <c r="V24" s="74">
        <f t="shared" si="18"/>
        <v>0.35349847444076327</v>
      </c>
    </row>
    <row r="25" spans="1:22" x14ac:dyDescent="0.2">
      <c r="A25" s="1" t="s">
        <v>111</v>
      </c>
      <c r="B25" s="75">
        <v>1.0125</v>
      </c>
      <c r="C25">
        <v>1.0748</v>
      </c>
      <c r="D25">
        <v>0.94</v>
      </c>
      <c r="E25">
        <v>14.6</v>
      </c>
      <c r="F25">
        <v>4</v>
      </c>
      <c r="G25">
        <v>1.8</v>
      </c>
      <c r="J25" s="74">
        <f t="shared" si="19"/>
        <v>0</v>
      </c>
      <c r="K25" s="74">
        <f t="shared" si="19"/>
        <v>0.9999993383914374</v>
      </c>
      <c r="L25" s="74">
        <f t="shared" si="19"/>
        <v>0.99876279016047642</v>
      </c>
      <c r="M25" s="74">
        <f t="shared" si="19"/>
        <v>0.64384143696204355</v>
      </c>
      <c r="N25" s="74">
        <f t="shared" si="19"/>
        <v>0.37339175736245411</v>
      </c>
      <c r="O25" s="74">
        <f t="shared" si="19"/>
        <v>0.19687876266464976</v>
      </c>
      <c r="P25" s="74">
        <f t="shared" si="19"/>
        <v>0.20210698567599716</v>
      </c>
      <c r="Q25" s="74">
        <f t="shared" si="19"/>
        <v>0.32451571412222846</v>
      </c>
      <c r="R25" s="74">
        <f t="shared" si="19"/>
        <v>0.41492249033120632</v>
      </c>
      <c r="S25" s="74">
        <f t="shared" si="19"/>
        <v>0.76320887622693667</v>
      </c>
      <c r="T25" s="74">
        <f t="shared" si="19"/>
        <v>0.98175853326482765</v>
      </c>
      <c r="U25" s="74">
        <f t="shared" si="19"/>
        <v>0</v>
      </c>
      <c r="V25" s="74">
        <f t="shared" si="18"/>
        <v>0.33955888340096896</v>
      </c>
    </row>
    <row r="26" spans="1:22" x14ac:dyDescent="0.2">
      <c r="A26" s="1" t="s">
        <v>112</v>
      </c>
      <c r="B26" s="75">
        <v>1.0699000000000001</v>
      </c>
      <c r="C26">
        <v>1.3052999999999999</v>
      </c>
      <c r="D26">
        <v>0.78</v>
      </c>
      <c r="E26">
        <v>8.4</v>
      </c>
      <c r="F26">
        <v>4</v>
      </c>
      <c r="G26">
        <v>9</v>
      </c>
      <c r="J26" s="74">
        <f t="shared" si="19"/>
        <v>0</v>
      </c>
      <c r="K26" s="74">
        <f t="shared" si="19"/>
        <v>0.99999996888897724</v>
      </c>
      <c r="L26" s="74">
        <f t="shared" si="19"/>
        <v>0.99970729446802131</v>
      </c>
      <c r="M26" s="74">
        <f t="shared" si="19"/>
        <v>0.71619024824687161</v>
      </c>
      <c r="N26" s="74">
        <f t="shared" si="19"/>
        <v>0.43636493646685992</v>
      </c>
      <c r="O26" s="74">
        <f t="shared" si="19"/>
        <v>0.23809921546962087</v>
      </c>
      <c r="P26" s="74">
        <f t="shared" si="19"/>
        <v>0.2441185753784082</v>
      </c>
      <c r="Q26" s="74">
        <f t="shared" si="19"/>
        <v>0.38253463394018883</v>
      </c>
      <c r="R26" s="74">
        <f t="shared" si="19"/>
        <v>0.48140520902287864</v>
      </c>
      <c r="S26" s="74">
        <f t="shared" si="19"/>
        <v>0.82712564475285622</v>
      </c>
      <c r="T26" s="74">
        <f t="shared" si="19"/>
        <v>0.99231458995941635</v>
      </c>
      <c r="U26" s="74">
        <f t="shared" si="19"/>
        <v>0</v>
      </c>
      <c r="V26" s="74">
        <f t="shared" si="18"/>
        <v>0.39160090431441608</v>
      </c>
    </row>
    <row r="27" spans="1:22" x14ac:dyDescent="0.2">
      <c r="A27" s="1" t="s">
        <v>125</v>
      </c>
      <c r="B27">
        <v>0.99739999999999995</v>
      </c>
      <c r="C27">
        <v>0.40360000000000001</v>
      </c>
      <c r="D27">
        <v>0.91</v>
      </c>
      <c r="E27">
        <v>22</v>
      </c>
      <c r="F27">
        <v>0</v>
      </c>
      <c r="G27">
        <v>4.5999999999999996</v>
      </c>
      <c r="J27" s="74">
        <f t="shared" si="19"/>
        <v>0</v>
      </c>
      <c r="K27" s="74">
        <f t="shared" si="19"/>
        <v>0.99517762062301174</v>
      </c>
      <c r="L27" s="74">
        <f t="shared" si="19"/>
        <v>0.91836498184566329</v>
      </c>
      <c r="M27" s="74">
        <f t="shared" si="19"/>
        <v>0.31556070924131696</v>
      </c>
      <c r="N27" s="74">
        <f t="shared" si="19"/>
        <v>0.15381026508817697</v>
      </c>
      <c r="O27" s="74">
        <f t="shared" si="19"/>
        <v>7.1157056066509017E-2</v>
      </c>
      <c r="P27" s="74">
        <f t="shared" si="19"/>
        <v>7.3432278080451163E-2</v>
      </c>
      <c r="Q27" s="74">
        <f t="shared" si="19"/>
        <v>0.1296045248144535</v>
      </c>
      <c r="R27" s="74">
        <f t="shared" si="19"/>
        <v>0.17532277685300712</v>
      </c>
      <c r="S27" s="74">
        <f t="shared" si="19"/>
        <v>0.41282848892708013</v>
      </c>
      <c r="T27" s="74">
        <f t="shared" si="19"/>
        <v>0.7757638397803881</v>
      </c>
      <c r="U27" s="74">
        <f t="shared" si="19"/>
        <v>0</v>
      </c>
      <c r="V27" s="74">
        <f t="shared" si="18"/>
        <v>0.15378686925867346</v>
      </c>
    </row>
    <row r="28" spans="1:22" x14ac:dyDescent="0.2">
      <c r="A28" s="1" t="s">
        <v>113</v>
      </c>
      <c r="B28">
        <v>1.0513999999999999</v>
      </c>
      <c r="C28">
        <v>0.68859999999999999</v>
      </c>
      <c r="D28">
        <v>1.01</v>
      </c>
      <c r="E28">
        <v>8.9</v>
      </c>
      <c r="F28">
        <v>9</v>
      </c>
      <c r="G28">
        <v>4.5999999999999996</v>
      </c>
      <c r="J28" s="74">
        <f t="shared" si="19"/>
        <v>0</v>
      </c>
      <c r="K28" s="74">
        <f t="shared" si="19"/>
        <v>0.99988766494614179</v>
      </c>
      <c r="L28" s="74">
        <f t="shared" si="19"/>
        <v>0.9859812119112662</v>
      </c>
      <c r="M28" s="74">
        <f t="shared" si="19"/>
        <v>0.47244931652131528</v>
      </c>
      <c r="N28" s="74">
        <f t="shared" si="19"/>
        <v>0.24237183304287513</v>
      </c>
      <c r="O28" s="74">
        <f t="shared" si="19"/>
        <v>0.11179845679615197</v>
      </c>
      <c r="P28" s="74">
        <f t="shared" si="19"/>
        <v>0.11550725345327684</v>
      </c>
      <c r="Q28" s="74">
        <f t="shared" si="19"/>
        <v>0.20502318946466858</v>
      </c>
      <c r="R28" s="74">
        <f t="shared" si="19"/>
        <v>0.27493822144488078</v>
      </c>
      <c r="S28" s="74">
        <f t="shared" si="19"/>
        <v>0.59385023018720506</v>
      </c>
      <c r="T28" s="74">
        <f t="shared" si="19"/>
        <v>0.92140109316945784</v>
      </c>
      <c r="U28" s="74">
        <f t="shared" si="19"/>
        <v>0</v>
      </c>
      <c r="V28" s="74">
        <f t="shared" si="18"/>
        <v>0.22829094253450247</v>
      </c>
    </row>
    <row r="29" spans="1:22" x14ac:dyDescent="0.2">
      <c r="A29" s="1" t="s">
        <v>126</v>
      </c>
      <c r="B29">
        <v>1.0188999999999999</v>
      </c>
      <c r="C29">
        <v>0.6502</v>
      </c>
      <c r="D29">
        <v>0.86</v>
      </c>
      <c r="E29">
        <v>13</v>
      </c>
      <c r="F29">
        <v>0</v>
      </c>
      <c r="G29">
        <v>4.5999999999999996</v>
      </c>
      <c r="J29" s="74">
        <f t="shared" si="19"/>
        <v>0</v>
      </c>
      <c r="K29" s="74">
        <f t="shared" si="19"/>
        <v>0.99981711421410246</v>
      </c>
      <c r="L29" s="74">
        <f t="shared" si="19"/>
        <v>0.98256266426878869</v>
      </c>
      <c r="M29" s="74">
        <f t="shared" si="19"/>
        <v>0.46399037327668224</v>
      </c>
      <c r="N29" s="74">
        <f t="shared" si="19"/>
        <v>0.24560525577303305</v>
      </c>
      <c r="O29" s="74">
        <f t="shared" si="19"/>
        <v>0.12339656544758404</v>
      </c>
      <c r="P29" s="74">
        <f t="shared" si="19"/>
        <v>0.1268532141884533</v>
      </c>
      <c r="Q29" s="74">
        <f t="shared" si="19"/>
        <v>0.21053733006010611</v>
      </c>
      <c r="R29" s="74">
        <f t="shared" si="19"/>
        <v>0.276261597697947</v>
      </c>
      <c r="S29" s="74">
        <f t="shared" si="19"/>
        <v>0.58127554737592302</v>
      </c>
      <c r="T29" s="74">
        <f t="shared" si="19"/>
        <v>0.91119563115943836</v>
      </c>
      <c r="U29" s="74">
        <f t="shared" si="19"/>
        <v>0</v>
      </c>
      <c r="V29" s="74">
        <f t="shared" si="18"/>
        <v>0.23377439407824885</v>
      </c>
    </row>
    <row r="30" spans="1:22" x14ac:dyDescent="0.2">
      <c r="A30" s="1" t="s">
        <v>114</v>
      </c>
      <c r="B30">
        <v>1.0781000000000001</v>
      </c>
      <c r="C30">
        <v>0.8952</v>
      </c>
      <c r="D30">
        <v>0.82</v>
      </c>
      <c r="E30">
        <v>5.8</v>
      </c>
      <c r="F30">
        <v>9</v>
      </c>
      <c r="G30">
        <v>4.5999999999999996</v>
      </c>
      <c r="J30" s="74">
        <f t="shared" si="19"/>
        <v>0</v>
      </c>
      <c r="K30" s="74">
        <f t="shared" si="19"/>
        <v>0.9999927607560386</v>
      </c>
      <c r="L30" s="74">
        <f t="shared" si="19"/>
        <v>0.99615578366067281</v>
      </c>
      <c r="M30" s="74">
        <f t="shared" si="19"/>
        <v>0.57039095519548755</v>
      </c>
      <c r="N30" s="74">
        <f t="shared" si="19"/>
        <v>0.31225493793592063</v>
      </c>
      <c r="O30" s="74">
        <f t="shared" si="19"/>
        <v>0.15432883846952394</v>
      </c>
      <c r="P30" s="74">
        <f t="shared" si="19"/>
        <v>0.1589166300551822</v>
      </c>
      <c r="Q30" s="74">
        <f t="shared" si="19"/>
        <v>0.2678569563491372</v>
      </c>
      <c r="R30" s="74">
        <f t="shared" si="19"/>
        <v>0.35043667509295118</v>
      </c>
      <c r="S30" s="74">
        <f t="shared" si="19"/>
        <v>0.6942131921830661</v>
      </c>
      <c r="T30" s="74">
        <f t="shared" si="19"/>
        <v>0.96384674441313412</v>
      </c>
      <c r="U30" s="74">
        <f t="shared" si="19"/>
        <v>0</v>
      </c>
      <c r="V30" s="74">
        <f t="shared" si="18"/>
        <v>0.28728854707589818</v>
      </c>
    </row>
    <row r="31" spans="1:22" x14ac:dyDescent="0.2">
      <c r="A31" s="1" t="s">
        <v>127</v>
      </c>
      <c r="B31">
        <v>1.0133000000000001</v>
      </c>
      <c r="C31">
        <v>0.54620000000000002</v>
      </c>
      <c r="D31">
        <v>0.88</v>
      </c>
      <c r="E31">
        <v>13</v>
      </c>
      <c r="F31">
        <v>4.5999999999999996</v>
      </c>
      <c r="G31">
        <v>4.5999999999999996</v>
      </c>
      <c r="J31" s="74">
        <f t="shared" si="19"/>
        <v>0</v>
      </c>
      <c r="K31" s="74">
        <f t="shared" si="19"/>
        <v>0.99927666843952623</v>
      </c>
      <c r="L31" s="74">
        <f t="shared" si="19"/>
        <v>0.96673044626793292</v>
      </c>
      <c r="M31" s="74">
        <f t="shared" si="19"/>
        <v>0.40873542456002343</v>
      </c>
      <c r="N31" s="74">
        <f t="shared" si="19"/>
        <v>0.21210733247546365</v>
      </c>
      <c r="O31" s="74">
        <f t="shared" si="19"/>
        <v>0.10619648249995417</v>
      </c>
      <c r="P31" s="74">
        <f t="shared" si="19"/>
        <v>0.10915814808611413</v>
      </c>
      <c r="Q31" s="74">
        <f t="shared" si="19"/>
        <v>0.18145284436977094</v>
      </c>
      <c r="R31" s="74">
        <f t="shared" si="19"/>
        <v>0.23909250632499979</v>
      </c>
      <c r="S31" s="74">
        <f t="shared" si="19"/>
        <v>0.5195022060092318</v>
      </c>
      <c r="T31" s="74">
        <f t="shared" si="19"/>
        <v>0.86940597757313431</v>
      </c>
      <c r="U31" s="74">
        <f t="shared" si="19"/>
        <v>0</v>
      </c>
      <c r="V31" s="74">
        <f t="shared" si="18"/>
        <v>0.20553273409963238</v>
      </c>
    </row>
    <row r="32" spans="1:22" x14ac:dyDescent="0.2">
      <c r="A32" s="1" t="s">
        <v>115</v>
      </c>
      <c r="B32">
        <v>1.0327</v>
      </c>
      <c r="C32">
        <v>0.35220000000000001</v>
      </c>
      <c r="D32">
        <v>0.78</v>
      </c>
      <c r="E32">
        <v>13</v>
      </c>
      <c r="F32">
        <v>4.5999999999999996</v>
      </c>
      <c r="G32">
        <v>4.5999999999999996</v>
      </c>
      <c r="J32" s="74">
        <f t="shared" si="19"/>
        <v>0</v>
      </c>
      <c r="K32" s="74">
        <f t="shared" si="19"/>
        <v>0.9903643510762643</v>
      </c>
      <c r="L32" s="74">
        <f t="shared" si="19"/>
        <v>0.88623012922798294</v>
      </c>
      <c r="M32" s="74">
        <f t="shared" si="19"/>
        <v>0.27242168300797442</v>
      </c>
      <c r="N32" s="74">
        <f t="shared" si="19"/>
        <v>0.12445373086487532</v>
      </c>
      <c r="O32" s="74">
        <f t="shared" si="19"/>
        <v>5.0272422056304111E-2</v>
      </c>
      <c r="P32" s="74">
        <f t="shared" si="19"/>
        <v>5.2302845108735951E-2</v>
      </c>
      <c r="Q32" s="74">
        <f t="shared" si="19"/>
        <v>0.10263725946578894</v>
      </c>
      <c r="R32" s="74">
        <f t="shared" si="19"/>
        <v>0.1439095692045903</v>
      </c>
      <c r="S32" s="74">
        <f t="shared" si="19"/>
        <v>0.36351565055133561</v>
      </c>
      <c r="T32" s="74">
        <f t="shared" si="19"/>
        <v>0.7252296595020572</v>
      </c>
      <c r="U32" s="74">
        <f t="shared" si="19"/>
        <v>0</v>
      </c>
      <c r="V32" s="74">
        <f t="shared" si="18"/>
        <v>0.12652341197662692</v>
      </c>
    </row>
    <row r="33" spans="1:25" x14ac:dyDescent="0.2">
      <c r="A33" s="1" t="s">
        <v>619</v>
      </c>
      <c r="B33">
        <v>1.0118</v>
      </c>
      <c r="C33">
        <v>0.44019999999999998</v>
      </c>
      <c r="D33">
        <v>0.71</v>
      </c>
      <c r="E33">
        <v>22</v>
      </c>
      <c r="F33">
        <v>0</v>
      </c>
      <c r="G33">
        <v>4.5999999999999996</v>
      </c>
      <c r="J33" s="74">
        <f>IF(+(1-$B33*EXP((-$C33*(J$14-$E33*$D33)/$B$20)))&lt;0,0,+(1-$B33*EXP((-$C33*(J$14-$E33*$D33)/$B$20))))</f>
        <v>0</v>
      </c>
      <c r="K33" s="74">
        <f t="shared" si="19"/>
        <v>0.99701960632043474</v>
      </c>
      <c r="L33" s="74">
        <f t="shared" si="19"/>
        <v>0.93479148686861591</v>
      </c>
      <c r="M33" s="74">
        <f t="shared" si="19"/>
        <v>0.33701225788949085</v>
      </c>
      <c r="N33" s="74">
        <f t="shared" si="19"/>
        <v>0.16440991644814573</v>
      </c>
      <c r="O33" s="74">
        <f t="shared" si="19"/>
        <v>7.5007530040976933E-2</v>
      </c>
      <c r="P33" s="74">
        <f t="shared" si="19"/>
        <v>7.7478516120957575E-2</v>
      </c>
      <c r="Q33" s="74">
        <f t="shared" si="19"/>
        <v>0.13830628730258654</v>
      </c>
      <c r="R33" s="74">
        <f t="shared" si="19"/>
        <v>0.18755243968086821</v>
      </c>
      <c r="S33" s="74">
        <f t="shared" si="19"/>
        <v>0.43908284508459083</v>
      </c>
      <c r="T33" s="74">
        <f t="shared" si="19"/>
        <v>0.80369644383317773</v>
      </c>
      <c r="U33" s="74">
        <f t="shared" si="19"/>
        <v>0</v>
      </c>
      <c r="V33" s="74">
        <f t="shared" si="18"/>
        <v>0.16279849106372829</v>
      </c>
    </row>
    <row r="34" spans="1:25" x14ac:dyDescent="0.2">
      <c r="A34" s="1" t="s">
        <v>620</v>
      </c>
      <c r="B34">
        <v>1.0328999999999999</v>
      </c>
      <c r="C34">
        <v>0.68159999999999998</v>
      </c>
      <c r="D34">
        <v>0.64</v>
      </c>
      <c r="E34">
        <v>13</v>
      </c>
      <c r="F34">
        <v>0</v>
      </c>
      <c r="G34">
        <v>4.5999999999999996</v>
      </c>
      <c r="J34" s="74">
        <f>IF(+(1-$B34*EXP((-$C34*(J$14-$E34*$D34)/$B$20)))&lt;0,0,+(1-$B34*EXP((-$C34*(J$14-$E34*$D34)/$B$20))))</f>
        <v>0</v>
      </c>
      <c r="K34" s="74">
        <f>IF(+(1-$B34*EXP((-$C34*(K$14-$E34*$D34)/$B$20)))&lt;0,0,+(1-$B34*EXP((-$C34*(K$14-$E34*$D34)/$B$20))))</f>
        <v>0.99987923376405385</v>
      </c>
      <c r="L34" s="74">
        <f>IF(+(1-$B34*EXP((-$C34*(L$14-$E34*$D34)/$B$20)))&lt;0,0,+(1-$B34*EXP((-$C34*(L$14-$E34*$D34)/$B$20))))</f>
        <v>0.98565066682050884</v>
      </c>
      <c r="M34" s="74">
        <f>IF(+(1-$B34*EXP((-$C34*(M$14-$E34*$D34)/$B$20)))&lt;0,0,+(1-$B34*EXP((-$C34*(M$14-$E34*$D34)/$B$20))))</f>
        <v>0.47956192300352318</v>
      </c>
      <c r="N34" s="74">
        <f t="shared" si="19"/>
        <v>0.25533139756525569</v>
      </c>
      <c r="O34" s="74">
        <f t="shared" si="19"/>
        <v>0.12840151329721894</v>
      </c>
      <c r="P34" s="74">
        <f t="shared" si="19"/>
        <v>0.1320040611694534</v>
      </c>
      <c r="Q34" s="74">
        <f t="shared" si="19"/>
        <v>0.21900375141903594</v>
      </c>
      <c r="R34" s="74">
        <f t="shared" si="19"/>
        <v>0.28702235576273638</v>
      </c>
      <c r="S34" s="74">
        <f t="shared" si="19"/>
        <v>0.59825945176866369</v>
      </c>
      <c r="T34" s="74">
        <f t="shared" si="19"/>
        <v>0.92094547319073827</v>
      </c>
      <c r="U34" s="74">
        <f t="shared" si="19"/>
        <v>0</v>
      </c>
      <c r="V34" s="74">
        <f t="shared" si="18"/>
        <v>0.24186832108741538</v>
      </c>
    </row>
    <row r="35" spans="1:25" x14ac:dyDescent="0.2">
      <c r="A35" s="1" t="s">
        <v>116</v>
      </c>
      <c r="B35">
        <v>0.97540000000000004</v>
      </c>
      <c r="C35">
        <v>0.55179999999999996</v>
      </c>
      <c r="D35">
        <v>0.92</v>
      </c>
      <c r="E35">
        <v>22</v>
      </c>
      <c r="F35">
        <v>3.2</v>
      </c>
      <c r="G35">
        <v>3.2</v>
      </c>
      <c r="J35" s="74">
        <f t="shared" si="19"/>
        <v>0</v>
      </c>
      <c r="K35" s="74">
        <f t="shared" si="19"/>
        <v>0.99933377336221607</v>
      </c>
      <c r="L35" s="74">
        <f t="shared" si="19"/>
        <v>0.9681302438245265</v>
      </c>
      <c r="M35" s="74">
        <f t="shared" si="19"/>
        <v>0.41665332675413969</v>
      </c>
      <c r="N35" s="74">
        <f t="shared" si="19"/>
        <v>0.22036688285678963</v>
      </c>
      <c r="O35" s="74">
        <f t="shared" si="19"/>
        <v>0.11442189891189558</v>
      </c>
      <c r="P35" s="74">
        <f t="shared" si="19"/>
        <v>0.11738634422617011</v>
      </c>
      <c r="Q35" s="74">
        <f t="shared" si="19"/>
        <v>0.18971671838871529</v>
      </c>
      <c r="R35" s="74">
        <f t="shared" si="19"/>
        <v>0.24733814720456426</v>
      </c>
      <c r="S35" s="74">
        <f t="shared" si="19"/>
        <v>0.52694395404864158</v>
      </c>
      <c r="T35" s="74">
        <f t="shared" si="19"/>
        <v>0.87313440136020226</v>
      </c>
      <c r="U35" s="74">
        <f t="shared" si="19"/>
        <v>0</v>
      </c>
      <c r="V35" s="74">
        <f t="shared" si="18"/>
        <v>0.21356094309843279</v>
      </c>
    </row>
    <row r="36" spans="1:25" x14ac:dyDescent="0.2">
      <c r="A36" s="1" t="s">
        <v>117</v>
      </c>
      <c r="B36">
        <v>1.0170999999999999</v>
      </c>
      <c r="C36">
        <v>0.88519999999999999</v>
      </c>
      <c r="D36">
        <v>0.85</v>
      </c>
      <c r="E36">
        <v>13</v>
      </c>
      <c r="F36">
        <v>3.2</v>
      </c>
      <c r="G36">
        <v>3.2</v>
      </c>
      <c r="J36" s="74">
        <f t="shared" si="19"/>
        <v>0</v>
      </c>
      <c r="K36" s="74">
        <f t="shared" si="19"/>
        <v>0.99999192369666479</v>
      </c>
      <c r="L36" s="74">
        <f t="shared" si="19"/>
        <v>0.99600160381417568</v>
      </c>
      <c r="M36" s="74">
        <f t="shared" si="19"/>
        <v>0.57609271094224379</v>
      </c>
      <c r="N36" s="74">
        <f t="shared" si="19"/>
        <v>0.32494031343439644</v>
      </c>
      <c r="O36" s="74">
        <f t="shared" si="19"/>
        <v>0.17184166803478607</v>
      </c>
      <c r="P36" s="74">
        <f t="shared" si="19"/>
        <v>0.17628439936335005</v>
      </c>
      <c r="Q36" s="74">
        <f t="shared" si="19"/>
        <v>0.28186326558587249</v>
      </c>
      <c r="R36" s="74">
        <f t="shared" si="19"/>
        <v>0.36201085633562424</v>
      </c>
      <c r="S36" s="74">
        <f t="shared" si="19"/>
        <v>0.69712347239196981</v>
      </c>
      <c r="T36" s="74">
        <f t="shared" si="19"/>
        <v>0.96332648454232428</v>
      </c>
      <c r="U36" s="74">
        <f t="shared" si="19"/>
        <v>0</v>
      </c>
      <c r="V36" s="74">
        <f t="shared" si="18"/>
        <v>0.30102547286264458</v>
      </c>
    </row>
    <row r="37" spans="1:25" x14ac:dyDescent="0.2">
      <c r="A37" s="1" t="s">
        <v>118</v>
      </c>
      <c r="B37">
        <v>1.0672999999999999</v>
      </c>
      <c r="C37">
        <v>1.0086999999999999</v>
      </c>
      <c r="D37">
        <v>0.95</v>
      </c>
      <c r="E37">
        <v>8.9</v>
      </c>
      <c r="F37">
        <v>9</v>
      </c>
      <c r="G37">
        <v>3.2</v>
      </c>
      <c r="J37" s="74">
        <f t="shared" si="19"/>
        <v>0</v>
      </c>
      <c r="K37" s="74">
        <f t="shared" si="19"/>
        <v>0.99999837998413232</v>
      </c>
      <c r="L37" s="74">
        <f t="shared" si="19"/>
        <v>0.99809390813881227</v>
      </c>
      <c r="M37" s="74">
        <f t="shared" si="19"/>
        <v>0.61265004647896293</v>
      </c>
      <c r="N37" s="74">
        <f t="shared" si="19"/>
        <v>0.34178606116599652</v>
      </c>
      <c r="O37" s="74">
        <f t="shared" si="19"/>
        <v>0.16914866120111471</v>
      </c>
      <c r="P37" s="74">
        <f t="shared" si="19"/>
        <v>0.17422578565770674</v>
      </c>
      <c r="Q37" s="74">
        <f t="shared" si="19"/>
        <v>0.29371472758709516</v>
      </c>
      <c r="R37" s="74">
        <f t="shared" si="19"/>
        <v>0.3828140851847176</v>
      </c>
      <c r="S37" s="74">
        <f t="shared" si="19"/>
        <v>0.73592450736373993</v>
      </c>
      <c r="T37" s="74">
        <f t="shared" si="19"/>
        <v>0.97618280970043825</v>
      </c>
      <c r="U37" s="74">
        <f t="shared" si="19"/>
        <v>0</v>
      </c>
      <c r="V37" s="74">
        <f t="shared" si="18"/>
        <v>0.31070470848936171</v>
      </c>
    </row>
    <row r="38" spans="1:25" x14ac:dyDescent="0.2">
      <c r="A38" s="1" t="s">
        <v>179</v>
      </c>
      <c r="B38">
        <v>1.1028</v>
      </c>
      <c r="C38">
        <v>1.1811</v>
      </c>
      <c r="D38">
        <v>0.74</v>
      </c>
      <c r="E38">
        <v>5.8</v>
      </c>
      <c r="F38">
        <v>9</v>
      </c>
      <c r="G38">
        <v>3.2</v>
      </c>
      <c r="J38" s="74">
        <f t="shared" si="19"/>
        <v>0</v>
      </c>
      <c r="K38" s="74">
        <f t="shared" si="19"/>
        <v>0.99999983557697658</v>
      </c>
      <c r="L38" s="74">
        <f t="shared" si="19"/>
        <v>0.99935226551881196</v>
      </c>
      <c r="M38" s="74">
        <f t="shared" si="19"/>
        <v>0.67354964808952145</v>
      </c>
      <c r="N38" s="74">
        <f t="shared" si="19"/>
        <v>0.39265458407552944</v>
      </c>
      <c r="O38" s="74">
        <f t="shared" si="19"/>
        <v>0.20222406689589223</v>
      </c>
      <c r="P38" s="74">
        <f t="shared" si="19"/>
        <v>0.20792929261289073</v>
      </c>
      <c r="Q38" s="74">
        <f t="shared" si="19"/>
        <v>0.34039945238525382</v>
      </c>
      <c r="R38" s="74">
        <f t="shared" si="19"/>
        <v>0.43674184729902987</v>
      </c>
      <c r="S38" s="74">
        <f t="shared" si="19"/>
        <v>0.79154803097432624</v>
      </c>
      <c r="T38" s="74">
        <f t="shared" si="19"/>
        <v>0.98753787660992476</v>
      </c>
      <c r="U38" s="74">
        <f t="shared" si="19"/>
        <v>0</v>
      </c>
      <c r="V38" s="74">
        <f t="shared" si="18"/>
        <v>0.35299000658642626</v>
      </c>
    </row>
    <row r="39" spans="1:25" x14ac:dyDescent="0.2">
      <c r="A39" s="1" t="s">
        <v>120</v>
      </c>
      <c r="B39">
        <v>0.96889999999999998</v>
      </c>
      <c r="C39">
        <v>0.46850000000000003</v>
      </c>
      <c r="D39">
        <v>0.82</v>
      </c>
      <c r="E39">
        <v>19.3</v>
      </c>
      <c r="F39">
        <v>0</v>
      </c>
      <c r="G39">
        <v>1.8</v>
      </c>
      <c r="J39" s="74">
        <f t="shared" si="19"/>
        <v>0</v>
      </c>
      <c r="K39" s="74">
        <f t="shared" si="19"/>
        <v>0.99803657459816342</v>
      </c>
      <c r="L39" s="74">
        <f t="shared" si="19"/>
        <v>0.94761653207837859</v>
      </c>
      <c r="M39" s="74">
        <f t="shared" si="19"/>
        <v>0.38177385869426017</v>
      </c>
      <c r="N39" s="74">
        <f t="shared" si="19"/>
        <v>0.20914767059301276</v>
      </c>
      <c r="O39" s="74">
        <f t="shared" si="19"/>
        <v>0.11879216654939506</v>
      </c>
      <c r="P39" s="74">
        <f t="shared" si="19"/>
        <v>0.12129731047694758</v>
      </c>
      <c r="Q39" s="74">
        <f t="shared" si="19"/>
        <v>0.18282716181400405</v>
      </c>
      <c r="R39" s="74">
        <f t="shared" si="19"/>
        <v>0.23243835144038549</v>
      </c>
      <c r="S39" s="74">
        <f t="shared" si="19"/>
        <v>0.48254477742933433</v>
      </c>
      <c r="T39" s="74">
        <f t="shared" si="19"/>
        <v>0.83072674454521622</v>
      </c>
      <c r="U39" s="74">
        <f t="shared" si="19"/>
        <v>0</v>
      </c>
      <c r="V39" s="74">
        <f t="shared" si="18"/>
        <v>0.20630760863977718</v>
      </c>
    </row>
    <row r="40" spans="1:25" x14ac:dyDescent="0.2">
      <c r="A40" s="1" t="s">
        <v>121</v>
      </c>
      <c r="B40">
        <v>0.9395</v>
      </c>
      <c r="C40">
        <v>0.33629999999999999</v>
      </c>
      <c r="D40">
        <v>0.95</v>
      </c>
      <c r="E40">
        <v>19.3</v>
      </c>
      <c r="F40">
        <v>0</v>
      </c>
      <c r="G40">
        <v>1.8</v>
      </c>
      <c r="J40" s="74">
        <f t="shared" si="19"/>
        <v>2.3819816062755628E-2</v>
      </c>
      <c r="K40" s="74">
        <f t="shared" si="19"/>
        <v>0.98898749543301778</v>
      </c>
      <c r="L40" s="74">
        <f t="shared" si="19"/>
        <v>0.8836863823087695</v>
      </c>
      <c r="M40" s="74">
        <f t="shared" si="19"/>
        <v>0.3159261415242457</v>
      </c>
      <c r="N40" s="74">
        <f t="shared" si="19"/>
        <v>0.1836568833132618</v>
      </c>
      <c r="O40" s="74">
        <f t="shared" si="19"/>
        <v>0.11773678853019121</v>
      </c>
      <c r="P40" s="74">
        <f t="shared" si="19"/>
        <v>0.11953791473822417</v>
      </c>
      <c r="Q40" s="74">
        <f t="shared" si="19"/>
        <v>0.16424474326204086</v>
      </c>
      <c r="R40" s="74">
        <f t="shared" si="19"/>
        <v>0.20098696405460204</v>
      </c>
      <c r="S40" s="74">
        <f t="shared" si="19"/>
        <v>0.39794865836782845</v>
      </c>
      <c r="T40" s="74">
        <f t="shared" si="19"/>
        <v>0.7300487872817718</v>
      </c>
      <c r="U40" s="74">
        <f t="shared" si="19"/>
        <v>2.3819816062755628E-2</v>
      </c>
      <c r="V40" s="74">
        <f t="shared" si="18"/>
        <v>0.18604780666018197</v>
      </c>
    </row>
    <row r="41" spans="1:25" x14ac:dyDescent="0.2">
      <c r="A41" s="1" t="s">
        <v>128</v>
      </c>
      <c r="B41">
        <v>1.0411999999999999</v>
      </c>
      <c r="C41">
        <v>0.92810000000000004</v>
      </c>
      <c r="D41">
        <v>0.78</v>
      </c>
      <c r="E41">
        <v>10</v>
      </c>
      <c r="F41">
        <v>9</v>
      </c>
      <c r="G41">
        <v>1.8</v>
      </c>
      <c r="J41" s="74">
        <f t="shared" si="19"/>
        <v>0</v>
      </c>
      <c r="K41" s="74">
        <f t="shared" si="19"/>
        <v>0.99999540723035241</v>
      </c>
      <c r="L41" s="74">
        <f t="shared" si="19"/>
        <v>0.99692856382433881</v>
      </c>
      <c r="M41" s="74">
        <f t="shared" si="19"/>
        <v>0.59178960946355552</v>
      </c>
      <c r="N41" s="74">
        <f t="shared" si="19"/>
        <v>0.33511206690107465</v>
      </c>
      <c r="O41" s="74">
        <f t="shared" si="19"/>
        <v>0.17619992447311095</v>
      </c>
      <c r="P41" s="74">
        <f t="shared" si="19"/>
        <v>0.18083284994616466</v>
      </c>
      <c r="Q41" s="74">
        <f t="shared" si="19"/>
        <v>0.29056045328982572</v>
      </c>
      <c r="R41" s="74">
        <f t="shared" si="19"/>
        <v>0.3733416834932437</v>
      </c>
      <c r="S41" s="74">
        <f t="shared" si="19"/>
        <v>0.71305223664934569</v>
      </c>
      <c r="T41" s="74">
        <f t="shared" si="19"/>
        <v>0.96863445497669531</v>
      </c>
      <c r="U41" s="74">
        <f t="shared" si="19"/>
        <v>0</v>
      </c>
      <c r="V41" s="74">
        <f t="shared" si="18"/>
        <v>0.30889587635297405</v>
      </c>
    </row>
    <row r="42" spans="1:25" x14ac:dyDescent="0.2">
      <c r="A42" s="1" t="s">
        <v>180</v>
      </c>
      <c r="B42">
        <v>1.0468</v>
      </c>
      <c r="C42">
        <v>0.90539999999999998</v>
      </c>
      <c r="D42">
        <v>0.76</v>
      </c>
      <c r="E42">
        <v>10.8</v>
      </c>
      <c r="F42">
        <v>9</v>
      </c>
      <c r="G42">
        <v>1.8</v>
      </c>
      <c r="J42" s="74">
        <f t="shared" ref="J42:U42" si="20">IF(+(1-$B42*EXP((-$C42*(J$14-$E42*$D42)/$B$20)))&lt;0,0,+(1-$B42*EXP((-$C42*(J$14-$E42*$D42)/$B$20))))</f>
        <v>0</v>
      </c>
      <c r="K42" s="74">
        <f t="shared" si="20"/>
        <v>0.99999374269122332</v>
      </c>
      <c r="L42" s="74">
        <f t="shared" si="20"/>
        <v>0.99643095168061979</v>
      </c>
      <c r="M42" s="74">
        <f t="shared" si="20"/>
        <v>0.5791220528665304</v>
      </c>
      <c r="N42" s="74">
        <f t="shared" si="20"/>
        <v>0.32261017921152202</v>
      </c>
      <c r="O42" s="74">
        <f t="shared" si="20"/>
        <v>0.16509780913851713</v>
      </c>
      <c r="P42" s="74">
        <f t="shared" si="20"/>
        <v>0.16967864499515461</v>
      </c>
      <c r="Q42" s="74">
        <f t="shared" si="20"/>
        <v>0.27836650032461119</v>
      </c>
      <c r="R42" s="74">
        <f t="shared" si="20"/>
        <v>0.36063326133128581</v>
      </c>
      <c r="S42" s="74">
        <f t="shared" si="20"/>
        <v>0.70158605973411092</v>
      </c>
      <c r="T42" s="74">
        <f t="shared" si="20"/>
        <v>0.9655664064115963</v>
      </c>
      <c r="U42" s="74">
        <f t="shared" si="20"/>
        <v>0</v>
      </c>
      <c r="V42" s="74">
        <f t="shared" si="18"/>
        <v>0.29736124099047673</v>
      </c>
    </row>
    <row r="43" spans="1:25" x14ac:dyDescent="0.2">
      <c r="A43" s="1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</row>
    <row r="44" spans="1:25" x14ac:dyDescent="0.2">
      <c r="A44" s="1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</row>
    <row r="45" spans="1:25" x14ac:dyDescent="0.2">
      <c r="A45" s="1" t="s">
        <v>270</v>
      </c>
      <c r="J45" s="74"/>
      <c r="K45" s="74"/>
      <c r="L45" s="74"/>
      <c r="M45" s="74"/>
      <c r="N45" s="74"/>
      <c r="O45" s="74"/>
      <c r="R45" s="85" t="s">
        <v>271</v>
      </c>
      <c r="S45" s="85"/>
      <c r="T45" s="85"/>
      <c r="U45" s="85"/>
      <c r="V45" s="85"/>
      <c r="W45" s="85"/>
    </row>
    <row r="46" spans="1:25" x14ac:dyDescent="0.2">
      <c r="A46" s="1" t="s">
        <v>649</v>
      </c>
      <c r="J46" s="74"/>
      <c r="K46" s="74"/>
      <c r="L46" s="74"/>
      <c r="M46" s="74"/>
      <c r="N46" s="74"/>
      <c r="O46" s="74"/>
      <c r="R46" s="85"/>
      <c r="S46" s="85"/>
      <c r="T46" s="85"/>
      <c r="U46" s="85"/>
      <c r="V46" s="85"/>
      <c r="W46" s="85"/>
    </row>
    <row r="47" spans="1:25" x14ac:dyDescent="0.2">
      <c r="A47" s="1" t="s">
        <v>161</v>
      </c>
      <c r="O47" s="74"/>
      <c r="R47" s="85" t="s">
        <v>272</v>
      </c>
      <c r="S47" s="85" t="s">
        <v>273</v>
      </c>
      <c r="T47" t="s">
        <v>278</v>
      </c>
      <c r="U47" s="85" t="s">
        <v>274</v>
      </c>
      <c r="V47" s="85" t="s">
        <v>275</v>
      </c>
      <c r="W47" t="s">
        <v>279</v>
      </c>
      <c r="X47" s="85" t="s">
        <v>276</v>
      </c>
      <c r="Y47" s="85" t="s">
        <v>277</v>
      </c>
    </row>
    <row r="48" spans="1:25" x14ac:dyDescent="0.2">
      <c r="A48" s="1" t="s">
        <v>162</v>
      </c>
      <c r="B48" s="1">
        <v>1</v>
      </c>
      <c r="C48" s="1">
        <v>2</v>
      </c>
      <c r="D48" s="1">
        <v>3</v>
      </c>
      <c r="E48" s="1">
        <v>4</v>
      </c>
      <c r="F48" s="1">
        <v>5</v>
      </c>
      <c r="G48" s="1">
        <v>6</v>
      </c>
      <c r="H48" s="1">
        <v>7</v>
      </c>
      <c r="I48" s="1">
        <v>8</v>
      </c>
      <c r="J48" s="1">
        <v>9</v>
      </c>
      <c r="K48" s="1">
        <v>10</v>
      </c>
      <c r="L48" s="1">
        <v>11</v>
      </c>
      <c r="M48" s="1">
        <v>12</v>
      </c>
      <c r="O48" s="74"/>
      <c r="R48" s="74"/>
      <c r="S48" s="74"/>
      <c r="U48" s="74"/>
      <c r="V48" s="74"/>
      <c r="X48" s="74"/>
      <c r="Y48" s="74"/>
    </row>
    <row r="49" spans="1:25" x14ac:dyDescent="0.2">
      <c r="A49" s="1" t="s">
        <v>163</v>
      </c>
      <c r="B49" s="73">
        <v>0</v>
      </c>
      <c r="C49" s="73">
        <v>8.8000000000000007</v>
      </c>
      <c r="D49" s="73">
        <v>26.1</v>
      </c>
      <c r="E49" s="73">
        <v>100.3</v>
      </c>
      <c r="F49" s="73">
        <v>225.3</v>
      </c>
      <c r="G49" s="73">
        <v>328.8</v>
      </c>
      <c r="H49" s="73">
        <v>345</v>
      </c>
      <c r="I49" s="73">
        <v>274</v>
      </c>
      <c r="J49" s="73">
        <v>168.4</v>
      </c>
      <c r="K49" s="73">
        <v>68.8</v>
      </c>
      <c r="L49" s="73">
        <v>27.5</v>
      </c>
      <c r="M49" s="73">
        <v>0</v>
      </c>
      <c r="N49" s="73">
        <f>SUM(B49:M49)</f>
        <v>1573</v>
      </c>
      <c r="O49" s="74"/>
      <c r="P49" t="s">
        <v>649</v>
      </c>
      <c r="R49" s="84">
        <v>38.4</v>
      </c>
      <c r="S49" s="84">
        <v>31.9</v>
      </c>
      <c r="T49">
        <f>+(R49+S49)/2</f>
        <v>35.15</v>
      </c>
      <c r="U49">
        <v>24.3</v>
      </c>
      <c r="V49" s="84">
        <v>17.399999999999999</v>
      </c>
      <c r="W49">
        <f>+(V49+U49)/2</f>
        <v>20.85</v>
      </c>
      <c r="X49" s="84">
        <v>30.7</v>
      </c>
      <c r="Y49" s="84">
        <v>10</v>
      </c>
    </row>
    <row r="50" spans="1:25" x14ac:dyDescent="0.2">
      <c r="A50" s="1"/>
      <c r="O50" s="74"/>
      <c r="P50" t="s">
        <v>88</v>
      </c>
      <c r="Q50" s="74"/>
      <c r="R50" s="84">
        <v>36.200000000000003</v>
      </c>
      <c r="S50" s="84">
        <v>29</v>
      </c>
      <c r="T50">
        <f t="shared" ref="T50:T56" si="21">+(R50+S50)/2</f>
        <v>32.6</v>
      </c>
      <c r="U50">
        <v>22.4</v>
      </c>
      <c r="V50" s="84">
        <v>15.3</v>
      </c>
      <c r="W50">
        <f t="shared" ref="W50:W55" si="22">+(V50+U50)/2</f>
        <v>18.850000000000001</v>
      </c>
      <c r="X50" s="84">
        <v>30.7</v>
      </c>
      <c r="Y50" s="84">
        <v>9</v>
      </c>
    </row>
    <row r="51" spans="1:25" x14ac:dyDescent="0.2">
      <c r="A51" s="1" t="s">
        <v>164</v>
      </c>
      <c r="B51" s="1" t="s">
        <v>165</v>
      </c>
      <c r="O51" s="74"/>
      <c r="P51" t="s">
        <v>266</v>
      </c>
      <c r="Q51" s="74"/>
      <c r="R51" s="84">
        <v>38.700000000000003</v>
      </c>
      <c r="S51" s="84">
        <v>31.2</v>
      </c>
      <c r="T51">
        <f t="shared" si="21"/>
        <v>34.950000000000003</v>
      </c>
      <c r="U51">
        <v>23.9</v>
      </c>
      <c r="V51" s="84">
        <v>16.100000000000001</v>
      </c>
      <c r="W51">
        <f t="shared" si="22"/>
        <v>20</v>
      </c>
      <c r="X51" s="84">
        <v>30.3</v>
      </c>
      <c r="Y51" s="84">
        <v>11</v>
      </c>
    </row>
    <row r="52" spans="1:25" x14ac:dyDescent="0.2">
      <c r="A52" s="1" t="s">
        <v>166</v>
      </c>
      <c r="B52" s="73">
        <f>+B58*0.02044</f>
        <v>0</v>
      </c>
      <c r="C52" s="73">
        <f t="shared" ref="C52:M52" si="23">+C58*0.02044</f>
        <v>0</v>
      </c>
      <c r="D52" s="73">
        <f t="shared" si="23"/>
        <v>0</v>
      </c>
      <c r="E52" s="73">
        <f t="shared" si="23"/>
        <v>3.5530779702520987</v>
      </c>
      <c r="F52" s="73">
        <f t="shared" si="23"/>
        <v>1.6949366800485834</v>
      </c>
      <c r="G52" s="73">
        <f t="shared" si="23"/>
        <v>1.0347833218807632</v>
      </c>
      <c r="H52" s="73">
        <f t="shared" si="23"/>
        <v>1.0829300830367414</v>
      </c>
      <c r="I52" s="73">
        <f t="shared" si="23"/>
        <v>1.4922825383470715</v>
      </c>
      <c r="J52" s="73">
        <f t="shared" si="23"/>
        <v>2.0931974395823163</v>
      </c>
      <c r="K52" s="73">
        <f t="shared" si="23"/>
        <v>5.6277158745376283</v>
      </c>
      <c r="L52" s="73">
        <f t="shared" si="23"/>
        <v>0</v>
      </c>
      <c r="M52" s="73">
        <f t="shared" si="23"/>
        <v>0</v>
      </c>
      <c r="O52" s="74"/>
      <c r="P52" t="s">
        <v>268</v>
      </c>
      <c r="Q52" s="74"/>
      <c r="R52" s="84">
        <v>40.4</v>
      </c>
      <c r="S52" s="84">
        <v>32.299999999999997</v>
      </c>
      <c r="T52">
        <f t="shared" si="21"/>
        <v>36.349999999999994</v>
      </c>
      <c r="U52">
        <v>24.9</v>
      </c>
      <c r="V52" s="84">
        <v>17.399999999999999</v>
      </c>
      <c r="W52">
        <f t="shared" si="22"/>
        <v>21.15</v>
      </c>
      <c r="X52" s="84">
        <v>30.9</v>
      </c>
      <c r="Y52" s="84">
        <v>7</v>
      </c>
    </row>
    <row r="53" spans="1:25" x14ac:dyDescent="0.2">
      <c r="A53" s="1" t="s">
        <v>167</v>
      </c>
      <c r="B53" s="73">
        <v>0</v>
      </c>
      <c r="C53" s="73">
        <f t="shared" ref="C53:M53" si="24">+C59*0.02044</f>
        <v>0</v>
      </c>
      <c r="D53" s="73">
        <f t="shared" si="24"/>
        <v>0</v>
      </c>
      <c r="E53" s="73">
        <f t="shared" si="24"/>
        <v>2.5041766369188547</v>
      </c>
      <c r="F53" s="73">
        <f t="shared" si="24"/>
        <v>1.2357710739346339</v>
      </c>
      <c r="G53" s="73">
        <f t="shared" si="24"/>
        <v>0.76085290188051069</v>
      </c>
      <c r="H53" s="73">
        <f t="shared" si="24"/>
        <v>0.79139994827935001</v>
      </c>
      <c r="I53" s="73">
        <f t="shared" si="24"/>
        <v>1.0600716067216405</v>
      </c>
      <c r="J53" s="73">
        <f t="shared" si="24"/>
        <v>1.4290257677340825</v>
      </c>
      <c r="K53" s="73">
        <f t="shared" si="24"/>
        <v>3.5782738939413186</v>
      </c>
      <c r="L53" s="73">
        <f t="shared" si="24"/>
        <v>0</v>
      </c>
      <c r="M53" s="73">
        <f t="shared" si="24"/>
        <v>0</v>
      </c>
      <c r="O53" s="74"/>
      <c r="P53" t="s">
        <v>267</v>
      </c>
      <c r="Q53" s="74"/>
      <c r="R53" s="84">
        <v>37.4</v>
      </c>
      <c r="S53" s="84">
        <v>30.1</v>
      </c>
      <c r="T53">
        <f t="shared" si="21"/>
        <v>33.75</v>
      </c>
      <c r="U53">
        <v>23.6</v>
      </c>
      <c r="V53" s="84">
        <v>18.399999999999999</v>
      </c>
      <c r="W53">
        <f t="shared" si="22"/>
        <v>21</v>
      </c>
      <c r="X53" s="84">
        <v>30.4</v>
      </c>
      <c r="Y53" s="84">
        <v>7</v>
      </c>
    </row>
    <row r="54" spans="1:25" x14ac:dyDescent="0.2">
      <c r="A54" s="1" t="s">
        <v>168</v>
      </c>
      <c r="B54" s="73">
        <v>0</v>
      </c>
      <c r="C54" s="73">
        <f t="shared" ref="C54:M54" si="25">+C60*0.02044</f>
        <v>0</v>
      </c>
      <c r="D54" s="73">
        <f t="shared" si="25"/>
        <v>0</v>
      </c>
      <c r="E54" s="73">
        <f t="shared" si="25"/>
        <v>3.579258544769746</v>
      </c>
      <c r="F54" s="73">
        <f t="shared" si="25"/>
        <v>1.7074256871647309</v>
      </c>
      <c r="G54" s="73">
        <f t="shared" si="25"/>
        <v>1.0424080410946215</v>
      </c>
      <c r="H54" s="73">
        <f t="shared" si="25"/>
        <v>1.0909095678591176</v>
      </c>
      <c r="I54" s="73">
        <f t="shared" si="25"/>
        <v>1.5032783044191023</v>
      </c>
      <c r="J54" s="73">
        <f t="shared" si="25"/>
        <v>2.1086209996634491</v>
      </c>
      <c r="K54" s="73">
        <f t="shared" si="25"/>
        <v>5.6691832546658008</v>
      </c>
      <c r="L54" s="73">
        <f t="shared" si="25"/>
        <v>0</v>
      </c>
      <c r="M54" s="73">
        <f t="shared" si="25"/>
        <v>0</v>
      </c>
      <c r="O54" s="74"/>
      <c r="P54" t="s">
        <v>263</v>
      </c>
      <c r="Q54" s="74"/>
      <c r="R54" s="84">
        <v>39</v>
      </c>
      <c r="S54" s="84">
        <v>29.9</v>
      </c>
      <c r="T54">
        <f t="shared" si="21"/>
        <v>34.450000000000003</v>
      </c>
      <c r="U54">
        <v>22.2</v>
      </c>
      <c r="V54" s="84">
        <v>15.8</v>
      </c>
      <c r="W54">
        <f t="shared" si="22"/>
        <v>19</v>
      </c>
      <c r="X54" s="84">
        <v>31</v>
      </c>
      <c r="Y54" s="84">
        <v>10.3</v>
      </c>
    </row>
    <row r="55" spans="1:25" x14ac:dyDescent="0.2">
      <c r="A55" s="1" t="s">
        <v>169</v>
      </c>
      <c r="B55" s="73">
        <v>0</v>
      </c>
      <c r="C55" s="73">
        <f t="shared" ref="C55:M55" si="26">+C61*0.02044</f>
        <v>0</v>
      </c>
      <c r="D55" s="73">
        <f t="shared" si="26"/>
        <v>0</v>
      </c>
      <c r="E55" s="73">
        <f t="shared" si="26"/>
        <v>2.4682560704056749</v>
      </c>
      <c r="F55" s="73">
        <f t="shared" si="26"/>
        <v>1.2180448495134402</v>
      </c>
      <c r="G55" s="73">
        <f t="shared" si="26"/>
        <v>0.74993902828796244</v>
      </c>
      <c r="H55" s="73">
        <f t="shared" si="26"/>
        <v>0.7800478998409166</v>
      </c>
      <c r="I55" s="73">
        <f t="shared" si="26"/>
        <v>1.0448656615432563</v>
      </c>
      <c r="J55" s="73">
        <f t="shared" si="26"/>
        <v>1.408527447295274</v>
      </c>
      <c r="K55" s="73">
        <f t="shared" si="26"/>
        <v>3.5269461946429801</v>
      </c>
      <c r="L55" s="73">
        <f t="shared" si="26"/>
        <v>0</v>
      </c>
      <c r="M55" s="73">
        <f t="shared" si="26"/>
        <v>0</v>
      </c>
      <c r="O55" s="74"/>
      <c r="P55" t="s">
        <v>262</v>
      </c>
      <c r="Q55" s="74"/>
      <c r="R55" s="84">
        <v>36.4</v>
      </c>
      <c r="S55" s="84">
        <v>28.2</v>
      </c>
      <c r="T55">
        <f t="shared" si="21"/>
        <v>32.299999999999997</v>
      </c>
      <c r="U55">
        <v>18.899999999999999</v>
      </c>
      <c r="V55" s="84">
        <v>9.6999999999999993</v>
      </c>
      <c r="W55">
        <f t="shared" si="22"/>
        <v>14.299999999999999</v>
      </c>
      <c r="X55" s="84">
        <v>33.200000000000003</v>
      </c>
      <c r="Y55" s="84">
        <v>12</v>
      </c>
    </row>
    <row r="56" spans="1:25" x14ac:dyDescent="0.2">
      <c r="A56" s="1"/>
      <c r="O56" s="74"/>
      <c r="P56" s="132" t="s">
        <v>618</v>
      </c>
      <c r="Q56" s="74"/>
      <c r="R56" s="84">
        <v>30</v>
      </c>
      <c r="S56" s="84">
        <v>20.100000000000001</v>
      </c>
      <c r="T56">
        <f t="shared" si="21"/>
        <v>25.05</v>
      </c>
      <c r="U56">
        <v>14.1</v>
      </c>
      <c r="V56" s="84">
        <v>6.2</v>
      </c>
      <c r="W56">
        <f>+(V56+U56)/2</f>
        <v>10.15</v>
      </c>
      <c r="X56" s="84">
        <v>33.6</v>
      </c>
      <c r="Y56" s="84">
        <v>22</v>
      </c>
    </row>
    <row r="57" spans="1:25" x14ac:dyDescent="0.2">
      <c r="A57" s="1" t="s">
        <v>164</v>
      </c>
      <c r="B57" s="1" t="s">
        <v>170</v>
      </c>
      <c r="O57" s="74"/>
      <c r="P57" s="74"/>
      <c r="Q57" s="74"/>
      <c r="R57" s="74"/>
      <c r="S57" s="74"/>
      <c r="T57" s="74"/>
      <c r="U57" s="74"/>
      <c r="V57" s="74"/>
    </row>
    <row r="58" spans="1:25" x14ac:dyDescent="0.2">
      <c r="A58" s="1" t="s">
        <v>166</v>
      </c>
      <c r="B58">
        <v>0</v>
      </c>
      <c r="C58">
        <v>0</v>
      </c>
      <c r="D58">
        <v>0</v>
      </c>
      <c r="E58">
        <v>173.82964629413399</v>
      </c>
      <c r="F58">
        <v>82.92253816284655</v>
      </c>
      <c r="G58">
        <v>50.625407137023643</v>
      </c>
      <c r="H58">
        <v>52.980923827629233</v>
      </c>
      <c r="I58">
        <v>73.007951973927177</v>
      </c>
      <c r="J58">
        <v>102.40691974473171</v>
      </c>
      <c r="K58">
        <v>275.32856529049064</v>
      </c>
      <c r="L58">
        <v>0</v>
      </c>
      <c r="M58">
        <v>0</v>
      </c>
      <c r="O58" s="74"/>
      <c r="P58" s="74"/>
      <c r="Q58" s="74"/>
      <c r="R58" s="74"/>
      <c r="S58" s="74"/>
      <c r="T58" s="74"/>
      <c r="U58" s="74"/>
      <c r="V58" s="74"/>
    </row>
    <row r="59" spans="1:25" x14ac:dyDescent="0.2">
      <c r="A59" s="1" t="s">
        <v>167</v>
      </c>
      <c r="B59">
        <v>0</v>
      </c>
      <c r="C59">
        <v>0</v>
      </c>
      <c r="D59">
        <v>0</v>
      </c>
      <c r="E59">
        <v>122.51353409583439</v>
      </c>
      <c r="F59">
        <v>60.458467413631794</v>
      </c>
      <c r="G59">
        <v>37.223723183978016</v>
      </c>
      <c r="H59">
        <v>38.718197078246085</v>
      </c>
      <c r="I59">
        <v>51.862603068573407</v>
      </c>
      <c r="J59">
        <v>69.913198030043176</v>
      </c>
      <c r="K59">
        <v>175.06232357834239</v>
      </c>
      <c r="L59">
        <v>0</v>
      </c>
      <c r="M59">
        <v>0</v>
      </c>
      <c r="O59" s="74"/>
      <c r="P59" s="74"/>
      <c r="Q59" s="74"/>
      <c r="R59" s="74"/>
      <c r="S59" s="74"/>
      <c r="T59" s="74"/>
      <c r="U59" s="74"/>
      <c r="V59" s="74"/>
    </row>
    <row r="60" spans="1:25" x14ac:dyDescent="0.2">
      <c r="A60" s="1" t="s">
        <v>168</v>
      </c>
      <c r="B60">
        <v>0</v>
      </c>
      <c r="C60">
        <v>0</v>
      </c>
      <c r="D60">
        <v>0</v>
      </c>
      <c r="E60">
        <v>175.1104963194592</v>
      </c>
      <c r="F60">
        <v>83.53354633878331</v>
      </c>
      <c r="G60">
        <v>50.998436452770136</v>
      </c>
      <c r="H60">
        <v>53.371309582148612</v>
      </c>
      <c r="I60">
        <v>73.545905304261368</v>
      </c>
      <c r="J60">
        <v>103.16149704811394</v>
      </c>
      <c r="K60">
        <v>277.35730208736794</v>
      </c>
      <c r="L60">
        <v>0</v>
      </c>
      <c r="M60">
        <v>0</v>
      </c>
      <c r="O60" s="74"/>
      <c r="P60" s="74"/>
      <c r="Q60" s="74"/>
      <c r="R60" s="74"/>
      <c r="S60" s="74"/>
      <c r="T60" s="74"/>
      <c r="U60" s="74"/>
      <c r="V60" s="74"/>
    </row>
    <row r="61" spans="1:25" x14ac:dyDescent="0.2">
      <c r="A61" s="1" t="s">
        <v>169</v>
      </c>
      <c r="B61">
        <v>0</v>
      </c>
      <c r="C61">
        <v>0</v>
      </c>
      <c r="D61">
        <v>0</v>
      </c>
      <c r="E61">
        <v>120.75616782806628</v>
      </c>
      <c r="F61">
        <v>59.591235299091984</v>
      </c>
      <c r="G61">
        <v>36.689776335027517</v>
      </c>
      <c r="H61">
        <v>38.162813103763042</v>
      </c>
      <c r="I61">
        <v>51.118672286852068</v>
      </c>
      <c r="J61">
        <v>68.910344779612231</v>
      </c>
      <c r="K61">
        <v>172.55118369094814</v>
      </c>
      <c r="L61">
        <v>0</v>
      </c>
      <c r="M61">
        <v>0</v>
      </c>
      <c r="O61" s="74"/>
      <c r="P61" s="74"/>
      <c r="Q61" s="74"/>
      <c r="R61" s="74"/>
      <c r="S61" s="74"/>
      <c r="T61" s="74"/>
      <c r="U61" s="74"/>
      <c r="V61" s="74"/>
    </row>
    <row r="62" spans="1:25" x14ac:dyDescent="0.2">
      <c r="A62" s="1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</row>
    <row r="63" spans="1:25" x14ac:dyDescent="0.2">
      <c r="A63" s="1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</row>
    <row r="64" spans="1:25" x14ac:dyDescent="0.2">
      <c r="A64" s="1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</row>
    <row r="65" spans="1:22" x14ac:dyDescent="0.2">
      <c r="A65" s="1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</row>
    <row r="66" spans="1:22" x14ac:dyDescent="0.2">
      <c r="A66" s="1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</row>
    <row r="67" spans="1:22" x14ac:dyDescent="0.2">
      <c r="A67" s="1" t="s">
        <v>88</v>
      </c>
      <c r="O67" s="74"/>
      <c r="P67" s="74"/>
      <c r="Q67" s="74"/>
      <c r="R67" s="74"/>
      <c r="S67" s="74"/>
      <c r="T67" s="74"/>
      <c r="U67" s="74"/>
      <c r="V67" s="74"/>
    </row>
    <row r="68" spans="1:22" x14ac:dyDescent="0.2">
      <c r="A68" s="1" t="s">
        <v>161</v>
      </c>
      <c r="O68" s="74"/>
      <c r="P68" s="74"/>
      <c r="Q68" s="74"/>
      <c r="R68" s="74"/>
      <c r="S68" s="74"/>
      <c r="T68" s="74"/>
      <c r="U68" s="74"/>
      <c r="V68" s="74"/>
    </row>
    <row r="69" spans="1:22" x14ac:dyDescent="0.2">
      <c r="A69" s="1" t="s">
        <v>162</v>
      </c>
      <c r="B69" s="1">
        <v>1</v>
      </c>
      <c r="C69" s="1">
        <v>2</v>
      </c>
      <c r="D69" s="1">
        <v>3</v>
      </c>
      <c r="E69" s="1">
        <v>4</v>
      </c>
      <c r="F69" s="1">
        <v>5</v>
      </c>
      <c r="G69" s="1">
        <v>6</v>
      </c>
      <c r="H69" s="1">
        <v>7</v>
      </c>
      <c r="I69" s="1">
        <v>8</v>
      </c>
      <c r="J69" s="1">
        <v>9</v>
      </c>
      <c r="K69" s="1">
        <v>10</v>
      </c>
      <c r="L69" s="1">
        <v>11</v>
      </c>
      <c r="M69" s="1">
        <v>12</v>
      </c>
      <c r="O69" s="74"/>
      <c r="P69" s="74"/>
      <c r="Q69" s="74"/>
      <c r="R69" s="74"/>
      <c r="S69" s="74"/>
      <c r="T69" s="74"/>
      <c r="U69" s="74"/>
      <c r="V69" s="74"/>
    </row>
    <row r="70" spans="1:22" x14ac:dyDescent="0.2">
      <c r="A70" s="1" t="s">
        <v>163</v>
      </c>
      <c r="B70" s="73">
        <v>0</v>
      </c>
      <c r="C70" s="73">
        <v>10</v>
      </c>
      <c r="D70" s="73">
        <v>27</v>
      </c>
      <c r="E70" s="73">
        <v>98</v>
      </c>
      <c r="F70" s="73">
        <v>205</v>
      </c>
      <c r="G70" s="73">
        <v>309</v>
      </c>
      <c r="H70" s="73">
        <v>325</v>
      </c>
      <c r="I70" s="73">
        <v>270</v>
      </c>
      <c r="J70" s="73">
        <v>170</v>
      </c>
      <c r="K70" s="73">
        <v>73</v>
      </c>
      <c r="L70" s="73">
        <v>29</v>
      </c>
      <c r="M70" s="73">
        <v>0</v>
      </c>
      <c r="N70" s="73">
        <v>1516</v>
      </c>
      <c r="O70" s="74"/>
      <c r="P70" s="74"/>
      <c r="Q70" s="74"/>
      <c r="R70" s="74"/>
      <c r="S70" s="74"/>
      <c r="T70" s="74"/>
      <c r="U70" s="74"/>
      <c r="V70" s="74"/>
    </row>
    <row r="71" spans="1:22" x14ac:dyDescent="0.2">
      <c r="A71" s="1"/>
      <c r="O71" s="74"/>
      <c r="P71" s="74"/>
      <c r="Q71" s="74"/>
      <c r="R71" s="74"/>
      <c r="S71" s="74"/>
      <c r="T71" s="74"/>
      <c r="U71" s="74"/>
      <c r="V71" s="74"/>
    </row>
    <row r="72" spans="1:22" x14ac:dyDescent="0.2">
      <c r="A72" s="1" t="s">
        <v>164</v>
      </c>
      <c r="B72" s="1" t="s">
        <v>165</v>
      </c>
      <c r="O72" s="74"/>
      <c r="P72" s="74"/>
      <c r="Q72" s="74"/>
      <c r="R72" s="74"/>
      <c r="S72" s="74"/>
      <c r="T72" s="74"/>
      <c r="U72" s="74"/>
      <c r="V72" s="74"/>
    </row>
    <row r="73" spans="1:22" x14ac:dyDescent="0.2">
      <c r="A73" s="1" t="s">
        <v>166</v>
      </c>
      <c r="B73">
        <v>0</v>
      </c>
      <c r="C73" s="73">
        <v>18.170000000000002</v>
      </c>
      <c r="D73" s="73">
        <v>7.44</v>
      </c>
      <c r="E73" s="73">
        <v>3.02</v>
      </c>
      <c r="F73" s="73">
        <v>1.35</v>
      </c>
      <c r="G73" s="73">
        <v>0.88</v>
      </c>
      <c r="H73" s="73">
        <v>0.86</v>
      </c>
      <c r="I73" s="73">
        <v>1.1499999999999999</v>
      </c>
      <c r="J73" s="73">
        <v>1.49</v>
      </c>
      <c r="K73" s="73">
        <v>3.02</v>
      </c>
      <c r="L73" s="73">
        <v>6.77</v>
      </c>
      <c r="M73">
        <v>0</v>
      </c>
      <c r="O73" s="74"/>
      <c r="P73" s="74"/>
      <c r="Q73" s="74"/>
      <c r="R73" s="74"/>
      <c r="S73" s="74"/>
      <c r="T73" s="74"/>
      <c r="U73" s="74"/>
      <c r="V73" s="74"/>
    </row>
    <row r="74" spans="1:22" x14ac:dyDescent="0.2">
      <c r="A74" s="1" t="s">
        <v>167</v>
      </c>
      <c r="B74">
        <v>0</v>
      </c>
      <c r="C74" s="73">
        <v>18.04</v>
      </c>
      <c r="D74" s="73">
        <v>7.38</v>
      </c>
      <c r="E74" s="73">
        <v>3</v>
      </c>
      <c r="F74" s="73">
        <v>1.34</v>
      </c>
      <c r="G74" s="73">
        <v>0.87</v>
      </c>
      <c r="H74" s="73">
        <v>0.86</v>
      </c>
      <c r="I74" s="73">
        <v>1.1399999999999999</v>
      </c>
      <c r="J74" s="73">
        <v>1.48</v>
      </c>
      <c r="K74" s="73">
        <v>3</v>
      </c>
      <c r="L74" s="73">
        <v>6.72</v>
      </c>
      <c r="M74">
        <v>0</v>
      </c>
      <c r="O74" s="74"/>
      <c r="P74" s="74"/>
      <c r="Q74" s="74"/>
      <c r="R74" s="74"/>
      <c r="S74" s="74"/>
      <c r="T74" s="74"/>
      <c r="U74" s="74"/>
      <c r="V74" s="74"/>
    </row>
    <row r="75" spans="1:22" x14ac:dyDescent="0.2">
      <c r="A75" s="1" t="s">
        <v>168</v>
      </c>
      <c r="B75">
        <v>0</v>
      </c>
      <c r="C75" s="73">
        <v>14.74</v>
      </c>
      <c r="D75" s="73">
        <v>6.14</v>
      </c>
      <c r="E75" s="73">
        <v>2.5499999999999998</v>
      </c>
      <c r="F75" s="73">
        <v>1.1599999999999999</v>
      </c>
      <c r="G75" s="73">
        <v>0.75</v>
      </c>
      <c r="H75" s="73">
        <v>0.74</v>
      </c>
      <c r="I75" s="73">
        <v>0.98</v>
      </c>
      <c r="J75" s="73">
        <v>1.24</v>
      </c>
      <c r="K75" s="73">
        <v>2.46</v>
      </c>
      <c r="L75" s="73">
        <v>5.5</v>
      </c>
      <c r="M75">
        <v>0</v>
      </c>
      <c r="O75" s="74"/>
      <c r="P75" s="74"/>
      <c r="Q75" s="74"/>
      <c r="R75" s="74"/>
      <c r="S75" s="74"/>
      <c r="T75" s="74"/>
      <c r="U75" s="74"/>
      <c r="V75" s="74"/>
    </row>
    <row r="76" spans="1:22" x14ac:dyDescent="0.2">
      <c r="A76" s="1" t="s">
        <v>169</v>
      </c>
      <c r="B76">
        <v>0</v>
      </c>
      <c r="C76" s="73">
        <v>14.95</v>
      </c>
      <c r="D76" s="73">
        <v>6.23</v>
      </c>
      <c r="E76" s="73">
        <v>2.59</v>
      </c>
      <c r="F76" s="73">
        <v>1.17</v>
      </c>
      <c r="G76" s="73">
        <v>0.76</v>
      </c>
      <c r="H76" s="73">
        <v>0.75</v>
      </c>
      <c r="I76" s="73">
        <v>0.99</v>
      </c>
      <c r="J76" s="73">
        <v>1.26</v>
      </c>
      <c r="K76" s="73">
        <v>2.5</v>
      </c>
      <c r="L76" s="73">
        <v>5.58</v>
      </c>
      <c r="M76">
        <v>0</v>
      </c>
      <c r="O76" s="74"/>
      <c r="P76" s="74"/>
      <c r="Q76" s="74"/>
      <c r="R76" s="74"/>
      <c r="S76" s="74"/>
      <c r="T76" s="74"/>
      <c r="U76" s="74"/>
      <c r="V76" s="74"/>
    </row>
    <row r="77" spans="1:22" x14ac:dyDescent="0.2">
      <c r="A77" s="1"/>
      <c r="O77" s="74"/>
      <c r="P77" s="74"/>
      <c r="Q77" s="74"/>
      <c r="R77" s="74"/>
      <c r="S77" s="74"/>
      <c r="T77" s="74"/>
      <c r="U77" s="74"/>
      <c r="V77" s="74"/>
    </row>
    <row r="78" spans="1:22" x14ac:dyDescent="0.2">
      <c r="A78" s="1" t="s">
        <v>164</v>
      </c>
      <c r="B78" s="1" t="s">
        <v>170</v>
      </c>
      <c r="O78" s="74"/>
      <c r="P78" s="74"/>
      <c r="Q78" s="74"/>
      <c r="R78" s="74"/>
      <c r="S78" s="74"/>
      <c r="T78" s="74"/>
      <c r="U78" s="74"/>
      <c r="V78" s="74"/>
    </row>
    <row r="79" spans="1:22" x14ac:dyDescent="0.2">
      <c r="A79" s="1" t="s">
        <v>166</v>
      </c>
      <c r="B79">
        <f>+B73/0.0204433</f>
        <v>0</v>
      </c>
      <c r="C79">
        <f t="shared" ref="C79:M79" si="27">+C73/0.0204433</f>
        <v>888.79975346446031</v>
      </c>
      <c r="D79">
        <f t="shared" si="27"/>
        <v>363.93341583795183</v>
      </c>
      <c r="E79">
        <f t="shared" si="27"/>
        <v>147.72566072992129</v>
      </c>
      <c r="F79">
        <f t="shared" si="27"/>
        <v>66.036305293176738</v>
      </c>
      <c r="G79">
        <f t="shared" si="27"/>
        <v>43.0458878948115</v>
      </c>
      <c r="H79">
        <f t="shared" si="27"/>
        <v>42.06757226083851</v>
      </c>
      <c r="I79">
        <f t="shared" si="27"/>
        <v>56.253148953446846</v>
      </c>
      <c r="J79">
        <f t="shared" si="27"/>
        <v>72.884514730987661</v>
      </c>
      <c r="K79">
        <f t="shared" si="27"/>
        <v>147.72566072992129</v>
      </c>
      <c r="L79">
        <f t="shared" si="27"/>
        <v>331.15984209985663</v>
      </c>
      <c r="M79">
        <f t="shared" si="27"/>
        <v>0</v>
      </c>
      <c r="O79" s="74"/>
      <c r="P79" s="74"/>
      <c r="Q79" s="74"/>
      <c r="R79" s="74"/>
      <c r="S79" s="74"/>
      <c r="T79" s="74"/>
      <c r="U79" s="74"/>
      <c r="V79" s="74"/>
    </row>
    <row r="80" spans="1:22" x14ac:dyDescent="0.2">
      <c r="A80" s="1" t="s">
        <v>167</v>
      </c>
      <c r="B80">
        <f t="shared" ref="B80:M82" si="28">+B74/0.0204433</f>
        <v>0</v>
      </c>
      <c r="C80">
        <f t="shared" si="28"/>
        <v>882.44070184363568</v>
      </c>
      <c r="D80">
        <f t="shared" si="28"/>
        <v>360.99846893603279</v>
      </c>
      <c r="E80">
        <f t="shared" si="28"/>
        <v>146.7473450959483</v>
      </c>
      <c r="F80">
        <f t="shared" si="28"/>
        <v>65.547147476190247</v>
      </c>
      <c r="G80">
        <f t="shared" si="28"/>
        <v>42.556730077825009</v>
      </c>
      <c r="H80">
        <f t="shared" si="28"/>
        <v>42.06757226083851</v>
      </c>
      <c r="I80">
        <f t="shared" si="28"/>
        <v>55.763991136460348</v>
      </c>
      <c r="J80">
        <f t="shared" si="28"/>
        <v>72.395356914001155</v>
      </c>
      <c r="K80">
        <f t="shared" si="28"/>
        <v>146.7473450959483</v>
      </c>
      <c r="L80">
        <f t="shared" si="28"/>
        <v>328.71405301492416</v>
      </c>
      <c r="M80">
        <f t="shared" si="28"/>
        <v>0</v>
      </c>
      <c r="O80" s="74"/>
      <c r="P80" s="74"/>
      <c r="Q80" s="74"/>
      <c r="R80" s="74"/>
      <c r="S80" s="74"/>
      <c r="T80" s="74"/>
      <c r="U80" s="74"/>
      <c r="V80" s="74"/>
    </row>
    <row r="81" spans="1:22" x14ac:dyDescent="0.2">
      <c r="A81" s="1" t="s">
        <v>168</v>
      </c>
      <c r="B81">
        <f t="shared" si="28"/>
        <v>0</v>
      </c>
      <c r="C81">
        <f t="shared" si="28"/>
        <v>721.01862223809269</v>
      </c>
      <c r="D81">
        <f t="shared" si="28"/>
        <v>300.34289962970752</v>
      </c>
      <c r="E81">
        <f t="shared" si="28"/>
        <v>124.73524333155605</v>
      </c>
      <c r="F81">
        <f t="shared" si="28"/>
        <v>56.742306770433338</v>
      </c>
      <c r="G81">
        <f t="shared" si="28"/>
        <v>36.686836273987076</v>
      </c>
      <c r="H81">
        <f t="shared" si="28"/>
        <v>36.197678457000578</v>
      </c>
      <c r="I81">
        <f t="shared" si="28"/>
        <v>47.937466064676443</v>
      </c>
      <c r="J81">
        <f t="shared" si="28"/>
        <v>60.655569306325297</v>
      </c>
      <c r="K81">
        <f t="shared" si="28"/>
        <v>120.3328229786776</v>
      </c>
      <c r="L81">
        <f t="shared" si="28"/>
        <v>269.0367993425719</v>
      </c>
      <c r="M81">
        <f t="shared" si="28"/>
        <v>0</v>
      </c>
      <c r="O81" s="74"/>
      <c r="P81" s="74"/>
      <c r="Q81" s="74"/>
      <c r="R81" s="74"/>
      <c r="S81" s="74"/>
      <c r="T81" s="74"/>
      <c r="U81" s="74"/>
      <c r="V81" s="74"/>
    </row>
    <row r="82" spans="1:22" x14ac:dyDescent="0.2">
      <c r="A82" s="1" t="s">
        <v>169</v>
      </c>
      <c r="B82">
        <f t="shared" si="28"/>
        <v>0</v>
      </c>
      <c r="C82">
        <f t="shared" si="28"/>
        <v>731.29093639480902</v>
      </c>
      <c r="D82">
        <f t="shared" si="28"/>
        <v>304.74531998258601</v>
      </c>
      <c r="E82">
        <f t="shared" si="28"/>
        <v>126.69187459950203</v>
      </c>
      <c r="F82">
        <f t="shared" si="28"/>
        <v>57.231464587419836</v>
      </c>
      <c r="G82">
        <f t="shared" si="28"/>
        <v>37.175994090973568</v>
      </c>
      <c r="H82">
        <f t="shared" si="28"/>
        <v>36.686836273987076</v>
      </c>
      <c r="I82">
        <f t="shared" si="28"/>
        <v>48.426623881662941</v>
      </c>
      <c r="J82">
        <f t="shared" si="28"/>
        <v>61.633884940298287</v>
      </c>
      <c r="K82">
        <f t="shared" si="28"/>
        <v>122.28945424662358</v>
      </c>
      <c r="L82">
        <f t="shared" si="28"/>
        <v>272.95006187846383</v>
      </c>
      <c r="M82">
        <f t="shared" si="28"/>
        <v>0</v>
      </c>
      <c r="O82" s="74"/>
      <c r="P82" s="74"/>
      <c r="Q82" s="74"/>
      <c r="R82" s="74"/>
      <c r="S82" s="74"/>
      <c r="T82" s="74"/>
      <c r="U82" s="74"/>
      <c r="V82" s="74"/>
    </row>
    <row r="83" spans="1:22" x14ac:dyDescent="0.2">
      <c r="A83" s="1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 x14ac:dyDescent="0.2">
      <c r="A84" s="1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 x14ac:dyDescent="0.2">
      <c r="A85" s="1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 x14ac:dyDescent="0.2">
      <c r="A86" s="1" t="s">
        <v>266</v>
      </c>
      <c r="P86" s="74"/>
      <c r="Q86" s="74"/>
      <c r="R86" s="74"/>
      <c r="S86" s="74"/>
      <c r="T86" s="74"/>
      <c r="U86" s="74"/>
      <c r="V86" s="74"/>
    </row>
    <row r="87" spans="1:22" x14ac:dyDescent="0.2">
      <c r="A87" s="1" t="s">
        <v>161</v>
      </c>
      <c r="P87" s="74"/>
      <c r="Q87" s="74"/>
      <c r="R87" s="74"/>
      <c r="S87" s="74"/>
      <c r="T87" s="74"/>
      <c r="U87" s="74"/>
      <c r="V87" s="74"/>
    </row>
    <row r="88" spans="1:22" x14ac:dyDescent="0.2">
      <c r="A88" s="1" t="s">
        <v>162</v>
      </c>
      <c r="B88" s="1">
        <v>1</v>
      </c>
      <c r="C88" s="1">
        <v>2</v>
      </c>
      <c r="D88" s="1">
        <v>3</v>
      </c>
      <c r="E88" s="1">
        <v>4</v>
      </c>
      <c r="F88" s="1">
        <v>5</v>
      </c>
      <c r="G88" s="1">
        <v>6</v>
      </c>
      <c r="H88" s="1">
        <v>7</v>
      </c>
      <c r="I88" s="1">
        <v>8</v>
      </c>
      <c r="J88" s="1">
        <v>9</v>
      </c>
      <c r="K88" s="1">
        <v>10</v>
      </c>
      <c r="L88" s="1">
        <v>11</v>
      </c>
      <c r="M88" s="1">
        <v>12</v>
      </c>
      <c r="P88" s="74"/>
      <c r="Q88" s="74"/>
      <c r="R88" s="74"/>
      <c r="S88" s="74"/>
      <c r="T88" s="74"/>
      <c r="U88" s="74"/>
      <c r="V88" s="74"/>
    </row>
    <row r="89" spans="1:22" x14ac:dyDescent="0.2">
      <c r="A89" s="1" t="s">
        <v>163</v>
      </c>
      <c r="B89" s="73">
        <v>0</v>
      </c>
      <c r="C89" s="73">
        <v>7</v>
      </c>
      <c r="D89" s="73">
        <v>19</v>
      </c>
      <c r="E89" s="73">
        <v>95</v>
      </c>
      <c r="F89" s="73">
        <v>219</v>
      </c>
      <c r="G89" s="73">
        <v>353</v>
      </c>
      <c r="H89" s="73">
        <v>369</v>
      </c>
      <c r="I89" s="73">
        <v>301</v>
      </c>
      <c r="J89" s="73">
        <v>187</v>
      </c>
      <c r="K89" s="73">
        <v>59</v>
      </c>
      <c r="L89" s="73">
        <v>18</v>
      </c>
      <c r="M89" s="73">
        <v>1</v>
      </c>
      <c r="N89" s="73">
        <f>SUM(B89:M89)</f>
        <v>1628</v>
      </c>
      <c r="P89" s="74"/>
      <c r="Q89" s="74"/>
      <c r="R89" s="74"/>
      <c r="S89" s="74"/>
      <c r="T89" s="74"/>
      <c r="U89" s="74"/>
      <c r="V89" s="74"/>
    </row>
    <row r="90" spans="1:22" x14ac:dyDescent="0.2">
      <c r="A90" s="1"/>
      <c r="P90" s="74"/>
      <c r="Q90" s="74"/>
      <c r="R90" s="74"/>
      <c r="S90" s="74"/>
      <c r="T90" s="74"/>
      <c r="U90" s="74"/>
      <c r="V90" s="74"/>
    </row>
    <row r="91" spans="1:22" x14ac:dyDescent="0.2">
      <c r="A91" s="1" t="s">
        <v>164</v>
      </c>
      <c r="B91" s="1" t="s">
        <v>165</v>
      </c>
      <c r="P91" s="74"/>
      <c r="Q91" s="74"/>
      <c r="R91" s="74"/>
      <c r="S91" s="74"/>
      <c r="T91" s="74"/>
      <c r="U91" s="74"/>
      <c r="V91" s="74"/>
    </row>
    <row r="92" spans="1:22" x14ac:dyDescent="0.2">
      <c r="A92" s="1" t="s">
        <v>166</v>
      </c>
      <c r="B92" s="73">
        <v>0</v>
      </c>
      <c r="C92" s="73">
        <v>31.34</v>
      </c>
      <c r="D92" s="73">
        <v>15.4</v>
      </c>
      <c r="E92" s="73">
        <v>3.39</v>
      </c>
      <c r="F92" s="73">
        <v>1.48</v>
      </c>
      <c r="G92" s="73">
        <v>0.8</v>
      </c>
      <c r="H92" s="73">
        <v>0.75</v>
      </c>
      <c r="I92" s="73">
        <v>1.17</v>
      </c>
      <c r="J92" s="73">
        <v>1.52</v>
      </c>
      <c r="K92" s="73">
        <v>4.3099999999999996</v>
      </c>
      <c r="L92" s="73">
        <v>12.12</v>
      </c>
      <c r="M92" s="73">
        <v>0</v>
      </c>
      <c r="P92" s="74"/>
      <c r="Q92" s="74"/>
      <c r="R92" s="74"/>
      <c r="S92" s="74"/>
      <c r="T92" s="74"/>
      <c r="U92" s="74"/>
      <c r="V92" s="74"/>
    </row>
    <row r="93" spans="1:22" x14ac:dyDescent="0.2">
      <c r="A93" s="1" t="s">
        <v>167</v>
      </c>
      <c r="B93" s="73">
        <v>0</v>
      </c>
      <c r="C93" s="73">
        <v>31.11</v>
      </c>
      <c r="D93" s="73">
        <v>15.29</v>
      </c>
      <c r="E93" s="73">
        <v>3.36</v>
      </c>
      <c r="F93" s="73">
        <v>1.47</v>
      </c>
      <c r="G93" s="73">
        <v>0.79</v>
      </c>
      <c r="H93" s="73">
        <v>0.74</v>
      </c>
      <c r="I93" s="73">
        <v>1.1599999999999999</v>
      </c>
      <c r="J93" s="73">
        <v>1.51</v>
      </c>
      <c r="K93" s="73">
        <v>4.28</v>
      </c>
      <c r="L93" s="73">
        <v>12.03</v>
      </c>
      <c r="M93" s="73">
        <v>0</v>
      </c>
      <c r="P93" s="74"/>
      <c r="Q93" s="74"/>
      <c r="R93" s="74"/>
      <c r="S93" s="74"/>
      <c r="T93" s="74"/>
      <c r="U93" s="74"/>
      <c r="V93" s="74"/>
    </row>
    <row r="94" spans="1:22" x14ac:dyDescent="0.2">
      <c r="A94" s="1" t="s">
        <v>168</v>
      </c>
      <c r="B94" s="73">
        <v>0</v>
      </c>
      <c r="C94" s="73">
        <v>25.42</v>
      </c>
      <c r="D94" s="73">
        <v>12.71</v>
      </c>
      <c r="E94" s="73">
        <v>2.86</v>
      </c>
      <c r="F94" s="73">
        <v>1.26</v>
      </c>
      <c r="G94" s="73">
        <v>0.69</v>
      </c>
      <c r="H94" s="73">
        <v>0.64</v>
      </c>
      <c r="I94" s="73">
        <v>0.99</v>
      </c>
      <c r="J94" s="73">
        <v>1.26</v>
      </c>
      <c r="K94" s="73">
        <v>3.51</v>
      </c>
      <c r="L94" s="73">
        <v>9.83</v>
      </c>
      <c r="M94" s="73">
        <v>0</v>
      </c>
      <c r="P94" s="74"/>
      <c r="Q94" s="74"/>
      <c r="R94" s="74"/>
      <c r="S94" s="74"/>
      <c r="T94" s="74"/>
      <c r="U94" s="74"/>
      <c r="V94" s="74"/>
    </row>
    <row r="95" spans="1:22" x14ac:dyDescent="0.2">
      <c r="A95" s="1" t="s">
        <v>169</v>
      </c>
      <c r="B95" s="73">
        <v>0</v>
      </c>
      <c r="C95" s="73">
        <v>25.79</v>
      </c>
      <c r="D95" s="73">
        <v>12.9</v>
      </c>
      <c r="E95" s="73">
        <v>2.9</v>
      </c>
      <c r="F95" s="73">
        <v>1.28</v>
      </c>
      <c r="G95" s="73">
        <v>0.7</v>
      </c>
      <c r="H95" s="73">
        <v>0.65</v>
      </c>
      <c r="I95" s="73">
        <v>1.01</v>
      </c>
      <c r="J95" s="73">
        <v>1.28</v>
      </c>
      <c r="K95" s="73">
        <v>3.56</v>
      </c>
      <c r="L95" s="73">
        <v>9.98</v>
      </c>
      <c r="M95" s="73">
        <v>0</v>
      </c>
      <c r="P95" s="74"/>
      <c r="Q95" s="74"/>
      <c r="R95" s="74"/>
      <c r="S95" s="74"/>
      <c r="T95" s="74"/>
      <c r="U95" s="74"/>
      <c r="V95" s="74"/>
    </row>
    <row r="96" spans="1:22" x14ac:dyDescent="0.2">
      <c r="A96" s="1"/>
      <c r="P96" s="74"/>
      <c r="Q96" s="74"/>
      <c r="R96" s="74"/>
      <c r="S96" s="74"/>
      <c r="T96" s="74"/>
      <c r="U96" s="74"/>
      <c r="V96" s="74"/>
    </row>
    <row r="97" spans="1:22" x14ac:dyDescent="0.2">
      <c r="A97" s="1" t="s">
        <v>164</v>
      </c>
      <c r="B97" s="1" t="s">
        <v>170</v>
      </c>
      <c r="P97" s="74"/>
      <c r="Q97" s="74"/>
      <c r="R97" s="74"/>
      <c r="S97" s="74"/>
      <c r="T97" s="74"/>
      <c r="U97" s="74"/>
      <c r="V97" s="74"/>
    </row>
    <row r="98" spans="1:22" x14ac:dyDescent="0.2">
      <c r="A98" s="1" t="s">
        <v>166</v>
      </c>
      <c r="B98">
        <f>+B92/0.0204433</f>
        <v>0</v>
      </c>
      <c r="C98">
        <f t="shared" ref="C98:M98" si="29">+C92/0.0204433</f>
        <v>1533.0205984356733</v>
      </c>
      <c r="D98">
        <f t="shared" si="29"/>
        <v>753.30303815920126</v>
      </c>
      <c r="E98">
        <f t="shared" si="29"/>
        <v>165.82449995842157</v>
      </c>
      <c r="F98">
        <f t="shared" si="29"/>
        <v>72.395356914001155</v>
      </c>
      <c r="G98">
        <f t="shared" si="29"/>
        <v>39.132625358919547</v>
      </c>
      <c r="H98">
        <f t="shared" si="29"/>
        <v>36.686836273987076</v>
      </c>
      <c r="I98">
        <f t="shared" si="29"/>
        <v>57.231464587419836</v>
      </c>
      <c r="J98">
        <f t="shared" si="29"/>
        <v>74.351988181947135</v>
      </c>
      <c r="K98">
        <f t="shared" si="29"/>
        <v>210.82701912117903</v>
      </c>
      <c r="L98">
        <f t="shared" si="29"/>
        <v>592.85927418763106</v>
      </c>
      <c r="M98">
        <f t="shared" si="29"/>
        <v>0</v>
      </c>
      <c r="P98" s="74"/>
      <c r="Q98" s="74"/>
      <c r="R98" s="74"/>
      <c r="S98" s="74"/>
      <c r="T98" s="74"/>
      <c r="U98" s="74"/>
      <c r="V98" s="74"/>
    </row>
    <row r="99" spans="1:22" x14ac:dyDescent="0.2">
      <c r="A99" s="1" t="s">
        <v>167</v>
      </c>
      <c r="B99">
        <f t="shared" ref="B99:M101" si="30">+B93/0.0204433</f>
        <v>0</v>
      </c>
      <c r="C99">
        <f t="shared" si="30"/>
        <v>1521.7699686449839</v>
      </c>
      <c r="D99">
        <f t="shared" si="30"/>
        <v>747.92230217234976</v>
      </c>
      <c r="E99">
        <f t="shared" si="30"/>
        <v>164.35702650746208</v>
      </c>
      <c r="F99">
        <f t="shared" si="30"/>
        <v>71.906199097014664</v>
      </c>
      <c r="G99">
        <f t="shared" si="30"/>
        <v>38.643467541933056</v>
      </c>
      <c r="H99">
        <f t="shared" si="30"/>
        <v>36.197678457000578</v>
      </c>
      <c r="I99">
        <f t="shared" si="30"/>
        <v>56.742306770433338</v>
      </c>
      <c r="J99">
        <f t="shared" si="30"/>
        <v>73.862830364960644</v>
      </c>
      <c r="K99">
        <f t="shared" si="30"/>
        <v>209.35954567021957</v>
      </c>
      <c r="L99">
        <f t="shared" si="30"/>
        <v>588.45685383475268</v>
      </c>
      <c r="M99">
        <f t="shared" si="30"/>
        <v>0</v>
      </c>
      <c r="P99" s="74"/>
      <c r="Q99" s="74"/>
      <c r="R99" s="74"/>
      <c r="S99" s="74"/>
      <c r="T99" s="74"/>
      <c r="U99" s="74"/>
      <c r="V99" s="74"/>
    </row>
    <row r="100" spans="1:22" x14ac:dyDescent="0.2">
      <c r="A100" s="1" t="s">
        <v>168</v>
      </c>
      <c r="B100">
        <f t="shared" si="30"/>
        <v>0</v>
      </c>
      <c r="C100">
        <f t="shared" si="30"/>
        <v>1243.4391707796688</v>
      </c>
      <c r="D100">
        <f t="shared" si="30"/>
        <v>621.71958538983438</v>
      </c>
      <c r="E100">
        <f t="shared" si="30"/>
        <v>139.89913565813737</v>
      </c>
      <c r="F100">
        <f t="shared" si="30"/>
        <v>61.633884940298287</v>
      </c>
      <c r="G100">
        <f t="shared" si="30"/>
        <v>33.751889372068106</v>
      </c>
      <c r="H100">
        <f t="shared" si="30"/>
        <v>31.306100287135639</v>
      </c>
      <c r="I100">
        <f t="shared" si="30"/>
        <v>48.426623881662941</v>
      </c>
      <c r="J100">
        <f t="shared" si="30"/>
        <v>61.633884940298287</v>
      </c>
      <c r="K100">
        <f t="shared" si="30"/>
        <v>171.69439376225949</v>
      </c>
      <c r="L100">
        <f t="shared" si="30"/>
        <v>480.84213409772394</v>
      </c>
      <c r="M100">
        <f t="shared" si="30"/>
        <v>0</v>
      </c>
      <c r="P100" s="74"/>
      <c r="Q100" s="74"/>
      <c r="R100" s="74"/>
      <c r="S100" s="74"/>
      <c r="T100" s="74"/>
      <c r="U100" s="74"/>
      <c r="V100" s="74"/>
    </row>
    <row r="101" spans="1:22" x14ac:dyDescent="0.2">
      <c r="A101" s="1" t="s">
        <v>169</v>
      </c>
      <c r="B101">
        <f t="shared" si="30"/>
        <v>0</v>
      </c>
      <c r="C101">
        <f t="shared" si="30"/>
        <v>1261.5380100081688</v>
      </c>
      <c r="D101">
        <f t="shared" si="30"/>
        <v>631.0135839125777</v>
      </c>
      <c r="E101">
        <f t="shared" si="30"/>
        <v>141.85576692608336</v>
      </c>
      <c r="F101">
        <f t="shared" si="30"/>
        <v>62.612200574271277</v>
      </c>
      <c r="G101">
        <f t="shared" si="30"/>
        <v>34.241047189054598</v>
      </c>
      <c r="H101">
        <f t="shared" si="30"/>
        <v>31.795258104122134</v>
      </c>
      <c r="I101">
        <f t="shared" si="30"/>
        <v>49.404939515635931</v>
      </c>
      <c r="J101">
        <f t="shared" si="30"/>
        <v>62.612200574271277</v>
      </c>
      <c r="K101">
        <f t="shared" si="30"/>
        <v>174.14018284719199</v>
      </c>
      <c r="L101">
        <f t="shared" si="30"/>
        <v>488.17950135252136</v>
      </c>
      <c r="M101">
        <f t="shared" si="30"/>
        <v>0</v>
      </c>
      <c r="P101" s="74"/>
      <c r="Q101" s="74"/>
      <c r="R101" s="74"/>
      <c r="S101" s="74"/>
      <c r="T101" s="74"/>
      <c r="U101" s="74"/>
      <c r="V101" s="74"/>
    </row>
    <row r="102" spans="1:22" x14ac:dyDescent="0.2">
      <c r="A102" s="1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</row>
    <row r="103" spans="1:22" x14ac:dyDescent="0.2">
      <c r="A103" s="1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</row>
    <row r="104" spans="1:22" x14ac:dyDescent="0.2">
      <c r="A104" s="1" t="s">
        <v>265</v>
      </c>
      <c r="P104" s="74"/>
      <c r="Q104" s="74"/>
      <c r="R104" s="74"/>
      <c r="S104" s="74"/>
      <c r="T104" s="74"/>
      <c r="U104" s="74"/>
      <c r="V104" s="74"/>
    </row>
    <row r="105" spans="1:22" x14ac:dyDescent="0.2">
      <c r="A105" s="1" t="s">
        <v>161</v>
      </c>
      <c r="P105" s="74"/>
      <c r="Q105" s="74"/>
      <c r="R105" s="74"/>
      <c r="S105" s="74"/>
      <c r="T105" s="74"/>
      <c r="U105" s="74"/>
      <c r="V105" s="74"/>
    </row>
    <row r="106" spans="1:22" x14ac:dyDescent="0.2">
      <c r="A106" s="1" t="s">
        <v>162</v>
      </c>
      <c r="B106" s="1">
        <v>1</v>
      </c>
      <c r="C106" s="1">
        <v>2</v>
      </c>
      <c r="D106" s="1">
        <v>3</v>
      </c>
      <c r="E106" s="1">
        <v>4</v>
      </c>
      <c r="F106" s="1">
        <v>5</v>
      </c>
      <c r="G106" s="1">
        <v>6</v>
      </c>
      <c r="H106" s="1">
        <v>7</v>
      </c>
      <c r="I106" s="1">
        <v>8</v>
      </c>
      <c r="J106" s="1">
        <v>9</v>
      </c>
      <c r="K106" s="1">
        <v>10</v>
      </c>
      <c r="L106" s="1">
        <v>11</v>
      </c>
      <c r="M106" s="1">
        <v>12</v>
      </c>
      <c r="P106" s="74"/>
      <c r="Q106" s="74"/>
      <c r="R106" s="74"/>
      <c r="S106" s="74"/>
      <c r="T106" s="74"/>
      <c r="U106" s="74"/>
      <c r="V106" s="74"/>
    </row>
    <row r="107" spans="1:22" x14ac:dyDescent="0.2">
      <c r="A107" s="1" t="s">
        <v>163</v>
      </c>
      <c r="B107" s="73">
        <v>0</v>
      </c>
      <c r="C107" s="73">
        <v>5</v>
      </c>
      <c r="D107" s="73">
        <v>13</v>
      </c>
      <c r="E107" s="73">
        <v>91</v>
      </c>
      <c r="F107" s="73">
        <v>193</v>
      </c>
      <c r="G107" s="73">
        <v>302</v>
      </c>
      <c r="H107" s="73">
        <v>316</v>
      </c>
      <c r="I107" s="73">
        <v>245</v>
      </c>
      <c r="J107" s="73">
        <v>146</v>
      </c>
      <c r="K107" s="73">
        <v>54</v>
      </c>
      <c r="L107" s="73">
        <v>17</v>
      </c>
      <c r="M107" s="73">
        <v>2</v>
      </c>
      <c r="N107" s="73">
        <f>SUM(B107:M107)</f>
        <v>1384</v>
      </c>
      <c r="P107" s="74"/>
      <c r="Q107" s="74"/>
      <c r="R107" s="74"/>
      <c r="S107" s="74"/>
      <c r="T107" s="74"/>
      <c r="U107" s="74"/>
      <c r="V107" s="74"/>
    </row>
    <row r="108" spans="1:22" x14ac:dyDescent="0.2">
      <c r="A108" s="1"/>
      <c r="P108" s="74"/>
      <c r="Q108" s="74"/>
      <c r="R108" s="74"/>
      <c r="S108" s="74"/>
      <c r="T108" s="74"/>
      <c r="U108" s="74"/>
      <c r="V108" s="74"/>
    </row>
    <row r="109" spans="1:22" x14ac:dyDescent="0.2">
      <c r="A109" s="1" t="s">
        <v>164</v>
      </c>
      <c r="B109" s="1" t="s">
        <v>165</v>
      </c>
      <c r="P109" s="74"/>
      <c r="Q109" s="74"/>
      <c r="R109" s="74"/>
      <c r="S109" s="74"/>
      <c r="T109" s="74"/>
      <c r="U109" s="74"/>
      <c r="V109" s="74"/>
    </row>
    <row r="110" spans="1:22" x14ac:dyDescent="0.2">
      <c r="A110" s="1" t="s">
        <v>166</v>
      </c>
      <c r="B110" s="73">
        <v>0</v>
      </c>
      <c r="C110" s="73">
        <v>44.21</v>
      </c>
      <c r="D110" s="73">
        <v>20.98</v>
      </c>
      <c r="E110" s="73">
        <v>3.51</v>
      </c>
      <c r="F110" s="73">
        <v>1.76</v>
      </c>
      <c r="G110" s="73">
        <v>1</v>
      </c>
      <c r="H110" s="73">
        <v>1.02</v>
      </c>
      <c r="I110" s="73">
        <v>1.53</v>
      </c>
      <c r="J110" s="73">
        <v>1.98</v>
      </c>
      <c r="K110" s="73">
        <v>4.76</v>
      </c>
      <c r="L110" s="73">
        <v>12.67</v>
      </c>
      <c r="M110" s="73">
        <v>0</v>
      </c>
      <c r="P110" s="74"/>
      <c r="Q110" s="74"/>
      <c r="R110" s="74"/>
      <c r="S110" s="74"/>
      <c r="T110" s="74"/>
      <c r="U110" s="74"/>
      <c r="V110" s="74"/>
    </row>
    <row r="111" spans="1:22" x14ac:dyDescent="0.2">
      <c r="A111" s="1" t="s">
        <v>167</v>
      </c>
      <c r="B111" s="73">
        <v>0</v>
      </c>
      <c r="C111" s="73">
        <v>43.89</v>
      </c>
      <c r="D111" s="73">
        <v>20.82</v>
      </c>
      <c r="E111" s="73">
        <v>3.48</v>
      </c>
      <c r="F111" s="73">
        <v>1.75</v>
      </c>
      <c r="G111" s="73">
        <v>0.99</v>
      </c>
      <c r="H111" s="73">
        <v>1.01</v>
      </c>
      <c r="I111" s="73">
        <v>1.52</v>
      </c>
      <c r="J111" s="73">
        <v>1.96</v>
      </c>
      <c r="K111" s="73">
        <v>4.7300000000000004</v>
      </c>
      <c r="L111" s="73">
        <v>12.58</v>
      </c>
      <c r="M111" s="73">
        <v>0</v>
      </c>
      <c r="P111" s="74"/>
      <c r="Q111" s="74"/>
      <c r="R111" s="74"/>
      <c r="S111" s="74"/>
      <c r="T111" s="74"/>
      <c r="U111" s="74"/>
      <c r="V111" s="74"/>
    </row>
    <row r="112" spans="1:22" x14ac:dyDescent="0.2">
      <c r="A112" s="1" t="s">
        <v>168</v>
      </c>
      <c r="B112" s="73">
        <v>0</v>
      </c>
      <c r="C112" s="73">
        <v>35.81</v>
      </c>
      <c r="D112" s="73">
        <v>17.32</v>
      </c>
      <c r="E112" s="73">
        <v>2.96</v>
      </c>
      <c r="F112" s="73">
        <v>1.5</v>
      </c>
      <c r="G112" s="73">
        <v>0.85</v>
      </c>
      <c r="H112" s="73">
        <v>0.87</v>
      </c>
      <c r="I112" s="73">
        <v>1.3</v>
      </c>
      <c r="J112" s="73">
        <v>1.65</v>
      </c>
      <c r="K112" s="73">
        <v>3.87</v>
      </c>
      <c r="L112" s="73">
        <v>10.3</v>
      </c>
      <c r="M112" s="73">
        <v>0</v>
      </c>
    </row>
    <row r="113" spans="1:14" x14ac:dyDescent="0.2">
      <c r="A113" s="1" t="s">
        <v>169</v>
      </c>
      <c r="B113" s="73">
        <v>0</v>
      </c>
      <c r="C113" s="73">
        <v>36.33</v>
      </c>
      <c r="D113" s="73">
        <v>17.57</v>
      </c>
      <c r="E113" s="73">
        <v>3</v>
      </c>
      <c r="F113" s="73">
        <v>1.53</v>
      </c>
      <c r="G113" s="73">
        <v>0.87</v>
      </c>
      <c r="H113" s="73">
        <v>0.89</v>
      </c>
      <c r="I113" s="73">
        <v>1.32</v>
      </c>
      <c r="J113" s="73">
        <v>1.67</v>
      </c>
      <c r="K113" s="73">
        <v>3.93</v>
      </c>
      <c r="L113" s="73">
        <v>10.45</v>
      </c>
      <c r="M113" s="73">
        <v>0</v>
      </c>
    </row>
    <row r="114" spans="1:14" x14ac:dyDescent="0.2">
      <c r="A114" s="1"/>
    </row>
    <row r="115" spans="1:14" x14ac:dyDescent="0.2">
      <c r="A115" s="1" t="s">
        <v>164</v>
      </c>
      <c r="B115" s="1" t="s">
        <v>170</v>
      </c>
    </row>
    <row r="116" spans="1:14" x14ac:dyDescent="0.2">
      <c r="A116" s="1" t="s">
        <v>166</v>
      </c>
      <c r="B116">
        <f>+B110/0.0204433</f>
        <v>0</v>
      </c>
      <c r="C116">
        <f>+C110/0.0204433</f>
        <v>2162.5667088972914</v>
      </c>
      <c r="D116">
        <f t="shared" ref="D116:L116" si="31">+D110/0.0204433</f>
        <v>1026.253100037665</v>
      </c>
      <c r="E116">
        <f t="shared" si="31"/>
        <v>171.69439376225949</v>
      </c>
      <c r="F116">
        <f t="shared" si="31"/>
        <v>86.091775789623</v>
      </c>
      <c r="G116">
        <f t="shared" si="31"/>
        <v>48.915781698649432</v>
      </c>
      <c r="H116">
        <f t="shared" si="31"/>
        <v>49.894097332622422</v>
      </c>
      <c r="I116">
        <f t="shared" si="31"/>
        <v>74.841145998933627</v>
      </c>
      <c r="J116">
        <f t="shared" si="31"/>
        <v>96.853247763325882</v>
      </c>
      <c r="K116">
        <f t="shared" si="31"/>
        <v>232.83912088557128</v>
      </c>
      <c r="L116">
        <f t="shared" si="31"/>
        <v>619.76295412188836</v>
      </c>
      <c r="M116">
        <f>+M110/0.0204433</f>
        <v>0</v>
      </c>
    </row>
    <row r="117" spans="1:14" x14ac:dyDescent="0.2">
      <c r="A117" s="1" t="s">
        <v>167</v>
      </c>
      <c r="B117">
        <f t="shared" ref="B117:M119" si="32">+B111/0.0204433</f>
        <v>0</v>
      </c>
      <c r="C117">
        <f t="shared" si="32"/>
        <v>2146.9136587537237</v>
      </c>
      <c r="D117">
        <f t="shared" si="32"/>
        <v>1018.4265749658812</v>
      </c>
      <c r="E117">
        <f t="shared" si="32"/>
        <v>170.22692031130003</v>
      </c>
      <c r="F117">
        <f t="shared" si="32"/>
        <v>85.602617972636509</v>
      </c>
      <c r="G117">
        <f t="shared" si="32"/>
        <v>48.426623881662941</v>
      </c>
      <c r="H117">
        <f t="shared" si="32"/>
        <v>49.404939515635931</v>
      </c>
      <c r="I117">
        <f t="shared" si="32"/>
        <v>74.351988181947135</v>
      </c>
      <c r="J117">
        <f t="shared" si="32"/>
        <v>95.874932129352885</v>
      </c>
      <c r="K117">
        <f t="shared" si="32"/>
        <v>231.37164743461184</v>
      </c>
      <c r="L117">
        <f t="shared" si="32"/>
        <v>615.36053376900986</v>
      </c>
      <c r="M117">
        <f t="shared" si="32"/>
        <v>0</v>
      </c>
    </row>
    <row r="118" spans="1:14" x14ac:dyDescent="0.2">
      <c r="A118" s="1" t="s">
        <v>168</v>
      </c>
      <c r="B118">
        <f t="shared" si="32"/>
        <v>0</v>
      </c>
      <c r="C118">
        <f t="shared" si="32"/>
        <v>1751.6741426286362</v>
      </c>
      <c r="D118">
        <f t="shared" si="32"/>
        <v>847.22133902060818</v>
      </c>
      <c r="E118">
        <f t="shared" si="32"/>
        <v>144.79071382800231</v>
      </c>
      <c r="F118">
        <f t="shared" si="32"/>
        <v>73.373672547974152</v>
      </c>
      <c r="G118">
        <f t="shared" si="32"/>
        <v>41.578414443852019</v>
      </c>
      <c r="H118">
        <f t="shared" si="32"/>
        <v>42.556730077825009</v>
      </c>
      <c r="I118">
        <f t="shared" si="32"/>
        <v>63.590516208244267</v>
      </c>
      <c r="J118">
        <f t="shared" si="32"/>
        <v>80.711039802771566</v>
      </c>
      <c r="K118">
        <f t="shared" si="32"/>
        <v>189.3040751737733</v>
      </c>
      <c r="L118">
        <f t="shared" si="32"/>
        <v>503.8325514960892</v>
      </c>
      <c r="M118">
        <f t="shared" si="32"/>
        <v>0</v>
      </c>
    </row>
    <row r="119" spans="1:14" x14ac:dyDescent="0.2">
      <c r="A119" s="1" t="s">
        <v>169</v>
      </c>
      <c r="B119">
        <f t="shared" si="32"/>
        <v>0</v>
      </c>
      <c r="C119">
        <f t="shared" si="32"/>
        <v>1777.1103491119338</v>
      </c>
      <c r="D119">
        <f t="shared" si="32"/>
        <v>859.45028444527054</v>
      </c>
      <c r="E119">
        <f t="shared" si="32"/>
        <v>146.7473450959483</v>
      </c>
      <c r="F119">
        <f t="shared" si="32"/>
        <v>74.841145998933627</v>
      </c>
      <c r="G119">
        <f t="shared" si="32"/>
        <v>42.556730077825009</v>
      </c>
      <c r="H119">
        <f t="shared" si="32"/>
        <v>43.535045711797999</v>
      </c>
      <c r="I119">
        <f t="shared" si="32"/>
        <v>64.56883184221725</v>
      </c>
      <c r="J119">
        <f t="shared" si="32"/>
        <v>81.689355436744549</v>
      </c>
      <c r="K119">
        <f t="shared" si="32"/>
        <v>192.23902207569228</v>
      </c>
      <c r="L119">
        <f t="shared" si="32"/>
        <v>511.16991875088655</v>
      </c>
      <c r="M119">
        <f t="shared" si="32"/>
        <v>0</v>
      </c>
    </row>
    <row r="122" spans="1:14" x14ac:dyDescent="0.2">
      <c r="A122" s="1" t="s">
        <v>264</v>
      </c>
    </row>
    <row r="123" spans="1:14" x14ac:dyDescent="0.2">
      <c r="A123" s="1" t="s">
        <v>161</v>
      </c>
    </row>
    <row r="124" spans="1:14" x14ac:dyDescent="0.2">
      <c r="A124" s="1" t="s">
        <v>162</v>
      </c>
      <c r="B124" s="1">
        <v>1</v>
      </c>
      <c r="C124" s="1">
        <v>2</v>
      </c>
      <c r="D124" s="1">
        <v>3</v>
      </c>
      <c r="E124" s="1">
        <v>4</v>
      </c>
      <c r="F124" s="1">
        <v>5</v>
      </c>
      <c r="G124" s="1">
        <v>6</v>
      </c>
      <c r="H124" s="1">
        <v>7</v>
      </c>
      <c r="I124" s="1">
        <v>8</v>
      </c>
      <c r="J124" s="1">
        <v>9</v>
      </c>
      <c r="K124" s="1">
        <v>10</v>
      </c>
      <c r="L124" s="1">
        <v>11</v>
      </c>
      <c r="M124" s="1">
        <v>12</v>
      </c>
    </row>
    <row r="125" spans="1:14" x14ac:dyDescent="0.2">
      <c r="A125" s="1" t="s">
        <v>163</v>
      </c>
      <c r="B125" s="73">
        <v>0</v>
      </c>
      <c r="C125" s="73">
        <v>5</v>
      </c>
      <c r="D125" s="73">
        <v>13</v>
      </c>
      <c r="E125" s="73">
        <v>91</v>
      </c>
      <c r="F125" s="73">
        <v>193</v>
      </c>
      <c r="G125" s="73">
        <v>302</v>
      </c>
      <c r="H125" s="73">
        <v>316</v>
      </c>
      <c r="I125" s="73">
        <v>245</v>
      </c>
      <c r="J125" s="73">
        <v>146</v>
      </c>
      <c r="K125" s="73">
        <v>54</v>
      </c>
      <c r="L125" s="73">
        <v>17</v>
      </c>
      <c r="M125" s="73">
        <v>2</v>
      </c>
      <c r="N125" s="73">
        <f>SUM(B125:M125)</f>
        <v>1384</v>
      </c>
    </row>
    <row r="126" spans="1:14" x14ac:dyDescent="0.2">
      <c r="A126" s="1"/>
    </row>
    <row r="127" spans="1:14" x14ac:dyDescent="0.2">
      <c r="A127" s="1" t="s">
        <v>164</v>
      </c>
      <c r="B127" s="1" t="s">
        <v>165</v>
      </c>
    </row>
    <row r="128" spans="1:14" x14ac:dyDescent="0.2">
      <c r="A128" s="1" t="s">
        <v>166</v>
      </c>
      <c r="B128" s="73">
        <v>0</v>
      </c>
      <c r="C128" s="73">
        <v>44.21</v>
      </c>
      <c r="D128" s="73">
        <v>20.98</v>
      </c>
      <c r="E128" s="73">
        <v>3.51</v>
      </c>
      <c r="F128" s="73">
        <v>1.76</v>
      </c>
      <c r="G128" s="73">
        <v>1</v>
      </c>
      <c r="H128" s="73">
        <v>1.02</v>
      </c>
      <c r="I128" s="73">
        <v>1.53</v>
      </c>
      <c r="J128" s="73">
        <v>1.98</v>
      </c>
      <c r="K128" s="73">
        <v>4.76</v>
      </c>
      <c r="L128" s="73">
        <v>12.67</v>
      </c>
      <c r="M128" s="73">
        <v>0</v>
      </c>
    </row>
    <row r="129" spans="1:14" x14ac:dyDescent="0.2">
      <c r="A129" s="1" t="s">
        <v>167</v>
      </c>
      <c r="B129" s="73">
        <v>0</v>
      </c>
      <c r="C129" s="73">
        <v>43.89</v>
      </c>
      <c r="D129" s="73">
        <v>20.82</v>
      </c>
      <c r="E129" s="73">
        <v>3.48</v>
      </c>
      <c r="F129" s="73">
        <v>1.75</v>
      </c>
      <c r="G129" s="73">
        <v>0.99</v>
      </c>
      <c r="H129" s="73">
        <v>1.01</v>
      </c>
      <c r="I129" s="73">
        <v>1.52</v>
      </c>
      <c r="J129" s="73">
        <v>1.96</v>
      </c>
      <c r="K129" s="73">
        <v>4.7300000000000004</v>
      </c>
      <c r="L129" s="73">
        <v>12.58</v>
      </c>
      <c r="M129" s="73">
        <v>0</v>
      </c>
    </row>
    <row r="130" spans="1:14" x14ac:dyDescent="0.2">
      <c r="A130" s="1" t="s">
        <v>168</v>
      </c>
      <c r="B130" s="73">
        <v>0</v>
      </c>
      <c r="C130" s="73">
        <v>35.81</v>
      </c>
      <c r="D130" s="73">
        <v>17.32</v>
      </c>
      <c r="E130" s="73">
        <v>2.96</v>
      </c>
      <c r="F130" s="73">
        <v>1.5</v>
      </c>
      <c r="G130" s="73">
        <v>0.85</v>
      </c>
      <c r="H130" s="73">
        <v>0.87</v>
      </c>
      <c r="I130" s="73">
        <v>1.3</v>
      </c>
      <c r="J130" s="73">
        <v>1.65</v>
      </c>
      <c r="K130" s="73">
        <v>3.87</v>
      </c>
      <c r="L130" s="73">
        <v>10.3</v>
      </c>
      <c r="M130" s="73">
        <v>0</v>
      </c>
    </row>
    <row r="131" spans="1:14" x14ac:dyDescent="0.2">
      <c r="A131" s="1" t="s">
        <v>169</v>
      </c>
      <c r="B131" s="73">
        <v>0</v>
      </c>
      <c r="C131" s="73">
        <v>36.33</v>
      </c>
      <c r="D131" s="73">
        <v>17.57</v>
      </c>
      <c r="E131" s="73">
        <v>3</v>
      </c>
      <c r="F131" s="73">
        <v>1.53</v>
      </c>
      <c r="G131" s="73">
        <v>0.87</v>
      </c>
      <c r="H131" s="73">
        <v>0.89</v>
      </c>
      <c r="I131" s="73">
        <v>1.32</v>
      </c>
      <c r="J131" s="73">
        <v>1.67</v>
      </c>
      <c r="K131" s="73">
        <v>3.93</v>
      </c>
      <c r="L131" s="73">
        <v>10.45</v>
      </c>
      <c r="M131" s="73">
        <v>0</v>
      </c>
    </row>
    <row r="132" spans="1:14" x14ac:dyDescent="0.2">
      <c r="A132" s="1"/>
    </row>
    <row r="133" spans="1:14" x14ac:dyDescent="0.2">
      <c r="A133" s="1" t="s">
        <v>164</v>
      </c>
      <c r="B133" s="1" t="s">
        <v>170</v>
      </c>
    </row>
    <row r="134" spans="1:14" x14ac:dyDescent="0.2">
      <c r="A134" s="1" t="s">
        <v>166</v>
      </c>
      <c r="B134">
        <f>+B128/0.0204433</f>
        <v>0</v>
      </c>
      <c r="C134">
        <f>+C128/0.0204433</f>
        <v>2162.5667088972914</v>
      </c>
      <c r="D134">
        <f t="shared" ref="D134:L134" si="33">+D128/0.0204433</f>
        <v>1026.253100037665</v>
      </c>
      <c r="E134">
        <f t="shared" si="33"/>
        <v>171.69439376225949</v>
      </c>
      <c r="F134">
        <f t="shared" si="33"/>
        <v>86.091775789623</v>
      </c>
      <c r="G134">
        <f t="shared" si="33"/>
        <v>48.915781698649432</v>
      </c>
      <c r="H134">
        <f t="shared" si="33"/>
        <v>49.894097332622422</v>
      </c>
      <c r="I134">
        <f t="shared" si="33"/>
        <v>74.841145998933627</v>
      </c>
      <c r="J134">
        <f t="shared" si="33"/>
        <v>96.853247763325882</v>
      </c>
      <c r="K134">
        <f t="shared" si="33"/>
        <v>232.83912088557128</v>
      </c>
      <c r="L134">
        <f t="shared" si="33"/>
        <v>619.76295412188836</v>
      </c>
      <c r="M134">
        <f>+M128/0.0204433</f>
        <v>0</v>
      </c>
    </row>
    <row r="135" spans="1:14" x14ac:dyDescent="0.2">
      <c r="A135" s="1" t="s">
        <v>167</v>
      </c>
      <c r="B135">
        <f t="shared" ref="B135:M137" si="34">+B129/0.0204433</f>
        <v>0</v>
      </c>
      <c r="C135">
        <f t="shared" si="34"/>
        <v>2146.9136587537237</v>
      </c>
      <c r="D135">
        <f t="shared" si="34"/>
        <v>1018.4265749658812</v>
      </c>
      <c r="E135">
        <f t="shared" si="34"/>
        <v>170.22692031130003</v>
      </c>
      <c r="F135">
        <f t="shared" si="34"/>
        <v>85.602617972636509</v>
      </c>
      <c r="G135">
        <f t="shared" si="34"/>
        <v>48.426623881662941</v>
      </c>
      <c r="H135">
        <f t="shared" si="34"/>
        <v>49.404939515635931</v>
      </c>
      <c r="I135">
        <f t="shared" si="34"/>
        <v>74.351988181947135</v>
      </c>
      <c r="J135">
        <f t="shared" si="34"/>
        <v>95.874932129352885</v>
      </c>
      <c r="K135">
        <f t="shared" si="34"/>
        <v>231.37164743461184</v>
      </c>
      <c r="L135">
        <f t="shared" si="34"/>
        <v>615.36053376900986</v>
      </c>
      <c r="M135">
        <f t="shared" si="34"/>
        <v>0</v>
      </c>
    </row>
    <row r="136" spans="1:14" x14ac:dyDescent="0.2">
      <c r="A136" s="1" t="s">
        <v>168</v>
      </c>
      <c r="B136">
        <f t="shared" si="34"/>
        <v>0</v>
      </c>
      <c r="C136">
        <f t="shared" si="34"/>
        <v>1751.6741426286362</v>
      </c>
      <c r="D136">
        <f t="shared" si="34"/>
        <v>847.22133902060818</v>
      </c>
      <c r="E136">
        <f t="shared" si="34"/>
        <v>144.79071382800231</v>
      </c>
      <c r="F136">
        <f t="shared" si="34"/>
        <v>73.373672547974152</v>
      </c>
      <c r="G136">
        <f t="shared" si="34"/>
        <v>41.578414443852019</v>
      </c>
      <c r="H136">
        <f t="shared" si="34"/>
        <v>42.556730077825009</v>
      </c>
      <c r="I136">
        <f t="shared" si="34"/>
        <v>63.590516208244267</v>
      </c>
      <c r="J136">
        <f t="shared" si="34"/>
        <v>80.711039802771566</v>
      </c>
      <c r="K136">
        <f t="shared" si="34"/>
        <v>189.3040751737733</v>
      </c>
      <c r="L136">
        <f t="shared" si="34"/>
        <v>503.8325514960892</v>
      </c>
      <c r="M136">
        <f t="shared" si="34"/>
        <v>0</v>
      </c>
    </row>
    <row r="137" spans="1:14" x14ac:dyDescent="0.2">
      <c r="A137" s="1" t="s">
        <v>169</v>
      </c>
      <c r="B137">
        <f t="shared" si="34"/>
        <v>0</v>
      </c>
      <c r="C137">
        <f t="shared" si="34"/>
        <v>1777.1103491119338</v>
      </c>
      <c r="D137">
        <f t="shared" si="34"/>
        <v>859.45028444527054</v>
      </c>
      <c r="E137">
        <f t="shared" si="34"/>
        <v>146.7473450959483</v>
      </c>
      <c r="F137">
        <f t="shared" si="34"/>
        <v>74.841145998933627</v>
      </c>
      <c r="G137">
        <f t="shared" si="34"/>
        <v>42.556730077825009</v>
      </c>
      <c r="H137">
        <f t="shared" si="34"/>
        <v>43.535045711797999</v>
      </c>
      <c r="I137">
        <f t="shared" si="34"/>
        <v>64.56883184221725</v>
      </c>
      <c r="J137">
        <f t="shared" si="34"/>
        <v>81.689355436744549</v>
      </c>
      <c r="K137">
        <f t="shared" si="34"/>
        <v>192.23902207569228</v>
      </c>
      <c r="L137">
        <f t="shared" si="34"/>
        <v>511.16991875088655</v>
      </c>
      <c r="M137">
        <f t="shared" si="34"/>
        <v>0</v>
      </c>
    </row>
    <row r="141" spans="1:14" x14ac:dyDescent="0.2">
      <c r="A141" s="1" t="s">
        <v>263</v>
      </c>
    </row>
    <row r="142" spans="1:14" x14ac:dyDescent="0.2">
      <c r="A142" s="1" t="s">
        <v>161</v>
      </c>
    </row>
    <row r="143" spans="1:14" x14ac:dyDescent="0.2">
      <c r="A143" s="1" t="s">
        <v>162</v>
      </c>
      <c r="B143" s="1">
        <v>1</v>
      </c>
      <c r="C143" s="1">
        <v>2</v>
      </c>
      <c r="D143" s="1">
        <v>3</v>
      </c>
      <c r="E143" s="1">
        <v>4</v>
      </c>
      <c r="F143" s="1">
        <v>5</v>
      </c>
      <c r="G143" s="1">
        <v>6</v>
      </c>
      <c r="H143" s="1">
        <v>7</v>
      </c>
      <c r="I143" s="1">
        <v>8</v>
      </c>
      <c r="J143" s="1">
        <v>9</v>
      </c>
      <c r="K143" s="1">
        <v>10</v>
      </c>
      <c r="L143" s="1">
        <v>11</v>
      </c>
      <c r="M143" s="1">
        <v>12</v>
      </c>
    </row>
    <row r="144" spans="1:14" x14ac:dyDescent="0.2">
      <c r="A144" s="1" t="s">
        <v>163</v>
      </c>
      <c r="B144" s="83">
        <v>0</v>
      </c>
      <c r="C144" s="83">
        <v>14.232876712328766</v>
      </c>
      <c r="D144" s="83">
        <v>49.246575342465746</v>
      </c>
      <c r="E144" s="83">
        <v>120.64383561643834</v>
      </c>
      <c r="F144" s="83">
        <v>257.13698630136986</v>
      </c>
      <c r="G144" s="83">
        <v>343.79452054794513</v>
      </c>
      <c r="H144" s="83">
        <v>376.89041095890406</v>
      </c>
      <c r="I144" s="83">
        <v>325.32876712328766</v>
      </c>
      <c r="J144" s="83">
        <v>208.04109589041096</v>
      </c>
      <c r="K144" s="83">
        <v>100.42465753424656</v>
      </c>
      <c r="L144" s="83">
        <v>25.232876712328768</v>
      </c>
      <c r="M144" s="83">
        <v>4.9452054794520546</v>
      </c>
      <c r="N144" s="83">
        <f>SUM(B144:M144)</f>
        <v>1825.9178082191779</v>
      </c>
    </row>
    <row r="145" spans="1:13" x14ac:dyDescent="0.2">
      <c r="A145" s="1"/>
    </row>
    <row r="146" spans="1:13" x14ac:dyDescent="0.2">
      <c r="A146" s="1" t="s">
        <v>164</v>
      </c>
      <c r="B146" s="1" t="s">
        <v>165</v>
      </c>
    </row>
    <row r="147" spans="1:13" x14ac:dyDescent="0.2">
      <c r="A147" s="1" t="s">
        <v>166</v>
      </c>
      <c r="B147" s="73">
        <v>0</v>
      </c>
      <c r="C147" s="73">
        <v>31.34</v>
      </c>
      <c r="D147" s="73">
        <v>15.4</v>
      </c>
      <c r="E147" s="73">
        <v>3.39</v>
      </c>
      <c r="F147" s="73">
        <v>1.48</v>
      </c>
      <c r="G147" s="73">
        <v>0.8</v>
      </c>
      <c r="H147" s="73">
        <v>0.75</v>
      </c>
      <c r="I147" s="73">
        <v>1.17</v>
      </c>
      <c r="J147" s="73">
        <v>1.52</v>
      </c>
      <c r="K147" s="73">
        <v>4.3099999999999996</v>
      </c>
      <c r="L147" s="73">
        <v>12.12</v>
      </c>
      <c r="M147" s="73">
        <v>0</v>
      </c>
    </row>
    <row r="148" spans="1:13" x14ac:dyDescent="0.2">
      <c r="A148" s="1" t="s">
        <v>167</v>
      </c>
      <c r="B148" s="73">
        <v>0</v>
      </c>
      <c r="C148" s="73">
        <v>31.11</v>
      </c>
      <c r="D148" s="73">
        <v>15.29</v>
      </c>
      <c r="E148" s="73">
        <v>3.36</v>
      </c>
      <c r="F148" s="73">
        <v>1.47</v>
      </c>
      <c r="G148" s="73">
        <v>0.79</v>
      </c>
      <c r="H148" s="73">
        <v>0.74</v>
      </c>
      <c r="I148" s="73">
        <v>1.1599999999999999</v>
      </c>
      <c r="J148" s="73">
        <v>1.51</v>
      </c>
      <c r="K148" s="73">
        <v>4.28</v>
      </c>
      <c r="L148" s="73">
        <v>12.03</v>
      </c>
      <c r="M148" s="73">
        <v>0</v>
      </c>
    </row>
    <row r="149" spans="1:13" x14ac:dyDescent="0.2">
      <c r="A149" s="1" t="s">
        <v>168</v>
      </c>
      <c r="B149" s="73">
        <v>0</v>
      </c>
      <c r="C149" s="73">
        <v>25.42</v>
      </c>
      <c r="D149" s="73">
        <v>12.71</v>
      </c>
      <c r="E149" s="73">
        <v>2.86</v>
      </c>
      <c r="F149" s="73">
        <v>1.26</v>
      </c>
      <c r="G149" s="73">
        <v>0.69</v>
      </c>
      <c r="H149" s="73">
        <v>0.64</v>
      </c>
      <c r="I149" s="73">
        <v>0.99</v>
      </c>
      <c r="J149" s="73">
        <v>1.26</v>
      </c>
      <c r="K149" s="73">
        <v>3.51</v>
      </c>
      <c r="L149" s="73">
        <v>9.83</v>
      </c>
      <c r="M149" s="73">
        <v>0</v>
      </c>
    </row>
    <row r="150" spans="1:13" x14ac:dyDescent="0.2">
      <c r="A150" s="1" t="s">
        <v>169</v>
      </c>
      <c r="B150" s="73">
        <v>0</v>
      </c>
      <c r="C150" s="73">
        <v>25.79</v>
      </c>
      <c r="D150" s="73">
        <v>12.9</v>
      </c>
      <c r="E150" s="73">
        <v>2.9</v>
      </c>
      <c r="F150" s="73">
        <v>1.28</v>
      </c>
      <c r="G150" s="73">
        <v>0.7</v>
      </c>
      <c r="H150" s="73">
        <v>0.65</v>
      </c>
      <c r="I150" s="73">
        <v>1.01</v>
      </c>
      <c r="J150" s="73">
        <v>1.28</v>
      </c>
      <c r="K150" s="73">
        <v>3.56</v>
      </c>
      <c r="L150" s="73">
        <v>9.98</v>
      </c>
      <c r="M150" s="73">
        <v>0</v>
      </c>
    </row>
    <row r="151" spans="1:13" x14ac:dyDescent="0.2">
      <c r="A151" s="1"/>
    </row>
    <row r="152" spans="1:13" x14ac:dyDescent="0.2">
      <c r="A152" s="1" t="s">
        <v>164</v>
      </c>
      <c r="B152" s="1" t="s">
        <v>170</v>
      </c>
    </row>
    <row r="153" spans="1:13" x14ac:dyDescent="0.2">
      <c r="A153" s="1" t="s">
        <v>166</v>
      </c>
      <c r="B153">
        <f>+B147/0.0204433</f>
        <v>0</v>
      </c>
      <c r="C153">
        <f t="shared" ref="C153:M153" si="35">+C147/0.0204433</f>
        <v>1533.0205984356733</v>
      </c>
      <c r="D153">
        <f t="shared" si="35"/>
        <v>753.30303815920126</v>
      </c>
      <c r="E153">
        <f t="shared" si="35"/>
        <v>165.82449995842157</v>
      </c>
      <c r="F153">
        <f t="shared" si="35"/>
        <v>72.395356914001155</v>
      </c>
      <c r="G153">
        <f t="shared" si="35"/>
        <v>39.132625358919547</v>
      </c>
      <c r="H153">
        <f t="shared" si="35"/>
        <v>36.686836273987076</v>
      </c>
      <c r="I153">
        <f t="shared" si="35"/>
        <v>57.231464587419836</v>
      </c>
      <c r="J153">
        <f t="shared" si="35"/>
        <v>74.351988181947135</v>
      </c>
      <c r="K153">
        <f t="shared" si="35"/>
        <v>210.82701912117903</v>
      </c>
      <c r="L153">
        <f t="shared" si="35"/>
        <v>592.85927418763106</v>
      </c>
      <c r="M153">
        <f t="shared" si="35"/>
        <v>0</v>
      </c>
    </row>
    <row r="154" spans="1:13" x14ac:dyDescent="0.2">
      <c r="A154" s="1" t="s">
        <v>167</v>
      </c>
      <c r="B154">
        <f t="shared" ref="B154:M156" si="36">+B148/0.0204433</f>
        <v>0</v>
      </c>
      <c r="C154">
        <f t="shared" si="36"/>
        <v>1521.7699686449839</v>
      </c>
      <c r="D154">
        <f t="shared" si="36"/>
        <v>747.92230217234976</v>
      </c>
      <c r="E154">
        <f t="shared" si="36"/>
        <v>164.35702650746208</v>
      </c>
      <c r="F154">
        <f t="shared" si="36"/>
        <v>71.906199097014664</v>
      </c>
      <c r="G154">
        <f t="shared" si="36"/>
        <v>38.643467541933056</v>
      </c>
      <c r="H154">
        <f t="shared" si="36"/>
        <v>36.197678457000578</v>
      </c>
      <c r="I154">
        <f t="shared" si="36"/>
        <v>56.742306770433338</v>
      </c>
      <c r="J154">
        <f t="shared" si="36"/>
        <v>73.862830364960644</v>
      </c>
      <c r="K154">
        <f t="shared" si="36"/>
        <v>209.35954567021957</v>
      </c>
      <c r="L154">
        <f t="shared" si="36"/>
        <v>588.45685383475268</v>
      </c>
      <c r="M154">
        <f t="shared" si="36"/>
        <v>0</v>
      </c>
    </row>
    <row r="155" spans="1:13" x14ac:dyDescent="0.2">
      <c r="A155" s="1" t="s">
        <v>168</v>
      </c>
      <c r="B155">
        <f t="shared" si="36"/>
        <v>0</v>
      </c>
      <c r="C155">
        <f t="shared" si="36"/>
        <v>1243.4391707796688</v>
      </c>
      <c r="D155">
        <f t="shared" si="36"/>
        <v>621.71958538983438</v>
      </c>
      <c r="E155">
        <f t="shared" si="36"/>
        <v>139.89913565813737</v>
      </c>
      <c r="F155">
        <f t="shared" si="36"/>
        <v>61.633884940298287</v>
      </c>
      <c r="G155">
        <f t="shared" si="36"/>
        <v>33.751889372068106</v>
      </c>
      <c r="H155">
        <f t="shared" si="36"/>
        <v>31.306100287135639</v>
      </c>
      <c r="I155">
        <f t="shared" si="36"/>
        <v>48.426623881662941</v>
      </c>
      <c r="J155">
        <f t="shared" si="36"/>
        <v>61.633884940298287</v>
      </c>
      <c r="K155">
        <f t="shared" si="36"/>
        <v>171.69439376225949</v>
      </c>
      <c r="L155">
        <f t="shared" si="36"/>
        <v>480.84213409772394</v>
      </c>
      <c r="M155">
        <f t="shared" si="36"/>
        <v>0</v>
      </c>
    </row>
    <row r="156" spans="1:13" x14ac:dyDescent="0.2">
      <c r="A156" s="1" t="s">
        <v>169</v>
      </c>
      <c r="B156">
        <f t="shared" si="36"/>
        <v>0</v>
      </c>
      <c r="C156">
        <f t="shared" si="36"/>
        <v>1261.5380100081688</v>
      </c>
      <c r="D156">
        <f t="shared" si="36"/>
        <v>631.0135839125777</v>
      </c>
      <c r="E156">
        <f t="shared" si="36"/>
        <v>141.85576692608336</v>
      </c>
      <c r="F156">
        <f t="shared" si="36"/>
        <v>62.612200574271277</v>
      </c>
      <c r="G156">
        <f t="shared" si="36"/>
        <v>34.241047189054598</v>
      </c>
      <c r="H156">
        <f t="shared" si="36"/>
        <v>31.795258104122134</v>
      </c>
      <c r="I156">
        <f t="shared" si="36"/>
        <v>49.404939515635931</v>
      </c>
      <c r="J156">
        <f t="shared" si="36"/>
        <v>62.612200574271277</v>
      </c>
      <c r="K156">
        <f t="shared" si="36"/>
        <v>174.14018284719199</v>
      </c>
      <c r="L156">
        <f t="shared" si="36"/>
        <v>488.17950135252136</v>
      </c>
      <c r="M156">
        <f t="shared" si="36"/>
        <v>0</v>
      </c>
    </row>
    <row r="159" spans="1:13" x14ac:dyDescent="0.2">
      <c r="A159" s="1" t="s">
        <v>262</v>
      </c>
    </row>
    <row r="160" spans="1:13" x14ac:dyDescent="0.2">
      <c r="A160" s="1" t="s">
        <v>161</v>
      </c>
    </row>
    <row r="161" spans="1:14" x14ac:dyDescent="0.2">
      <c r="A161" s="1" t="s">
        <v>162</v>
      </c>
      <c r="B161" s="1">
        <v>1</v>
      </c>
      <c r="C161" s="1">
        <v>2</v>
      </c>
      <c r="D161" s="1">
        <v>3</v>
      </c>
      <c r="E161" s="1">
        <v>4</v>
      </c>
      <c r="F161" s="1">
        <v>5</v>
      </c>
      <c r="G161" s="1">
        <v>6</v>
      </c>
      <c r="H161" s="1">
        <v>7</v>
      </c>
      <c r="I161" s="1">
        <v>8</v>
      </c>
      <c r="J161" s="1">
        <v>9</v>
      </c>
      <c r="K161" s="1">
        <v>10</v>
      </c>
      <c r="L161" s="1">
        <v>11</v>
      </c>
      <c r="M161" s="1">
        <v>12</v>
      </c>
    </row>
    <row r="162" spans="1:14" x14ac:dyDescent="0.2">
      <c r="A162" s="1" t="s">
        <v>163</v>
      </c>
      <c r="B162" s="73">
        <v>92</v>
      </c>
      <c r="C162" s="73">
        <v>109</v>
      </c>
      <c r="D162" s="73">
        <v>111</v>
      </c>
      <c r="E162" s="73">
        <v>218</v>
      </c>
      <c r="F162" s="73">
        <v>288</v>
      </c>
      <c r="G162" s="73">
        <v>378</v>
      </c>
      <c r="H162" s="73">
        <v>406</v>
      </c>
      <c r="I162" s="73">
        <v>375</v>
      </c>
      <c r="J162" s="73">
        <v>291</v>
      </c>
      <c r="K162" s="73">
        <v>188</v>
      </c>
      <c r="L162" s="73">
        <v>110</v>
      </c>
      <c r="M162" s="73">
        <v>82</v>
      </c>
      <c r="N162" s="73">
        <f>SUM(B162:M162)</f>
        <v>2648</v>
      </c>
    </row>
    <row r="163" spans="1:14" x14ac:dyDescent="0.2">
      <c r="A163" s="1"/>
    </row>
    <row r="164" spans="1:14" x14ac:dyDescent="0.2">
      <c r="A164" s="1" t="s">
        <v>164</v>
      </c>
      <c r="B164" s="1" t="s">
        <v>165</v>
      </c>
    </row>
    <row r="165" spans="1:14" x14ac:dyDescent="0.2">
      <c r="A165" s="1" t="s">
        <v>166</v>
      </c>
      <c r="B165" s="73">
        <v>2.44</v>
      </c>
      <c r="C165" s="73">
        <v>2.06</v>
      </c>
      <c r="D165" s="73">
        <v>2.16</v>
      </c>
      <c r="E165" s="73">
        <v>1.38</v>
      </c>
      <c r="F165" s="73">
        <v>0.78</v>
      </c>
      <c r="G165" s="73">
        <v>0.69</v>
      </c>
      <c r="H165" s="73">
        <v>0.64</v>
      </c>
      <c r="I165" s="73">
        <v>0.73</v>
      </c>
      <c r="J165" s="73">
        <v>0.92</v>
      </c>
      <c r="K165" s="73">
        <v>1.26</v>
      </c>
      <c r="L165" s="73">
        <v>2</v>
      </c>
      <c r="M165" s="73">
        <v>2.8</v>
      </c>
    </row>
    <row r="166" spans="1:14" x14ac:dyDescent="0.2">
      <c r="A166" s="1" t="s">
        <v>167</v>
      </c>
      <c r="B166" s="73">
        <v>2.42</v>
      </c>
      <c r="C166" s="73">
        <v>2.0499999999999998</v>
      </c>
      <c r="D166" s="73">
        <v>2.15</v>
      </c>
      <c r="E166" s="73">
        <v>1.37</v>
      </c>
      <c r="F166" s="73">
        <v>0.78</v>
      </c>
      <c r="G166" s="73">
        <v>0.68</v>
      </c>
      <c r="H166" s="73">
        <v>0.63</v>
      </c>
      <c r="I166" s="73">
        <v>0.72</v>
      </c>
      <c r="J166" s="73">
        <v>0.91</v>
      </c>
      <c r="K166" s="73">
        <v>1.25</v>
      </c>
      <c r="L166" s="73">
        <v>1.98</v>
      </c>
      <c r="M166" s="73">
        <v>2.78</v>
      </c>
    </row>
    <row r="167" spans="1:14" x14ac:dyDescent="0.2">
      <c r="A167" s="1" t="s">
        <v>168</v>
      </c>
      <c r="B167" s="73">
        <v>1.99</v>
      </c>
      <c r="C167" s="73">
        <v>1.67</v>
      </c>
      <c r="D167" s="73">
        <v>1.79</v>
      </c>
      <c r="E167" s="73">
        <v>1.17</v>
      </c>
      <c r="F167" s="73">
        <v>0.67</v>
      </c>
      <c r="G167" s="73">
        <v>0.59</v>
      </c>
      <c r="H167" s="73">
        <v>0.55000000000000004</v>
      </c>
      <c r="I167" s="73">
        <v>0.62</v>
      </c>
      <c r="J167" s="73">
        <v>0.76</v>
      </c>
      <c r="K167" s="73">
        <v>1.02</v>
      </c>
      <c r="L167" s="73">
        <v>1.62</v>
      </c>
      <c r="M167" s="73">
        <v>2.29</v>
      </c>
    </row>
    <row r="168" spans="1:14" x14ac:dyDescent="0.2">
      <c r="A168" s="1" t="s">
        <v>169</v>
      </c>
      <c r="B168" s="73">
        <v>2.02</v>
      </c>
      <c r="C168" s="73">
        <v>1.69</v>
      </c>
      <c r="D168" s="73">
        <v>1.81</v>
      </c>
      <c r="E168" s="73">
        <v>1.18</v>
      </c>
      <c r="F168" s="73">
        <v>0.68</v>
      </c>
      <c r="G168" s="73">
        <v>0.6</v>
      </c>
      <c r="H168" s="73">
        <v>0.55000000000000004</v>
      </c>
      <c r="I168" s="73">
        <v>0.63</v>
      </c>
      <c r="J168" s="73">
        <v>0.77</v>
      </c>
      <c r="K168" s="73">
        <v>1.04</v>
      </c>
      <c r="L168" s="73">
        <v>1.64</v>
      </c>
      <c r="M168" s="73">
        <v>2.3199999999999998</v>
      </c>
    </row>
    <row r="169" spans="1:14" x14ac:dyDescent="0.2">
      <c r="A169" s="1"/>
    </row>
    <row r="170" spans="1:14" x14ac:dyDescent="0.2">
      <c r="A170" s="1" t="s">
        <v>164</v>
      </c>
      <c r="B170" s="1" t="s">
        <v>170</v>
      </c>
    </row>
    <row r="171" spans="1:14" x14ac:dyDescent="0.2">
      <c r="A171" s="1" t="s">
        <v>166</v>
      </c>
      <c r="B171">
        <f>+B165/0.0204433</f>
        <v>119.35450734470461</v>
      </c>
      <c r="C171">
        <f t="shared" ref="C171:M171" si="37">+C165/0.0204433</f>
        <v>100.76651029921783</v>
      </c>
      <c r="D171">
        <f t="shared" si="37"/>
        <v>105.65808846908278</v>
      </c>
      <c r="E171">
        <f t="shared" si="37"/>
        <v>67.503778744136213</v>
      </c>
      <c r="F171">
        <f t="shared" si="37"/>
        <v>38.154309724946557</v>
      </c>
      <c r="G171">
        <f t="shared" si="37"/>
        <v>33.751889372068106</v>
      </c>
      <c r="H171">
        <f t="shared" si="37"/>
        <v>31.306100287135639</v>
      </c>
      <c r="I171">
        <f t="shared" si="37"/>
        <v>35.708520640014086</v>
      </c>
      <c r="J171">
        <f t="shared" si="37"/>
        <v>45.00251916275748</v>
      </c>
      <c r="K171">
        <f t="shared" si="37"/>
        <v>61.633884940298287</v>
      </c>
      <c r="L171">
        <f t="shared" si="37"/>
        <v>97.831563397298865</v>
      </c>
      <c r="M171">
        <f t="shared" si="37"/>
        <v>136.96418875621839</v>
      </c>
    </row>
    <row r="172" spans="1:14" x14ac:dyDescent="0.2">
      <c r="A172" s="1" t="s">
        <v>167</v>
      </c>
      <c r="B172">
        <f t="shared" ref="B172:M172" si="38">+B166/0.0204433</f>
        <v>118.37619171073162</v>
      </c>
      <c r="C172">
        <f t="shared" si="38"/>
        <v>100.27735248223132</v>
      </c>
      <c r="D172">
        <f t="shared" si="38"/>
        <v>105.16893065209628</v>
      </c>
      <c r="E172">
        <f t="shared" si="38"/>
        <v>67.014620927149721</v>
      </c>
      <c r="F172">
        <f t="shared" si="38"/>
        <v>38.154309724946557</v>
      </c>
      <c r="G172">
        <f t="shared" si="38"/>
        <v>33.262731555081615</v>
      </c>
      <c r="H172">
        <f t="shared" si="38"/>
        <v>30.816942470149144</v>
      </c>
      <c r="I172">
        <f t="shared" si="38"/>
        <v>35.219362823027588</v>
      </c>
      <c r="J172">
        <f t="shared" si="38"/>
        <v>44.513361345770988</v>
      </c>
      <c r="K172">
        <f t="shared" si="38"/>
        <v>61.144727123311789</v>
      </c>
      <c r="L172">
        <f t="shared" si="38"/>
        <v>96.853247763325882</v>
      </c>
      <c r="M172">
        <f t="shared" si="38"/>
        <v>135.98587312224541</v>
      </c>
    </row>
    <row r="173" spans="1:14" x14ac:dyDescent="0.2">
      <c r="A173" s="1" t="s">
        <v>168</v>
      </c>
      <c r="B173">
        <f t="shared" ref="B173:M173" si="39">+B167/0.0204433</f>
        <v>97.342405580312374</v>
      </c>
      <c r="C173">
        <f t="shared" si="39"/>
        <v>81.689355436744549</v>
      </c>
      <c r="D173">
        <f t="shared" si="39"/>
        <v>87.559249240582488</v>
      </c>
      <c r="E173">
        <f t="shared" si="39"/>
        <v>57.231464587419836</v>
      </c>
      <c r="F173">
        <f t="shared" si="39"/>
        <v>32.773573738095124</v>
      </c>
      <c r="G173">
        <f t="shared" si="39"/>
        <v>28.860311202203164</v>
      </c>
      <c r="H173">
        <f t="shared" si="39"/>
        <v>26.903679934257191</v>
      </c>
      <c r="I173">
        <f t="shared" si="39"/>
        <v>30.327784653162649</v>
      </c>
      <c r="J173">
        <f t="shared" si="39"/>
        <v>37.175994090973568</v>
      </c>
      <c r="K173">
        <f t="shared" si="39"/>
        <v>49.894097332622422</v>
      </c>
      <c r="L173">
        <f t="shared" si="39"/>
        <v>79.243566351812092</v>
      </c>
      <c r="M173">
        <f t="shared" si="39"/>
        <v>112.0171400899072</v>
      </c>
    </row>
    <row r="174" spans="1:14" x14ac:dyDescent="0.2">
      <c r="A174" s="1" t="s">
        <v>169</v>
      </c>
      <c r="B174">
        <f t="shared" ref="B174:M174" si="40">+B168/0.0204433</f>
        <v>98.809879031271862</v>
      </c>
      <c r="C174">
        <f t="shared" si="40"/>
        <v>82.667671070717532</v>
      </c>
      <c r="D174">
        <f t="shared" si="40"/>
        <v>88.537564874555471</v>
      </c>
      <c r="E174">
        <f t="shared" si="40"/>
        <v>57.720622404406328</v>
      </c>
      <c r="F174">
        <f t="shared" si="40"/>
        <v>33.262731555081615</v>
      </c>
      <c r="G174">
        <f t="shared" si="40"/>
        <v>29.349469019189659</v>
      </c>
      <c r="H174">
        <f t="shared" si="40"/>
        <v>26.903679934257191</v>
      </c>
      <c r="I174">
        <f t="shared" si="40"/>
        <v>30.816942470149144</v>
      </c>
      <c r="J174">
        <f t="shared" si="40"/>
        <v>37.665151907960066</v>
      </c>
      <c r="K174">
        <f t="shared" si="40"/>
        <v>50.872412966595412</v>
      </c>
      <c r="L174">
        <f t="shared" si="40"/>
        <v>80.22188198578506</v>
      </c>
      <c r="M174">
        <f t="shared" si="40"/>
        <v>113.48461354086668</v>
      </c>
    </row>
    <row r="177" spans="1:14" x14ac:dyDescent="0.2">
      <c r="A177" s="1" t="s">
        <v>618</v>
      </c>
    </row>
    <row r="178" spans="1:14" x14ac:dyDescent="0.2">
      <c r="A178" s="1" t="s">
        <v>161</v>
      </c>
    </row>
    <row r="179" spans="1:14" x14ac:dyDescent="0.2">
      <c r="A179" s="1" t="s">
        <v>162</v>
      </c>
      <c r="B179" s="1">
        <v>1</v>
      </c>
      <c r="C179" s="1">
        <v>2</v>
      </c>
      <c r="D179" s="1">
        <v>3</v>
      </c>
      <c r="E179" s="1">
        <v>4</v>
      </c>
      <c r="F179" s="1">
        <v>5</v>
      </c>
      <c r="G179" s="1">
        <v>6</v>
      </c>
      <c r="H179" s="1">
        <v>7</v>
      </c>
      <c r="I179" s="1">
        <v>8</v>
      </c>
      <c r="J179" s="1">
        <v>9</v>
      </c>
      <c r="K179" s="1">
        <v>10</v>
      </c>
      <c r="L179" s="1">
        <v>11</v>
      </c>
      <c r="M179" s="1">
        <v>12</v>
      </c>
    </row>
    <row r="180" spans="1:14" x14ac:dyDescent="0.2">
      <c r="A180" s="1" t="s">
        <v>163</v>
      </c>
      <c r="B180" s="424">
        <v>107</v>
      </c>
      <c r="C180" s="424">
        <v>123</v>
      </c>
      <c r="D180" s="424">
        <v>193</v>
      </c>
      <c r="E180" s="424">
        <v>285</v>
      </c>
      <c r="F180" s="424">
        <v>409</v>
      </c>
      <c r="G180" s="424">
        <v>531</v>
      </c>
      <c r="H180" s="424">
        <v>552</v>
      </c>
      <c r="I180" s="424">
        <v>502</v>
      </c>
      <c r="J180" s="424">
        <v>417</v>
      </c>
      <c r="K180" s="424">
        <v>350</v>
      </c>
      <c r="L180" s="424">
        <v>222</v>
      </c>
      <c r="M180" s="424">
        <v>158</v>
      </c>
      <c r="N180" s="73">
        <v>2779</v>
      </c>
    </row>
    <row r="181" spans="1:14" x14ac:dyDescent="0.2">
      <c r="A181" s="1"/>
    </row>
    <row r="182" spans="1:14" x14ac:dyDescent="0.2">
      <c r="A182" s="1" t="s">
        <v>164</v>
      </c>
      <c r="B182" s="1" t="s">
        <v>165</v>
      </c>
    </row>
    <row r="183" spans="1:14" x14ac:dyDescent="0.2">
      <c r="A183" s="1" t="s">
        <v>166</v>
      </c>
      <c r="B183" s="73">
        <v>4.26</v>
      </c>
      <c r="C183" s="73">
        <v>3.18</v>
      </c>
      <c r="D183" s="73">
        <v>1.82</v>
      </c>
      <c r="E183" s="73">
        <v>1.39</v>
      </c>
      <c r="F183" s="73">
        <v>1.08</v>
      </c>
      <c r="G183" s="73">
        <v>0.8</v>
      </c>
      <c r="H183" s="73">
        <v>0.74</v>
      </c>
      <c r="I183" s="73">
        <v>0.9</v>
      </c>
      <c r="J183" s="73">
        <v>0.88</v>
      </c>
      <c r="K183" s="73">
        <v>1.05</v>
      </c>
      <c r="L183" s="73">
        <v>1.5</v>
      </c>
      <c r="M183" s="73">
        <v>3.38</v>
      </c>
    </row>
    <row r="184" spans="1:14" x14ac:dyDescent="0.2">
      <c r="A184" s="1" t="s">
        <v>167</v>
      </c>
      <c r="B184" s="73">
        <v>4.2300000000000004</v>
      </c>
      <c r="C184" s="73">
        <v>3.15</v>
      </c>
      <c r="D184" s="73">
        <v>1.81</v>
      </c>
      <c r="E184" s="73">
        <v>1.38</v>
      </c>
      <c r="F184" s="73">
        <v>1.07</v>
      </c>
      <c r="G184" s="73">
        <v>0.8</v>
      </c>
      <c r="H184" s="73">
        <v>0.74</v>
      </c>
      <c r="I184" s="73">
        <v>0.9</v>
      </c>
      <c r="J184" s="73">
        <v>0.88</v>
      </c>
      <c r="K184" s="73">
        <v>1.05</v>
      </c>
      <c r="L184" s="73">
        <v>1.49</v>
      </c>
      <c r="M184" s="73">
        <v>3.35</v>
      </c>
    </row>
    <row r="185" spans="1:14" x14ac:dyDescent="0.2">
      <c r="A185" s="1" t="s">
        <v>168</v>
      </c>
      <c r="B185" s="73">
        <v>3.47</v>
      </c>
      <c r="C185" s="73">
        <v>2.57</v>
      </c>
      <c r="D185" s="73">
        <v>1.5</v>
      </c>
      <c r="E185" s="73">
        <v>1.17</v>
      </c>
      <c r="F185" s="73">
        <v>0.92</v>
      </c>
      <c r="G185" s="73">
        <v>0.69</v>
      </c>
      <c r="H185" s="73">
        <v>0.64</v>
      </c>
      <c r="I185" s="73">
        <v>0.77</v>
      </c>
      <c r="J185" s="73">
        <v>0.74</v>
      </c>
      <c r="K185" s="73">
        <v>0.86</v>
      </c>
      <c r="L185" s="73">
        <v>1.22</v>
      </c>
      <c r="M185" s="73">
        <v>2.77</v>
      </c>
    </row>
    <row r="186" spans="1:14" x14ac:dyDescent="0.2">
      <c r="A186" s="1" t="s">
        <v>169</v>
      </c>
      <c r="B186" s="73">
        <v>3.52</v>
      </c>
      <c r="C186" s="73">
        <v>2.61</v>
      </c>
      <c r="D186" s="73">
        <v>1.52</v>
      </c>
      <c r="E186" s="73">
        <v>1.19</v>
      </c>
      <c r="F186" s="73">
        <v>0.93</v>
      </c>
      <c r="G186" s="73">
        <v>0.7</v>
      </c>
      <c r="H186" s="73">
        <v>0.64</v>
      </c>
      <c r="I186" s="73">
        <v>0.78</v>
      </c>
      <c r="J186" s="73">
        <v>0.75</v>
      </c>
      <c r="K186" s="73">
        <v>0.87</v>
      </c>
      <c r="L186" s="73">
        <v>1.24</v>
      </c>
      <c r="M186" s="73">
        <v>2.81</v>
      </c>
    </row>
    <row r="187" spans="1:14" x14ac:dyDescent="0.2">
      <c r="A187" s="1"/>
    </row>
    <row r="188" spans="1:14" x14ac:dyDescent="0.2">
      <c r="A188" s="1" t="s">
        <v>164</v>
      </c>
      <c r="B188" s="1" t="s">
        <v>170</v>
      </c>
    </row>
    <row r="189" spans="1:14" x14ac:dyDescent="0.2">
      <c r="A189" s="1" t="s">
        <v>166</v>
      </c>
      <c r="B189" s="425">
        <v>93.291185478140761</v>
      </c>
      <c r="C189" s="425">
        <v>85.896521581931808</v>
      </c>
      <c r="D189" s="425">
        <v>72.43607621113334</v>
      </c>
      <c r="E189" s="425">
        <v>50.648026949033209</v>
      </c>
      <c r="F189" s="425">
        <v>35.01827867928472</v>
      </c>
      <c r="G189" s="425">
        <v>22.1510489062346</v>
      </c>
      <c r="H189" s="425">
        <v>21.004884206068915</v>
      </c>
      <c r="I189" s="425">
        <v>30.540239015596018</v>
      </c>
      <c r="J189" s="425">
        <v>31.004819286880831</v>
      </c>
      <c r="K189" s="425">
        <v>34.749592377116258</v>
      </c>
      <c r="L189" s="425">
        <v>44.307250209581774</v>
      </c>
      <c r="M189" s="425">
        <v>61.696268729216158</v>
      </c>
    </row>
    <row r="190" spans="1:14" x14ac:dyDescent="0.2">
      <c r="A190" s="1" t="s">
        <v>167</v>
      </c>
      <c r="B190" s="425">
        <v>57.916277028975983</v>
      </c>
      <c r="C190" s="425">
        <v>54.604040610742082</v>
      </c>
      <c r="D190" s="425">
        <v>49.310528021046856</v>
      </c>
      <c r="E190" s="425">
        <v>36.726287238417605</v>
      </c>
      <c r="F190" s="425">
        <v>26.186398658793536</v>
      </c>
      <c r="G190" s="425">
        <v>16.906827598932843</v>
      </c>
      <c r="H190" s="425">
        <v>16.08820688500996</v>
      </c>
      <c r="I190" s="425">
        <v>22.387866019417192</v>
      </c>
      <c r="J190" s="425">
        <v>22.053768721294308</v>
      </c>
      <c r="K190" s="425">
        <v>22.8234206603804</v>
      </c>
      <c r="L190" s="425">
        <v>28.078254663876411</v>
      </c>
      <c r="M190" s="425">
        <v>38.43829880519128</v>
      </c>
    </row>
    <row r="191" spans="1:14" x14ac:dyDescent="0.2">
      <c r="A191" s="1" t="s">
        <v>168</v>
      </c>
      <c r="B191" s="425">
        <v>93.978594213242843</v>
      </c>
      <c r="C191" s="425">
        <v>86.529443319903947</v>
      </c>
      <c r="D191" s="425">
        <v>72.969815720057483</v>
      </c>
      <c r="E191" s="425">
        <v>51.021222937078718</v>
      </c>
      <c r="F191" s="425">
        <v>35.276308101132081</v>
      </c>
      <c r="G191" s="425">
        <v>22.314267161333174</v>
      </c>
      <c r="H191" s="425">
        <v>21.159657037061002</v>
      </c>
      <c r="I191" s="425">
        <v>30.765272355710938</v>
      </c>
      <c r="J191" s="425">
        <v>31.23327585004732</v>
      </c>
      <c r="K191" s="425">
        <v>35.005642005158165</v>
      </c>
      <c r="L191" s="425">
        <v>44.633724684810268</v>
      </c>
      <c r="M191" s="425">
        <v>62.150872814589334</v>
      </c>
    </row>
    <row r="192" spans="1:14" x14ac:dyDescent="0.2">
      <c r="A192" s="1" t="s">
        <v>169</v>
      </c>
      <c r="B192" s="425">
        <v>57.085510760117728</v>
      </c>
      <c r="C192" s="425">
        <v>53.820785929850288</v>
      </c>
      <c r="D192" s="425">
        <v>48.603204873203971</v>
      </c>
      <c r="E192" s="425">
        <v>36.199475741145221</v>
      </c>
      <c r="F192" s="425">
        <v>25.810774087868225</v>
      </c>
      <c r="G192" s="425">
        <v>16.664311629276018</v>
      </c>
      <c r="H192" s="425">
        <v>15.857433425593836</v>
      </c>
      <c r="I192" s="425">
        <v>22.066728597007515</v>
      </c>
      <c r="J192" s="425">
        <v>21.737423678160987</v>
      </c>
      <c r="K192" s="425">
        <v>22.496035527956909</v>
      </c>
      <c r="L192" s="425">
        <v>27.67549281418966</v>
      </c>
      <c r="M192" s="425">
        <v>37.886929764952882</v>
      </c>
    </row>
    <row r="193" spans="1:1" x14ac:dyDescent="0.2">
      <c r="A193" s="1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O312"/>
  <sheetViews>
    <sheetView topLeftCell="A3" zoomScaleNormal="100" workbookViewId="0">
      <selection activeCell="U4" sqref="U4"/>
    </sheetView>
  </sheetViews>
  <sheetFormatPr baseColWidth="10" defaultRowHeight="12.75" x14ac:dyDescent="0.2"/>
  <cols>
    <col min="1" max="1" width="13.140625" customWidth="1"/>
    <col min="2" max="2" width="14.42578125" customWidth="1"/>
    <col min="3" max="3" width="15" customWidth="1"/>
    <col min="4" max="4" width="16.28515625" customWidth="1"/>
    <col min="5" max="5" width="12.85546875" customWidth="1"/>
    <col min="6" max="6" width="13.28515625" customWidth="1"/>
    <col min="7" max="7" width="13.140625" bestFit="1" customWidth="1"/>
    <col min="8" max="8" width="14.85546875" customWidth="1"/>
    <col min="12" max="15" width="11.42578125" customWidth="1"/>
    <col min="16" max="16" width="17.7109375" customWidth="1"/>
    <col min="17" max="17" width="15" customWidth="1"/>
    <col min="18" max="28" width="11.42578125" customWidth="1"/>
    <col min="29" max="29" width="13.140625" customWidth="1"/>
  </cols>
  <sheetData>
    <row r="1" spans="1:41" ht="13.5" thickBo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41" ht="13.5" thickBot="1" x14ac:dyDescent="0.25">
      <c r="A2" s="296" t="s">
        <v>269</v>
      </c>
      <c r="B2" s="291" t="str">
        <f>VLOOKUP(Lugar!E84,Lugar!A64:C83,2)</f>
        <v>Las Heras-Guaymallén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1:4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41" x14ac:dyDescent="0.2">
      <c r="A4" s="292" t="s">
        <v>521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73"/>
      <c r="N4" s="80" t="s">
        <v>209</v>
      </c>
      <c r="O4" s="73"/>
      <c r="P4" s="73"/>
      <c r="Q4" s="73"/>
      <c r="R4" s="73" t="s">
        <v>207</v>
      </c>
      <c r="S4" s="73">
        <f>IF($B$2="San Martín",+mensual!T49,IF($B$2="Chacras de Coria",+mensual!T50,IF($B$2="Dagoberto Sardina",+mensual!T51,IF($B$2="Godoy Cruz",+mensual!T52,IF($B$2="Las Heras-Guaymallén",+mensual!T53,IF($B$2="Potrerillos",+mensual!T54,IF($B$2="Uspallata",+mensual!T55,IF($B$2="Puente del Inca",+mensual!T56,0))))))))</f>
        <v>33.75</v>
      </c>
      <c r="T4" s="73" t="s">
        <v>208</v>
      </c>
      <c r="U4" s="73">
        <f>IF($B$2="San Martín",+mensual!W49,IF($B$2="Chacras de Coria",+mensual!W50,IF($B$2="Dagoberto Sardina",+mensual!W51,IF($B$2="Godoy Cruz",+mensual!W52,IF($B$2="Las Heras-Guaymallén",+mensual!W53,IF($B$2="Potrerillos",+mensual!W54,IF($B$2="Uspallata",+mensual!W55,IF($B$2="Puente del Inca",+mensual!W56,0))))))))</f>
        <v>21</v>
      </c>
      <c r="W4" s="73"/>
      <c r="X4" s="73"/>
      <c r="Y4" s="73"/>
      <c r="Z4" s="73"/>
      <c r="AA4" s="73"/>
    </row>
    <row r="5" spans="1:4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73"/>
      <c r="N5" s="73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73"/>
      <c r="AG5" s="73"/>
      <c r="AH5" s="73"/>
      <c r="AI5" s="73"/>
      <c r="AJ5" s="73"/>
      <c r="AK5" s="73"/>
      <c r="AL5" s="73"/>
      <c r="AM5" s="73"/>
      <c r="AN5" s="73"/>
      <c r="AO5" s="73"/>
    </row>
    <row r="6" spans="1:41" x14ac:dyDescent="0.2">
      <c r="A6" s="292" t="s">
        <v>197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80"/>
      <c r="N6" s="80" t="s">
        <v>188</v>
      </c>
      <c r="O6" s="208">
        <v>0</v>
      </c>
      <c r="P6" s="208">
        <v>2</v>
      </c>
      <c r="Q6" s="208">
        <v>4</v>
      </c>
      <c r="R6" s="208">
        <v>6</v>
      </c>
      <c r="S6" s="208">
        <v>8</v>
      </c>
      <c r="T6" s="208">
        <v>10</v>
      </c>
      <c r="U6" s="208">
        <v>12</v>
      </c>
      <c r="V6" s="208">
        <v>14</v>
      </c>
      <c r="W6" s="208">
        <v>16</v>
      </c>
      <c r="X6" s="208">
        <v>18</v>
      </c>
      <c r="Y6" s="208">
        <v>20</v>
      </c>
      <c r="Z6" s="208">
        <v>22</v>
      </c>
      <c r="AA6" s="73"/>
      <c r="AG6" s="73"/>
      <c r="AH6" s="73"/>
      <c r="AI6" s="73"/>
      <c r="AJ6" s="73"/>
      <c r="AK6" s="73"/>
      <c r="AL6" s="73"/>
      <c r="AM6" s="73"/>
      <c r="AN6" s="73"/>
      <c r="AO6" s="73"/>
    </row>
    <row r="7" spans="1:4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80"/>
      <c r="N7" s="80" t="s">
        <v>206</v>
      </c>
      <c r="O7" s="208">
        <v>0.222</v>
      </c>
      <c r="P7" s="207">
        <v>0.13900000000000001</v>
      </c>
      <c r="Q7" s="207">
        <v>5.6000000000000001E-2</v>
      </c>
      <c r="R7" s="207">
        <v>0</v>
      </c>
      <c r="S7" s="207">
        <v>0.111</v>
      </c>
      <c r="T7" s="207">
        <v>0.58299999999999996</v>
      </c>
      <c r="U7" s="207">
        <v>0.86099999999999999</v>
      </c>
      <c r="V7" s="207">
        <v>1</v>
      </c>
      <c r="W7" s="207">
        <v>0.91700000000000004</v>
      </c>
      <c r="X7" s="207">
        <v>0.69399999999999995</v>
      </c>
      <c r="Y7" s="207">
        <v>0.44400000000000001</v>
      </c>
      <c r="Z7" s="207">
        <v>0.309</v>
      </c>
      <c r="AA7" s="73"/>
      <c r="AG7" s="80"/>
      <c r="AH7" s="80"/>
      <c r="AI7" s="80"/>
      <c r="AJ7" s="80"/>
      <c r="AK7" s="80"/>
      <c r="AL7" s="80"/>
      <c r="AM7" s="80"/>
      <c r="AN7" s="73"/>
      <c r="AO7" s="73"/>
    </row>
    <row r="8" spans="1:41" ht="14.25" x14ac:dyDescent="0.2">
      <c r="A8" s="87" t="s">
        <v>532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80"/>
      <c r="N8" s="80" t="s">
        <v>205</v>
      </c>
      <c r="O8" s="80">
        <f t="shared" ref="O8:Z8" si="0">+($S$4-$U$4)*O7+$U$4</f>
        <v>23.830500000000001</v>
      </c>
      <c r="P8" s="80">
        <f t="shared" si="0"/>
        <v>22.77225</v>
      </c>
      <c r="Q8" s="80">
        <f t="shared" si="0"/>
        <v>21.713999999999999</v>
      </c>
      <c r="R8" s="80">
        <f t="shared" si="0"/>
        <v>21</v>
      </c>
      <c r="S8" s="80">
        <f t="shared" si="0"/>
        <v>22.41525</v>
      </c>
      <c r="T8" s="80">
        <f t="shared" si="0"/>
        <v>28.433250000000001</v>
      </c>
      <c r="U8" s="80">
        <f t="shared" si="0"/>
        <v>31.97775</v>
      </c>
      <c r="V8" s="80">
        <f t="shared" si="0"/>
        <v>33.75</v>
      </c>
      <c r="W8" s="80">
        <f t="shared" si="0"/>
        <v>32.691749999999999</v>
      </c>
      <c r="X8" s="80">
        <f t="shared" si="0"/>
        <v>29.848500000000001</v>
      </c>
      <c r="Y8" s="80">
        <f t="shared" si="0"/>
        <v>26.661000000000001</v>
      </c>
      <c r="Z8" s="80">
        <f t="shared" si="0"/>
        <v>24.93975</v>
      </c>
      <c r="AA8" s="73"/>
      <c r="AG8" s="73"/>
      <c r="AH8" s="73"/>
      <c r="AI8" s="73"/>
      <c r="AJ8" s="73"/>
      <c r="AK8" s="73"/>
      <c r="AL8" s="73"/>
      <c r="AM8" s="73"/>
      <c r="AN8" s="73"/>
      <c r="AO8" s="73"/>
    </row>
    <row r="9" spans="1:41" x14ac:dyDescent="0.2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80"/>
      <c r="N9" s="80"/>
      <c r="O9" s="80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G9" s="80"/>
      <c r="AH9" s="80"/>
      <c r="AI9" s="80"/>
      <c r="AJ9" s="80"/>
      <c r="AK9" s="80"/>
      <c r="AL9" s="80"/>
      <c r="AM9" s="80"/>
      <c r="AN9" s="73"/>
      <c r="AO9" s="73"/>
    </row>
    <row r="10" spans="1:41" x14ac:dyDescent="0.2">
      <c r="A10" s="87" t="s">
        <v>184</v>
      </c>
      <c r="B10" s="89" t="s">
        <v>189</v>
      </c>
      <c r="C10" s="89" t="s">
        <v>190</v>
      </c>
      <c r="D10" s="89" t="s">
        <v>191</v>
      </c>
      <c r="E10" s="89" t="s">
        <v>192</v>
      </c>
      <c r="F10" s="89" t="s">
        <v>193</v>
      </c>
      <c r="G10" s="89" t="s">
        <v>194</v>
      </c>
      <c r="H10" s="89" t="s">
        <v>195</v>
      </c>
      <c r="I10" s="89" t="s">
        <v>196</v>
      </c>
      <c r="J10" s="89" t="s">
        <v>6</v>
      </c>
      <c r="K10" s="89"/>
      <c r="L10" s="80"/>
      <c r="N10" s="80" t="s">
        <v>261</v>
      </c>
      <c r="O10" s="80"/>
      <c r="P10" s="73"/>
      <c r="Q10" s="73"/>
      <c r="R10" s="73"/>
      <c r="S10" s="73"/>
      <c r="T10" s="73"/>
      <c r="U10" s="73"/>
      <c r="V10" s="73"/>
      <c r="W10" s="73"/>
      <c r="X10" s="73"/>
      <c r="Y10" s="73" t="s">
        <v>210</v>
      </c>
      <c r="Z10" s="73"/>
      <c r="AA10" s="73"/>
      <c r="AG10" s="73"/>
      <c r="AH10" s="73"/>
      <c r="AI10" s="73"/>
      <c r="AJ10" s="73"/>
      <c r="AK10" s="73"/>
      <c r="AL10" s="73"/>
      <c r="AM10" s="73"/>
      <c r="AN10" s="73"/>
      <c r="AO10" s="73"/>
    </row>
    <row r="11" spans="1:41" x14ac:dyDescent="0.2">
      <c r="A11" s="87" t="s">
        <v>182</v>
      </c>
      <c r="B11" s="209">
        <f>+superficies!D11</f>
        <v>0</v>
      </c>
      <c r="C11" s="209">
        <f>+superficies!D10</f>
        <v>27.019999999999996</v>
      </c>
      <c r="D11" s="209">
        <f>+superficies!D9</f>
        <v>0</v>
      </c>
      <c r="E11" s="209">
        <f>+superficies!D8</f>
        <v>26.34</v>
      </c>
      <c r="F11" s="209">
        <f>+superficies!D15</f>
        <v>0</v>
      </c>
      <c r="G11" s="209">
        <f>+superficies!D14</f>
        <v>25.129999999999995</v>
      </c>
      <c r="H11" s="209">
        <f>+superficies!D13</f>
        <v>0</v>
      </c>
      <c r="I11" s="209">
        <f>+superficies!D12</f>
        <v>31.67</v>
      </c>
      <c r="J11" s="209">
        <f>+superficies!D18</f>
        <v>109.12499999999999</v>
      </c>
      <c r="K11" s="117"/>
      <c r="L11" s="73"/>
      <c r="N11" s="80" t="s">
        <v>184</v>
      </c>
      <c r="O11" s="81" t="s">
        <v>189</v>
      </c>
      <c r="P11" s="81" t="s">
        <v>190</v>
      </c>
      <c r="Q11" s="81" t="s">
        <v>191</v>
      </c>
      <c r="R11" s="81" t="s">
        <v>192</v>
      </c>
      <c r="S11" s="81" t="s">
        <v>193</v>
      </c>
      <c r="T11" s="81" t="s">
        <v>194</v>
      </c>
      <c r="U11" s="81" t="s">
        <v>195</v>
      </c>
      <c r="V11" s="81" t="s">
        <v>196</v>
      </c>
      <c r="W11" s="81" t="s">
        <v>6</v>
      </c>
      <c r="X11" s="73"/>
      <c r="Y11" s="80" t="s">
        <v>188</v>
      </c>
      <c r="Z11" s="80" t="s">
        <v>206</v>
      </c>
      <c r="AA11" s="80" t="s">
        <v>205</v>
      </c>
      <c r="AG11" s="73"/>
      <c r="AH11" s="73"/>
      <c r="AI11" s="73"/>
      <c r="AJ11" s="73"/>
      <c r="AK11" s="73"/>
      <c r="AL11" s="73"/>
      <c r="AM11" s="73"/>
      <c r="AN11" s="73"/>
      <c r="AO11" s="73"/>
    </row>
    <row r="12" spans="1:41" x14ac:dyDescent="0.2">
      <c r="A12" s="87" t="s">
        <v>82</v>
      </c>
      <c r="B12" s="209">
        <f>+'Balance calefacción'!$D10</f>
        <v>2.4</v>
      </c>
      <c r="C12" s="209">
        <f>+'Balance calefacción'!$D10</f>
        <v>2.4</v>
      </c>
      <c r="D12" s="209">
        <f>+'Balance calefacción'!$D10</f>
        <v>2.4</v>
      </c>
      <c r="E12" s="209">
        <f>+'Balance calefacción'!$D10</f>
        <v>2.4</v>
      </c>
      <c r="F12" s="209">
        <f>+'Balance calefacción'!$D10</f>
        <v>2.4</v>
      </c>
      <c r="G12" s="209">
        <f>+'Balance calefacción'!$D10</f>
        <v>2.4</v>
      </c>
      <c r="H12" s="209">
        <f>+'Balance calefacción'!$D10</f>
        <v>2.4</v>
      </c>
      <c r="I12" s="209">
        <f>+'Balance calefacción'!$D10</f>
        <v>2.4</v>
      </c>
      <c r="J12" s="209">
        <f>+'Balance calefacción'!D12</f>
        <v>0.4</v>
      </c>
      <c r="K12" s="117"/>
      <c r="L12" s="73"/>
      <c r="N12" s="80" t="s">
        <v>188</v>
      </c>
      <c r="O12" s="73"/>
      <c r="P12" s="73"/>
      <c r="Q12" s="73"/>
      <c r="R12" s="73"/>
      <c r="S12" s="73"/>
      <c r="T12" s="73"/>
      <c r="U12" s="73"/>
      <c r="V12" s="73"/>
      <c r="W12" s="73" t="s">
        <v>2</v>
      </c>
      <c r="X12" s="73"/>
      <c r="Y12" s="80">
        <v>0</v>
      </c>
      <c r="Z12" s="208">
        <v>0.222</v>
      </c>
      <c r="AA12" s="208">
        <f t="shared" ref="AA12:AA23" si="1">+($S$4-$U$4)*Z12+$U$4</f>
        <v>23.830500000000001</v>
      </c>
      <c r="AG12" s="81"/>
      <c r="AH12" s="81"/>
      <c r="AI12" s="81"/>
      <c r="AJ12" s="81"/>
      <c r="AK12" s="73"/>
      <c r="AL12" s="80"/>
      <c r="AM12" s="80"/>
      <c r="AN12" s="80"/>
      <c r="AO12" s="73"/>
    </row>
    <row r="13" spans="1:41" x14ac:dyDescent="0.2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73"/>
      <c r="N13" s="80">
        <v>0</v>
      </c>
      <c r="O13" s="207">
        <v>6</v>
      </c>
      <c r="P13" s="207">
        <v>4</v>
      </c>
      <c r="Q13" s="207">
        <v>5</v>
      </c>
      <c r="R13" s="207">
        <v>6</v>
      </c>
      <c r="S13" s="207">
        <v>13</v>
      </c>
      <c r="T13" s="207">
        <v>16</v>
      </c>
      <c r="U13" s="207">
        <v>12</v>
      </c>
      <c r="V13" s="207">
        <v>2</v>
      </c>
      <c r="W13" s="207">
        <v>3</v>
      </c>
      <c r="X13" s="73"/>
      <c r="Y13" s="80">
        <v>2</v>
      </c>
      <c r="Z13" s="207">
        <v>0.13900000000000001</v>
      </c>
      <c r="AA13" s="208">
        <f t="shared" si="1"/>
        <v>22.77225</v>
      </c>
      <c r="AG13" s="73"/>
      <c r="AH13" s="73"/>
      <c r="AI13" s="73"/>
      <c r="AJ13" s="73"/>
      <c r="AK13" s="73"/>
      <c r="AL13" s="80"/>
      <c r="AM13" s="80"/>
      <c r="AN13" s="80"/>
      <c r="AO13" s="73"/>
    </row>
    <row r="14" spans="1:41" x14ac:dyDescent="0.2">
      <c r="A14" s="87" t="s">
        <v>533</v>
      </c>
      <c r="B14" s="88"/>
      <c r="C14" s="88"/>
      <c r="D14" s="88"/>
      <c r="E14" s="88"/>
      <c r="F14" s="87" t="s">
        <v>92</v>
      </c>
      <c r="G14" s="88"/>
      <c r="H14" s="88"/>
      <c r="I14" s="88"/>
      <c r="J14" s="88"/>
      <c r="K14" s="88"/>
      <c r="L14" s="73"/>
      <c r="N14" s="80">
        <v>2</v>
      </c>
      <c r="O14" s="207">
        <v>5</v>
      </c>
      <c r="P14" s="207">
        <v>3</v>
      </c>
      <c r="Q14" s="207">
        <v>4</v>
      </c>
      <c r="R14" s="207">
        <v>5</v>
      </c>
      <c r="S14" s="207">
        <v>9</v>
      </c>
      <c r="T14" s="207">
        <v>12</v>
      </c>
      <c r="U14" s="207">
        <v>2</v>
      </c>
      <c r="V14" s="207">
        <v>2</v>
      </c>
      <c r="W14" s="207">
        <v>3</v>
      </c>
      <c r="X14" s="73"/>
      <c r="Y14" s="80">
        <v>4</v>
      </c>
      <c r="Z14" s="207">
        <v>5.6000000000000001E-2</v>
      </c>
      <c r="AA14" s="208">
        <f t="shared" si="1"/>
        <v>21.713999999999999</v>
      </c>
      <c r="AG14" s="73"/>
      <c r="AH14" s="73"/>
      <c r="AI14" s="73"/>
      <c r="AJ14" s="73"/>
      <c r="AK14" s="73"/>
      <c r="AL14" s="80"/>
      <c r="AM14" s="73"/>
      <c r="AN14" s="80"/>
      <c r="AO14" s="73"/>
    </row>
    <row r="15" spans="1:41" x14ac:dyDescent="0.2">
      <c r="A15" s="87"/>
      <c r="B15" s="88"/>
      <c r="C15" s="88"/>
      <c r="D15" s="88"/>
      <c r="E15" s="88"/>
      <c r="F15" s="88"/>
      <c r="G15" s="88"/>
      <c r="H15" s="88"/>
      <c r="I15" s="88"/>
      <c r="J15" s="87" t="s">
        <v>0</v>
      </c>
      <c r="K15" s="88"/>
      <c r="L15" s="73"/>
      <c r="N15" s="80">
        <v>4</v>
      </c>
      <c r="O15" s="207">
        <v>4</v>
      </c>
      <c r="P15" s="207">
        <v>3</v>
      </c>
      <c r="Q15" s="207">
        <v>3</v>
      </c>
      <c r="R15" s="207">
        <v>4</v>
      </c>
      <c r="S15" s="207">
        <v>5</v>
      </c>
      <c r="T15" s="207">
        <v>8</v>
      </c>
      <c r="U15" s="207">
        <v>2</v>
      </c>
      <c r="V15" s="207">
        <v>2</v>
      </c>
      <c r="W15" s="207">
        <v>3</v>
      </c>
      <c r="X15" s="73"/>
      <c r="Y15" s="80">
        <v>6</v>
      </c>
      <c r="Z15" s="207">
        <v>0</v>
      </c>
      <c r="AA15" s="208">
        <f t="shared" si="1"/>
        <v>21</v>
      </c>
      <c r="AG15" s="73"/>
      <c r="AH15" s="73"/>
      <c r="AI15" s="73"/>
      <c r="AJ15" s="73"/>
      <c r="AK15" s="73"/>
      <c r="AL15" s="80"/>
      <c r="AM15" s="73"/>
      <c r="AN15" s="80"/>
      <c r="AO15" s="73"/>
    </row>
    <row r="16" spans="1:41" x14ac:dyDescent="0.2">
      <c r="A16" s="87" t="s">
        <v>184</v>
      </c>
      <c r="B16" s="89" t="s">
        <v>189</v>
      </c>
      <c r="C16" s="89" t="s">
        <v>190</v>
      </c>
      <c r="D16" s="89" t="s">
        <v>191</v>
      </c>
      <c r="E16" s="89" t="s">
        <v>192</v>
      </c>
      <c r="F16" s="89" t="s">
        <v>193</v>
      </c>
      <c r="G16" s="89" t="s">
        <v>194</v>
      </c>
      <c r="H16" s="89" t="s">
        <v>195</v>
      </c>
      <c r="I16" s="89" t="s">
        <v>196</v>
      </c>
      <c r="J16" s="87" t="s">
        <v>403</v>
      </c>
      <c r="K16" s="89" t="s">
        <v>6</v>
      </c>
      <c r="L16" s="73"/>
      <c r="N16" s="80">
        <v>6</v>
      </c>
      <c r="O16" s="207">
        <v>4</v>
      </c>
      <c r="P16" s="207">
        <v>5</v>
      </c>
      <c r="Q16" s="207">
        <v>3</v>
      </c>
      <c r="R16" s="207">
        <v>3</v>
      </c>
      <c r="S16" s="207">
        <v>4</v>
      </c>
      <c r="T16" s="207">
        <v>6</v>
      </c>
      <c r="U16" s="207">
        <v>5</v>
      </c>
      <c r="V16" s="207">
        <v>2</v>
      </c>
      <c r="W16" s="207">
        <v>10</v>
      </c>
      <c r="X16" s="73"/>
      <c r="Y16" s="80">
        <v>8</v>
      </c>
      <c r="Z16" s="207">
        <v>0.111</v>
      </c>
      <c r="AA16" s="208">
        <f t="shared" si="1"/>
        <v>22.41525</v>
      </c>
      <c r="AG16" s="73"/>
      <c r="AH16" s="73"/>
      <c r="AI16" s="73"/>
      <c r="AJ16" s="73"/>
      <c r="AK16" s="73"/>
      <c r="AL16" s="80"/>
      <c r="AM16" s="73"/>
      <c r="AN16" s="80"/>
      <c r="AO16" s="73"/>
    </row>
    <row r="17" spans="1:41" x14ac:dyDescent="0.2">
      <c r="A17" s="87" t="s">
        <v>188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 t="s">
        <v>2</v>
      </c>
      <c r="L17" s="73"/>
      <c r="N17" s="80">
        <v>8</v>
      </c>
      <c r="O17" s="207">
        <v>5</v>
      </c>
      <c r="P17" s="207">
        <v>6</v>
      </c>
      <c r="Q17" s="207">
        <v>6</v>
      </c>
      <c r="R17" s="207">
        <v>5</v>
      </c>
      <c r="S17" s="207">
        <v>3</v>
      </c>
      <c r="T17" s="207">
        <v>4</v>
      </c>
      <c r="U17" s="207">
        <v>5</v>
      </c>
      <c r="V17" s="207">
        <v>2</v>
      </c>
      <c r="W17" s="207">
        <v>10</v>
      </c>
      <c r="X17" s="73"/>
      <c r="Y17" s="80">
        <v>10</v>
      </c>
      <c r="Z17" s="207">
        <v>0.58299999999999996</v>
      </c>
      <c r="AA17" s="208">
        <f t="shared" si="1"/>
        <v>28.433250000000001</v>
      </c>
      <c r="AG17" s="73"/>
      <c r="AH17" s="73"/>
      <c r="AI17" s="73"/>
      <c r="AJ17" s="73"/>
      <c r="AK17" s="73"/>
      <c r="AL17" s="80"/>
      <c r="AM17" s="73"/>
      <c r="AN17" s="80"/>
      <c r="AO17" s="73"/>
    </row>
    <row r="18" spans="1:41" x14ac:dyDescent="0.2">
      <c r="A18" s="87">
        <v>0</v>
      </c>
      <c r="B18" s="210">
        <f t="shared" ref="B18:B29" si="2">+B$11*O13*B$12</f>
        <v>0</v>
      </c>
      <c r="C18" s="210">
        <f t="shared" ref="C18:C29" si="3">+C$11*P13*C$12</f>
        <v>259.39199999999994</v>
      </c>
      <c r="D18" s="210">
        <f t="shared" ref="D18:D29" si="4">+D$11*Q13*D$12</f>
        <v>0</v>
      </c>
      <c r="E18" s="210">
        <f t="shared" ref="E18:E29" si="5">+E$11*R13*E$12</f>
        <v>379.29599999999999</v>
      </c>
      <c r="F18" s="210">
        <f t="shared" ref="F18:F29" si="6">+F$11*S13*F$12</f>
        <v>0</v>
      </c>
      <c r="G18" s="210">
        <f>+G$11*T13*G$12</f>
        <v>964.99199999999973</v>
      </c>
      <c r="H18" s="210">
        <f t="shared" ref="H18:H29" si="7">+H$11*U13*H$12</f>
        <v>0</v>
      </c>
      <c r="I18" s="210">
        <f t="shared" ref="I18:I29" si="8">+I$11*V13*I$12</f>
        <v>152.01599999999999</v>
      </c>
      <c r="J18" s="210">
        <f>SUM(B18:I18)</f>
        <v>1755.6959999999997</v>
      </c>
      <c r="K18" s="210">
        <f t="shared" ref="K18:K29" si="9">+J$11*W13*J$12</f>
        <v>130.94999999999999</v>
      </c>
      <c r="L18" s="73"/>
      <c r="N18" s="80">
        <v>10</v>
      </c>
      <c r="O18" s="207">
        <v>5</v>
      </c>
      <c r="P18" s="207">
        <v>10</v>
      </c>
      <c r="Q18" s="207">
        <v>6</v>
      </c>
      <c r="R18" s="207">
        <v>5</v>
      </c>
      <c r="S18" s="207">
        <v>6</v>
      </c>
      <c r="T18" s="207">
        <v>6</v>
      </c>
      <c r="U18" s="207">
        <v>5</v>
      </c>
      <c r="V18" s="207">
        <v>2</v>
      </c>
      <c r="W18" s="207">
        <v>10</v>
      </c>
      <c r="X18" s="73"/>
      <c r="Y18" s="80">
        <v>12</v>
      </c>
      <c r="Z18" s="207">
        <v>0.86099999999999999</v>
      </c>
      <c r="AA18" s="208">
        <f t="shared" si="1"/>
        <v>31.97775</v>
      </c>
      <c r="AG18" s="73"/>
      <c r="AH18" s="73"/>
      <c r="AI18" s="73"/>
      <c r="AJ18" s="73"/>
      <c r="AK18" s="73"/>
      <c r="AL18" s="80"/>
      <c r="AM18" s="73"/>
      <c r="AN18" s="80"/>
      <c r="AO18" s="73"/>
    </row>
    <row r="19" spans="1:41" x14ac:dyDescent="0.2">
      <c r="A19" s="87">
        <v>2</v>
      </c>
      <c r="B19" s="210">
        <f t="shared" si="2"/>
        <v>0</v>
      </c>
      <c r="C19" s="210">
        <f t="shared" si="3"/>
        <v>194.54399999999995</v>
      </c>
      <c r="D19" s="210">
        <f t="shared" si="4"/>
        <v>0</v>
      </c>
      <c r="E19" s="210">
        <f t="shared" si="5"/>
        <v>316.08</v>
      </c>
      <c r="F19" s="210">
        <f t="shared" si="6"/>
        <v>0</v>
      </c>
      <c r="G19" s="210">
        <f t="shared" ref="G19:G29" si="10">+G$11*T14*G$12</f>
        <v>723.7439999999998</v>
      </c>
      <c r="H19" s="210">
        <f t="shared" si="7"/>
        <v>0</v>
      </c>
      <c r="I19" s="210">
        <f t="shared" si="8"/>
        <v>152.01599999999999</v>
      </c>
      <c r="J19" s="210">
        <f t="shared" ref="J19:J29" si="11">SUM(B19:I19)</f>
        <v>1386.3839999999998</v>
      </c>
      <c r="K19" s="210">
        <f t="shared" si="9"/>
        <v>130.94999999999999</v>
      </c>
      <c r="L19" s="73"/>
      <c r="N19" s="80">
        <v>12</v>
      </c>
      <c r="O19" s="207">
        <v>13</v>
      </c>
      <c r="P19" s="207">
        <v>16</v>
      </c>
      <c r="Q19" s="207">
        <v>11</v>
      </c>
      <c r="R19" s="207">
        <v>5</v>
      </c>
      <c r="S19" s="207">
        <v>6</v>
      </c>
      <c r="T19" s="207">
        <v>6</v>
      </c>
      <c r="U19" s="207">
        <v>5</v>
      </c>
      <c r="V19" s="207">
        <v>2</v>
      </c>
      <c r="W19" s="207">
        <v>11</v>
      </c>
      <c r="X19" s="73"/>
      <c r="Y19" s="80">
        <v>14</v>
      </c>
      <c r="Z19" s="207">
        <v>1</v>
      </c>
      <c r="AA19" s="208">
        <f t="shared" si="1"/>
        <v>33.75</v>
      </c>
      <c r="AG19" s="73"/>
      <c r="AH19" s="73"/>
      <c r="AI19" s="73"/>
      <c r="AJ19" s="73"/>
      <c r="AK19" s="73"/>
      <c r="AL19" s="80"/>
      <c r="AM19" s="73"/>
      <c r="AN19" s="80"/>
      <c r="AO19" s="73"/>
    </row>
    <row r="20" spans="1:41" x14ac:dyDescent="0.2">
      <c r="A20" s="87">
        <v>4</v>
      </c>
      <c r="B20" s="210">
        <f t="shared" si="2"/>
        <v>0</v>
      </c>
      <c r="C20" s="210">
        <f t="shared" si="3"/>
        <v>194.54399999999995</v>
      </c>
      <c r="D20" s="210">
        <f t="shared" si="4"/>
        <v>0</v>
      </c>
      <c r="E20" s="210">
        <f t="shared" si="5"/>
        <v>252.86399999999998</v>
      </c>
      <c r="F20" s="210">
        <f t="shared" si="6"/>
        <v>0</v>
      </c>
      <c r="G20" s="210">
        <f t="shared" si="10"/>
        <v>482.49599999999987</v>
      </c>
      <c r="H20" s="210">
        <f t="shared" si="7"/>
        <v>0</v>
      </c>
      <c r="I20" s="210">
        <f t="shared" si="8"/>
        <v>152.01599999999999</v>
      </c>
      <c r="J20" s="210">
        <f t="shared" si="11"/>
        <v>1081.9199999999998</v>
      </c>
      <c r="K20" s="210">
        <f t="shared" si="9"/>
        <v>130.94999999999999</v>
      </c>
      <c r="L20" s="73"/>
      <c r="N20" s="80">
        <v>14</v>
      </c>
      <c r="O20" s="207">
        <v>10</v>
      </c>
      <c r="P20" s="207">
        <v>16</v>
      </c>
      <c r="Q20" s="207">
        <v>12</v>
      </c>
      <c r="R20" s="207">
        <v>9</v>
      </c>
      <c r="S20" s="207">
        <v>7</v>
      </c>
      <c r="T20" s="207">
        <v>7</v>
      </c>
      <c r="U20" s="207">
        <v>5</v>
      </c>
      <c r="V20" s="207">
        <v>4</v>
      </c>
      <c r="W20" s="207">
        <v>17</v>
      </c>
      <c r="X20" s="73"/>
      <c r="Y20" s="80">
        <v>16</v>
      </c>
      <c r="Z20" s="207">
        <v>0.91700000000000004</v>
      </c>
      <c r="AA20" s="208">
        <f t="shared" si="1"/>
        <v>32.691749999999999</v>
      </c>
      <c r="AG20" s="73"/>
      <c r="AH20" s="73"/>
      <c r="AI20" s="73"/>
      <c r="AJ20" s="73"/>
      <c r="AK20" s="73"/>
      <c r="AL20" s="80"/>
      <c r="AM20" s="73"/>
      <c r="AN20" s="80"/>
      <c r="AO20" s="73"/>
    </row>
    <row r="21" spans="1:41" x14ac:dyDescent="0.2">
      <c r="A21" s="87">
        <v>6</v>
      </c>
      <c r="B21" s="210">
        <f t="shared" si="2"/>
        <v>0</v>
      </c>
      <c r="C21" s="210">
        <f t="shared" si="3"/>
        <v>324.2399999999999</v>
      </c>
      <c r="D21" s="210">
        <f t="shared" si="4"/>
        <v>0</v>
      </c>
      <c r="E21" s="210">
        <f t="shared" si="5"/>
        <v>189.648</v>
      </c>
      <c r="F21" s="210">
        <f t="shared" si="6"/>
        <v>0</v>
      </c>
      <c r="G21" s="210">
        <f t="shared" si="10"/>
        <v>361.8719999999999</v>
      </c>
      <c r="H21" s="210">
        <f t="shared" si="7"/>
        <v>0</v>
      </c>
      <c r="I21" s="210">
        <f t="shared" si="8"/>
        <v>152.01599999999999</v>
      </c>
      <c r="J21" s="210">
        <f t="shared" si="11"/>
        <v>1027.7759999999998</v>
      </c>
      <c r="K21" s="210">
        <f t="shared" si="9"/>
        <v>436.49999999999994</v>
      </c>
      <c r="L21" s="73"/>
      <c r="N21" s="80">
        <v>16</v>
      </c>
      <c r="O21" s="207">
        <v>9</v>
      </c>
      <c r="P21" s="207">
        <v>12</v>
      </c>
      <c r="Q21" s="207">
        <v>12</v>
      </c>
      <c r="R21" s="207">
        <v>12</v>
      </c>
      <c r="S21" s="207">
        <v>10</v>
      </c>
      <c r="T21" s="207">
        <v>9</v>
      </c>
      <c r="U21" s="207">
        <v>6</v>
      </c>
      <c r="V21" s="207">
        <v>5</v>
      </c>
      <c r="W21" s="207">
        <v>20</v>
      </c>
      <c r="X21" s="73"/>
      <c r="Y21" s="80">
        <v>18</v>
      </c>
      <c r="Z21" s="207">
        <v>0.69399999999999995</v>
      </c>
      <c r="AA21" s="208">
        <f t="shared" si="1"/>
        <v>29.848500000000001</v>
      </c>
      <c r="AG21" s="73"/>
      <c r="AH21" s="73"/>
      <c r="AI21" s="73"/>
      <c r="AJ21" s="73"/>
      <c r="AK21" s="73"/>
      <c r="AL21" s="80"/>
      <c r="AM21" s="73"/>
      <c r="AN21" s="80"/>
      <c r="AO21" s="73"/>
    </row>
    <row r="22" spans="1:41" x14ac:dyDescent="0.2">
      <c r="A22" s="87">
        <v>8</v>
      </c>
      <c r="B22" s="210">
        <f t="shared" si="2"/>
        <v>0</v>
      </c>
      <c r="C22" s="210">
        <f t="shared" si="3"/>
        <v>389.08799999999991</v>
      </c>
      <c r="D22" s="210">
        <f t="shared" si="4"/>
        <v>0</v>
      </c>
      <c r="E22" s="210">
        <f t="shared" si="5"/>
        <v>316.08</v>
      </c>
      <c r="F22" s="210">
        <f t="shared" si="6"/>
        <v>0</v>
      </c>
      <c r="G22" s="210">
        <f t="shared" si="10"/>
        <v>241.24799999999993</v>
      </c>
      <c r="H22" s="210">
        <f t="shared" si="7"/>
        <v>0</v>
      </c>
      <c r="I22" s="210">
        <f t="shared" si="8"/>
        <v>152.01599999999999</v>
      </c>
      <c r="J22" s="210">
        <f t="shared" si="11"/>
        <v>1098.4319999999998</v>
      </c>
      <c r="K22" s="210">
        <f t="shared" si="9"/>
        <v>436.49999999999994</v>
      </c>
      <c r="L22" s="73"/>
      <c r="N22" s="80">
        <v>18</v>
      </c>
      <c r="O22" s="207">
        <v>9</v>
      </c>
      <c r="P22" s="207">
        <v>10</v>
      </c>
      <c r="Q22" s="207">
        <v>10</v>
      </c>
      <c r="R22" s="207">
        <v>12</v>
      </c>
      <c r="S22" s="207">
        <v>15</v>
      </c>
      <c r="T22" s="207">
        <v>14</v>
      </c>
      <c r="U22" s="207">
        <v>9</v>
      </c>
      <c r="V22" s="207">
        <v>5</v>
      </c>
      <c r="W22" s="207">
        <v>23</v>
      </c>
      <c r="X22" s="73"/>
      <c r="Y22" s="80">
        <v>20</v>
      </c>
      <c r="Z22" s="207">
        <v>0.44400000000000001</v>
      </c>
      <c r="AA22" s="208">
        <f t="shared" si="1"/>
        <v>26.661000000000001</v>
      </c>
      <c r="AG22" s="73"/>
      <c r="AH22" s="73"/>
      <c r="AI22" s="73"/>
      <c r="AJ22" s="73"/>
      <c r="AK22" s="73"/>
      <c r="AL22" s="80"/>
      <c r="AM22" s="73"/>
      <c r="AN22" s="80"/>
      <c r="AO22" s="73"/>
    </row>
    <row r="23" spans="1:41" x14ac:dyDescent="0.2">
      <c r="A23" s="87">
        <v>10</v>
      </c>
      <c r="B23" s="210">
        <f t="shared" si="2"/>
        <v>0</v>
      </c>
      <c r="C23" s="210">
        <f t="shared" si="3"/>
        <v>648.47999999999979</v>
      </c>
      <c r="D23" s="210">
        <f t="shared" si="4"/>
        <v>0</v>
      </c>
      <c r="E23" s="210">
        <f t="shared" si="5"/>
        <v>316.08</v>
      </c>
      <c r="F23" s="210">
        <f t="shared" si="6"/>
        <v>0</v>
      </c>
      <c r="G23" s="210">
        <f t="shared" si="10"/>
        <v>361.8719999999999</v>
      </c>
      <c r="H23" s="210">
        <f t="shared" si="7"/>
        <v>0</v>
      </c>
      <c r="I23" s="210">
        <f t="shared" si="8"/>
        <v>152.01599999999999</v>
      </c>
      <c r="J23" s="210">
        <f t="shared" si="11"/>
        <v>1478.4479999999996</v>
      </c>
      <c r="K23" s="210">
        <f t="shared" si="9"/>
        <v>436.49999999999994</v>
      </c>
      <c r="L23" s="73"/>
      <c r="N23" s="80">
        <v>20</v>
      </c>
      <c r="O23" s="207">
        <v>9</v>
      </c>
      <c r="P23" s="207">
        <v>10</v>
      </c>
      <c r="Q23" s="207">
        <v>9</v>
      </c>
      <c r="R23" s="207">
        <v>10</v>
      </c>
      <c r="S23" s="207">
        <v>16</v>
      </c>
      <c r="T23" s="207">
        <v>18</v>
      </c>
      <c r="U23" s="207">
        <v>14</v>
      </c>
      <c r="V23" s="207">
        <v>7</v>
      </c>
      <c r="W23" s="207">
        <v>22</v>
      </c>
      <c r="X23" s="73"/>
      <c r="Y23" s="80">
        <v>22</v>
      </c>
      <c r="Z23" s="207">
        <v>0.309</v>
      </c>
      <c r="AA23" s="208">
        <f t="shared" si="1"/>
        <v>24.93975</v>
      </c>
      <c r="AG23" s="73"/>
      <c r="AH23" s="73"/>
      <c r="AI23" s="73"/>
      <c r="AJ23" s="73"/>
      <c r="AK23" s="73"/>
      <c r="AL23" s="80"/>
      <c r="AM23" s="73"/>
      <c r="AN23" s="80"/>
      <c r="AO23" s="73"/>
    </row>
    <row r="24" spans="1:41" x14ac:dyDescent="0.2">
      <c r="A24" s="87">
        <v>12</v>
      </c>
      <c r="B24" s="210">
        <f t="shared" si="2"/>
        <v>0</v>
      </c>
      <c r="C24" s="210">
        <f t="shared" si="3"/>
        <v>1037.5679999999998</v>
      </c>
      <c r="D24" s="210">
        <f t="shared" si="4"/>
        <v>0</v>
      </c>
      <c r="E24" s="210">
        <f t="shared" si="5"/>
        <v>316.08</v>
      </c>
      <c r="F24" s="210">
        <f t="shared" si="6"/>
        <v>0</v>
      </c>
      <c r="G24" s="210">
        <f t="shared" si="10"/>
        <v>361.8719999999999</v>
      </c>
      <c r="H24" s="210">
        <f t="shared" si="7"/>
        <v>0</v>
      </c>
      <c r="I24" s="210">
        <f t="shared" si="8"/>
        <v>152.01599999999999</v>
      </c>
      <c r="J24" s="210">
        <f t="shared" si="11"/>
        <v>1867.5359999999996</v>
      </c>
      <c r="K24" s="210">
        <f t="shared" si="9"/>
        <v>480.14999999999992</v>
      </c>
      <c r="L24" s="73"/>
      <c r="N24" s="80">
        <v>22</v>
      </c>
      <c r="O24" s="207">
        <v>8</v>
      </c>
      <c r="P24" s="207">
        <v>9</v>
      </c>
      <c r="Q24" s="207">
        <v>8</v>
      </c>
      <c r="R24" s="207">
        <v>8</v>
      </c>
      <c r="S24" s="207">
        <v>15</v>
      </c>
      <c r="T24" s="207">
        <v>17</v>
      </c>
      <c r="U24" s="207">
        <v>15</v>
      </c>
      <c r="V24" s="207">
        <v>6</v>
      </c>
      <c r="W24" s="207">
        <v>21</v>
      </c>
      <c r="X24" s="73"/>
      <c r="Y24" s="73"/>
      <c r="Z24" s="73"/>
      <c r="AA24" s="73"/>
      <c r="AG24" s="73"/>
      <c r="AH24" s="73"/>
      <c r="AI24" s="73"/>
      <c r="AJ24" s="73"/>
      <c r="AK24" s="73"/>
      <c r="AL24" s="80"/>
      <c r="AM24" s="73"/>
      <c r="AN24" s="80"/>
      <c r="AO24" s="73"/>
    </row>
    <row r="25" spans="1:41" x14ac:dyDescent="0.2">
      <c r="A25" s="87">
        <v>14</v>
      </c>
      <c r="B25" s="210">
        <f t="shared" si="2"/>
        <v>0</v>
      </c>
      <c r="C25" s="210">
        <f t="shared" si="3"/>
        <v>1037.5679999999998</v>
      </c>
      <c r="D25" s="210">
        <f t="shared" si="4"/>
        <v>0</v>
      </c>
      <c r="E25" s="210">
        <f t="shared" si="5"/>
        <v>568.94399999999996</v>
      </c>
      <c r="F25" s="210">
        <f t="shared" si="6"/>
        <v>0</v>
      </c>
      <c r="G25" s="210">
        <f t="shared" si="10"/>
        <v>422.18399999999991</v>
      </c>
      <c r="H25" s="210">
        <f t="shared" si="7"/>
        <v>0</v>
      </c>
      <c r="I25" s="210">
        <f t="shared" si="8"/>
        <v>304.03199999999998</v>
      </c>
      <c r="J25" s="210">
        <f t="shared" si="11"/>
        <v>2332.7279999999996</v>
      </c>
      <c r="K25" s="210">
        <f t="shared" si="9"/>
        <v>742.05</v>
      </c>
      <c r="L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G25" s="73"/>
      <c r="AH25" s="73"/>
      <c r="AI25" s="73"/>
      <c r="AJ25" s="73"/>
      <c r="AK25" s="73"/>
      <c r="AL25" s="73"/>
      <c r="AM25" s="73"/>
      <c r="AN25" s="73"/>
      <c r="AO25" s="73"/>
    </row>
    <row r="26" spans="1:41" x14ac:dyDescent="0.2">
      <c r="A26" s="87">
        <v>16</v>
      </c>
      <c r="B26" s="210">
        <f t="shared" si="2"/>
        <v>0</v>
      </c>
      <c r="C26" s="210">
        <f t="shared" si="3"/>
        <v>778.17599999999982</v>
      </c>
      <c r="D26" s="210">
        <f t="shared" si="4"/>
        <v>0</v>
      </c>
      <c r="E26" s="210">
        <f t="shared" si="5"/>
        <v>758.59199999999998</v>
      </c>
      <c r="F26" s="210">
        <f t="shared" si="6"/>
        <v>0</v>
      </c>
      <c r="G26" s="210">
        <f t="shared" si="10"/>
        <v>542.80799999999988</v>
      </c>
      <c r="H26" s="210">
        <f t="shared" si="7"/>
        <v>0</v>
      </c>
      <c r="I26" s="210">
        <f t="shared" si="8"/>
        <v>380.04</v>
      </c>
      <c r="J26" s="210">
        <f t="shared" si="11"/>
        <v>2459.6159999999995</v>
      </c>
      <c r="K26" s="210">
        <f t="shared" si="9"/>
        <v>872.99999999999989</v>
      </c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G26" s="73"/>
      <c r="AH26" s="73"/>
      <c r="AI26" s="73"/>
      <c r="AJ26" s="73"/>
      <c r="AK26" s="73"/>
      <c r="AL26" s="73"/>
      <c r="AM26" s="73"/>
      <c r="AN26" s="73"/>
      <c r="AO26" s="73"/>
    </row>
    <row r="27" spans="1:41" x14ac:dyDescent="0.2">
      <c r="A27" s="87">
        <v>18</v>
      </c>
      <c r="B27" s="210">
        <f t="shared" si="2"/>
        <v>0</v>
      </c>
      <c r="C27" s="210">
        <f t="shared" si="3"/>
        <v>648.47999999999979</v>
      </c>
      <c r="D27" s="210">
        <f t="shared" si="4"/>
        <v>0</v>
      </c>
      <c r="E27" s="210">
        <f t="shared" si="5"/>
        <v>758.59199999999998</v>
      </c>
      <c r="F27" s="210">
        <f t="shared" si="6"/>
        <v>0</v>
      </c>
      <c r="G27" s="210">
        <f t="shared" si="10"/>
        <v>844.36799999999982</v>
      </c>
      <c r="H27" s="210">
        <f t="shared" si="7"/>
        <v>0</v>
      </c>
      <c r="I27" s="210">
        <f t="shared" si="8"/>
        <v>380.04</v>
      </c>
      <c r="J27" s="210">
        <f t="shared" si="11"/>
        <v>2631.4799999999996</v>
      </c>
      <c r="K27" s="210">
        <f t="shared" si="9"/>
        <v>1003.9499999999998</v>
      </c>
      <c r="L27" s="73"/>
      <c r="W27" s="73"/>
      <c r="X27" s="73"/>
      <c r="Y27" s="73"/>
      <c r="Z27" s="73"/>
      <c r="AA27" s="73"/>
      <c r="AG27" s="73"/>
      <c r="AH27" s="73"/>
      <c r="AI27" s="73"/>
      <c r="AJ27" s="73"/>
      <c r="AK27" s="73"/>
      <c r="AL27" s="73"/>
      <c r="AM27" s="73"/>
      <c r="AN27" s="73"/>
      <c r="AO27" s="73"/>
    </row>
    <row r="28" spans="1:41" x14ac:dyDescent="0.2">
      <c r="A28" s="87">
        <v>20</v>
      </c>
      <c r="B28" s="210">
        <f t="shared" si="2"/>
        <v>0</v>
      </c>
      <c r="C28" s="210">
        <f t="shared" si="3"/>
        <v>648.47999999999979</v>
      </c>
      <c r="D28" s="210">
        <f t="shared" si="4"/>
        <v>0</v>
      </c>
      <c r="E28" s="210">
        <f t="shared" si="5"/>
        <v>632.16</v>
      </c>
      <c r="F28" s="210">
        <f t="shared" si="6"/>
        <v>0</v>
      </c>
      <c r="G28" s="210">
        <f t="shared" si="10"/>
        <v>1085.6159999999998</v>
      </c>
      <c r="H28" s="210">
        <f t="shared" si="7"/>
        <v>0</v>
      </c>
      <c r="I28" s="210">
        <f t="shared" si="8"/>
        <v>532.05599999999993</v>
      </c>
      <c r="J28" s="210">
        <f t="shared" si="11"/>
        <v>2898.3119999999994</v>
      </c>
      <c r="K28" s="210">
        <f t="shared" si="9"/>
        <v>960.29999999999984</v>
      </c>
      <c r="L28" s="73"/>
      <c r="W28" s="73"/>
      <c r="X28" s="73"/>
      <c r="Y28" s="73"/>
      <c r="Z28" s="73"/>
      <c r="AA28" s="73"/>
      <c r="AG28" s="73"/>
      <c r="AH28" s="73"/>
      <c r="AI28" s="73"/>
      <c r="AJ28" s="73"/>
      <c r="AK28" s="73"/>
      <c r="AL28" s="73"/>
      <c r="AM28" s="73"/>
      <c r="AN28" s="73"/>
      <c r="AO28" s="73"/>
    </row>
    <row r="29" spans="1:41" x14ac:dyDescent="0.2">
      <c r="A29" s="87">
        <v>22</v>
      </c>
      <c r="B29" s="210">
        <f t="shared" si="2"/>
        <v>0</v>
      </c>
      <c r="C29" s="210">
        <f t="shared" si="3"/>
        <v>583.63199999999983</v>
      </c>
      <c r="D29" s="210">
        <f t="shared" si="4"/>
        <v>0</v>
      </c>
      <c r="E29" s="210">
        <f t="shared" si="5"/>
        <v>505.72799999999995</v>
      </c>
      <c r="F29" s="210">
        <f t="shared" si="6"/>
        <v>0</v>
      </c>
      <c r="G29" s="210">
        <f t="shared" si="10"/>
        <v>1025.3039999999999</v>
      </c>
      <c r="H29" s="210">
        <f t="shared" si="7"/>
        <v>0</v>
      </c>
      <c r="I29" s="210">
        <f t="shared" si="8"/>
        <v>456.048</v>
      </c>
      <c r="J29" s="210">
        <f t="shared" si="11"/>
        <v>2570.7119999999995</v>
      </c>
      <c r="K29" s="210">
        <f t="shared" si="9"/>
        <v>916.64999999999986</v>
      </c>
      <c r="L29" s="73"/>
      <c r="W29" s="73"/>
      <c r="X29" s="73"/>
      <c r="Y29" s="73"/>
      <c r="Z29" s="73"/>
      <c r="AA29" s="73"/>
      <c r="AG29" s="73"/>
      <c r="AH29" s="73"/>
      <c r="AI29" s="73"/>
      <c r="AJ29" s="73"/>
      <c r="AK29" s="73"/>
      <c r="AL29" s="73"/>
      <c r="AM29" s="73"/>
      <c r="AN29" s="73"/>
      <c r="AO29" s="73"/>
    </row>
    <row r="30" spans="1:41" x14ac:dyDescent="0.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73"/>
      <c r="W30" s="73"/>
      <c r="X30" s="73"/>
      <c r="Y30" s="73"/>
      <c r="Z30" s="73"/>
      <c r="AA30" s="73"/>
      <c r="AG30" s="73"/>
      <c r="AH30" s="73"/>
      <c r="AI30" s="73"/>
      <c r="AJ30" s="73"/>
      <c r="AK30" s="73"/>
      <c r="AL30" s="73"/>
      <c r="AM30" s="73"/>
      <c r="AN30" s="73"/>
      <c r="AO30" s="73"/>
    </row>
    <row r="31" spans="1:41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73"/>
      <c r="W31" s="73"/>
      <c r="X31" s="73"/>
      <c r="Y31" s="73"/>
      <c r="Z31" s="73"/>
      <c r="AA31" s="73"/>
      <c r="AG31" s="81"/>
      <c r="AH31" s="81"/>
      <c r="AI31" s="81"/>
      <c r="AJ31" s="81"/>
      <c r="AK31" s="73"/>
      <c r="AL31" s="73"/>
      <c r="AM31" s="73"/>
      <c r="AN31" s="73"/>
      <c r="AO31" s="73"/>
    </row>
    <row r="32" spans="1:41" ht="14.25" x14ac:dyDescent="0.2">
      <c r="A32" s="87" t="s">
        <v>534</v>
      </c>
      <c r="B32" s="87"/>
      <c r="C32" s="87"/>
      <c r="D32" s="87"/>
      <c r="E32" s="87"/>
      <c r="F32" s="87" t="s">
        <v>24</v>
      </c>
      <c r="G32" s="87"/>
      <c r="H32" s="87"/>
      <c r="I32" s="87"/>
      <c r="J32" s="87"/>
      <c r="K32" s="87"/>
      <c r="L32" s="73"/>
      <c r="W32" s="73"/>
      <c r="X32" s="73"/>
      <c r="Y32" s="73"/>
      <c r="Z32" s="73"/>
      <c r="AA32" s="73"/>
      <c r="AG32" s="80"/>
      <c r="AH32" s="80"/>
      <c r="AI32" s="80"/>
      <c r="AJ32" s="80"/>
      <c r="AK32" s="73"/>
      <c r="AL32" s="73"/>
      <c r="AM32" s="73"/>
      <c r="AN32" s="73"/>
      <c r="AO32" s="73"/>
    </row>
    <row r="33" spans="1:4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73"/>
      <c r="W33" s="73"/>
      <c r="X33" s="73"/>
      <c r="Y33" s="73"/>
      <c r="Z33" s="73"/>
      <c r="AA33" s="73"/>
      <c r="AG33" s="83"/>
      <c r="AH33" s="83"/>
      <c r="AI33" s="83"/>
      <c r="AJ33" s="83"/>
      <c r="AK33" s="73"/>
      <c r="AL33" s="73"/>
      <c r="AM33" s="73"/>
      <c r="AN33" s="73"/>
      <c r="AO33" s="73"/>
    </row>
    <row r="34" spans="1:41" x14ac:dyDescent="0.2">
      <c r="A34" s="87" t="s">
        <v>184</v>
      </c>
      <c r="B34" s="89" t="s">
        <v>189</v>
      </c>
      <c r="C34" s="89" t="s">
        <v>190</v>
      </c>
      <c r="D34" s="89" t="s">
        <v>191</v>
      </c>
      <c r="E34" s="89" t="s">
        <v>192</v>
      </c>
      <c r="F34" s="89" t="s">
        <v>193</v>
      </c>
      <c r="G34" s="89" t="s">
        <v>194</v>
      </c>
      <c r="H34" s="89" t="s">
        <v>195</v>
      </c>
      <c r="I34" s="89" t="s">
        <v>196</v>
      </c>
      <c r="J34" s="89" t="s">
        <v>6</v>
      </c>
      <c r="K34" s="89"/>
      <c r="L34" s="73"/>
      <c r="W34" s="73"/>
      <c r="X34" s="73"/>
      <c r="Y34" s="73"/>
      <c r="Z34" s="73"/>
      <c r="AA34" s="73"/>
      <c r="AG34" s="83"/>
      <c r="AH34" s="83"/>
      <c r="AI34" s="83"/>
      <c r="AJ34" s="83"/>
      <c r="AK34" s="73"/>
      <c r="AL34" s="73"/>
      <c r="AM34" s="73"/>
      <c r="AN34" s="73"/>
      <c r="AO34" s="73"/>
    </row>
    <row r="35" spans="1:41" x14ac:dyDescent="0.2">
      <c r="A35" s="87" t="s">
        <v>182</v>
      </c>
      <c r="B35" s="209">
        <f>+superficies!E11</f>
        <v>0</v>
      </c>
      <c r="C35" s="209">
        <f>+superficies!E10</f>
        <v>0</v>
      </c>
      <c r="D35" s="209">
        <f>+superficies!E9</f>
        <v>0</v>
      </c>
      <c r="E35" s="209">
        <f>+superficies!E8</f>
        <v>0</v>
      </c>
      <c r="F35" s="209">
        <f>+superficies!E15</f>
        <v>0</v>
      </c>
      <c r="G35" s="209">
        <f>+superficies!E14</f>
        <v>0</v>
      </c>
      <c r="H35" s="209">
        <f>+superficies!E13</f>
        <v>0</v>
      </c>
      <c r="I35" s="209">
        <f>+superficies!E12</f>
        <v>0</v>
      </c>
      <c r="J35" s="209">
        <f>+superficies!E18</f>
        <v>0</v>
      </c>
      <c r="K35" s="88"/>
      <c r="L35" s="73"/>
      <c r="W35" s="73"/>
      <c r="X35" s="73"/>
      <c r="Y35" s="73"/>
      <c r="Z35" s="73"/>
      <c r="AA35" s="73"/>
      <c r="AG35" s="83"/>
      <c r="AH35" s="83"/>
      <c r="AI35" s="83"/>
      <c r="AJ35" s="83"/>
      <c r="AK35" s="73"/>
      <c r="AL35" s="73"/>
      <c r="AM35" s="73"/>
      <c r="AN35" s="73"/>
      <c r="AO35" s="73"/>
    </row>
    <row r="36" spans="1:41" x14ac:dyDescent="0.2">
      <c r="A36" s="87" t="s">
        <v>82</v>
      </c>
      <c r="B36" s="209">
        <v>0.65</v>
      </c>
      <c r="C36" s="209">
        <v>0.65</v>
      </c>
      <c r="D36" s="209">
        <v>0.65</v>
      </c>
      <c r="E36" s="209">
        <v>0.65</v>
      </c>
      <c r="F36" s="209">
        <v>0.65</v>
      </c>
      <c r="G36" s="209">
        <v>0.65</v>
      </c>
      <c r="H36" s="209">
        <v>0.65</v>
      </c>
      <c r="I36" s="209">
        <v>0.65</v>
      </c>
      <c r="J36" s="209">
        <f>+'Balance calefacción'!D13</f>
        <v>0.34</v>
      </c>
      <c r="K36" s="88"/>
      <c r="L36" s="73"/>
      <c r="W36" s="73"/>
      <c r="X36" s="73"/>
      <c r="Y36" s="73"/>
      <c r="Z36" s="73"/>
      <c r="AA36" s="73"/>
      <c r="AG36" s="83"/>
      <c r="AH36" s="83"/>
      <c r="AI36" s="83"/>
      <c r="AJ36" s="83"/>
      <c r="AK36" s="73"/>
      <c r="AL36" s="73"/>
      <c r="AM36" s="73"/>
      <c r="AN36" s="73"/>
      <c r="AO36" s="73"/>
    </row>
    <row r="37" spans="1:4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73"/>
      <c r="W37" s="73"/>
      <c r="X37" s="73"/>
      <c r="Y37" s="73"/>
      <c r="Z37" s="73"/>
      <c r="AA37" s="73"/>
      <c r="AG37" s="83"/>
      <c r="AH37" s="83"/>
      <c r="AI37" s="83"/>
      <c r="AJ37" s="83"/>
      <c r="AK37" s="73"/>
      <c r="AL37" s="73"/>
      <c r="AM37" s="73"/>
      <c r="AN37" s="73"/>
      <c r="AO37" s="73"/>
    </row>
    <row r="38" spans="1:41" x14ac:dyDescent="0.2">
      <c r="A38" s="87" t="s">
        <v>535</v>
      </c>
      <c r="B38" s="88"/>
      <c r="C38" s="88"/>
      <c r="D38" s="88"/>
      <c r="E38" s="88"/>
      <c r="F38" s="87" t="s">
        <v>24</v>
      </c>
      <c r="G38" s="88"/>
      <c r="H38" s="88"/>
      <c r="I38" s="88"/>
      <c r="J38" s="88"/>
      <c r="K38" s="88"/>
      <c r="L38" s="73"/>
      <c r="W38" s="73"/>
      <c r="X38" s="73"/>
      <c r="Y38" s="73"/>
      <c r="Z38" s="73"/>
      <c r="AA38" s="73"/>
      <c r="AG38" s="83"/>
      <c r="AH38" s="83"/>
      <c r="AI38" s="83"/>
      <c r="AJ38" s="83"/>
      <c r="AK38" s="73"/>
      <c r="AL38" s="73"/>
      <c r="AM38" s="73"/>
      <c r="AN38" s="73"/>
      <c r="AO38" s="73"/>
    </row>
    <row r="39" spans="1:41" x14ac:dyDescent="0.2">
      <c r="A39" s="87"/>
      <c r="B39" s="88"/>
      <c r="C39" s="88"/>
      <c r="D39" s="88"/>
      <c r="E39" s="88"/>
      <c r="F39" s="88"/>
      <c r="G39" s="88"/>
      <c r="H39" s="88"/>
      <c r="I39" s="88"/>
      <c r="J39" s="87" t="s">
        <v>0</v>
      </c>
      <c r="K39" s="88"/>
      <c r="L39" s="73"/>
      <c r="W39" s="73"/>
      <c r="X39" s="73"/>
      <c r="Y39" s="73"/>
      <c r="Z39" s="73"/>
      <c r="AA39" s="73"/>
      <c r="AG39" s="83"/>
      <c r="AH39" s="83"/>
      <c r="AI39" s="83"/>
      <c r="AJ39" s="83"/>
      <c r="AK39" s="73"/>
      <c r="AL39" s="73"/>
      <c r="AM39" s="73"/>
      <c r="AN39" s="73"/>
      <c r="AO39" s="73"/>
    </row>
    <row r="40" spans="1:41" x14ac:dyDescent="0.2">
      <c r="A40" s="87" t="s">
        <v>184</v>
      </c>
      <c r="B40" s="89" t="s">
        <v>189</v>
      </c>
      <c r="C40" s="89" t="s">
        <v>190</v>
      </c>
      <c r="D40" s="89" t="s">
        <v>191</v>
      </c>
      <c r="E40" s="89" t="s">
        <v>192</v>
      </c>
      <c r="F40" s="89" t="s">
        <v>193</v>
      </c>
      <c r="G40" s="89" t="s">
        <v>194</v>
      </c>
      <c r="H40" s="89" t="s">
        <v>195</v>
      </c>
      <c r="I40" s="89" t="s">
        <v>196</v>
      </c>
      <c r="J40" s="87" t="s">
        <v>404</v>
      </c>
      <c r="K40" s="89" t="s">
        <v>6</v>
      </c>
      <c r="L40" s="73"/>
      <c r="W40" s="73"/>
      <c r="X40" s="73"/>
      <c r="Y40" s="73"/>
      <c r="Z40" s="73"/>
      <c r="AA40" s="73"/>
      <c r="AG40" s="83"/>
      <c r="AH40" s="83"/>
      <c r="AI40" s="83"/>
      <c r="AJ40" s="83"/>
      <c r="AK40" s="73"/>
      <c r="AL40" s="73"/>
      <c r="AM40" s="73"/>
      <c r="AN40" s="73"/>
      <c r="AO40" s="73"/>
    </row>
    <row r="41" spans="1:41" x14ac:dyDescent="0.2">
      <c r="A41" s="87" t="s">
        <v>188</v>
      </c>
      <c r="B41" s="88"/>
      <c r="C41" s="88"/>
      <c r="D41" s="88"/>
      <c r="E41" s="88"/>
      <c r="F41" s="88"/>
      <c r="G41" s="88"/>
      <c r="H41" s="88"/>
      <c r="I41" s="88"/>
      <c r="J41" s="88"/>
      <c r="K41" s="88" t="s">
        <v>2</v>
      </c>
      <c r="L41" s="73"/>
      <c r="W41" s="73"/>
      <c r="X41" s="73"/>
      <c r="Y41" s="73"/>
      <c r="Z41" s="73"/>
      <c r="AA41" s="73"/>
      <c r="AG41" s="83"/>
      <c r="AH41" s="83"/>
      <c r="AI41" s="83"/>
      <c r="AJ41" s="83"/>
      <c r="AK41" s="73"/>
      <c r="AL41" s="73"/>
      <c r="AM41" s="73"/>
      <c r="AN41" s="73"/>
      <c r="AO41" s="73"/>
    </row>
    <row r="42" spans="1:41" x14ac:dyDescent="0.2">
      <c r="A42" s="87">
        <v>0</v>
      </c>
      <c r="B42" s="210">
        <f t="shared" ref="B42:B53" si="12">+B$35*O13*B$36</f>
        <v>0</v>
      </c>
      <c r="C42" s="210">
        <f t="shared" ref="C42:C53" si="13">+C$35*P13*C$36</f>
        <v>0</v>
      </c>
      <c r="D42" s="210">
        <f t="shared" ref="D42:D53" si="14">+D$35*Q13*D$36</f>
        <v>0</v>
      </c>
      <c r="E42" s="210">
        <f t="shared" ref="E42:E53" si="15">+E$35*R13*E$36</f>
        <v>0</v>
      </c>
      <c r="F42" s="210">
        <f t="shared" ref="F42:F53" si="16">+F$35*S13*F$36</f>
        <v>0</v>
      </c>
      <c r="G42" s="210">
        <f t="shared" ref="G42:G53" si="17">+G$35*T13*G$36</f>
        <v>0</v>
      </c>
      <c r="H42" s="210">
        <f t="shared" ref="H42:H53" si="18">+H$35*U13*H$36</f>
        <v>0</v>
      </c>
      <c r="I42" s="210">
        <f t="shared" ref="I42:I53" si="19">+I$35*V13*I$36</f>
        <v>0</v>
      </c>
      <c r="J42" s="210">
        <f t="shared" ref="J42:J53" si="20">SUM(B42:I42)</f>
        <v>0</v>
      </c>
      <c r="K42" s="210">
        <f t="shared" ref="K42:K53" si="21">+J$35*W13*J$36</f>
        <v>0</v>
      </c>
      <c r="L42" s="73"/>
      <c r="W42" s="73"/>
      <c r="X42" s="73"/>
      <c r="Y42" s="73"/>
      <c r="Z42" s="73"/>
      <c r="AA42" s="73"/>
      <c r="AG42" s="83"/>
      <c r="AH42" s="83"/>
      <c r="AI42" s="83"/>
      <c r="AJ42" s="83"/>
      <c r="AK42" s="73"/>
      <c r="AL42" s="73"/>
      <c r="AM42" s="73"/>
      <c r="AN42" s="73"/>
      <c r="AO42" s="73"/>
    </row>
    <row r="43" spans="1:41" x14ac:dyDescent="0.2">
      <c r="A43" s="87">
        <v>2</v>
      </c>
      <c r="B43" s="210">
        <f t="shared" si="12"/>
        <v>0</v>
      </c>
      <c r="C43" s="210">
        <f t="shared" si="13"/>
        <v>0</v>
      </c>
      <c r="D43" s="210">
        <f t="shared" si="14"/>
        <v>0</v>
      </c>
      <c r="E43" s="210">
        <f t="shared" si="15"/>
        <v>0</v>
      </c>
      <c r="F43" s="210">
        <f t="shared" si="16"/>
        <v>0</v>
      </c>
      <c r="G43" s="210">
        <f t="shared" si="17"/>
        <v>0</v>
      </c>
      <c r="H43" s="210">
        <f t="shared" si="18"/>
        <v>0</v>
      </c>
      <c r="I43" s="210">
        <f t="shared" si="19"/>
        <v>0</v>
      </c>
      <c r="J43" s="210">
        <f t="shared" si="20"/>
        <v>0</v>
      </c>
      <c r="K43" s="210">
        <f t="shared" si="21"/>
        <v>0</v>
      </c>
      <c r="L43" s="73"/>
      <c r="W43" s="73"/>
      <c r="X43" s="73"/>
      <c r="Y43" s="73"/>
      <c r="Z43" s="73"/>
      <c r="AA43" s="73"/>
      <c r="AG43" s="83"/>
      <c r="AH43" s="83"/>
      <c r="AI43" s="83"/>
      <c r="AJ43" s="83"/>
      <c r="AK43" s="73"/>
      <c r="AL43" s="73"/>
      <c r="AM43" s="73"/>
      <c r="AN43" s="73"/>
      <c r="AO43" s="73"/>
    </row>
    <row r="44" spans="1:41" x14ac:dyDescent="0.2">
      <c r="A44" s="87">
        <v>4</v>
      </c>
      <c r="B44" s="210">
        <f t="shared" si="12"/>
        <v>0</v>
      </c>
      <c r="C44" s="210">
        <f t="shared" si="13"/>
        <v>0</v>
      </c>
      <c r="D44" s="210">
        <f t="shared" si="14"/>
        <v>0</v>
      </c>
      <c r="E44" s="210">
        <f t="shared" si="15"/>
        <v>0</v>
      </c>
      <c r="F44" s="210">
        <f t="shared" si="16"/>
        <v>0</v>
      </c>
      <c r="G44" s="210">
        <f t="shared" si="17"/>
        <v>0</v>
      </c>
      <c r="H44" s="210">
        <f t="shared" si="18"/>
        <v>0</v>
      </c>
      <c r="I44" s="210">
        <f t="shared" si="19"/>
        <v>0</v>
      </c>
      <c r="J44" s="210">
        <f t="shared" si="20"/>
        <v>0</v>
      </c>
      <c r="K44" s="210">
        <f t="shared" si="21"/>
        <v>0</v>
      </c>
      <c r="L44" s="73"/>
      <c r="W44" s="73"/>
      <c r="X44" s="73"/>
      <c r="Y44" s="73"/>
      <c r="Z44" s="73"/>
      <c r="AA44" s="73"/>
      <c r="AG44" s="83"/>
      <c r="AH44" s="83"/>
      <c r="AI44" s="83"/>
      <c r="AJ44" s="83"/>
      <c r="AK44" s="73"/>
      <c r="AL44" s="73"/>
      <c r="AM44" s="73"/>
      <c r="AN44" s="73"/>
      <c r="AO44" s="73"/>
    </row>
    <row r="45" spans="1:41" x14ac:dyDescent="0.2">
      <c r="A45" s="87">
        <v>6</v>
      </c>
      <c r="B45" s="210">
        <f t="shared" si="12"/>
        <v>0</v>
      </c>
      <c r="C45" s="210">
        <f t="shared" si="13"/>
        <v>0</v>
      </c>
      <c r="D45" s="210">
        <f t="shared" si="14"/>
        <v>0</v>
      </c>
      <c r="E45" s="210">
        <f t="shared" si="15"/>
        <v>0</v>
      </c>
      <c r="F45" s="210">
        <f t="shared" si="16"/>
        <v>0</v>
      </c>
      <c r="G45" s="210">
        <f t="shared" si="17"/>
        <v>0</v>
      </c>
      <c r="H45" s="210">
        <f t="shared" si="18"/>
        <v>0</v>
      </c>
      <c r="I45" s="210">
        <f t="shared" si="19"/>
        <v>0</v>
      </c>
      <c r="J45" s="210">
        <f t="shared" si="20"/>
        <v>0</v>
      </c>
      <c r="K45" s="210">
        <f t="shared" si="21"/>
        <v>0</v>
      </c>
      <c r="L45" s="73"/>
      <c r="W45" s="73"/>
      <c r="X45" s="73"/>
      <c r="Y45" s="73"/>
      <c r="Z45" s="73"/>
      <c r="AA45" s="73"/>
      <c r="AG45" s="73"/>
      <c r="AH45" s="73"/>
      <c r="AI45" s="73"/>
      <c r="AJ45" s="73"/>
      <c r="AK45" s="73"/>
      <c r="AL45" s="73"/>
      <c r="AM45" s="73"/>
      <c r="AN45" s="73"/>
      <c r="AO45" s="73"/>
    </row>
    <row r="46" spans="1:41" x14ac:dyDescent="0.2">
      <c r="A46" s="87">
        <v>8</v>
      </c>
      <c r="B46" s="210">
        <f t="shared" si="12"/>
        <v>0</v>
      </c>
      <c r="C46" s="210">
        <f t="shared" si="13"/>
        <v>0</v>
      </c>
      <c r="D46" s="210">
        <f t="shared" si="14"/>
        <v>0</v>
      </c>
      <c r="E46" s="210">
        <f t="shared" si="15"/>
        <v>0</v>
      </c>
      <c r="F46" s="210">
        <f t="shared" si="16"/>
        <v>0</v>
      </c>
      <c r="G46" s="210">
        <f t="shared" si="17"/>
        <v>0</v>
      </c>
      <c r="H46" s="210">
        <f t="shared" si="18"/>
        <v>0</v>
      </c>
      <c r="I46" s="210">
        <f t="shared" si="19"/>
        <v>0</v>
      </c>
      <c r="J46" s="210">
        <f t="shared" si="20"/>
        <v>0</v>
      </c>
      <c r="K46" s="210">
        <f t="shared" si="21"/>
        <v>0</v>
      </c>
      <c r="L46" s="73"/>
      <c r="W46" s="73"/>
      <c r="X46" s="73"/>
      <c r="Y46" s="73"/>
      <c r="Z46" s="73"/>
      <c r="AA46" s="73"/>
      <c r="AG46" s="73"/>
      <c r="AH46" s="73"/>
      <c r="AI46" s="73"/>
      <c r="AJ46" s="73"/>
      <c r="AK46" s="73"/>
      <c r="AL46" s="73"/>
      <c r="AM46" s="73"/>
      <c r="AN46" s="73"/>
      <c r="AO46" s="73"/>
    </row>
    <row r="47" spans="1:41" x14ac:dyDescent="0.2">
      <c r="A47" s="87">
        <v>10</v>
      </c>
      <c r="B47" s="210">
        <f t="shared" si="12"/>
        <v>0</v>
      </c>
      <c r="C47" s="210">
        <f t="shared" si="13"/>
        <v>0</v>
      </c>
      <c r="D47" s="210">
        <f t="shared" si="14"/>
        <v>0</v>
      </c>
      <c r="E47" s="210">
        <f t="shared" si="15"/>
        <v>0</v>
      </c>
      <c r="F47" s="210">
        <f t="shared" si="16"/>
        <v>0</v>
      </c>
      <c r="G47" s="210">
        <f t="shared" si="17"/>
        <v>0</v>
      </c>
      <c r="H47" s="210">
        <f t="shared" si="18"/>
        <v>0</v>
      </c>
      <c r="I47" s="210">
        <f t="shared" si="19"/>
        <v>0</v>
      </c>
      <c r="J47" s="210">
        <f t="shared" si="20"/>
        <v>0</v>
      </c>
      <c r="K47" s="210">
        <f t="shared" si="21"/>
        <v>0</v>
      </c>
      <c r="L47" s="73"/>
      <c r="W47" s="73"/>
      <c r="X47" s="73"/>
      <c r="Y47" s="73"/>
      <c r="Z47" s="73"/>
      <c r="AA47" s="73"/>
      <c r="AG47" s="73"/>
      <c r="AH47" s="73"/>
      <c r="AI47" s="73"/>
      <c r="AJ47" s="73"/>
      <c r="AK47" s="73"/>
      <c r="AL47" s="73"/>
      <c r="AM47" s="73"/>
      <c r="AN47" s="73"/>
      <c r="AO47" s="73"/>
    </row>
    <row r="48" spans="1:41" x14ac:dyDescent="0.2">
      <c r="A48" s="87">
        <v>12</v>
      </c>
      <c r="B48" s="210">
        <f t="shared" si="12"/>
        <v>0</v>
      </c>
      <c r="C48" s="210">
        <f t="shared" si="13"/>
        <v>0</v>
      </c>
      <c r="D48" s="210">
        <f t="shared" si="14"/>
        <v>0</v>
      </c>
      <c r="E48" s="210">
        <f t="shared" si="15"/>
        <v>0</v>
      </c>
      <c r="F48" s="210">
        <f t="shared" si="16"/>
        <v>0</v>
      </c>
      <c r="G48" s="210">
        <f t="shared" si="17"/>
        <v>0</v>
      </c>
      <c r="H48" s="210">
        <f t="shared" si="18"/>
        <v>0</v>
      </c>
      <c r="I48" s="210">
        <f t="shared" si="19"/>
        <v>0</v>
      </c>
      <c r="J48" s="210">
        <f t="shared" si="20"/>
        <v>0</v>
      </c>
      <c r="K48" s="210">
        <f t="shared" si="21"/>
        <v>0</v>
      </c>
      <c r="L48" s="73"/>
      <c r="W48" s="73"/>
      <c r="X48" s="73"/>
      <c r="Y48" s="73"/>
      <c r="Z48" s="73"/>
      <c r="AA48" s="73"/>
      <c r="AG48" s="73"/>
      <c r="AH48" s="73"/>
      <c r="AI48" s="73"/>
      <c r="AJ48" s="73"/>
      <c r="AK48" s="73"/>
      <c r="AL48" s="73"/>
      <c r="AM48" s="73"/>
      <c r="AN48" s="73"/>
      <c r="AO48" s="73"/>
    </row>
    <row r="49" spans="1:41" x14ac:dyDescent="0.2">
      <c r="A49" s="87">
        <v>14</v>
      </c>
      <c r="B49" s="210">
        <f t="shared" si="12"/>
        <v>0</v>
      </c>
      <c r="C49" s="210">
        <f t="shared" si="13"/>
        <v>0</v>
      </c>
      <c r="D49" s="210">
        <f t="shared" si="14"/>
        <v>0</v>
      </c>
      <c r="E49" s="210">
        <f t="shared" si="15"/>
        <v>0</v>
      </c>
      <c r="F49" s="210">
        <f t="shared" si="16"/>
        <v>0</v>
      </c>
      <c r="G49" s="210">
        <f t="shared" si="17"/>
        <v>0</v>
      </c>
      <c r="H49" s="210">
        <f t="shared" si="18"/>
        <v>0</v>
      </c>
      <c r="I49" s="210">
        <f t="shared" si="19"/>
        <v>0</v>
      </c>
      <c r="J49" s="210">
        <f t="shared" si="20"/>
        <v>0</v>
      </c>
      <c r="K49" s="210">
        <f t="shared" si="21"/>
        <v>0</v>
      </c>
      <c r="L49" s="73"/>
      <c r="W49" s="73"/>
      <c r="X49" s="73"/>
      <c r="Y49" s="73"/>
      <c r="Z49" s="73"/>
      <c r="AA49" s="73"/>
      <c r="AG49" s="73"/>
      <c r="AH49" s="73"/>
      <c r="AI49" s="73"/>
      <c r="AJ49" s="73"/>
      <c r="AK49" s="73"/>
      <c r="AL49" s="73"/>
      <c r="AM49" s="73"/>
      <c r="AN49" s="73"/>
      <c r="AO49" s="73"/>
    </row>
    <row r="50" spans="1:41" x14ac:dyDescent="0.2">
      <c r="A50" s="87">
        <v>16</v>
      </c>
      <c r="B50" s="210">
        <f t="shared" si="12"/>
        <v>0</v>
      </c>
      <c r="C50" s="210">
        <f t="shared" si="13"/>
        <v>0</v>
      </c>
      <c r="D50" s="210">
        <f t="shared" si="14"/>
        <v>0</v>
      </c>
      <c r="E50" s="210">
        <f t="shared" si="15"/>
        <v>0</v>
      </c>
      <c r="F50" s="210">
        <f t="shared" si="16"/>
        <v>0</v>
      </c>
      <c r="G50" s="210">
        <f t="shared" si="17"/>
        <v>0</v>
      </c>
      <c r="H50" s="210">
        <f t="shared" si="18"/>
        <v>0</v>
      </c>
      <c r="I50" s="210">
        <f t="shared" si="19"/>
        <v>0</v>
      </c>
      <c r="J50" s="210">
        <f t="shared" si="20"/>
        <v>0</v>
      </c>
      <c r="K50" s="210">
        <f t="shared" si="21"/>
        <v>0</v>
      </c>
      <c r="L50" s="73"/>
      <c r="W50" s="73"/>
      <c r="X50" s="73"/>
      <c r="Y50" s="73"/>
      <c r="Z50" s="73"/>
      <c r="AA50" s="73"/>
      <c r="AG50" s="73"/>
      <c r="AH50" s="73"/>
      <c r="AI50" s="73"/>
      <c r="AJ50" s="73"/>
      <c r="AK50" s="73"/>
      <c r="AL50" s="73"/>
      <c r="AM50" s="73"/>
      <c r="AN50" s="73"/>
      <c r="AO50" s="73"/>
    </row>
    <row r="51" spans="1:41" x14ac:dyDescent="0.2">
      <c r="A51" s="87">
        <v>18</v>
      </c>
      <c r="B51" s="210">
        <f t="shared" si="12"/>
        <v>0</v>
      </c>
      <c r="C51" s="210">
        <f t="shared" si="13"/>
        <v>0</v>
      </c>
      <c r="D51" s="210">
        <f t="shared" si="14"/>
        <v>0</v>
      </c>
      <c r="E51" s="210">
        <f t="shared" si="15"/>
        <v>0</v>
      </c>
      <c r="F51" s="210">
        <f t="shared" si="16"/>
        <v>0</v>
      </c>
      <c r="G51" s="210">
        <f t="shared" si="17"/>
        <v>0</v>
      </c>
      <c r="H51" s="210">
        <f t="shared" si="18"/>
        <v>0</v>
      </c>
      <c r="I51" s="210">
        <f t="shared" si="19"/>
        <v>0</v>
      </c>
      <c r="J51" s="210">
        <f t="shared" si="20"/>
        <v>0</v>
      </c>
      <c r="K51" s="210">
        <f t="shared" si="21"/>
        <v>0</v>
      </c>
      <c r="L51" s="73"/>
      <c r="W51" s="73"/>
      <c r="X51" s="73"/>
      <c r="Y51" s="73"/>
      <c r="Z51" s="73"/>
      <c r="AA51" s="73"/>
      <c r="AG51" s="73"/>
      <c r="AH51" s="73"/>
      <c r="AI51" s="73"/>
      <c r="AJ51" s="73"/>
      <c r="AK51" s="73"/>
      <c r="AL51" s="73"/>
      <c r="AM51" s="73"/>
      <c r="AN51" s="73"/>
      <c r="AO51" s="73"/>
    </row>
    <row r="52" spans="1:41" x14ac:dyDescent="0.2">
      <c r="A52" s="87">
        <v>20</v>
      </c>
      <c r="B52" s="210">
        <f t="shared" si="12"/>
        <v>0</v>
      </c>
      <c r="C52" s="210">
        <f t="shared" si="13"/>
        <v>0</v>
      </c>
      <c r="D52" s="210">
        <f t="shared" si="14"/>
        <v>0</v>
      </c>
      <c r="E52" s="210">
        <f t="shared" si="15"/>
        <v>0</v>
      </c>
      <c r="F52" s="210">
        <f t="shared" si="16"/>
        <v>0</v>
      </c>
      <c r="G52" s="210">
        <f t="shared" si="17"/>
        <v>0</v>
      </c>
      <c r="H52" s="210">
        <f t="shared" si="18"/>
        <v>0</v>
      </c>
      <c r="I52" s="210">
        <f t="shared" si="19"/>
        <v>0</v>
      </c>
      <c r="J52" s="210">
        <f t="shared" si="20"/>
        <v>0</v>
      </c>
      <c r="K52" s="210">
        <f t="shared" si="21"/>
        <v>0</v>
      </c>
      <c r="L52" s="73"/>
      <c r="W52" s="73"/>
      <c r="X52" s="73"/>
      <c r="Y52" s="73"/>
      <c r="Z52" s="73"/>
      <c r="AA52" s="73"/>
      <c r="AG52" s="73"/>
      <c r="AH52" s="73"/>
      <c r="AI52" s="73"/>
      <c r="AJ52" s="73"/>
      <c r="AK52" s="73"/>
      <c r="AL52" s="73"/>
      <c r="AM52" s="73"/>
      <c r="AN52" s="73"/>
      <c r="AO52" s="73"/>
    </row>
    <row r="53" spans="1:41" x14ac:dyDescent="0.2">
      <c r="A53" s="88">
        <v>22</v>
      </c>
      <c r="B53" s="210">
        <f t="shared" si="12"/>
        <v>0</v>
      </c>
      <c r="C53" s="210">
        <f t="shared" si="13"/>
        <v>0</v>
      </c>
      <c r="D53" s="210">
        <f t="shared" si="14"/>
        <v>0</v>
      </c>
      <c r="E53" s="210">
        <f t="shared" si="15"/>
        <v>0</v>
      </c>
      <c r="F53" s="210">
        <f t="shared" si="16"/>
        <v>0</v>
      </c>
      <c r="G53" s="210">
        <f t="shared" si="17"/>
        <v>0</v>
      </c>
      <c r="H53" s="210">
        <f t="shared" si="18"/>
        <v>0</v>
      </c>
      <c r="I53" s="210">
        <f t="shared" si="19"/>
        <v>0</v>
      </c>
      <c r="J53" s="210">
        <f t="shared" si="20"/>
        <v>0</v>
      </c>
      <c r="K53" s="210">
        <f t="shared" si="21"/>
        <v>0</v>
      </c>
      <c r="L53" s="73"/>
      <c r="W53" s="73"/>
      <c r="X53" s="73"/>
      <c r="Y53" s="73"/>
      <c r="Z53" s="73"/>
      <c r="AA53" s="73"/>
      <c r="AG53" s="73"/>
      <c r="AH53" s="73"/>
      <c r="AI53" s="73"/>
      <c r="AJ53" s="73"/>
      <c r="AK53" s="73"/>
      <c r="AL53" s="73"/>
      <c r="AM53" s="73"/>
      <c r="AN53" s="73"/>
      <c r="AO53" s="73"/>
    </row>
    <row r="54" spans="1:41" x14ac:dyDescent="0.2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73"/>
      <c r="W54" s="73"/>
      <c r="X54" s="73"/>
      <c r="Y54" s="73"/>
      <c r="Z54" s="73"/>
      <c r="AA54" s="73"/>
      <c r="AG54" s="73"/>
      <c r="AH54" s="73"/>
      <c r="AI54" s="73"/>
      <c r="AJ54" s="73"/>
      <c r="AK54" s="73"/>
      <c r="AL54" s="73"/>
      <c r="AM54" s="73"/>
      <c r="AN54" s="73"/>
      <c r="AO54" s="73"/>
    </row>
    <row r="55" spans="1:41" x14ac:dyDescent="0.2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73"/>
      <c r="W55" s="73"/>
      <c r="X55" s="73"/>
      <c r="Y55" s="73"/>
      <c r="Z55" s="73"/>
      <c r="AA55" s="73"/>
      <c r="AG55" s="73"/>
      <c r="AH55" s="73"/>
      <c r="AI55" s="73"/>
      <c r="AJ55" s="73"/>
      <c r="AK55" s="73"/>
      <c r="AL55" s="73"/>
      <c r="AM55" s="73"/>
      <c r="AN55" s="73"/>
      <c r="AO55" s="73"/>
    </row>
    <row r="56" spans="1:41" x14ac:dyDescent="0.2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73"/>
      <c r="W56" s="73"/>
      <c r="X56" s="73"/>
      <c r="Y56" s="73"/>
      <c r="Z56" s="73"/>
      <c r="AA56" s="73"/>
      <c r="AG56" s="73"/>
      <c r="AH56" s="73"/>
      <c r="AI56" s="73"/>
      <c r="AJ56" s="73"/>
      <c r="AK56" s="73"/>
      <c r="AL56" s="73"/>
      <c r="AM56" s="73"/>
      <c r="AN56" s="73"/>
      <c r="AO56" s="73"/>
    </row>
    <row r="57" spans="1:41" x14ac:dyDescent="0.2">
      <c r="A57" s="88" t="s">
        <v>198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73"/>
      <c r="W57" s="73"/>
      <c r="X57" s="73"/>
      <c r="Y57" s="73"/>
      <c r="Z57" s="73"/>
      <c r="AA57" s="73"/>
      <c r="AG57" s="73"/>
      <c r="AH57" s="73"/>
      <c r="AI57" s="73"/>
      <c r="AJ57" s="73"/>
      <c r="AK57" s="73"/>
      <c r="AL57" s="73"/>
      <c r="AM57" s="73"/>
      <c r="AN57" s="73"/>
      <c r="AO57" s="73"/>
    </row>
    <row r="58" spans="1:41" x14ac:dyDescent="0.2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73"/>
      <c r="W58" s="73"/>
      <c r="X58" s="73"/>
      <c r="Y58" s="73"/>
      <c r="Z58" s="73"/>
      <c r="AA58" s="73"/>
      <c r="AG58" s="73"/>
      <c r="AH58" s="73"/>
      <c r="AI58" s="73"/>
      <c r="AJ58" s="73"/>
      <c r="AK58" s="73"/>
      <c r="AL58" s="73"/>
      <c r="AM58" s="73"/>
      <c r="AN58" s="73"/>
      <c r="AO58" s="73"/>
    </row>
    <row r="59" spans="1:41" ht="14.25" x14ac:dyDescent="0.2">
      <c r="A59" s="87" t="s">
        <v>531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73"/>
      <c r="W59" s="73"/>
      <c r="X59" s="73"/>
      <c r="Y59" s="73"/>
      <c r="Z59" s="73"/>
      <c r="AA59" s="73"/>
      <c r="AG59" s="73"/>
      <c r="AH59" s="73"/>
      <c r="AI59" s="73"/>
      <c r="AJ59" s="73"/>
      <c r="AK59" s="73"/>
      <c r="AL59" s="73"/>
      <c r="AM59" s="73"/>
      <c r="AN59" s="73"/>
      <c r="AO59" s="73"/>
    </row>
    <row r="60" spans="1:41" x14ac:dyDescent="0.2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73"/>
      <c r="W60" s="73"/>
      <c r="X60" s="73"/>
      <c r="Y60" s="73"/>
      <c r="Z60" s="73"/>
      <c r="AA60" s="73"/>
    </row>
    <row r="61" spans="1:41" x14ac:dyDescent="0.2">
      <c r="A61" s="88" t="s">
        <v>184</v>
      </c>
      <c r="B61" s="88" t="s">
        <v>189</v>
      </c>
      <c r="C61" s="88" t="s">
        <v>190</v>
      </c>
      <c r="D61" s="88" t="s">
        <v>191</v>
      </c>
      <c r="E61" s="88" t="s">
        <v>192</v>
      </c>
      <c r="F61" s="88" t="s">
        <v>193</v>
      </c>
      <c r="G61" s="88" t="s">
        <v>194</v>
      </c>
      <c r="H61" s="88" t="s">
        <v>195</v>
      </c>
      <c r="I61" s="88" t="s">
        <v>196</v>
      </c>
      <c r="J61" s="88"/>
      <c r="K61" s="88"/>
      <c r="N61" s="80" t="s">
        <v>223</v>
      </c>
      <c r="O61" s="80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</row>
    <row r="62" spans="1:41" x14ac:dyDescent="0.2">
      <c r="A62" s="88" t="s">
        <v>182</v>
      </c>
      <c r="B62" s="88">
        <f>+superficies!G11</f>
        <v>0</v>
      </c>
      <c r="C62" s="88">
        <f>+superficies!G10</f>
        <v>2.08</v>
      </c>
      <c r="D62" s="88">
        <f>+superficies!G9</f>
        <v>0</v>
      </c>
      <c r="E62" s="88">
        <f>+superficies!G8</f>
        <v>7.41</v>
      </c>
      <c r="F62" s="88">
        <f>+superficies!G15</f>
        <v>0</v>
      </c>
      <c r="G62" s="88">
        <f>+superficies!G14</f>
        <v>2.08</v>
      </c>
      <c r="H62" s="88">
        <f>+superficies!G13</f>
        <v>0</v>
      </c>
      <c r="I62" s="88">
        <f>+superficies!G12</f>
        <v>2.08</v>
      </c>
      <c r="J62" s="88"/>
      <c r="K62" s="88"/>
      <c r="N62" s="80" t="s">
        <v>202</v>
      </c>
      <c r="O62" s="73"/>
      <c r="P62" s="73">
        <v>1.1627000000000001</v>
      </c>
      <c r="Q62" s="73" t="s">
        <v>203</v>
      </c>
      <c r="R62" s="73"/>
      <c r="S62" s="73"/>
      <c r="T62" s="73"/>
      <c r="U62" s="73"/>
      <c r="V62" s="73"/>
      <c r="W62" s="73"/>
      <c r="X62" s="73"/>
      <c r="Y62" s="73"/>
      <c r="Z62" s="73"/>
      <c r="AA62" s="73"/>
    </row>
    <row r="63" spans="1:41" x14ac:dyDescent="0.2">
      <c r="A63" s="88" t="s">
        <v>82</v>
      </c>
      <c r="B63" s="88">
        <f>+'Balance calefacción'!D14</f>
        <v>4</v>
      </c>
      <c r="C63" s="88">
        <f>+'Balance calefacción'!Y19</f>
        <v>4</v>
      </c>
      <c r="D63" s="88">
        <f>+'Balance calefacción'!Y18</f>
        <v>4</v>
      </c>
      <c r="E63" s="88">
        <f>+'Balance calefacción'!Y18</f>
        <v>4</v>
      </c>
      <c r="F63" s="88">
        <f>+'Balance calefacción'!Y18</f>
        <v>4</v>
      </c>
      <c r="G63" s="88">
        <f>+'Balance calefacción'!Y19</f>
        <v>4</v>
      </c>
      <c r="H63" s="88">
        <f>+'Balance calefacción'!D14</f>
        <v>4</v>
      </c>
      <c r="I63" s="88">
        <f>+'Balance calefacción'!D14</f>
        <v>4</v>
      </c>
      <c r="J63" s="88"/>
      <c r="K63" s="88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</row>
    <row r="64" spans="1:41" x14ac:dyDescent="0.2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N64" s="80" t="s">
        <v>184</v>
      </c>
      <c r="O64" s="81" t="s">
        <v>189</v>
      </c>
      <c r="P64" s="81" t="s">
        <v>190</v>
      </c>
      <c r="Q64" s="81" t="s">
        <v>191</v>
      </c>
      <c r="R64" s="81" t="s">
        <v>192</v>
      </c>
      <c r="S64" s="81" t="s">
        <v>193</v>
      </c>
      <c r="T64" s="81" t="s">
        <v>194</v>
      </c>
      <c r="U64" s="81" t="s">
        <v>195</v>
      </c>
      <c r="V64" s="81" t="s">
        <v>196</v>
      </c>
      <c r="W64" s="81" t="s">
        <v>6</v>
      </c>
      <c r="X64" s="73"/>
      <c r="Y64" s="73"/>
      <c r="Z64" s="73"/>
      <c r="AA64" s="73"/>
    </row>
    <row r="65" spans="1:27" x14ac:dyDescent="0.2">
      <c r="A65" s="87" t="s">
        <v>204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N65" s="80" t="s">
        <v>188</v>
      </c>
      <c r="O65" s="80"/>
      <c r="P65" s="80"/>
      <c r="Q65" s="80"/>
      <c r="R65" s="80"/>
      <c r="S65" s="80"/>
      <c r="T65" s="80"/>
      <c r="U65" s="80"/>
      <c r="V65" s="80"/>
      <c r="W65" s="80"/>
      <c r="X65" s="73"/>
      <c r="Y65" s="73"/>
      <c r="Z65" s="73"/>
      <c r="AA65" s="73"/>
    </row>
    <row r="66" spans="1:27" x14ac:dyDescent="0.2">
      <c r="A66" s="88"/>
      <c r="B66" s="88"/>
      <c r="C66" s="88"/>
      <c r="D66" s="88"/>
      <c r="E66" s="88"/>
      <c r="F66" s="88"/>
      <c r="G66" s="88" t="s">
        <v>2</v>
      </c>
      <c r="H66" s="88"/>
      <c r="I66" s="88"/>
      <c r="J66" s="88"/>
      <c r="K66" s="88"/>
      <c r="N66" s="73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211">
        <v>0</v>
      </c>
      <c r="W66" s="211">
        <v>0</v>
      </c>
      <c r="X66" s="73"/>
      <c r="Y66" s="73"/>
      <c r="Z66" s="73"/>
      <c r="AA66" s="73"/>
    </row>
    <row r="67" spans="1:27" x14ac:dyDescent="0.2">
      <c r="A67" s="88" t="s">
        <v>184</v>
      </c>
      <c r="B67" s="88" t="s">
        <v>189</v>
      </c>
      <c r="C67" s="88" t="s">
        <v>190</v>
      </c>
      <c r="D67" s="88" t="s">
        <v>191</v>
      </c>
      <c r="E67" s="88" t="s">
        <v>192</v>
      </c>
      <c r="F67" s="88" t="s">
        <v>193</v>
      </c>
      <c r="G67" s="88" t="s">
        <v>194</v>
      </c>
      <c r="H67" s="88" t="s">
        <v>195</v>
      </c>
      <c r="I67" s="88" t="s">
        <v>196</v>
      </c>
      <c r="J67" s="88" t="s">
        <v>0</v>
      </c>
      <c r="K67" s="88"/>
      <c r="N67" s="73">
        <v>2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0</v>
      </c>
      <c r="V67" s="211">
        <v>0</v>
      </c>
      <c r="W67" s="211">
        <v>0</v>
      </c>
      <c r="X67" s="73"/>
      <c r="Y67" s="73"/>
      <c r="Z67" s="73"/>
      <c r="AA67" s="73"/>
    </row>
    <row r="68" spans="1:27" x14ac:dyDescent="0.2">
      <c r="A68" s="88" t="s">
        <v>188</v>
      </c>
      <c r="B68" s="88"/>
      <c r="C68" s="88"/>
      <c r="D68" s="88"/>
      <c r="E68" s="88"/>
      <c r="F68" s="88"/>
      <c r="G68" s="88"/>
      <c r="H68" s="88"/>
      <c r="I68" s="88"/>
      <c r="J68" s="88" t="s">
        <v>2</v>
      </c>
      <c r="K68" s="88"/>
      <c r="N68" s="73">
        <v>4</v>
      </c>
      <c r="O68" s="211">
        <v>0</v>
      </c>
      <c r="P68" s="211">
        <v>0</v>
      </c>
      <c r="Q68" s="211">
        <v>0</v>
      </c>
      <c r="R68" s="211">
        <v>0</v>
      </c>
      <c r="S68" s="211">
        <v>0</v>
      </c>
      <c r="T68" s="211">
        <v>0</v>
      </c>
      <c r="U68" s="211">
        <v>0</v>
      </c>
      <c r="V68" s="211">
        <v>0</v>
      </c>
      <c r="W68" s="211">
        <v>0</v>
      </c>
      <c r="X68" s="73"/>
      <c r="Y68" s="73"/>
      <c r="Z68" s="73"/>
      <c r="AA68" s="73"/>
    </row>
    <row r="69" spans="1:27" x14ac:dyDescent="0.2">
      <c r="A69" s="88">
        <v>0</v>
      </c>
      <c r="B69" s="88">
        <f t="shared" ref="B69:I80" si="22">+B$62*B$63*($AA12-$G$275)</f>
        <v>0</v>
      </c>
      <c r="C69" s="88">
        <f t="shared" si="22"/>
        <v>6.9097600000000057</v>
      </c>
      <c r="D69" s="88">
        <f t="shared" si="22"/>
        <v>0</v>
      </c>
      <c r="E69" s="88">
        <f t="shared" si="22"/>
        <v>24.61602000000002</v>
      </c>
      <c r="F69" s="88">
        <f t="shared" si="22"/>
        <v>0</v>
      </c>
      <c r="G69" s="88">
        <f t="shared" si="22"/>
        <v>6.9097600000000057</v>
      </c>
      <c r="H69" s="88">
        <f t="shared" si="22"/>
        <v>0</v>
      </c>
      <c r="I69" s="88">
        <f t="shared" si="22"/>
        <v>6.9097600000000057</v>
      </c>
      <c r="J69" s="88">
        <f>SUM(B69:I69)</f>
        <v>45.345300000000037</v>
      </c>
      <c r="K69" s="88"/>
      <c r="N69" s="73">
        <v>6</v>
      </c>
      <c r="O69" s="211">
        <v>359.27430000000004</v>
      </c>
      <c r="P69" s="211">
        <v>279.048</v>
      </c>
      <c r="Q69" s="211">
        <v>0</v>
      </c>
      <c r="R69" s="211">
        <v>0</v>
      </c>
      <c r="S69" s="211">
        <v>0</v>
      </c>
      <c r="T69" s="211">
        <v>0</v>
      </c>
      <c r="U69" s="211">
        <v>0</v>
      </c>
      <c r="V69" s="211">
        <v>90.690600000000003</v>
      </c>
      <c r="W69" s="211">
        <v>80.226300000000009</v>
      </c>
      <c r="X69" s="73"/>
      <c r="Y69" s="73"/>
      <c r="Z69" s="73"/>
      <c r="AA69" s="73"/>
    </row>
    <row r="70" spans="1:27" x14ac:dyDescent="0.2">
      <c r="A70" s="88">
        <v>2</v>
      </c>
      <c r="B70" s="88">
        <f t="shared" si="22"/>
        <v>0</v>
      </c>
      <c r="C70" s="88">
        <f t="shared" si="22"/>
        <v>-1.894880000000003</v>
      </c>
      <c r="D70" s="88">
        <f t="shared" si="22"/>
        <v>0</v>
      </c>
      <c r="E70" s="88">
        <f t="shared" si="22"/>
        <v>-6.75051000000001</v>
      </c>
      <c r="F70" s="88">
        <f t="shared" si="22"/>
        <v>0</v>
      </c>
      <c r="G70" s="88">
        <f t="shared" si="22"/>
        <v>-1.894880000000003</v>
      </c>
      <c r="H70" s="88">
        <f t="shared" si="22"/>
        <v>0</v>
      </c>
      <c r="I70" s="88">
        <f t="shared" si="22"/>
        <v>-1.894880000000003</v>
      </c>
      <c r="J70" s="88">
        <f t="shared" ref="J70:J80" si="23">SUM(B70:I70)</f>
        <v>-12.435150000000018</v>
      </c>
      <c r="K70" s="88"/>
      <c r="N70" s="73">
        <v>8</v>
      </c>
      <c r="O70" s="211">
        <v>381.36560000000003</v>
      </c>
      <c r="P70" s="211">
        <v>515.0761</v>
      </c>
      <c r="Q70" s="211">
        <v>433.68710000000004</v>
      </c>
      <c r="R70" s="211">
        <v>93.016000000000005</v>
      </c>
      <c r="S70" s="211">
        <v>29.067499999999999</v>
      </c>
      <c r="T70" s="211">
        <v>37.206400000000002</v>
      </c>
      <c r="U70" s="211">
        <v>37.206400000000002</v>
      </c>
      <c r="V70" s="211">
        <v>44.182600000000001</v>
      </c>
      <c r="W70" s="211">
        <v>422.06010000000003</v>
      </c>
      <c r="X70" s="73"/>
      <c r="Y70" s="73"/>
      <c r="Z70" s="73"/>
      <c r="AA70" s="73"/>
    </row>
    <row r="71" spans="1:27" x14ac:dyDescent="0.2">
      <c r="A71" s="88">
        <v>4</v>
      </c>
      <c r="B71" s="88">
        <f t="shared" si="22"/>
        <v>0</v>
      </c>
      <c r="C71" s="88">
        <f t="shared" si="22"/>
        <v>-10.699520000000012</v>
      </c>
      <c r="D71" s="88">
        <f t="shared" si="22"/>
        <v>0</v>
      </c>
      <c r="E71" s="88">
        <f t="shared" si="22"/>
        <v>-38.117040000000038</v>
      </c>
      <c r="F71" s="88">
        <f t="shared" si="22"/>
        <v>0</v>
      </c>
      <c r="G71" s="88">
        <f t="shared" si="22"/>
        <v>-10.699520000000012</v>
      </c>
      <c r="H71" s="88">
        <f t="shared" si="22"/>
        <v>0</v>
      </c>
      <c r="I71" s="88">
        <f t="shared" si="22"/>
        <v>-10.699520000000012</v>
      </c>
      <c r="J71" s="88">
        <f t="shared" si="23"/>
        <v>-70.21560000000008</v>
      </c>
      <c r="K71" s="88"/>
      <c r="N71" s="73">
        <v>10</v>
      </c>
      <c r="O71" s="211">
        <v>127.89700000000001</v>
      </c>
      <c r="P71" s="211">
        <v>316.25440000000003</v>
      </c>
      <c r="Q71" s="211">
        <v>474.38160000000005</v>
      </c>
      <c r="R71" s="211">
        <v>301.13929999999999</v>
      </c>
      <c r="S71" s="211">
        <v>44.182600000000001</v>
      </c>
      <c r="T71" s="211">
        <v>44.182600000000001</v>
      </c>
      <c r="U71" s="211">
        <v>44.182600000000001</v>
      </c>
      <c r="V71" s="211">
        <v>44.182600000000001</v>
      </c>
      <c r="W71" s="211">
        <v>674.36599999999999</v>
      </c>
      <c r="X71" s="73"/>
      <c r="Y71" s="73"/>
      <c r="Z71" s="73"/>
      <c r="AA71" s="73"/>
    </row>
    <row r="72" spans="1:27" x14ac:dyDescent="0.2">
      <c r="A72" s="88">
        <v>6</v>
      </c>
      <c r="B72" s="88">
        <f t="shared" si="22"/>
        <v>0</v>
      </c>
      <c r="C72" s="88">
        <f t="shared" si="22"/>
        <v>-16.64</v>
      </c>
      <c r="D72" s="88">
        <f t="shared" si="22"/>
        <v>0</v>
      </c>
      <c r="E72" s="88">
        <f t="shared" si="22"/>
        <v>-59.28</v>
      </c>
      <c r="F72" s="88">
        <f t="shared" si="22"/>
        <v>0</v>
      </c>
      <c r="G72" s="88">
        <f t="shared" si="22"/>
        <v>-16.64</v>
      </c>
      <c r="H72" s="88">
        <f t="shared" si="22"/>
        <v>0</v>
      </c>
      <c r="I72" s="88">
        <f t="shared" si="22"/>
        <v>-16.64</v>
      </c>
      <c r="J72" s="88">
        <f t="shared" si="23"/>
        <v>-109.2</v>
      </c>
      <c r="K72" s="88"/>
      <c r="N72" s="73">
        <v>12</v>
      </c>
      <c r="O72" s="211">
        <v>44.182600000000001</v>
      </c>
      <c r="P72" s="211">
        <v>44.182600000000001</v>
      </c>
      <c r="Q72" s="211">
        <v>249.98050000000001</v>
      </c>
      <c r="R72" s="211">
        <v>389.50450000000001</v>
      </c>
      <c r="S72" s="211">
        <v>249.98050000000001</v>
      </c>
      <c r="T72" s="211">
        <v>44.182600000000001</v>
      </c>
      <c r="U72" s="211">
        <v>44.182600000000001</v>
      </c>
      <c r="V72" s="211">
        <v>41.857200000000006</v>
      </c>
      <c r="W72" s="211">
        <v>773.19550000000004</v>
      </c>
      <c r="X72" s="73"/>
      <c r="Y72" s="73"/>
      <c r="Z72" s="73"/>
      <c r="AA72" s="73"/>
    </row>
    <row r="73" spans="1:27" x14ac:dyDescent="0.2">
      <c r="A73" s="88">
        <v>8</v>
      </c>
      <c r="B73" s="88">
        <f t="shared" si="22"/>
        <v>0</v>
      </c>
      <c r="C73" s="88">
        <f t="shared" si="22"/>
        <v>-4.8651199999999974</v>
      </c>
      <c r="D73" s="88">
        <f t="shared" si="22"/>
        <v>0</v>
      </c>
      <c r="E73" s="88">
        <f t="shared" si="22"/>
        <v>-17.33198999999999</v>
      </c>
      <c r="F73" s="88">
        <f t="shared" si="22"/>
        <v>0</v>
      </c>
      <c r="G73" s="88">
        <f t="shared" si="22"/>
        <v>-4.8651199999999974</v>
      </c>
      <c r="H73" s="88">
        <f t="shared" si="22"/>
        <v>0</v>
      </c>
      <c r="I73" s="88">
        <f t="shared" si="22"/>
        <v>-4.8651199999999974</v>
      </c>
      <c r="J73" s="88">
        <f t="shared" si="23"/>
        <v>-31.927349999999983</v>
      </c>
      <c r="K73" s="88"/>
      <c r="N73" s="73">
        <v>14</v>
      </c>
      <c r="O73" s="211">
        <v>44.182600000000001</v>
      </c>
      <c r="P73" s="211">
        <v>44.182600000000001</v>
      </c>
      <c r="Q73" s="211">
        <v>44.182600000000001</v>
      </c>
      <c r="R73" s="211">
        <v>301.13929999999999</v>
      </c>
      <c r="S73" s="211">
        <v>474.38160000000005</v>
      </c>
      <c r="T73" s="211">
        <v>316.25440000000003</v>
      </c>
      <c r="U73" s="211">
        <v>127.89700000000001</v>
      </c>
      <c r="V73" s="211">
        <v>44.182600000000001</v>
      </c>
      <c r="W73" s="211">
        <v>674.36599999999999</v>
      </c>
      <c r="X73" s="73"/>
      <c r="Y73" s="73"/>
      <c r="Z73" s="73"/>
      <c r="AA73" s="73"/>
    </row>
    <row r="74" spans="1:27" x14ac:dyDescent="0.2">
      <c r="A74" s="88">
        <v>10</v>
      </c>
      <c r="B74" s="88">
        <f t="shared" si="22"/>
        <v>0</v>
      </c>
      <c r="C74" s="88">
        <f t="shared" si="22"/>
        <v>45.204640000000012</v>
      </c>
      <c r="D74" s="88">
        <f t="shared" si="22"/>
        <v>0</v>
      </c>
      <c r="E74" s="88">
        <f t="shared" si="22"/>
        <v>161.04153000000002</v>
      </c>
      <c r="F74" s="88">
        <f t="shared" si="22"/>
        <v>0</v>
      </c>
      <c r="G74" s="88">
        <f t="shared" si="22"/>
        <v>45.204640000000012</v>
      </c>
      <c r="H74" s="88">
        <f t="shared" si="22"/>
        <v>0</v>
      </c>
      <c r="I74" s="88">
        <f t="shared" si="22"/>
        <v>45.204640000000012</v>
      </c>
      <c r="J74" s="88">
        <f t="shared" si="23"/>
        <v>296.65545000000009</v>
      </c>
      <c r="K74" s="88"/>
      <c r="N74" s="73">
        <v>16</v>
      </c>
      <c r="O74" s="211">
        <v>37.206400000000002</v>
      </c>
      <c r="P74" s="211">
        <v>37.206400000000002</v>
      </c>
      <c r="Q74" s="211">
        <v>29.067499999999999</v>
      </c>
      <c r="R74" s="211">
        <v>93.016000000000005</v>
      </c>
      <c r="S74" s="211">
        <v>433.68710000000004</v>
      </c>
      <c r="T74" s="211">
        <v>515.0761</v>
      </c>
      <c r="U74" s="211">
        <v>381.36560000000003</v>
      </c>
      <c r="V74" s="211">
        <v>44.182600000000001</v>
      </c>
      <c r="W74" s="211">
        <v>422.06010000000003</v>
      </c>
      <c r="X74" s="73"/>
      <c r="Y74" s="73"/>
      <c r="Z74" s="73"/>
      <c r="AA74" s="73"/>
    </row>
    <row r="75" spans="1:27" x14ac:dyDescent="0.2">
      <c r="A75" s="88">
        <v>12</v>
      </c>
      <c r="B75" s="88">
        <f t="shared" si="22"/>
        <v>0</v>
      </c>
      <c r="C75" s="88">
        <f t="shared" si="22"/>
        <v>74.694880000000012</v>
      </c>
      <c r="D75" s="88">
        <f t="shared" si="22"/>
        <v>0</v>
      </c>
      <c r="E75" s="88">
        <f t="shared" si="22"/>
        <v>266.10051000000004</v>
      </c>
      <c r="F75" s="88">
        <f t="shared" si="22"/>
        <v>0</v>
      </c>
      <c r="G75" s="88">
        <f t="shared" si="22"/>
        <v>74.694880000000012</v>
      </c>
      <c r="H75" s="88">
        <f t="shared" si="22"/>
        <v>0</v>
      </c>
      <c r="I75" s="88">
        <f t="shared" si="22"/>
        <v>74.694880000000012</v>
      </c>
      <c r="J75" s="88">
        <f t="shared" si="23"/>
        <v>490.18515000000008</v>
      </c>
      <c r="K75" s="88"/>
      <c r="N75" s="73">
        <v>18</v>
      </c>
      <c r="O75" s="211">
        <v>0</v>
      </c>
      <c r="P75" s="211">
        <v>0</v>
      </c>
      <c r="Q75" s="211">
        <v>0</v>
      </c>
      <c r="R75" s="211">
        <v>0</v>
      </c>
      <c r="S75" s="211">
        <v>0</v>
      </c>
      <c r="T75" s="211">
        <v>279.048</v>
      </c>
      <c r="U75" s="211">
        <v>359.27430000000004</v>
      </c>
      <c r="V75" s="211">
        <v>90.690600000000003</v>
      </c>
      <c r="W75" s="211">
        <v>80.226300000000009</v>
      </c>
      <c r="X75" s="73"/>
      <c r="Y75" s="73"/>
      <c r="Z75" s="73"/>
      <c r="AA75" s="73"/>
    </row>
    <row r="76" spans="1:27" x14ac:dyDescent="0.2">
      <c r="A76" s="88">
        <v>14</v>
      </c>
      <c r="B76" s="88">
        <f t="shared" si="22"/>
        <v>0</v>
      </c>
      <c r="C76" s="88">
        <f t="shared" si="22"/>
        <v>89.44</v>
      </c>
      <c r="D76" s="88">
        <f t="shared" si="22"/>
        <v>0</v>
      </c>
      <c r="E76" s="88">
        <f t="shared" si="22"/>
        <v>318.63</v>
      </c>
      <c r="F76" s="88">
        <f t="shared" si="22"/>
        <v>0</v>
      </c>
      <c r="G76" s="88">
        <f t="shared" si="22"/>
        <v>89.44</v>
      </c>
      <c r="H76" s="88">
        <f t="shared" si="22"/>
        <v>0</v>
      </c>
      <c r="I76" s="88">
        <f t="shared" si="22"/>
        <v>89.44</v>
      </c>
      <c r="J76" s="88">
        <f t="shared" si="23"/>
        <v>586.95000000000005</v>
      </c>
      <c r="K76" s="88"/>
      <c r="N76" s="73">
        <v>20</v>
      </c>
      <c r="O76" s="211">
        <v>0</v>
      </c>
      <c r="P76" s="211">
        <v>0</v>
      </c>
      <c r="Q76" s="211">
        <v>0</v>
      </c>
      <c r="R76" s="211">
        <v>0</v>
      </c>
      <c r="S76" s="211">
        <v>0</v>
      </c>
      <c r="T76" s="211">
        <v>0</v>
      </c>
      <c r="U76" s="211">
        <v>0</v>
      </c>
      <c r="V76" s="211">
        <v>0</v>
      </c>
      <c r="W76" s="211">
        <v>0</v>
      </c>
      <c r="X76" s="73"/>
      <c r="Y76" s="73"/>
      <c r="Z76" s="73"/>
      <c r="AA76" s="73"/>
    </row>
    <row r="77" spans="1:27" x14ac:dyDescent="0.2">
      <c r="A77" s="88">
        <v>16</v>
      </c>
      <c r="B77" s="88">
        <f t="shared" si="22"/>
        <v>0</v>
      </c>
      <c r="C77" s="88">
        <f t="shared" si="22"/>
        <v>80.635359999999991</v>
      </c>
      <c r="D77" s="88">
        <f t="shared" si="22"/>
        <v>0</v>
      </c>
      <c r="E77" s="88">
        <f t="shared" si="22"/>
        <v>287.26346999999998</v>
      </c>
      <c r="F77" s="88">
        <f t="shared" si="22"/>
        <v>0</v>
      </c>
      <c r="G77" s="88">
        <f t="shared" si="22"/>
        <v>80.635359999999991</v>
      </c>
      <c r="H77" s="88">
        <f t="shared" si="22"/>
        <v>0</v>
      </c>
      <c r="I77" s="88">
        <f t="shared" si="22"/>
        <v>80.635359999999991</v>
      </c>
      <c r="J77" s="88">
        <f t="shared" si="23"/>
        <v>529.16954999999996</v>
      </c>
      <c r="K77" s="88"/>
      <c r="N77" s="73">
        <v>22</v>
      </c>
      <c r="O77" s="211">
        <v>0</v>
      </c>
      <c r="P77" s="211">
        <v>0</v>
      </c>
      <c r="Q77" s="211">
        <v>0</v>
      </c>
      <c r="R77" s="211">
        <v>0</v>
      </c>
      <c r="S77" s="211">
        <v>0</v>
      </c>
      <c r="T77" s="211">
        <v>0</v>
      </c>
      <c r="U77" s="211">
        <v>0</v>
      </c>
      <c r="V77" s="211">
        <v>0</v>
      </c>
      <c r="W77" s="211">
        <v>0</v>
      </c>
      <c r="X77" s="73"/>
      <c r="Y77" s="73"/>
      <c r="Z77" s="73"/>
      <c r="AA77" s="73"/>
    </row>
    <row r="78" spans="1:27" x14ac:dyDescent="0.2">
      <c r="A78" s="88">
        <v>18</v>
      </c>
      <c r="B78" s="88">
        <f t="shared" si="22"/>
        <v>0</v>
      </c>
      <c r="C78" s="88">
        <f t="shared" si="22"/>
        <v>56.979520000000015</v>
      </c>
      <c r="D78" s="88">
        <f t="shared" si="22"/>
        <v>0</v>
      </c>
      <c r="E78" s="88">
        <f t="shared" si="22"/>
        <v>202.98954000000003</v>
      </c>
      <c r="F78" s="88">
        <f t="shared" si="22"/>
        <v>0</v>
      </c>
      <c r="G78" s="88">
        <f t="shared" si="22"/>
        <v>56.979520000000015</v>
      </c>
      <c r="H78" s="88">
        <f t="shared" si="22"/>
        <v>0</v>
      </c>
      <c r="I78" s="88">
        <f t="shared" si="22"/>
        <v>56.979520000000015</v>
      </c>
      <c r="J78" s="88">
        <f t="shared" si="23"/>
        <v>373.92810000000014</v>
      </c>
      <c r="K78" s="88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</row>
    <row r="79" spans="1:27" x14ac:dyDescent="0.2">
      <c r="A79" s="88">
        <v>20</v>
      </c>
      <c r="B79" s="88">
        <f t="shared" si="22"/>
        <v>0</v>
      </c>
      <c r="C79" s="88">
        <f t="shared" si="22"/>
        <v>30.459520000000012</v>
      </c>
      <c r="D79" s="88">
        <f t="shared" si="22"/>
        <v>0</v>
      </c>
      <c r="E79" s="88">
        <f t="shared" si="22"/>
        <v>108.51204000000004</v>
      </c>
      <c r="F79" s="88">
        <f t="shared" si="22"/>
        <v>0</v>
      </c>
      <c r="G79" s="88">
        <f t="shared" si="22"/>
        <v>30.459520000000012</v>
      </c>
      <c r="H79" s="88">
        <f t="shared" si="22"/>
        <v>0</v>
      </c>
      <c r="I79" s="88">
        <f t="shared" si="22"/>
        <v>30.459520000000012</v>
      </c>
      <c r="J79" s="88">
        <f t="shared" si="23"/>
        <v>199.89060000000006</v>
      </c>
      <c r="K79" s="88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</row>
    <row r="80" spans="1:27" x14ac:dyDescent="0.2">
      <c r="A80" s="88">
        <v>22</v>
      </c>
      <c r="B80" s="88">
        <f t="shared" si="22"/>
        <v>0</v>
      </c>
      <c r="C80" s="88">
        <f t="shared" si="22"/>
        <v>16.138720000000003</v>
      </c>
      <c r="D80" s="88">
        <f t="shared" si="22"/>
        <v>0</v>
      </c>
      <c r="E80" s="88">
        <f t="shared" si="22"/>
        <v>57.494190000000003</v>
      </c>
      <c r="F80" s="88">
        <f t="shared" si="22"/>
        <v>0</v>
      </c>
      <c r="G80" s="88">
        <f t="shared" si="22"/>
        <v>16.138720000000003</v>
      </c>
      <c r="H80" s="88">
        <f t="shared" si="22"/>
        <v>0</v>
      </c>
      <c r="I80" s="88">
        <f t="shared" si="22"/>
        <v>16.138720000000003</v>
      </c>
      <c r="J80" s="88">
        <f t="shared" si="23"/>
        <v>105.91035000000002</v>
      </c>
      <c r="K80" s="88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</row>
    <row r="81" spans="1:31" x14ac:dyDescent="0.2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</row>
    <row r="82" spans="1:31" x14ac:dyDescent="0.2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</row>
    <row r="83" spans="1:31" x14ac:dyDescent="0.2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</row>
    <row r="84" spans="1:31" x14ac:dyDescent="0.2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</row>
    <row r="85" spans="1:31" x14ac:dyDescent="0.2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</row>
    <row r="86" spans="1:31" x14ac:dyDescent="0.2">
      <c r="A86" s="87" t="s">
        <v>218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</row>
    <row r="87" spans="1:31" x14ac:dyDescent="0.2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</row>
    <row r="88" spans="1:31" x14ac:dyDescent="0.2">
      <c r="A88" s="88" t="s">
        <v>184</v>
      </c>
      <c r="B88" s="117" t="s">
        <v>189</v>
      </c>
      <c r="C88" s="117" t="s">
        <v>190</v>
      </c>
      <c r="D88" s="117" t="s">
        <v>191</v>
      </c>
      <c r="E88" s="117" t="s">
        <v>192</v>
      </c>
      <c r="F88" s="117" t="s">
        <v>193</v>
      </c>
      <c r="G88" s="117" t="s">
        <v>194</v>
      </c>
      <c r="H88" s="117" t="s">
        <v>195</v>
      </c>
      <c r="I88" s="117" t="s">
        <v>196</v>
      </c>
      <c r="J88" s="88"/>
      <c r="K88" s="88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</row>
    <row r="89" spans="1:31" x14ac:dyDescent="0.2">
      <c r="A89" s="88" t="s">
        <v>182</v>
      </c>
      <c r="B89" s="117">
        <f>+B62</f>
        <v>0</v>
      </c>
      <c r="C89" s="117">
        <f>+C62</f>
        <v>2.08</v>
      </c>
      <c r="D89" s="117">
        <f t="shared" ref="D89:I89" si="24">+D62</f>
        <v>0</v>
      </c>
      <c r="E89" s="117">
        <f t="shared" si="24"/>
        <v>7.41</v>
      </c>
      <c r="F89" s="117">
        <f t="shared" si="24"/>
        <v>0</v>
      </c>
      <c r="G89" s="117">
        <f t="shared" si="24"/>
        <v>2.08</v>
      </c>
      <c r="H89" s="117">
        <f t="shared" si="24"/>
        <v>0</v>
      </c>
      <c r="I89" s="117">
        <f t="shared" si="24"/>
        <v>2.08</v>
      </c>
      <c r="J89" s="88"/>
      <c r="K89" s="88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</row>
    <row r="90" spans="1:31" x14ac:dyDescent="0.2">
      <c r="A90" s="88"/>
      <c r="B90" s="117"/>
      <c r="C90" s="117"/>
      <c r="D90" s="117"/>
      <c r="E90" s="117"/>
      <c r="F90" s="117"/>
      <c r="G90" s="117"/>
      <c r="H90" s="117"/>
      <c r="I90" s="117"/>
      <c r="J90" s="88"/>
      <c r="K90" s="88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</row>
    <row r="91" spans="1:31" x14ac:dyDescent="0.2">
      <c r="A91" s="87" t="s">
        <v>464</v>
      </c>
      <c r="B91" s="117"/>
      <c r="C91" s="117"/>
      <c r="D91" s="117"/>
      <c r="E91" s="117"/>
      <c r="F91" s="117"/>
      <c r="G91" s="117"/>
      <c r="H91" s="117"/>
      <c r="I91" s="117"/>
      <c r="J91" s="88"/>
      <c r="K91" s="88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</row>
    <row r="92" spans="1:31" x14ac:dyDescent="0.2">
      <c r="A92" s="88"/>
      <c r="B92" s="339">
        <v>0.5</v>
      </c>
      <c r="C92" s="339">
        <v>0.2</v>
      </c>
      <c r="D92" s="339">
        <v>0.5</v>
      </c>
      <c r="E92" s="339">
        <v>0.2</v>
      </c>
      <c r="F92" s="339">
        <v>0.5</v>
      </c>
      <c r="G92" s="339">
        <v>0.2</v>
      </c>
      <c r="H92" s="339">
        <v>0.5</v>
      </c>
      <c r="I92" s="339">
        <v>0.2</v>
      </c>
      <c r="J92" s="88"/>
      <c r="K92" s="88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C92" s="80"/>
      <c r="AD92" s="73"/>
      <c r="AE92" s="73"/>
    </row>
    <row r="93" spans="1:31" x14ac:dyDescent="0.2">
      <c r="A93" s="88"/>
      <c r="B93" s="117"/>
      <c r="C93" s="117"/>
      <c r="D93" s="117"/>
      <c r="E93" s="117"/>
      <c r="F93" s="117"/>
      <c r="G93" s="117"/>
      <c r="H93" s="117"/>
      <c r="I93" s="117"/>
      <c r="J93" s="88"/>
      <c r="K93" s="88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C93" s="73"/>
      <c r="AD93" s="73"/>
      <c r="AE93" s="73"/>
    </row>
    <row r="94" spans="1:31" x14ac:dyDescent="0.2">
      <c r="A94" s="88" t="s">
        <v>184</v>
      </c>
      <c r="B94" s="117" t="s">
        <v>189</v>
      </c>
      <c r="C94" s="117" t="s">
        <v>190</v>
      </c>
      <c r="D94" s="117" t="s">
        <v>191</v>
      </c>
      <c r="E94" s="117" t="s">
        <v>192</v>
      </c>
      <c r="F94" s="117" t="s">
        <v>193</v>
      </c>
      <c r="G94" s="117" t="s">
        <v>194</v>
      </c>
      <c r="H94" s="117" t="s">
        <v>195</v>
      </c>
      <c r="I94" s="117" t="s">
        <v>196</v>
      </c>
      <c r="J94" s="88" t="s">
        <v>0</v>
      </c>
      <c r="K94" s="88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C94" s="73"/>
      <c r="AD94" s="207"/>
    </row>
    <row r="95" spans="1:31" x14ac:dyDescent="0.2">
      <c r="A95" s="88" t="s">
        <v>188</v>
      </c>
      <c r="B95" s="88"/>
      <c r="C95" s="88"/>
      <c r="D95" s="88"/>
      <c r="E95" s="88"/>
      <c r="F95" s="88"/>
      <c r="G95" s="88"/>
      <c r="H95" s="88"/>
      <c r="I95" s="88"/>
      <c r="J95" s="88"/>
      <c r="K95" s="88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C95" s="73"/>
      <c r="AD95" s="207"/>
    </row>
    <row r="96" spans="1:31" x14ac:dyDescent="0.2">
      <c r="A96" s="88">
        <v>0</v>
      </c>
      <c r="B96" s="90">
        <f t="shared" ref="B96:B107" si="25">+B$89*B$92*O66</f>
        <v>0</v>
      </c>
      <c r="C96" s="90">
        <f t="shared" ref="C96:C107" si="26">+C$89*C$92*P66</f>
        <v>0</v>
      </c>
      <c r="D96" s="90">
        <f t="shared" ref="D96:D107" si="27">+D$89*D$92*Q66</f>
        <v>0</v>
      </c>
      <c r="E96" s="90">
        <f t="shared" ref="E96:E107" si="28">+E$89*E$92*R66</f>
        <v>0</v>
      </c>
      <c r="F96" s="90">
        <f t="shared" ref="F96:F107" si="29">+F$89*F$92*S66</f>
        <v>0</v>
      </c>
      <c r="G96" s="90">
        <f t="shared" ref="G96:G107" si="30">+G$89*G$92*T66</f>
        <v>0</v>
      </c>
      <c r="H96" s="90">
        <f t="shared" ref="H96:H107" si="31">+H$89*H$92*U66</f>
        <v>0</v>
      </c>
      <c r="I96" s="90">
        <f t="shared" ref="I96:I107" si="32">+I$89*I$92*V66</f>
        <v>0</v>
      </c>
      <c r="J96" s="90">
        <f>SUM(B96:I96)</f>
        <v>0</v>
      </c>
      <c r="K96" s="88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C96" s="73"/>
      <c r="AD96" s="207"/>
    </row>
    <row r="97" spans="1:30" x14ac:dyDescent="0.2">
      <c r="A97" s="88">
        <v>2</v>
      </c>
      <c r="B97" s="90">
        <f t="shared" si="25"/>
        <v>0</v>
      </c>
      <c r="C97" s="90">
        <f t="shared" si="26"/>
        <v>0</v>
      </c>
      <c r="D97" s="90">
        <f t="shared" si="27"/>
        <v>0</v>
      </c>
      <c r="E97" s="90">
        <f t="shared" si="28"/>
        <v>0</v>
      </c>
      <c r="F97" s="90">
        <f t="shared" si="29"/>
        <v>0</v>
      </c>
      <c r="G97" s="90">
        <f t="shared" si="30"/>
        <v>0</v>
      </c>
      <c r="H97" s="90">
        <f t="shared" si="31"/>
        <v>0</v>
      </c>
      <c r="I97" s="90">
        <f t="shared" si="32"/>
        <v>0</v>
      </c>
      <c r="J97" s="90">
        <f t="shared" ref="J97:J107" si="33">SUM(B97:I97)</f>
        <v>0</v>
      </c>
      <c r="K97" s="88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C97" s="73"/>
      <c r="AD97" s="207"/>
    </row>
    <row r="98" spans="1:30" x14ac:dyDescent="0.2">
      <c r="A98" s="88">
        <v>4</v>
      </c>
      <c r="B98" s="90">
        <f t="shared" si="25"/>
        <v>0</v>
      </c>
      <c r="C98" s="90">
        <f t="shared" si="26"/>
        <v>0</v>
      </c>
      <c r="D98" s="90">
        <f t="shared" si="27"/>
        <v>0</v>
      </c>
      <c r="E98" s="90">
        <f t="shared" si="28"/>
        <v>0</v>
      </c>
      <c r="F98" s="90">
        <f t="shared" si="29"/>
        <v>0</v>
      </c>
      <c r="G98" s="90">
        <f t="shared" si="30"/>
        <v>0</v>
      </c>
      <c r="H98" s="90">
        <f t="shared" si="31"/>
        <v>0</v>
      </c>
      <c r="I98" s="90">
        <f t="shared" si="32"/>
        <v>0</v>
      </c>
      <c r="J98" s="90">
        <f t="shared" si="33"/>
        <v>0</v>
      </c>
      <c r="K98" s="88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C98" s="73"/>
      <c r="AD98" s="207"/>
    </row>
    <row r="99" spans="1:30" x14ac:dyDescent="0.2">
      <c r="A99" s="88">
        <v>6</v>
      </c>
      <c r="B99" s="90">
        <f t="shared" si="25"/>
        <v>0</v>
      </c>
      <c r="C99" s="90">
        <f t="shared" si="26"/>
        <v>116.08396800000001</v>
      </c>
      <c r="D99" s="90">
        <f t="shared" si="27"/>
        <v>0</v>
      </c>
      <c r="E99" s="90">
        <f t="shared" si="28"/>
        <v>0</v>
      </c>
      <c r="F99" s="90">
        <f t="shared" si="29"/>
        <v>0</v>
      </c>
      <c r="G99" s="90">
        <f t="shared" si="30"/>
        <v>0</v>
      </c>
      <c r="H99" s="90">
        <f t="shared" si="31"/>
        <v>0</v>
      </c>
      <c r="I99" s="90">
        <f t="shared" si="32"/>
        <v>37.727289600000006</v>
      </c>
      <c r="J99" s="90">
        <f t="shared" si="33"/>
        <v>153.81125760000003</v>
      </c>
      <c r="K99" s="88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C99" s="73"/>
      <c r="AD99" s="207"/>
    </row>
    <row r="100" spans="1:30" x14ac:dyDescent="0.2">
      <c r="A100" s="88">
        <v>8</v>
      </c>
      <c r="B100" s="90">
        <f t="shared" si="25"/>
        <v>0</v>
      </c>
      <c r="C100" s="90">
        <f t="shared" si="26"/>
        <v>214.27165760000003</v>
      </c>
      <c r="D100" s="90">
        <f t="shared" si="27"/>
        <v>0</v>
      </c>
      <c r="E100" s="90">
        <f t="shared" si="28"/>
        <v>137.84971200000004</v>
      </c>
      <c r="F100" s="90">
        <f t="shared" si="29"/>
        <v>0</v>
      </c>
      <c r="G100" s="90">
        <f t="shared" si="30"/>
        <v>15.477862400000003</v>
      </c>
      <c r="H100" s="90">
        <f t="shared" si="31"/>
        <v>0</v>
      </c>
      <c r="I100" s="90">
        <f t="shared" si="32"/>
        <v>18.379961600000001</v>
      </c>
      <c r="J100" s="90">
        <f t="shared" si="33"/>
        <v>385.97919360000009</v>
      </c>
      <c r="K100" s="88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C100" s="73"/>
      <c r="AD100" s="207"/>
    </row>
    <row r="101" spans="1:30" x14ac:dyDescent="0.2">
      <c r="A101" s="88">
        <v>10</v>
      </c>
      <c r="B101" s="90">
        <f t="shared" si="25"/>
        <v>0</v>
      </c>
      <c r="C101" s="90">
        <f t="shared" si="26"/>
        <v>131.56183040000002</v>
      </c>
      <c r="D101" s="90">
        <f t="shared" si="27"/>
        <v>0</v>
      </c>
      <c r="E101" s="90">
        <f t="shared" si="28"/>
        <v>446.28844260000005</v>
      </c>
      <c r="F101" s="90">
        <f t="shared" si="29"/>
        <v>0</v>
      </c>
      <c r="G101" s="90">
        <f t="shared" si="30"/>
        <v>18.379961600000001</v>
      </c>
      <c r="H101" s="90">
        <f t="shared" si="31"/>
        <v>0</v>
      </c>
      <c r="I101" s="90">
        <f t="shared" si="32"/>
        <v>18.379961600000001</v>
      </c>
      <c r="J101" s="90">
        <f t="shared" si="33"/>
        <v>614.61019620000002</v>
      </c>
      <c r="K101" s="88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C101" s="73"/>
      <c r="AD101" s="207"/>
    </row>
    <row r="102" spans="1:30" x14ac:dyDescent="0.2">
      <c r="A102" s="88">
        <v>12</v>
      </c>
      <c r="B102" s="90">
        <f t="shared" si="25"/>
        <v>0</v>
      </c>
      <c r="C102" s="90">
        <f t="shared" si="26"/>
        <v>18.379961600000001</v>
      </c>
      <c r="D102" s="90">
        <f t="shared" si="27"/>
        <v>0</v>
      </c>
      <c r="E102" s="90">
        <f t="shared" si="28"/>
        <v>577.24566900000013</v>
      </c>
      <c r="F102" s="90">
        <f t="shared" si="29"/>
        <v>0</v>
      </c>
      <c r="G102" s="90">
        <f t="shared" si="30"/>
        <v>18.379961600000001</v>
      </c>
      <c r="H102" s="90">
        <f t="shared" si="31"/>
        <v>0</v>
      </c>
      <c r="I102" s="90">
        <f t="shared" si="32"/>
        <v>17.412595200000005</v>
      </c>
      <c r="J102" s="90">
        <f t="shared" si="33"/>
        <v>631.41818740000019</v>
      </c>
      <c r="K102" s="88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</row>
    <row r="103" spans="1:30" x14ac:dyDescent="0.2">
      <c r="A103" s="88">
        <v>14</v>
      </c>
      <c r="B103" s="90">
        <f t="shared" si="25"/>
        <v>0</v>
      </c>
      <c r="C103" s="90">
        <f t="shared" si="26"/>
        <v>18.379961600000001</v>
      </c>
      <c r="D103" s="90">
        <f t="shared" si="27"/>
        <v>0</v>
      </c>
      <c r="E103" s="90">
        <f t="shared" si="28"/>
        <v>446.28844260000005</v>
      </c>
      <c r="F103" s="90">
        <f t="shared" si="29"/>
        <v>0</v>
      </c>
      <c r="G103" s="90">
        <f t="shared" si="30"/>
        <v>131.56183040000002</v>
      </c>
      <c r="H103" s="90">
        <f t="shared" si="31"/>
        <v>0</v>
      </c>
      <c r="I103" s="90">
        <f t="shared" si="32"/>
        <v>18.379961600000001</v>
      </c>
      <c r="J103" s="90">
        <f t="shared" si="33"/>
        <v>614.61019620000013</v>
      </c>
      <c r="K103" s="88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C103" s="275"/>
    </row>
    <row r="104" spans="1:30" x14ac:dyDescent="0.2">
      <c r="A104" s="88">
        <v>16</v>
      </c>
      <c r="B104" s="90">
        <f t="shared" si="25"/>
        <v>0</v>
      </c>
      <c r="C104" s="90">
        <f t="shared" si="26"/>
        <v>15.477862400000003</v>
      </c>
      <c r="D104" s="90">
        <f t="shared" si="27"/>
        <v>0</v>
      </c>
      <c r="E104" s="90">
        <f t="shared" si="28"/>
        <v>137.84971200000004</v>
      </c>
      <c r="F104" s="90">
        <f t="shared" si="29"/>
        <v>0</v>
      </c>
      <c r="G104" s="90">
        <f t="shared" si="30"/>
        <v>214.27165760000003</v>
      </c>
      <c r="H104" s="90">
        <f t="shared" si="31"/>
        <v>0</v>
      </c>
      <c r="I104" s="90">
        <f t="shared" si="32"/>
        <v>18.379961600000001</v>
      </c>
      <c r="J104" s="90">
        <f t="shared" si="33"/>
        <v>385.97919360000003</v>
      </c>
      <c r="K104" s="88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C104" s="73"/>
    </row>
    <row r="105" spans="1:30" x14ac:dyDescent="0.2">
      <c r="A105" s="88">
        <v>18</v>
      </c>
      <c r="B105" s="90">
        <f t="shared" si="25"/>
        <v>0</v>
      </c>
      <c r="C105" s="90">
        <f t="shared" si="26"/>
        <v>0</v>
      </c>
      <c r="D105" s="90">
        <f t="shared" si="27"/>
        <v>0</v>
      </c>
      <c r="E105" s="90">
        <f t="shared" si="28"/>
        <v>0</v>
      </c>
      <c r="F105" s="90">
        <f t="shared" si="29"/>
        <v>0</v>
      </c>
      <c r="G105" s="90">
        <f t="shared" si="30"/>
        <v>116.08396800000001</v>
      </c>
      <c r="H105" s="90">
        <f t="shared" si="31"/>
        <v>0</v>
      </c>
      <c r="I105" s="90">
        <f t="shared" si="32"/>
        <v>37.727289600000006</v>
      </c>
      <c r="J105" s="90">
        <f t="shared" si="33"/>
        <v>153.81125760000003</v>
      </c>
      <c r="K105" s="88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C105" s="275"/>
    </row>
    <row r="106" spans="1:30" x14ac:dyDescent="0.2">
      <c r="A106" s="88">
        <v>20</v>
      </c>
      <c r="B106" s="90">
        <f t="shared" si="25"/>
        <v>0</v>
      </c>
      <c r="C106" s="90">
        <f t="shared" si="26"/>
        <v>0</v>
      </c>
      <c r="D106" s="90">
        <f t="shared" si="27"/>
        <v>0</v>
      </c>
      <c r="E106" s="90">
        <f t="shared" si="28"/>
        <v>0</v>
      </c>
      <c r="F106" s="90">
        <f t="shared" si="29"/>
        <v>0</v>
      </c>
      <c r="G106" s="90">
        <f t="shared" si="30"/>
        <v>0</v>
      </c>
      <c r="H106" s="90">
        <f t="shared" si="31"/>
        <v>0</v>
      </c>
      <c r="I106" s="90">
        <f t="shared" si="32"/>
        <v>0</v>
      </c>
      <c r="J106" s="90">
        <f t="shared" si="33"/>
        <v>0</v>
      </c>
      <c r="K106" s="88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</row>
    <row r="107" spans="1:30" x14ac:dyDescent="0.2">
      <c r="A107" s="88">
        <v>22</v>
      </c>
      <c r="B107" s="90">
        <f t="shared" si="25"/>
        <v>0</v>
      </c>
      <c r="C107" s="90">
        <f t="shared" si="26"/>
        <v>0</v>
      </c>
      <c r="D107" s="90">
        <f t="shared" si="27"/>
        <v>0</v>
      </c>
      <c r="E107" s="90">
        <f t="shared" si="28"/>
        <v>0</v>
      </c>
      <c r="F107" s="90">
        <f t="shared" si="29"/>
        <v>0</v>
      </c>
      <c r="G107" s="90">
        <f t="shared" si="30"/>
        <v>0</v>
      </c>
      <c r="H107" s="90">
        <f t="shared" si="31"/>
        <v>0</v>
      </c>
      <c r="I107" s="90">
        <f t="shared" si="32"/>
        <v>0</v>
      </c>
      <c r="J107" s="90">
        <f t="shared" si="33"/>
        <v>0</v>
      </c>
      <c r="K107" s="88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</row>
    <row r="108" spans="1:30" x14ac:dyDescent="0.2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</row>
    <row r="109" spans="1:30" x14ac:dyDescent="0.2">
      <c r="A109" s="88"/>
      <c r="B109" s="88"/>
      <c r="C109" s="88"/>
      <c r="D109" s="88"/>
      <c r="E109" s="88"/>
      <c r="F109" s="88"/>
      <c r="G109" s="88"/>
      <c r="H109" s="88" t="s">
        <v>501</v>
      </c>
      <c r="I109" s="88"/>
      <c r="J109" s="90">
        <f>SUM(J96:J107)</f>
        <v>2940.2194822000006</v>
      </c>
      <c r="K109" s="88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</row>
    <row r="110" spans="1:30" x14ac:dyDescent="0.2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</row>
    <row r="111" spans="1:30" x14ac:dyDescent="0.2">
      <c r="A111" s="88" t="s">
        <v>186</v>
      </c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</row>
    <row r="112" spans="1:30" x14ac:dyDescent="0.2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</row>
    <row r="113" spans="1:27" ht="14.25" x14ac:dyDescent="0.2">
      <c r="A113" s="88" t="s">
        <v>199</v>
      </c>
      <c r="B113" s="88"/>
      <c r="C113" s="88"/>
      <c r="D113" s="88">
        <f>+superficies!D22</f>
        <v>261.89999999999998</v>
      </c>
      <c r="E113" s="88" t="s">
        <v>123</v>
      </c>
      <c r="F113" s="88"/>
      <c r="G113" s="88"/>
      <c r="H113" s="88"/>
      <c r="I113" s="88"/>
      <c r="J113" s="88"/>
      <c r="K113" s="88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</row>
    <row r="114" spans="1:27" x14ac:dyDescent="0.2">
      <c r="A114" s="88" t="s">
        <v>212</v>
      </c>
      <c r="B114" s="88"/>
      <c r="C114" s="88"/>
      <c r="D114" s="88">
        <f>+'Balance calefacción'!C19</f>
        <v>0.93669999999999998</v>
      </c>
      <c r="E114" s="88"/>
      <c r="F114" s="88"/>
      <c r="G114" s="88"/>
      <c r="H114" s="88"/>
      <c r="I114" s="88"/>
      <c r="J114" s="88"/>
      <c r="K114" s="88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</row>
    <row r="115" spans="1:27" x14ac:dyDescent="0.2">
      <c r="A115" s="88" t="s">
        <v>219</v>
      </c>
      <c r="B115" s="88"/>
      <c r="C115" s="88"/>
      <c r="D115" s="88">
        <f>+G275</f>
        <v>23</v>
      </c>
      <c r="E115" s="88" t="s">
        <v>99</v>
      </c>
      <c r="F115" s="88"/>
      <c r="G115" s="88"/>
      <c r="H115" s="88"/>
      <c r="I115" s="88"/>
      <c r="J115" s="88"/>
      <c r="K115" s="88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</row>
    <row r="116" spans="1:27" x14ac:dyDescent="0.2">
      <c r="A116" s="88" t="s">
        <v>2</v>
      </c>
      <c r="B116" s="88"/>
      <c r="C116" s="88"/>
      <c r="D116" s="88" t="s">
        <v>2</v>
      </c>
      <c r="E116" s="88"/>
      <c r="F116" s="88"/>
      <c r="G116" s="88"/>
      <c r="H116" s="88"/>
      <c r="I116" s="88"/>
      <c r="J116" s="88"/>
      <c r="K116" s="88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</row>
    <row r="117" spans="1:27" x14ac:dyDescent="0.2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</row>
    <row r="118" spans="1:27" x14ac:dyDescent="0.2">
      <c r="A118" s="88" t="s">
        <v>220</v>
      </c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</row>
    <row r="119" spans="1:27" ht="15" customHeight="1" x14ac:dyDescent="0.2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</row>
    <row r="120" spans="1:27" x14ac:dyDescent="0.2">
      <c r="A120" s="88" t="s">
        <v>221</v>
      </c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</row>
    <row r="121" spans="1:27" x14ac:dyDescent="0.2">
      <c r="A121" s="88" t="s">
        <v>188</v>
      </c>
      <c r="B121" s="88" t="s">
        <v>211</v>
      </c>
      <c r="C121" s="88" t="s">
        <v>2</v>
      </c>
      <c r="D121" s="88"/>
      <c r="E121" s="88"/>
      <c r="F121" s="88"/>
      <c r="G121" s="88"/>
      <c r="H121" s="88"/>
      <c r="I121" s="88"/>
      <c r="J121" s="88"/>
      <c r="K121" s="88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</row>
    <row r="122" spans="1:27" x14ac:dyDescent="0.2">
      <c r="A122" s="88">
        <v>0</v>
      </c>
      <c r="B122" s="88">
        <f>+'Balance calefacción'!D20</f>
        <v>0.5</v>
      </c>
      <c r="C122" s="88">
        <f t="shared" ref="C122:C133" si="34">0.35*$D$113*$D$114*(AA12-$G$275)*B122</f>
        <v>35.654446933875022</v>
      </c>
      <c r="D122" s="88"/>
      <c r="E122" s="88"/>
      <c r="F122" s="88"/>
      <c r="G122" s="88"/>
      <c r="H122" s="88"/>
      <c r="I122" s="88"/>
      <c r="J122" s="88"/>
      <c r="K122" s="88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</row>
    <row r="123" spans="1:27" x14ac:dyDescent="0.2">
      <c r="A123" s="88">
        <v>2</v>
      </c>
      <c r="B123" s="88">
        <f>+B122</f>
        <v>0.5</v>
      </c>
      <c r="C123" s="88">
        <f t="shared" si="34"/>
        <v>-9.7776042013125135</v>
      </c>
      <c r="D123" s="88"/>
      <c r="E123" s="88"/>
      <c r="F123" s="88"/>
      <c r="G123" s="88"/>
      <c r="H123" s="88"/>
      <c r="I123" s="88"/>
      <c r="J123" s="88"/>
      <c r="K123" s="88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</row>
    <row r="124" spans="1:27" x14ac:dyDescent="0.2">
      <c r="A124" s="88">
        <v>4</v>
      </c>
      <c r="B124" s="88">
        <f t="shared" ref="B124:B133" si="35">+B123</f>
        <v>0.5</v>
      </c>
      <c r="C124" s="88">
        <f t="shared" si="34"/>
        <v>-55.209655336500049</v>
      </c>
      <c r="D124" s="88"/>
      <c r="E124" s="88"/>
      <c r="F124" s="88"/>
      <c r="G124" s="88"/>
      <c r="H124" s="88"/>
      <c r="I124" s="88"/>
      <c r="J124" s="88"/>
      <c r="K124" s="88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</row>
    <row r="125" spans="1:27" x14ac:dyDescent="0.2">
      <c r="A125" s="88">
        <v>6</v>
      </c>
      <c r="B125" s="88">
        <f t="shared" si="35"/>
        <v>0.5</v>
      </c>
      <c r="C125" s="88">
        <f t="shared" si="34"/>
        <v>-85.862605499999987</v>
      </c>
      <c r="D125" s="88"/>
      <c r="E125" s="88"/>
      <c r="F125" s="88"/>
      <c r="G125" s="88"/>
      <c r="H125" s="88"/>
      <c r="I125" s="88"/>
      <c r="J125" s="88"/>
      <c r="K125" s="88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</row>
    <row r="126" spans="1:27" x14ac:dyDescent="0.2">
      <c r="A126" s="88">
        <v>8</v>
      </c>
      <c r="B126" s="88">
        <f t="shared" si="35"/>
        <v>0.5</v>
      </c>
      <c r="C126" s="88">
        <f t="shared" si="34"/>
        <v>-25.104079283062482</v>
      </c>
      <c r="D126" s="88"/>
      <c r="E126" s="88"/>
      <c r="F126" s="88"/>
      <c r="G126" s="88"/>
      <c r="H126" s="88"/>
      <c r="I126" s="88"/>
      <c r="J126" s="88"/>
      <c r="K126" s="88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</row>
    <row r="127" spans="1:27" x14ac:dyDescent="0.2">
      <c r="A127" s="88">
        <v>10</v>
      </c>
      <c r="B127" s="88">
        <f t="shared" si="35"/>
        <v>0.5</v>
      </c>
      <c r="C127" s="88">
        <f t="shared" si="34"/>
        <v>233.25650066643752</v>
      </c>
      <c r="D127" s="88"/>
      <c r="E127" s="88"/>
      <c r="F127" s="88"/>
      <c r="G127" s="88"/>
      <c r="H127" s="88"/>
      <c r="I127" s="88"/>
      <c r="J127" s="88"/>
      <c r="K127" s="88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</row>
    <row r="128" spans="1:27" x14ac:dyDescent="0.2">
      <c r="A128" s="88">
        <v>12</v>
      </c>
      <c r="B128" s="88">
        <f t="shared" si="35"/>
        <v>0.5</v>
      </c>
      <c r="C128" s="88">
        <f t="shared" si="34"/>
        <v>385.42650326381244</v>
      </c>
      <c r="D128" s="88"/>
      <c r="E128" s="88"/>
      <c r="F128" s="88"/>
      <c r="G128" s="88"/>
      <c r="H128" s="88"/>
      <c r="I128" s="88"/>
      <c r="J128" s="88"/>
      <c r="K128" s="88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</row>
    <row r="129" spans="1:31" x14ac:dyDescent="0.2">
      <c r="A129" s="88">
        <v>14</v>
      </c>
      <c r="B129" s="88">
        <f t="shared" si="35"/>
        <v>0.5</v>
      </c>
      <c r="C129" s="88">
        <f t="shared" si="34"/>
        <v>461.51150456249991</v>
      </c>
      <c r="D129" s="88"/>
      <c r="E129" s="88"/>
      <c r="F129" s="88"/>
      <c r="G129" s="88"/>
      <c r="H129" s="88"/>
      <c r="I129" s="88"/>
      <c r="J129" s="88"/>
      <c r="K129" s="88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</row>
    <row r="130" spans="1:31" x14ac:dyDescent="0.2">
      <c r="A130" s="88">
        <v>16</v>
      </c>
      <c r="B130" s="88">
        <f t="shared" si="35"/>
        <v>0.5</v>
      </c>
      <c r="C130" s="88">
        <f t="shared" si="34"/>
        <v>416.07945342731239</v>
      </c>
      <c r="D130" s="88"/>
      <c r="E130" s="88"/>
      <c r="F130" s="88"/>
      <c r="G130" s="88"/>
      <c r="H130" s="88"/>
      <c r="I130" s="88"/>
      <c r="J130" s="88"/>
      <c r="K130" s="88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</row>
    <row r="131" spans="1:31" x14ac:dyDescent="0.2">
      <c r="A131" s="88">
        <v>18</v>
      </c>
      <c r="B131" s="88">
        <f t="shared" si="35"/>
        <v>0.5</v>
      </c>
      <c r="C131" s="88">
        <f t="shared" si="34"/>
        <v>294.01502688337501</v>
      </c>
      <c r="D131" s="88"/>
      <c r="E131" s="88"/>
      <c r="F131" s="88"/>
      <c r="G131" s="88"/>
      <c r="H131" s="88"/>
      <c r="I131" s="88"/>
      <c r="J131" s="88"/>
      <c r="K131" s="88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</row>
    <row r="132" spans="1:31" x14ac:dyDescent="0.2">
      <c r="A132" s="88">
        <v>20</v>
      </c>
      <c r="B132" s="88">
        <f t="shared" si="35"/>
        <v>0.5</v>
      </c>
      <c r="C132" s="88">
        <f t="shared" si="34"/>
        <v>157.17149936775004</v>
      </c>
      <c r="D132" s="88"/>
      <c r="E132" s="88"/>
      <c r="F132" s="88"/>
      <c r="G132" s="88"/>
      <c r="H132" s="88"/>
      <c r="I132" s="88"/>
      <c r="J132" s="88"/>
      <c r="K132" s="88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</row>
    <row r="133" spans="1:31" x14ac:dyDescent="0.2">
      <c r="A133" s="88">
        <v>22</v>
      </c>
      <c r="B133" s="88">
        <f t="shared" si="35"/>
        <v>0.5</v>
      </c>
      <c r="C133" s="88">
        <f t="shared" si="34"/>
        <v>83.275994509312497</v>
      </c>
      <c r="D133" s="88"/>
      <c r="E133" s="88"/>
      <c r="F133" s="88"/>
      <c r="G133" s="88"/>
      <c r="H133" s="88"/>
      <c r="I133" s="88"/>
      <c r="J133" s="88"/>
      <c r="K133" s="88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</row>
    <row r="134" spans="1:31" x14ac:dyDescent="0.2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</row>
    <row r="135" spans="1:31" x14ac:dyDescent="0.2">
      <c r="A135" s="88"/>
      <c r="B135" s="88" t="s">
        <v>501</v>
      </c>
      <c r="C135" s="88">
        <f>SUM(C122:C133)</f>
        <v>1890.4369852934999</v>
      </c>
      <c r="D135" s="88"/>
      <c r="E135" s="88"/>
      <c r="F135" s="88"/>
      <c r="G135" s="88"/>
      <c r="H135" s="88"/>
      <c r="I135" s="88"/>
      <c r="J135" s="88"/>
      <c r="K135" s="88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</row>
    <row r="136" spans="1:31" x14ac:dyDescent="0.2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</row>
    <row r="137" spans="1:31" x14ac:dyDescent="0.2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</row>
    <row r="138" spans="1:31" x14ac:dyDescent="0.2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</row>
    <row r="139" spans="1:31" x14ac:dyDescent="0.2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</row>
    <row r="140" spans="1:31" x14ac:dyDescent="0.2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73"/>
      <c r="M140" s="73"/>
      <c r="N140" s="73"/>
      <c r="O140" s="73"/>
      <c r="S140" s="73"/>
      <c r="T140" s="73"/>
      <c r="U140" s="73"/>
      <c r="V140" s="73"/>
      <c r="W140" s="73"/>
      <c r="X140" s="73"/>
      <c r="Y140" s="73"/>
      <c r="Z140" s="73"/>
      <c r="AA140" s="73"/>
      <c r="AC140" s="583"/>
      <c r="AD140" s="271"/>
      <c r="AE140" s="271"/>
    </row>
    <row r="141" spans="1:31" x14ac:dyDescent="0.2">
      <c r="A141" s="88" t="s">
        <v>200</v>
      </c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73"/>
      <c r="M141" s="73"/>
      <c r="N141" s="73"/>
      <c r="O141" s="73"/>
      <c r="S141" s="73"/>
      <c r="T141" s="73"/>
      <c r="U141" s="73"/>
      <c r="V141" s="73"/>
      <c r="W141" s="73"/>
      <c r="X141" s="73"/>
      <c r="Y141" s="73"/>
      <c r="Z141" s="73"/>
      <c r="AA141" s="73"/>
      <c r="AC141" s="583"/>
      <c r="AD141" s="271"/>
      <c r="AE141" s="271"/>
    </row>
    <row r="142" spans="1:31" x14ac:dyDescent="0.2">
      <c r="A142" s="88" t="s">
        <v>455</v>
      </c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73"/>
      <c r="M142" s="73"/>
      <c r="N142" s="73"/>
      <c r="O142" s="73"/>
      <c r="S142" s="73"/>
      <c r="T142" s="73"/>
      <c r="U142" s="73"/>
      <c r="V142" s="73"/>
      <c r="W142" s="73"/>
      <c r="X142" s="73"/>
      <c r="Y142" s="73"/>
      <c r="Z142" s="73"/>
      <c r="AA142" s="73"/>
      <c r="AC142" s="271"/>
      <c r="AD142" s="272"/>
      <c r="AE142" s="271"/>
    </row>
    <row r="143" spans="1:31" x14ac:dyDescent="0.2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73"/>
      <c r="M143" s="73"/>
      <c r="N143" s="73"/>
      <c r="O143" s="73"/>
      <c r="S143" s="73"/>
      <c r="T143" s="73"/>
      <c r="U143" s="73"/>
      <c r="V143" s="73"/>
      <c r="W143" s="73"/>
      <c r="X143" s="73"/>
      <c r="Y143" s="73"/>
      <c r="Z143" s="73"/>
      <c r="AA143" s="73"/>
      <c r="AC143" s="271"/>
      <c r="AD143" s="272"/>
      <c r="AE143" s="271"/>
    </row>
    <row r="144" spans="1:31" x14ac:dyDescent="0.2">
      <c r="A144" s="88" t="s">
        <v>282</v>
      </c>
      <c r="B144" s="88"/>
      <c r="C144" s="88"/>
      <c r="D144" s="88"/>
      <c r="E144" s="88" t="s">
        <v>2</v>
      </c>
      <c r="F144" s="88"/>
      <c r="G144" s="88"/>
      <c r="H144" s="88"/>
      <c r="I144" s="88"/>
      <c r="J144" s="88"/>
      <c r="K144" s="88"/>
      <c r="L144" s="73"/>
      <c r="M144" s="73"/>
      <c r="N144" s="73"/>
      <c r="O144" s="73"/>
      <c r="S144" s="73"/>
      <c r="T144" s="73"/>
      <c r="U144" s="73"/>
      <c r="V144" s="73"/>
      <c r="W144" s="73"/>
      <c r="X144" s="73"/>
      <c r="Y144" s="73"/>
      <c r="Z144" s="73"/>
      <c r="AA144" s="73"/>
      <c r="AC144" s="271"/>
      <c r="AD144" s="272"/>
      <c r="AE144" s="271"/>
    </row>
    <row r="145" spans="1:31" x14ac:dyDescent="0.2">
      <c r="A145" s="88" t="s">
        <v>402</v>
      </c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73"/>
      <c r="M145" s="73"/>
      <c r="N145" s="83"/>
      <c r="O145" s="83"/>
      <c r="S145" s="83"/>
      <c r="T145" s="83"/>
      <c r="U145" s="83"/>
      <c r="V145" s="83"/>
      <c r="W145" s="73"/>
      <c r="X145" s="73"/>
      <c r="Y145" s="73"/>
      <c r="Z145" s="73"/>
      <c r="AA145" s="73"/>
      <c r="AC145" s="271"/>
      <c r="AD145" s="272"/>
      <c r="AE145" s="271"/>
    </row>
    <row r="146" spans="1:31" x14ac:dyDescent="0.2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73"/>
      <c r="M146" s="73"/>
      <c r="N146" s="73"/>
      <c r="O146" s="73"/>
      <c r="S146" s="73"/>
      <c r="T146" s="73"/>
      <c r="U146" s="73"/>
      <c r="V146" s="73"/>
      <c r="W146" s="73"/>
      <c r="X146" s="73"/>
      <c r="Y146" s="73"/>
      <c r="Z146" s="73"/>
      <c r="AA146" s="73"/>
      <c r="AC146" s="271"/>
      <c r="AD146" s="272"/>
      <c r="AE146" s="271"/>
    </row>
    <row r="147" spans="1:31" ht="13.5" thickBot="1" x14ac:dyDescent="0.25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73"/>
      <c r="M147" s="73"/>
      <c r="N147" s="73"/>
      <c r="O147" s="73"/>
      <c r="S147" s="73"/>
      <c r="T147" s="73"/>
      <c r="U147" s="73"/>
      <c r="V147" s="73"/>
      <c r="W147" s="73"/>
      <c r="X147" s="73"/>
      <c r="Y147" s="73"/>
      <c r="Z147" s="73"/>
      <c r="AA147" s="73"/>
      <c r="AC147" s="271"/>
      <c r="AD147" s="272"/>
      <c r="AE147" s="271"/>
    </row>
    <row r="148" spans="1:31" ht="13.5" thickBot="1" x14ac:dyDescent="0.25">
      <c r="A148" s="298" t="s">
        <v>188</v>
      </c>
      <c r="B148" s="304" t="s">
        <v>539</v>
      </c>
      <c r="C148" s="305" t="s">
        <v>540</v>
      </c>
      <c r="D148" s="302" t="s">
        <v>284</v>
      </c>
      <c r="E148" s="299" t="s">
        <v>12</v>
      </c>
      <c r="F148" s="88"/>
      <c r="G148" s="88"/>
      <c r="H148" s="88"/>
      <c r="I148" s="88"/>
      <c r="J148" s="88"/>
      <c r="K148" s="88"/>
      <c r="L148" s="73"/>
      <c r="M148" s="73"/>
      <c r="N148" s="73"/>
      <c r="O148" s="73"/>
      <c r="S148" s="73"/>
      <c r="T148" s="73"/>
      <c r="U148" s="73"/>
      <c r="V148" s="73"/>
      <c r="W148" s="73"/>
      <c r="X148" s="73"/>
      <c r="Y148" s="73"/>
      <c r="Z148" s="73"/>
      <c r="AA148" s="73"/>
      <c r="AC148" s="271"/>
      <c r="AD148" s="272"/>
      <c r="AE148" s="271"/>
    </row>
    <row r="149" spans="1:31" x14ac:dyDescent="0.2">
      <c r="A149" s="246">
        <v>0</v>
      </c>
      <c r="B149" s="341">
        <v>5</v>
      </c>
      <c r="C149" s="342">
        <v>0.7</v>
      </c>
      <c r="D149" s="510">
        <f>58.2*1.8*B149*C149*2</f>
        <v>733.32</v>
      </c>
      <c r="E149" s="299" t="s">
        <v>357</v>
      </c>
      <c r="F149" s="88"/>
      <c r="G149" s="88"/>
      <c r="H149" s="88"/>
      <c r="I149" s="88"/>
      <c r="J149" s="88"/>
      <c r="K149" s="88"/>
      <c r="L149" s="73"/>
      <c r="M149" s="73"/>
      <c r="N149" s="73"/>
      <c r="O149" s="73"/>
      <c r="S149" s="73"/>
      <c r="T149" s="73"/>
      <c r="U149" s="73"/>
      <c r="V149" s="73"/>
      <c r="W149" s="73"/>
      <c r="X149" s="73"/>
      <c r="Y149" s="73"/>
      <c r="Z149" s="73"/>
      <c r="AA149" s="73"/>
      <c r="AC149" s="271"/>
      <c r="AD149" s="272"/>
      <c r="AE149" s="271"/>
    </row>
    <row r="150" spans="1:31" x14ac:dyDescent="0.2">
      <c r="A150" s="246">
        <v>2</v>
      </c>
      <c r="B150" s="341">
        <v>5</v>
      </c>
      <c r="C150" s="342">
        <v>0.7</v>
      </c>
      <c r="D150" s="362">
        <f>58.2*1.8*B150*C150*2</f>
        <v>733.32</v>
      </c>
      <c r="E150" s="300" t="s">
        <v>357</v>
      </c>
      <c r="F150" s="88"/>
      <c r="G150" s="88"/>
      <c r="H150" s="88"/>
      <c r="I150" s="88"/>
      <c r="J150" s="88"/>
      <c r="K150" s="88"/>
      <c r="L150" s="73"/>
      <c r="M150" s="73"/>
      <c r="N150" s="73"/>
      <c r="O150" s="73"/>
      <c r="S150" s="73"/>
      <c r="T150" s="73"/>
      <c r="U150" s="73"/>
      <c r="V150" s="73"/>
      <c r="W150" s="73"/>
      <c r="X150" s="73"/>
      <c r="Y150" s="73"/>
      <c r="Z150" s="73"/>
      <c r="AA150" s="73"/>
      <c r="AC150" s="271"/>
      <c r="AD150" s="272"/>
      <c r="AE150" s="271"/>
    </row>
    <row r="151" spans="1:31" x14ac:dyDescent="0.2">
      <c r="A151" s="246">
        <v>4</v>
      </c>
      <c r="B151" s="341">
        <v>5</v>
      </c>
      <c r="C151" s="342">
        <v>0.7</v>
      </c>
      <c r="D151" s="362">
        <f t="shared" ref="D151:D160" si="36">58.2*1.8*B151*C151*2</f>
        <v>733.32</v>
      </c>
      <c r="E151" s="300" t="s">
        <v>357</v>
      </c>
      <c r="F151" s="88"/>
      <c r="G151" s="88"/>
      <c r="H151" s="88"/>
      <c r="I151" s="88"/>
      <c r="J151" s="88"/>
      <c r="K151" s="88"/>
      <c r="L151" s="73"/>
      <c r="M151" s="73"/>
      <c r="N151" s="73"/>
      <c r="O151" s="73"/>
      <c r="S151" s="73"/>
      <c r="T151" s="73"/>
      <c r="U151" s="73"/>
      <c r="V151" s="73"/>
      <c r="W151" s="73"/>
      <c r="X151" s="73"/>
      <c r="Y151" s="73"/>
      <c r="Z151" s="73"/>
      <c r="AA151" s="73"/>
      <c r="AC151" s="271"/>
      <c r="AD151" s="272"/>
      <c r="AE151" s="271"/>
    </row>
    <row r="152" spans="1:31" x14ac:dyDescent="0.2">
      <c r="A152" s="246">
        <v>6</v>
      </c>
      <c r="B152" s="341">
        <v>5</v>
      </c>
      <c r="C152" s="342">
        <v>0.7</v>
      </c>
      <c r="D152" s="362">
        <f t="shared" si="36"/>
        <v>733.32</v>
      </c>
      <c r="E152" s="300" t="s">
        <v>357</v>
      </c>
      <c r="F152" s="88"/>
      <c r="G152" s="88"/>
      <c r="H152" s="88"/>
      <c r="I152" s="88"/>
      <c r="J152" s="88"/>
      <c r="K152" s="88"/>
      <c r="L152" s="73"/>
      <c r="M152" s="73"/>
      <c r="N152" s="73"/>
      <c r="O152" s="73"/>
      <c r="S152" s="73"/>
      <c r="T152" s="73"/>
      <c r="U152" s="73"/>
      <c r="V152" s="73"/>
      <c r="W152" s="73"/>
      <c r="X152" s="73"/>
      <c r="Y152" s="73"/>
      <c r="Z152" s="73"/>
      <c r="AA152" s="73"/>
      <c r="AC152" s="271"/>
      <c r="AD152" s="272"/>
      <c r="AE152" s="271"/>
    </row>
    <row r="153" spans="1:31" x14ac:dyDescent="0.2">
      <c r="A153" s="246">
        <v>8</v>
      </c>
      <c r="B153" s="341">
        <v>5</v>
      </c>
      <c r="C153" s="342">
        <v>1</v>
      </c>
      <c r="D153" s="362">
        <f t="shared" si="36"/>
        <v>1047.6000000000001</v>
      </c>
      <c r="E153" s="300"/>
      <c r="F153" s="88"/>
      <c r="G153" s="88"/>
      <c r="H153" s="88"/>
      <c r="I153" s="88"/>
      <c r="J153" s="88"/>
      <c r="K153" s="88"/>
      <c r="L153" s="73"/>
      <c r="M153" s="73"/>
      <c r="N153" s="73"/>
      <c r="O153" s="73"/>
      <c r="S153" s="73"/>
      <c r="T153" s="73"/>
      <c r="U153" s="73"/>
      <c r="V153" s="73"/>
      <c r="W153" s="73"/>
      <c r="X153" s="73"/>
      <c r="Y153" s="73"/>
      <c r="Z153" s="73"/>
      <c r="AA153" s="73"/>
      <c r="AC153" s="271"/>
      <c r="AD153" s="272"/>
      <c r="AE153" s="271"/>
    </row>
    <row r="154" spans="1:31" x14ac:dyDescent="0.2">
      <c r="A154" s="246">
        <v>10</v>
      </c>
      <c r="B154" s="341">
        <v>3</v>
      </c>
      <c r="C154" s="342">
        <v>1</v>
      </c>
      <c r="D154" s="362">
        <f t="shared" si="36"/>
        <v>628.56000000000006</v>
      </c>
      <c r="E154" s="300"/>
      <c r="F154" s="88"/>
      <c r="G154" s="88"/>
      <c r="H154" s="88"/>
      <c r="I154" s="88"/>
      <c r="J154" s="88"/>
      <c r="K154" s="88"/>
      <c r="L154" s="73"/>
      <c r="M154" s="73"/>
      <c r="N154" s="73"/>
      <c r="O154" s="73"/>
      <c r="S154" s="73"/>
      <c r="T154" s="73"/>
      <c r="U154" s="73"/>
      <c r="V154" s="73"/>
      <c r="W154" s="73"/>
      <c r="X154" s="73"/>
      <c r="Y154" s="73"/>
      <c r="Z154" s="73"/>
      <c r="AA154" s="73"/>
      <c r="AC154" s="271"/>
      <c r="AD154" s="272"/>
      <c r="AE154" s="271"/>
    </row>
    <row r="155" spans="1:31" x14ac:dyDescent="0.2">
      <c r="A155" s="246">
        <v>12</v>
      </c>
      <c r="B155" s="341">
        <v>3</v>
      </c>
      <c r="C155" s="342">
        <v>2.1</v>
      </c>
      <c r="D155" s="362">
        <f t="shared" si="36"/>
        <v>1319.9760000000001</v>
      </c>
      <c r="E155" s="300" t="s">
        <v>500</v>
      </c>
      <c r="F155" s="88"/>
      <c r="G155" s="88"/>
      <c r="H155" s="88"/>
      <c r="I155" s="88"/>
      <c r="J155" s="88"/>
      <c r="K155" s="88"/>
      <c r="L155" s="73"/>
      <c r="M155" s="73"/>
      <c r="N155" s="73"/>
      <c r="O155" s="73"/>
      <c r="S155" s="73"/>
      <c r="T155" s="73"/>
      <c r="U155" s="73"/>
      <c r="V155" s="73"/>
      <c r="W155" s="73"/>
      <c r="X155" s="73"/>
      <c r="Y155" s="73"/>
      <c r="Z155" s="73"/>
      <c r="AA155" s="73"/>
      <c r="AC155" s="271"/>
      <c r="AD155" s="272"/>
      <c r="AE155" s="271"/>
    </row>
    <row r="156" spans="1:31" x14ac:dyDescent="0.2">
      <c r="A156" s="246">
        <v>14</v>
      </c>
      <c r="B156" s="341">
        <v>3</v>
      </c>
      <c r="C156" s="342">
        <v>1</v>
      </c>
      <c r="D156" s="362">
        <f t="shared" si="36"/>
        <v>628.56000000000006</v>
      </c>
      <c r="E156" s="300"/>
      <c r="F156" s="88"/>
      <c r="G156" s="88"/>
      <c r="H156" s="88"/>
      <c r="I156" s="88"/>
      <c r="J156" s="88"/>
      <c r="K156" s="88"/>
      <c r="L156" s="73"/>
      <c r="M156" s="73"/>
      <c r="N156" s="73"/>
      <c r="O156" s="73"/>
      <c r="S156" s="73"/>
      <c r="T156" s="73"/>
      <c r="U156" s="73"/>
      <c r="V156" s="73"/>
      <c r="W156" s="73"/>
      <c r="X156" s="73"/>
      <c r="Y156" s="73"/>
      <c r="Z156" s="73"/>
      <c r="AA156" s="73"/>
      <c r="AC156" s="271"/>
      <c r="AD156" s="272"/>
      <c r="AE156" s="271"/>
    </row>
    <row r="157" spans="1:31" x14ac:dyDescent="0.2">
      <c r="A157" s="246">
        <v>16</v>
      </c>
      <c r="B157" s="341">
        <v>3</v>
      </c>
      <c r="C157" s="342">
        <v>1</v>
      </c>
      <c r="D157" s="362">
        <f t="shared" si="36"/>
        <v>628.56000000000006</v>
      </c>
      <c r="E157" s="300"/>
      <c r="F157" s="88"/>
      <c r="G157" s="88"/>
      <c r="H157" s="88"/>
      <c r="I157" s="88"/>
      <c r="J157" s="88"/>
      <c r="K157" s="88"/>
      <c r="L157" s="73"/>
      <c r="M157" s="73"/>
      <c r="N157" s="73"/>
      <c r="O157" s="73"/>
      <c r="S157" s="73"/>
      <c r="T157" s="73"/>
      <c r="U157" s="73"/>
      <c r="V157" s="73"/>
      <c r="W157" s="73"/>
      <c r="X157" s="73"/>
      <c r="Y157" s="73"/>
      <c r="Z157" s="73"/>
      <c r="AA157" s="73"/>
      <c r="AC157" s="271"/>
      <c r="AD157" s="272"/>
      <c r="AE157" s="271"/>
    </row>
    <row r="158" spans="1:31" x14ac:dyDescent="0.2">
      <c r="A158" s="246">
        <v>18</v>
      </c>
      <c r="B158" s="341">
        <v>3</v>
      </c>
      <c r="C158" s="342">
        <v>1</v>
      </c>
      <c r="D158" s="362">
        <f t="shared" si="36"/>
        <v>628.56000000000006</v>
      </c>
      <c r="E158" s="300"/>
      <c r="F158" s="88"/>
      <c r="G158" s="88"/>
      <c r="H158" s="88"/>
      <c r="I158" s="88"/>
      <c r="J158" s="88"/>
      <c r="K158" s="88"/>
      <c r="L158" s="73"/>
      <c r="M158" s="73"/>
      <c r="N158" s="73"/>
      <c r="O158" s="73"/>
      <c r="S158" s="73"/>
      <c r="T158" s="73"/>
      <c r="U158" s="73"/>
      <c r="V158" s="73"/>
      <c r="W158" s="73"/>
      <c r="X158" s="73"/>
      <c r="Y158" s="73"/>
      <c r="Z158" s="73"/>
      <c r="AA158" s="73"/>
      <c r="AC158" s="271"/>
      <c r="AD158" s="272"/>
      <c r="AE158" s="271"/>
    </row>
    <row r="159" spans="1:31" x14ac:dyDescent="0.2">
      <c r="A159" s="246">
        <v>20</v>
      </c>
      <c r="B159" s="341">
        <v>5</v>
      </c>
      <c r="C159" s="342">
        <v>1</v>
      </c>
      <c r="D159" s="362">
        <f t="shared" si="36"/>
        <v>1047.6000000000001</v>
      </c>
      <c r="E159" s="300"/>
      <c r="F159" s="88"/>
      <c r="G159" s="88"/>
      <c r="H159" s="88"/>
      <c r="I159" s="88"/>
      <c r="J159" s="88"/>
      <c r="K159" s="88"/>
      <c r="L159" s="73"/>
      <c r="M159" s="73"/>
      <c r="N159" s="73"/>
      <c r="O159" s="73"/>
      <c r="S159" s="73"/>
      <c r="T159" s="73"/>
      <c r="U159" s="73"/>
      <c r="V159" s="73"/>
      <c r="W159" s="73"/>
      <c r="X159" s="73"/>
      <c r="Y159" s="73"/>
      <c r="Z159" s="73"/>
      <c r="AA159" s="73"/>
      <c r="AC159" s="271"/>
      <c r="AD159" s="272"/>
      <c r="AE159" s="271"/>
    </row>
    <row r="160" spans="1:31" ht="13.5" thickBot="1" x14ac:dyDescent="0.25">
      <c r="A160" s="248">
        <v>22</v>
      </c>
      <c r="B160" s="249">
        <v>5</v>
      </c>
      <c r="C160" s="343">
        <v>0.8</v>
      </c>
      <c r="D160" s="362">
        <f t="shared" si="36"/>
        <v>838.08000000000015</v>
      </c>
      <c r="E160" s="301"/>
      <c r="F160" s="88"/>
      <c r="G160" s="88"/>
      <c r="H160" s="88"/>
      <c r="I160" s="88"/>
      <c r="J160" s="88"/>
      <c r="K160" s="88"/>
      <c r="L160" s="73"/>
      <c r="M160" s="73"/>
      <c r="N160" s="73"/>
      <c r="O160" s="73"/>
      <c r="S160" s="73"/>
      <c r="T160" s="73"/>
      <c r="U160" s="73"/>
      <c r="V160" s="73"/>
      <c r="W160" s="73"/>
      <c r="X160" s="73"/>
      <c r="Y160" s="73"/>
      <c r="Z160" s="73"/>
      <c r="AA160" s="73"/>
      <c r="AC160" s="271"/>
      <c r="AD160" s="272"/>
      <c r="AE160" s="271"/>
    </row>
    <row r="161" spans="1:31" x14ac:dyDescent="0.2">
      <c r="A161" s="88"/>
      <c r="B161" s="88"/>
      <c r="C161" s="88"/>
      <c r="D161" s="210"/>
      <c r="E161" s="88"/>
      <c r="F161" s="88"/>
      <c r="G161" s="88"/>
      <c r="H161" s="88"/>
      <c r="I161" s="88"/>
      <c r="J161" s="88"/>
      <c r="K161" s="88"/>
      <c r="L161" s="73"/>
      <c r="M161" s="73"/>
      <c r="N161" s="73"/>
      <c r="O161" s="73"/>
      <c r="S161" s="73"/>
      <c r="T161" s="73"/>
      <c r="U161" s="73"/>
      <c r="V161" s="73"/>
      <c r="W161" s="73"/>
      <c r="X161" s="73"/>
      <c r="Y161" s="73"/>
      <c r="Z161" s="73"/>
      <c r="AA161" s="73"/>
      <c r="AC161" s="271"/>
      <c r="AD161" s="272"/>
      <c r="AE161" s="271"/>
    </row>
    <row r="162" spans="1:31" x14ac:dyDescent="0.2">
      <c r="A162" s="88" t="s">
        <v>453</v>
      </c>
      <c r="B162" s="88"/>
      <c r="C162" s="88"/>
      <c r="D162" s="210">
        <f>SUM(D149:D160)</f>
        <v>9700.7760000000017</v>
      </c>
      <c r="E162" s="88" t="s">
        <v>454</v>
      </c>
      <c r="F162" s="88"/>
      <c r="G162" s="88"/>
      <c r="H162" s="88"/>
      <c r="I162" s="88"/>
      <c r="J162" s="88"/>
      <c r="K162" s="88"/>
      <c r="L162" s="73"/>
      <c r="M162" s="73"/>
      <c r="N162" s="73"/>
      <c r="O162" s="73"/>
      <c r="P162" s="271"/>
      <c r="Q162" s="272"/>
      <c r="R162" s="271"/>
      <c r="S162" s="73"/>
      <c r="T162" s="73"/>
      <c r="U162" s="73"/>
      <c r="V162" s="73"/>
      <c r="W162" s="73"/>
      <c r="X162" s="73"/>
      <c r="Y162" s="73"/>
      <c r="Z162" s="73"/>
      <c r="AA162" s="73"/>
    </row>
    <row r="163" spans="1:31" x14ac:dyDescent="0.2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73"/>
      <c r="M163" s="73"/>
      <c r="N163" s="73"/>
      <c r="O163" s="73"/>
      <c r="P163" s="271"/>
      <c r="Q163" s="272"/>
      <c r="R163" s="271"/>
      <c r="S163" s="73"/>
      <c r="T163" s="73"/>
      <c r="U163" s="73"/>
      <c r="V163" s="73"/>
      <c r="W163" s="73"/>
      <c r="X163" s="73"/>
      <c r="Y163" s="73"/>
      <c r="Z163" s="73"/>
      <c r="AA163" s="73"/>
    </row>
    <row r="164" spans="1:31" x14ac:dyDescent="0.2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73"/>
      <c r="M164" s="73"/>
      <c r="N164" s="73"/>
      <c r="O164" s="73"/>
      <c r="P164" s="271"/>
      <c r="Q164" s="272"/>
      <c r="R164" s="271"/>
      <c r="S164" s="73"/>
      <c r="T164" s="73"/>
      <c r="U164" s="73"/>
      <c r="V164" s="73"/>
      <c r="W164" s="73"/>
      <c r="X164" s="73"/>
      <c r="Y164" s="73"/>
      <c r="Z164" s="73"/>
      <c r="AA164" s="73"/>
    </row>
    <row r="165" spans="1:31" x14ac:dyDescent="0.2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73"/>
      <c r="M165" s="73"/>
      <c r="N165" s="73"/>
      <c r="O165" s="73"/>
      <c r="P165" s="271"/>
      <c r="Q165" s="272"/>
      <c r="R165" s="271"/>
      <c r="S165" s="73"/>
      <c r="T165" s="73"/>
      <c r="U165" s="73"/>
      <c r="V165" s="73"/>
      <c r="W165" s="73"/>
      <c r="X165" s="73"/>
      <c r="Y165" s="73"/>
      <c r="Z165" s="73"/>
      <c r="AA165" s="73"/>
    </row>
    <row r="166" spans="1:31" x14ac:dyDescent="0.2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73"/>
      <c r="M166" s="73"/>
      <c r="N166" s="73"/>
      <c r="O166" s="73"/>
      <c r="P166" s="271"/>
      <c r="Q166" s="272"/>
      <c r="R166" s="271"/>
      <c r="S166" s="73"/>
      <c r="T166" s="73"/>
      <c r="U166" s="73"/>
      <c r="V166" s="73"/>
      <c r="W166" s="73"/>
      <c r="X166" s="73"/>
      <c r="Y166" s="73"/>
      <c r="Z166" s="73"/>
      <c r="AA166" s="73"/>
    </row>
    <row r="167" spans="1:31" x14ac:dyDescent="0.2">
      <c r="A167" s="88" t="s">
        <v>260</v>
      </c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73"/>
      <c r="M167" s="73"/>
      <c r="N167" s="73"/>
      <c r="O167" s="73"/>
      <c r="P167" s="271"/>
      <c r="Q167" s="272"/>
      <c r="R167" s="271"/>
      <c r="S167" s="73"/>
      <c r="T167" s="73"/>
      <c r="U167" s="73"/>
      <c r="V167" s="73"/>
      <c r="W167" s="73"/>
      <c r="X167" s="73"/>
      <c r="Y167" s="73"/>
      <c r="Z167" s="73"/>
      <c r="AA167" s="73"/>
    </row>
    <row r="168" spans="1:31" ht="13.5" thickBot="1" x14ac:dyDescent="0.25">
      <c r="A168" s="88"/>
      <c r="B168" s="87" t="s">
        <v>541</v>
      </c>
      <c r="C168" s="476" t="s">
        <v>685</v>
      </c>
      <c r="D168" s="87" t="s">
        <v>542</v>
      </c>
      <c r="E168" s="476" t="s">
        <v>684</v>
      </c>
      <c r="F168" s="88"/>
      <c r="G168" s="88"/>
      <c r="H168" s="88"/>
      <c r="I168" s="88"/>
      <c r="J168" s="88"/>
      <c r="K168" s="88"/>
      <c r="L168" s="73"/>
      <c r="M168" s="73"/>
      <c r="N168" s="73"/>
      <c r="O168" s="73"/>
      <c r="P168" s="271"/>
      <c r="Q168" s="272"/>
      <c r="R168" s="271"/>
      <c r="S168" s="73"/>
      <c r="T168" s="73"/>
      <c r="U168" s="73"/>
      <c r="V168" s="73"/>
      <c r="W168" s="73"/>
      <c r="X168" s="73"/>
      <c r="Y168" s="73"/>
      <c r="Z168" s="73"/>
      <c r="AA168" s="73"/>
    </row>
    <row r="169" spans="1:31" ht="13.5" thickBot="1" x14ac:dyDescent="0.25">
      <c r="A169" s="299" t="s">
        <v>188</v>
      </c>
      <c r="B169" s="298" t="s">
        <v>283</v>
      </c>
      <c r="C169" s="344">
        <v>18</v>
      </c>
      <c r="D169" s="298" t="s">
        <v>283</v>
      </c>
      <c r="E169" s="344">
        <v>20</v>
      </c>
      <c r="F169" s="299" t="s">
        <v>286</v>
      </c>
      <c r="G169" s="88"/>
      <c r="H169" s="88" t="s">
        <v>457</v>
      </c>
      <c r="I169" s="88"/>
      <c r="J169" s="88"/>
      <c r="K169" s="88"/>
      <c r="L169" s="73"/>
      <c r="M169" s="73"/>
      <c r="N169" s="73"/>
      <c r="O169" s="73"/>
      <c r="P169" s="271"/>
      <c r="Q169" s="272"/>
      <c r="R169" s="271"/>
      <c r="S169" s="73"/>
      <c r="T169" s="73"/>
      <c r="U169" s="73"/>
      <c r="V169" s="73"/>
      <c r="W169" s="73"/>
      <c r="X169" s="73"/>
      <c r="Y169" s="73"/>
      <c r="Z169" s="73"/>
      <c r="AA169" s="73"/>
    </row>
    <row r="170" spans="1:31" ht="13.5" thickBot="1" x14ac:dyDescent="0.25">
      <c r="A170" s="301"/>
      <c r="B170" s="308" t="s">
        <v>543</v>
      </c>
      <c r="C170" s="302" t="s">
        <v>284</v>
      </c>
      <c r="D170" s="308" t="s">
        <v>543</v>
      </c>
      <c r="E170" s="302" t="s">
        <v>284</v>
      </c>
      <c r="F170" s="301" t="s">
        <v>285</v>
      </c>
      <c r="G170" s="88"/>
      <c r="H170" s="88" t="s">
        <v>458</v>
      </c>
      <c r="I170" s="88"/>
      <c r="J170" s="88"/>
      <c r="K170" s="88"/>
      <c r="L170" s="73"/>
      <c r="M170" s="73"/>
      <c r="N170" s="73"/>
      <c r="O170" s="73"/>
      <c r="P170" s="271"/>
      <c r="Q170" s="272"/>
      <c r="R170" s="271"/>
      <c r="S170" s="73"/>
      <c r="T170" s="73"/>
      <c r="U170" s="73"/>
      <c r="V170" s="73"/>
      <c r="W170" s="73"/>
      <c r="X170" s="73"/>
      <c r="Y170" s="73"/>
      <c r="Z170" s="73"/>
      <c r="AA170" s="73"/>
    </row>
    <row r="171" spans="1:31" x14ac:dyDescent="0.2">
      <c r="A171" s="300">
        <v>0</v>
      </c>
      <c r="B171" s="345">
        <v>0</v>
      </c>
      <c r="C171" s="300">
        <f>+$C$169*B171*2</f>
        <v>0</v>
      </c>
      <c r="D171" s="345">
        <v>1</v>
      </c>
      <c r="E171" s="300">
        <f>+$E$169*D171*2</f>
        <v>40</v>
      </c>
      <c r="F171" s="300">
        <f>SUM(E171+C171)</f>
        <v>40</v>
      </c>
      <c r="G171" s="88"/>
      <c r="H171" s="88"/>
      <c r="I171" s="88"/>
      <c r="J171" s="88"/>
      <c r="K171" s="88"/>
      <c r="L171" s="73"/>
      <c r="M171" s="73"/>
      <c r="N171" s="73"/>
      <c r="O171" s="73"/>
      <c r="P171" s="271"/>
      <c r="Q171" s="272"/>
      <c r="R171" s="271"/>
      <c r="S171" s="73"/>
      <c r="T171" s="73"/>
      <c r="U171" s="73"/>
      <c r="V171" s="73"/>
      <c r="W171" s="73"/>
      <c r="X171" s="73"/>
      <c r="Y171" s="73"/>
      <c r="Z171" s="73"/>
      <c r="AA171" s="73"/>
    </row>
    <row r="172" spans="1:31" x14ac:dyDescent="0.2">
      <c r="A172" s="300">
        <v>2</v>
      </c>
      <c r="B172" s="345">
        <v>0</v>
      </c>
      <c r="C172" s="300">
        <f t="shared" ref="C172:C182" si="37">+$C$169*B172*2</f>
        <v>0</v>
      </c>
      <c r="D172" s="345">
        <v>1</v>
      </c>
      <c r="E172" s="300">
        <f t="shared" ref="E172:E182" si="38">+$E$169*D172*2</f>
        <v>40</v>
      </c>
      <c r="F172" s="300">
        <f t="shared" ref="F172:F182" si="39">SUM(E172+C172)</f>
        <v>40</v>
      </c>
      <c r="G172" s="88"/>
      <c r="H172" s="88" t="s">
        <v>459</v>
      </c>
      <c r="I172" s="88"/>
      <c r="J172" s="88"/>
      <c r="K172" s="88"/>
      <c r="L172" s="73"/>
      <c r="M172" s="73"/>
      <c r="N172" s="73"/>
      <c r="O172" s="73"/>
      <c r="P172" s="271"/>
      <c r="Q172" s="272"/>
      <c r="R172" s="271"/>
      <c r="S172" s="73"/>
      <c r="T172" s="73"/>
      <c r="U172" s="73"/>
      <c r="V172" s="73"/>
      <c r="W172" s="73"/>
      <c r="X172" s="73"/>
      <c r="Y172" s="73"/>
      <c r="Z172" s="73"/>
      <c r="AA172" s="73"/>
    </row>
    <row r="173" spans="1:31" x14ac:dyDescent="0.2">
      <c r="A173" s="300">
        <v>4</v>
      </c>
      <c r="B173" s="345">
        <v>0</v>
      </c>
      <c r="C173" s="300">
        <f t="shared" si="37"/>
        <v>0</v>
      </c>
      <c r="D173" s="345">
        <v>1</v>
      </c>
      <c r="E173" s="300">
        <f t="shared" si="38"/>
        <v>40</v>
      </c>
      <c r="F173" s="300">
        <f t="shared" si="39"/>
        <v>40</v>
      </c>
      <c r="G173" s="88"/>
      <c r="H173" s="88" t="s">
        <v>460</v>
      </c>
      <c r="I173" s="88"/>
      <c r="J173" s="88"/>
      <c r="K173" s="88"/>
      <c r="L173" s="73"/>
      <c r="M173" s="73"/>
      <c r="N173" s="73"/>
      <c r="O173" s="73"/>
      <c r="P173" s="271"/>
      <c r="Q173" s="272"/>
      <c r="R173" s="271"/>
      <c r="S173" s="73"/>
      <c r="T173" s="73"/>
      <c r="U173" s="73"/>
      <c r="V173" s="73"/>
      <c r="W173" s="73"/>
      <c r="X173" s="73"/>
      <c r="Y173" s="73"/>
      <c r="Z173" s="73"/>
      <c r="AA173" s="73"/>
    </row>
    <row r="174" spans="1:31" x14ac:dyDescent="0.2">
      <c r="A174" s="300">
        <v>6</v>
      </c>
      <c r="B174" s="345">
        <v>0</v>
      </c>
      <c r="C174" s="300">
        <f t="shared" si="37"/>
        <v>0</v>
      </c>
      <c r="D174" s="345">
        <v>1</v>
      </c>
      <c r="E174" s="300">
        <f t="shared" si="38"/>
        <v>40</v>
      </c>
      <c r="F174" s="300">
        <f t="shared" si="39"/>
        <v>40</v>
      </c>
      <c r="G174" s="88"/>
      <c r="H174" s="88" t="s">
        <v>461</v>
      </c>
      <c r="I174" s="88"/>
      <c r="J174" s="88"/>
      <c r="K174" s="88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</row>
    <row r="175" spans="1:31" x14ac:dyDescent="0.2">
      <c r="A175" s="300">
        <v>8</v>
      </c>
      <c r="B175" s="345">
        <v>3</v>
      </c>
      <c r="C175" s="300">
        <f t="shared" si="37"/>
        <v>108</v>
      </c>
      <c r="D175" s="345">
        <v>0</v>
      </c>
      <c r="E175" s="300">
        <f t="shared" si="38"/>
        <v>0</v>
      </c>
      <c r="F175" s="300">
        <f t="shared" si="39"/>
        <v>108</v>
      </c>
      <c r="G175" s="88"/>
      <c r="H175" s="88"/>
      <c r="I175" s="88"/>
      <c r="J175" s="88"/>
      <c r="K175" s="88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</row>
    <row r="176" spans="1:31" x14ac:dyDescent="0.2">
      <c r="A176" s="300">
        <v>10</v>
      </c>
      <c r="B176" s="345">
        <v>2</v>
      </c>
      <c r="C176" s="300">
        <f t="shared" si="37"/>
        <v>72</v>
      </c>
      <c r="D176" s="345">
        <v>0</v>
      </c>
      <c r="E176" s="300">
        <f t="shared" si="38"/>
        <v>0</v>
      </c>
      <c r="F176" s="300">
        <f t="shared" si="39"/>
        <v>72</v>
      </c>
      <c r="G176" s="88"/>
      <c r="H176" s="88" t="s">
        <v>462</v>
      </c>
      <c r="I176" s="88"/>
      <c r="J176" s="88"/>
      <c r="K176" s="88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</row>
    <row r="177" spans="1:27" x14ac:dyDescent="0.2">
      <c r="A177" s="300">
        <v>12</v>
      </c>
      <c r="B177" s="345">
        <v>0</v>
      </c>
      <c r="C177" s="300">
        <f t="shared" si="37"/>
        <v>0</v>
      </c>
      <c r="D177" s="345">
        <v>0</v>
      </c>
      <c r="E177" s="300">
        <f t="shared" si="38"/>
        <v>0</v>
      </c>
      <c r="F177" s="300">
        <f t="shared" si="39"/>
        <v>0</v>
      </c>
      <c r="G177" s="88"/>
      <c r="H177" s="88" t="s">
        <v>463</v>
      </c>
      <c r="I177" s="88"/>
      <c r="J177" s="88"/>
      <c r="K177" s="88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</row>
    <row r="178" spans="1:27" x14ac:dyDescent="0.2">
      <c r="A178" s="300">
        <v>14</v>
      </c>
      <c r="B178" s="345">
        <v>0</v>
      </c>
      <c r="C178" s="300">
        <f t="shared" si="37"/>
        <v>0</v>
      </c>
      <c r="D178" s="345">
        <v>0</v>
      </c>
      <c r="E178" s="300">
        <f t="shared" si="38"/>
        <v>0</v>
      </c>
      <c r="F178" s="300">
        <f t="shared" si="39"/>
        <v>0</v>
      </c>
      <c r="G178" s="88"/>
      <c r="H178" s="88"/>
      <c r="I178" s="88"/>
      <c r="J178" s="88"/>
      <c r="K178" s="88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</row>
    <row r="179" spans="1:27" x14ac:dyDescent="0.2">
      <c r="A179" s="300">
        <v>16</v>
      </c>
      <c r="B179" s="345">
        <v>0</v>
      </c>
      <c r="C179" s="300">
        <f t="shared" si="37"/>
        <v>0</v>
      </c>
      <c r="D179" s="345">
        <v>0</v>
      </c>
      <c r="E179" s="300">
        <f t="shared" si="38"/>
        <v>0</v>
      </c>
      <c r="F179" s="300">
        <f t="shared" si="39"/>
        <v>0</v>
      </c>
      <c r="G179" s="88"/>
      <c r="H179" s="274" t="s">
        <v>682</v>
      </c>
      <c r="I179" s="88"/>
      <c r="J179" s="88"/>
      <c r="K179" s="88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</row>
    <row r="180" spans="1:27" x14ac:dyDescent="0.2">
      <c r="A180" s="300">
        <v>18</v>
      </c>
      <c r="B180" s="345">
        <v>2</v>
      </c>
      <c r="C180" s="300">
        <f t="shared" si="37"/>
        <v>72</v>
      </c>
      <c r="D180" s="345">
        <v>0</v>
      </c>
      <c r="E180" s="300">
        <f t="shared" si="38"/>
        <v>0</v>
      </c>
      <c r="F180" s="300">
        <f t="shared" si="39"/>
        <v>72</v>
      </c>
      <c r="G180" s="88"/>
      <c r="H180" s="88" t="s">
        <v>683</v>
      </c>
      <c r="I180" s="88"/>
      <c r="J180" s="88"/>
      <c r="K180" s="88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</row>
    <row r="181" spans="1:27" x14ac:dyDescent="0.2">
      <c r="A181" s="300">
        <v>20</v>
      </c>
      <c r="B181" s="345">
        <v>2</v>
      </c>
      <c r="C181" s="300">
        <f t="shared" si="37"/>
        <v>72</v>
      </c>
      <c r="D181" s="345">
        <v>1</v>
      </c>
      <c r="E181" s="300">
        <f t="shared" si="38"/>
        <v>40</v>
      </c>
      <c r="F181" s="300">
        <f t="shared" si="39"/>
        <v>112</v>
      </c>
      <c r="G181" s="88"/>
      <c r="H181" s="88"/>
      <c r="I181" s="88"/>
      <c r="J181" s="88"/>
      <c r="K181" s="88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</row>
    <row r="182" spans="1:27" ht="13.5" thickBot="1" x14ac:dyDescent="0.25">
      <c r="A182" s="301">
        <v>20</v>
      </c>
      <c r="B182" s="346">
        <v>3</v>
      </c>
      <c r="C182" s="301">
        <f t="shared" si="37"/>
        <v>108</v>
      </c>
      <c r="D182" s="346">
        <v>1</v>
      </c>
      <c r="E182" s="301">
        <f t="shared" si="38"/>
        <v>40</v>
      </c>
      <c r="F182" s="301">
        <f t="shared" si="39"/>
        <v>148</v>
      </c>
      <c r="G182" s="88"/>
      <c r="H182" s="88"/>
      <c r="I182" s="88"/>
      <c r="J182" s="88"/>
      <c r="K182" s="88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</row>
    <row r="183" spans="1:27" x14ac:dyDescent="0.2">
      <c r="A183" s="88" t="s">
        <v>456</v>
      </c>
      <c r="B183" s="88"/>
      <c r="C183" s="88"/>
      <c r="D183" s="88"/>
      <c r="E183" s="88"/>
      <c r="F183" s="88">
        <f>SUM(F171:F182)</f>
        <v>672</v>
      </c>
      <c r="G183" s="88" t="s">
        <v>454</v>
      </c>
      <c r="H183" s="88"/>
      <c r="I183" s="88"/>
      <c r="J183" s="88"/>
      <c r="K183" s="88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</row>
    <row r="184" spans="1:27" x14ac:dyDescent="0.2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</row>
    <row r="185" spans="1:27" x14ac:dyDescent="0.2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</row>
    <row r="186" spans="1:27" x14ac:dyDescent="0.2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</row>
    <row r="187" spans="1:27" x14ac:dyDescent="0.2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</row>
    <row r="188" spans="1:27" x14ac:dyDescent="0.2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</row>
    <row r="189" spans="1:27" x14ac:dyDescent="0.2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</row>
    <row r="190" spans="1:27" x14ac:dyDescent="0.2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</row>
    <row r="191" spans="1:27" x14ac:dyDescent="0.2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</row>
    <row r="192" spans="1:27" x14ac:dyDescent="0.2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</row>
    <row r="193" spans="1:27" x14ac:dyDescent="0.2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</row>
    <row r="194" spans="1:27" x14ac:dyDescent="0.2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</row>
    <row r="195" spans="1:27" x14ac:dyDescent="0.2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</row>
    <row r="196" spans="1:27" x14ac:dyDescent="0.2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</row>
    <row r="197" spans="1:27" x14ac:dyDescent="0.2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</row>
    <row r="198" spans="1:27" x14ac:dyDescent="0.2">
      <c r="A198" s="87" t="s">
        <v>201</v>
      </c>
      <c r="B198" s="88"/>
      <c r="C198" s="88"/>
      <c r="D198" s="88"/>
      <c r="E198" s="88"/>
      <c r="F198" s="88"/>
      <c r="G198" s="88"/>
      <c r="H198" s="88"/>
      <c r="I198" s="88"/>
      <c r="J198" s="88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</row>
    <row r="199" spans="1:27" x14ac:dyDescent="0.2">
      <c r="A199" s="87"/>
      <c r="B199" s="88"/>
      <c r="C199" s="88"/>
      <c r="D199" s="88"/>
      <c r="E199" s="88"/>
      <c r="F199" s="88"/>
      <c r="G199" s="88"/>
      <c r="H199" s="88"/>
      <c r="I199" s="88"/>
      <c r="J199" s="88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</row>
    <row r="200" spans="1:27" x14ac:dyDescent="0.2">
      <c r="A200" s="87" t="s">
        <v>465</v>
      </c>
      <c r="B200" s="88"/>
      <c r="C200" s="88"/>
      <c r="D200" s="88"/>
      <c r="E200" s="88"/>
      <c r="F200" s="88"/>
      <c r="G200" s="88"/>
      <c r="H200" s="88"/>
      <c r="I200" s="88"/>
      <c r="J200" s="88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</row>
    <row r="201" spans="1:27" x14ac:dyDescent="0.2">
      <c r="A201" s="87"/>
      <c r="B201" s="88"/>
      <c r="C201" s="88"/>
      <c r="D201" s="88"/>
      <c r="E201" s="88"/>
      <c r="F201" s="88"/>
      <c r="G201" s="88"/>
      <c r="H201" s="88"/>
      <c r="I201" s="88"/>
      <c r="J201" s="88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</row>
    <row r="202" spans="1:27" x14ac:dyDescent="0.2">
      <c r="A202" s="87" t="s">
        <v>700</v>
      </c>
      <c r="B202" s="88"/>
      <c r="C202" s="88"/>
      <c r="D202" s="88"/>
      <c r="E202" s="88"/>
      <c r="F202" s="88"/>
      <c r="G202" s="88"/>
      <c r="H202" s="88"/>
      <c r="I202" s="88"/>
      <c r="J202" s="88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</row>
    <row r="203" spans="1:27" x14ac:dyDescent="0.2">
      <c r="A203" s="87" t="s">
        <v>701</v>
      </c>
      <c r="B203" s="88"/>
      <c r="C203" s="88"/>
      <c r="D203" s="88"/>
      <c r="E203" s="88"/>
      <c r="F203" s="88"/>
      <c r="G203" s="88"/>
      <c r="H203" s="88"/>
      <c r="I203" s="88"/>
      <c r="J203" s="88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</row>
    <row r="204" spans="1:27" x14ac:dyDescent="0.2">
      <c r="A204" s="87"/>
      <c r="B204" s="88"/>
      <c r="C204" s="88"/>
      <c r="D204" s="88"/>
      <c r="E204" s="88"/>
      <c r="F204" s="88"/>
      <c r="G204" s="88"/>
      <c r="H204" s="88"/>
      <c r="I204" s="88"/>
      <c r="J204" s="88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</row>
    <row r="205" spans="1:27" x14ac:dyDescent="0.2">
      <c r="A205" s="87" t="s">
        <v>702</v>
      </c>
      <c r="B205" s="88"/>
      <c r="C205" s="88"/>
      <c r="D205" s="88"/>
      <c r="E205" s="88"/>
      <c r="F205" s="88"/>
      <c r="G205" s="88"/>
      <c r="H205" s="88"/>
      <c r="I205" s="88"/>
      <c r="J205" s="88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</row>
    <row r="206" spans="1:27" x14ac:dyDescent="0.2">
      <c r="A206" s="87"/>
      <c r="B206" s="88"/>
      <c r="C206" s="88"/>
      <c r="D206" s="88"/>
      <c r="E206" s="88"/>
      <c r="F206" s="88"/>
      <c r="G206" s="88"/>
      <c r="H206" s="88"/>
      <c r="I206" s="88"/>
      <c r="J206" s="88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</row>
    <row r="207" spans="1:27" x14ac:dyDescent="0.2">
      <c r="A207" s="87"/>
      <c r="B207" s="88"/>
      <c r="C207" s="88"/>
      <c r="D207" s="88"/>
      <c r="E207" s="88"/>
      <c r="F207" s="88"/>
      <c r="G207" s="88"/>
      <c r="H207" s="88"/>
      <c r="I207" s="88"/>
      <c r="J207" s="88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</row>
    <row r="208" spans="1:27" ht="13.5" thickBot="1" x14ac:dyDescent="0.25">
      <c r="A208" s="87"/>
      <c r="B208" s="88"/>
      <c r="C208" s="88"/>
      <c r="D208" s="88"/>
      <c r="E208" s="88"/>
      <c r="F208" s="88"/>
      <c r="G208" s="88"/>
      <c r="H208" s="88"/>
      <c r="I208" s="88"/>
      <c r="J208" s="88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</row>
    <row r="209" spans="1:32" ht="13.5" thickBot="1" x14ac:dyDescent="0.25">
      <c r="A209" s="315"/>
      <c r="B209" s="517" t="s">
        <v>258</v>
      </c>
      <c r="C209" s="517"/>
      <c r="D209" s="517" t="s">
        <v>466</v>
      </c>
      <c r="E209" s="517"/>
      <c r="F209" s="517" t="s">
        <v>259</v>
      </c>
      <c r="G209" s="517"/>
      <c r="H209" s="517" t="s">
        <v>703</v>
      </c>
      <c r="I209" s="517"/>
      <c r="J209" s="303" t="s">
        <v>468</v>
      </c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</row>
    <row r="210" spans="1:32" ht="13.5" thickBot="1" x14ac:dyDescent="0.25">
      <c r="A210" s="300"/>
      <c r="B210" s="306" t="s">
        <v>283</v>
      </c>
      <c r="C210" s="318">
        <v>90</v>
      </c>
      <c r="D210" s="306" t="s">
        <v>283</v>
      </c>
      <c r="E210" s="307">
        <v>1500</v>
      </c>
      <c r="F210" s="313" t="s">
        <v>283</v>
      </c>
      <c r="G210" s="318">
        <v>180</v>
      </c>
      <c r="H210" s="306" t="s">
        <v>283</v>
      </c>
      <c r="I210" s="307">
        <v>22</v>
      </c>
      <c r="J210" s="312" t="s">
        <v>224</v>
      </c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</row>
    <row r="211" spans="1:32" ht="13.5" thickBot="1" x14ac:dyDescent="0.25">
      <c r="A211" s="316" t="s">
        <v>188</v>
      </c>
      <c r="B211" s="311" t="s">
        <v>544</v>
      </c>
      <c r="C211" s="319" t="s">
        <v>284</v>
      </c>
      <c r="D211" s="311" t="s">
        <v>544</v>
      </c>
      <c r="E211" s="311" t="s">
        <v>284</v>
      </c>
      <c r="F211" s="314" t="s">
        <v>544</v>
      </c>
      <c r="G211" s="319" t="s">
        <v>284</v>
      </c>
      <c r="H211" s="311" t="s">
        <v>544</v>
      </c>
      <c r="I211" s="311" t="s">
        <v>284</v>
      </c>
      <c r="J211" s="245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</row>
    <row r="212" spans="1:32" x14ac:dyDescent="0.2">
      <c r="A212" s="315">
        <v>0</v>
      </c>
      <c r="B212" s="511">
        <v>1</v>
      </c>
      <c r="C212" s="512">
        <f>+$C$210*B212*2</f>
        <v>180</v>
      </c>
      <c r="D212" s="309">
        <v>0</v>
      </c>
      <c r="E212" s="322">
        <f>+$E$210*D212*2</f>
        <v>0</v>
      </c>
      <c r="F212" s="320">
        <v>0</v>
      </c>
      <c r="G212" s="512">
        <f>+$G$210*F212*2</f>
        <v>0</v>
      </c>
      <c r="H212" s="518">
        <v>0</v>
      </c>
      <c r="I212" s="512">
        <f>+$I$210*H212*2</f>
        <v>0</v>
      </c>
      <c r="J212" s="322">
        <f>+I212+G212+E212+C212</f>
        <v>180</v>
      </c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</row>
    <row r="213" spans="1:32" x14ac:dyDescent="0.2">
      <c r="A213" s="317">
        <v>2</v>
      </c>
      <c r="B213" s="513">
        <v>1</v>
      </c>
      <c r="C213" s="514">
        <f t="shared" ref="C213:C223" si="40">+$C$210*B213*2</f>
        <v>180</v>
      </c>
      <c r="D213" s="309">
        <v>0</v>
      </c>
      <c r="E213" s="322">
        <f t="shared" ref="E213:E223" si="41">+$E$210*D213*2</f>
        <v>0</v>
      </c>
      <c r="F213" s="320">
        <v>0</v>
      </c>
      <c r="G213" s="514">
        <f t="shared" ref="G213:G223" si="42">+$G$210*F213*2</f>
        <v>0</v>
      </c>
      <c r="H213" s="519">
        <v>0</v>
      </c>
      <c r="I213" s="514">
        <f t="shared" ref="I213:I223" si="43">+$I$210*H213*2</f>
        <v>0</v>
      </c>
      <c r="J213" s="322">
        <f>+I213+G213+E213+C213</f>
        <v>180</v>
      </c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</row>
    <row r="214" spans="1:32" x14ac:dyDescent="0.2">
      <c r="A214" s="317">
        <v>4</v>
      </c>
      <c r="B214" s="513">
        <v>1</v>
      </c>
      <c r="C214" s="514">
        <f t="shared" si="40"/>
        <v>180</v>
      </c>
      <c r="D214" s="309">
        <v>0</v>
      </c>
      <c r="E214" s="322">
        <f t="shared" si="41"/>
        <v>0</v>
      </c>
      <c r="F214" s="320">
        <v>0</v>
      </c>
      <c r="G214" s="514">
        <f t="shared" si="42"/>
        <v>0</v>
      </c>
      <c r="H214" s="519">
        <v>0</v>
      </c>
      <c r="I214" s="514">
        <f t="shared" si="43"/>
        <v>0</v>
      </c>
      <c r="J214" s="322">
        <f t="shared" ref="J214:J223" si="44">+I214+G214+E214+C214</f>
        <v>180</v>
      </c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</row>
    <row r="215" spans="1:32" x14ac:dyDescent="0.2">
      <c r="A215" s="317">
        <v>6</v>
      </c>
      <c r="B215" s="513">
        <v>1</v>
      </c>
      <c r="C215" s="514">
        <f t="shared" si="40"/>
        <v>180</v>
      </c>
      <c r="D215" s="309">
        <v>0</v>
      </c>
      <c r="E215" s="322">
        <f t="shared" si="41"/>
        <v>0</v>
      </c>
      <c r="F215" s="320">
        <v>1</v>
      </c>
      <c r="G215" s="514">
        <f t="shared" si="42"/>
        <v>360</v>
      </c>
      <c r="H215" s="519">
        <v>2</v>
      </c>
      <c r="I215" s="514">
        <f t="shared" si="43"/>
        <v>88</v>
      </c>
      <c r="J215" s="322">
        <f t="shared" si="44"/>
        <v>628</v>
      </c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</row>
    <row r="216" spans="1:32" x14ac:dyDescent="0.2">
      <c r="A216" s="317">
        <v>8</v>
      </c>
      <c r="B216" s="513">
        <v>1</v>
      </c>
      <c r="C216" s="514">
        <f>+$C$210*B216*2</f>
        <v>180</v>
      </c>
      <c r="D216" s="309">
        <v>0.125</v>
      </c>
      <c r="E216" s="322">
        <f t="shared" si="41"/>
        <v>375</v>
      </c>
      <c r="F216" s="320">
        <v>0</v>
      </c>
      <c r="G216" s="514">
        <f t="shared" si="42"/>
        <v>0</v>
      </c>
      <c r="H216" s="519">
        <v>2</v>
      </c>
      <c r="I216" s="514">
        <f t="shared" si="43"/>
        <v>88</v>
      </c>
      <c r="J216" s="322">
        <f t="shared" si="44"/>
        <v>643</v>
      </c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</row>
    <row r="217" spans="1:32" x14ac:dyDescent="0.2">
      <c r="A217" s="317">
        <v>10</v>
      </c>
      <c r="B217" s="513">
        <v>1</v>
      </c>
      <c r="C217" s="514">
        <f t="shared" si="40"/>
        <v>180</v>
      </c>
      <c r="D217" s="309">
        <v>0</v>
      </c>
      <c r="E217" s="322">
        <f t="shared" si="41"/>
        <v>0</v>
      </c>
      <c r="F217" s="320">
        <v>0</v>
      </c>
      <c r="G217" s="514">
        <f t="shared" si="42"/>
        <v>0</v>
      </c>
      <c r="H217" s="519">
        <v>2</v>
      </c>
      <c r="I217" s="514">
        <f t="shared" si="43"/>
        <v>88</v>
      </c>
      <c r="J217" s="322">
        <f t="shared" si="44"/>
        <v>268</v>
      </c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</row>
    <row r="218" spans="1:32" x14ac:dyDescent="0.2">
      <c r="A218" s="317">
        <v>12</v>
      </c>
      <c r="B218" s="513">
        <v>1</v>
      </c>
      <c r="C218" s="514">
        <f t="shared" si="40"/>
        <v>180</v>
      </c>
      <c r="D218" s="309">
        <v>0.5</v>
      </c>
      <c r="E218" s="322">
        <f t="shared" si="41"/>
        <v>1500</v>
      </c>
      <c r="F218" s="320">
        <v>0</v>
      </c>
      <c r="G218" s="514">
        <f t="shared" si="42"/>
        <v>0</v>
      </c>
      <c r="H218" s="519">
        <v>2</v>
      </c>
      <c r="I218" s="514">
        <f t="shared" si="43"/>
        <v>88</v>
      </c>
      <c r="J218" s="322">
        <f t="shared" si="44"/>
        <v>1768</v>
      </c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</row>
    <row r="219" spans="1:32" x14ac:dyDescent="0.2">
      <c r="A219" s="317">
        <v>14</v>
      </c>
      <c r="B219" s="513">
        <v>1</v>
      </c>
      <c r="C219" s="514">
        <f t="shared" si="40"/>
        <v>180</v>
      </c>
      <c r="D219" s="309">
        <v>0</v>
      </c>
      <c r="E219" s="322">
        <f t="shared" si="41"/>
        <v>0</v>
      </c>
      <c r="F219" s="320">
        <v>1</v>
      </c>
      <c r="G219" s="514">
        <f t="shared" si="42"/>
        <v>360</v>
      </c>
      <c r="H219" s="519">
        <v>1</v>
      </c>
      <c r="I219" s="514">
        <f t="shared" si="43"/>
        <v>44</v>
      </c>
      <c r="J219" s="322">
        <f t="shared" si="44"/>
        <v>584</v>
      </c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</row>
    <row r="220" spans="1:32" x14ac:dyDescent="0.2">
      <c r="A220" s="317">
        <v>16</v>
      </c>
      <c r="B220" s="513">
        <v>1</v>
      </c>
      <c r="C220" s="514">
        <f>+$C$210*B220*2</f>
        <v>180</v>
      </c>
      <c r="D220" s="309">
        <v>0</v>
      </c>
      <c r="E220" s="322">
        <f t="shared" si="41"/>
        <v>0</v>
      </c>
      <c r="F220" s="320">
        <v>1</v>
      </c>
      <c r="G220" s="514">
        <f t="shared" si="42"/>
        <v>360</v>
      </c>
      <c r="H220" s="519">
        <v>1</v>
      </c>
      <c r="I220" s="514">
        <f t="shared" si="43"/>
        <v>44</v>
      </c>
      <c r="J220" s="322">
        <f>+I220+G220+E220+C220</f>
        <v>584</v>
      </c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</row>
    <row r="221" spans="1:32" x14ac:dyDescent="0.2">
      <c r="A221" s="317">
        <v>18</v>
      </c>
      <c r="B221" s="513">
        <v>1</v>
      </c>
      <c r="C221" s="514">
        <f t="shared" si="40"/>
        <v>180</v>
      </c>
      <c r="D221" s="309">
        <v>0.125</v>
      </c>
      <c r="E221" s="322">
        <f t="shared" si="41"/>
        <v>375</v>
      </c>
      <c r="F221" s="320">
        <v>1</v>
      </c>
      <c r="G221" s="514">
        <f t="shared" si="42"/>
        <v>360</v>
      </c>
      <c r="H221" s="519">
        <v>1</v>
      </c>
      <c r="I221" s="514">
        <f t="shared" si="43"/>
        <v>44</v>
      </c>
      <c r="J221" s="322">
        <f t="shared" si="44"/>
        <v>959</v>
      </c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</row>
    <row r="222" spans="1:32" x14ac:dyDescent="0.2">
      <c r="A222" s="317">
        <v>20</v>
      </c>
      <c r="B222" s="513">
        <v>1</v>
      </c>
      <c r="C222" s="514">
        <f t="shared" si="40"/>
        <v>180</v>
      </c>
      <c r="D222" s="309">
        <v>0</v>
      </c>
      <c r="E222" s="322">
        <f t="shared" si="41"/>
        <v>0</v>
      </c>
      <c r="F222" s="320">
        <v>1</v>
      </c>
      <c r="G222" s="514">
        <f t="shared" si="42"/>
        <v>360</v>
      </c>
      <c r="H222" s="519">
        <v>1</v>
      </c>
      <c r="I222" s="514">
        <f t="shared" si="43"/>
        <v>44</v>
      </c>
      <c r="J222" s="322">
        <f t="shared" si="44"/>
        <v>584</v>
      </c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</row>
    <row r="223" spans="1:32" ht="13.5" thickBot="1" x14ac:dyDescent="0.25">
      <c r="A223" s="316">
        <v>22</v>
      </c>
      <c r="B223" s="515">
        <v>1</v>
      </c>
      <c r="C223" s="516">
        <f t="shared" si="40"/>
        <v>180</v>
      </c>
      <c r="D223" s="310">
        <v>1</v>
      </c>
      <c r="E223" s="322">
        <f t="shared" si="41"/>
        <v>3000</v>
      </c>
      <c r="F223" s="321">
        <v>1</v>
      </c>
      <c r="G223" s="516">
        <f t="shared" si="42"/>
        <v>360</v>
      </c>
      <c r="H223" s="520">
        <v>0</v>
      </c>
      <c r="I223" s="516">
        <f t="shared" si="43"/>
        <v>0</v>
      </c>
      <c r="J223" s="323">
        <f t="shared" si="44"/>
        <v>3540</v>
      </c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</row>
    <row r="224" spans="1:32" x14ac:dyDescent="0.2">
      <c r="A224" s="87"/>
      <c r="B224" s="87"/>
      <c r="C224" s="87"/>
      <c r="D224" s="87"/>
      <c r="E224" s="87" t="s">
        <v>2</v>
      </c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</row>
    <row r="225" spans="1:32" x14ac:dyDescent="0.2">
      <c r="A225" s="87" t="s">
        <v>467</v>
      </c>
      <c r="B225" s="87"/>
      <c r="C225" s="87"/>
      <c r="D225" s="87"/>
      <c r="E225" s="87"/>
      <c r="F225" s="87"/>
      <c r="G225" s="87"/>
      <c r="H225" s="87"/>
      <c r="I225" s="87"/>
      <c r="J225" s="87">
        <f>SUM(J212:J223)</f>
        <v>10098</v>
      </c>
      <c r="K225" s="87" t="s">
        <v>454</v>
      </c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</row>
    <row r="226" spans="1:32" x14ac:dyDescent="0.2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</row>
    <row r="227" spans="1:32" ht="13.5" thickBot="1" x14ac:dyDescent="0.2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</row>
    <row r="228" spans="1:32" x14ac:dyDescent="0.2">
      <c r="A228" s="87"/>
      <c r="B228" s="87"/>
      <c r="C228" s="87"/>
      <c r="D228" s="87"/>
      <c r="E228" s="87"/>
      <c r="F228" s="51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</row>
    <row r="229" spans="1:32" x14ac:dyDescent="0.2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</row>
    <row r="230" spans="1:32" x14ac:dyDescent="0.2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</row>
    <row r="231" spans="1:32" x14ac:dyDescent="0.2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</row>
    <row r="232" spans="1:32" x14ac:dyDescent="0.2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</row>
    <row r="233" spans="1:32" x14ac:dyDescent="0.2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</row>
    <row r="234" spans="1:32" x14ac:dyDescent="0.2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</row>
    <row r="235" spans="1:32" x14ac:dyDescent="0.2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</row>
    <row r="236" spans="1:32" x14ac:dyDescent="0.2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</row>
    <row r="237" spans="1:32" x14ac:dyDescent="0.2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</row>
    <row r="238" spans="1:32" x14ac:dyDescent="0.2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</row>
    <row r="239" spans="1:32" x14ac:dyDescent="0.2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</row>
    <row r="240" spans="1:32" x14ac:dyDescent="0.2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</row>
    <row r="241" spans="1:33" x14ac:dyDescent="0.2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</row>
    <row r="242" spans="1:33" x14ac:dyDescent="0.2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</row>
    <row r="243" spans="1:33" x14ac:dyDescent="0.2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</row>
    <row r="244" spans="1:33" x14ac:dyDescent="0.2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</row>
    <row r="245" spans="1:33" x14ac:dyDescent="0.2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</row>
    <row r="246" spans="1:33" x14ac:dyDescent="0.2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</row>
    <row r="247" spans="1:33" x14ac:dyDescent="0.2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</row>
    <row r="248" spans="1:33" x14ac:dyDescent="0.2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</row>
    <row r="249" spans="1:33" x14ac:dyDescent="0.2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</row>
    <row r="250" spans="1:33" x14ac:dyDescent="0.2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</row>
    <row r="251" spans="1:33" ht="22.5" customHeight="1" x14ac:dyDescent="0.2">
      <c r="A251" s="87" t="s">
        <v>213</v>
      </c>
      <c r="B251" s="88"/>
      <c r="C251" s="88"/>
      <c r="D251" s="88"/>
      <c r="E251" s="88"/>
      <c r="F251" s="88" t="s">
        <v>224</v>
      </c>
      <c r="G251" s="88"/>
      <c r="H251" s="88"/>
      <c r="I251" s="88"/>
      <c r="J251" s="88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</row>
    <row r="252" spans="1:33" x14ac:dyDescent="0.2">
      <c r="A252" s="95"/>
      <c r="B252" s="92"/>
      <c r="C252" s="92"/>
      <c r="D252" s="92"/>
      <c r="E252" s="98" t="s">
        <v>289</v>
      </c>
      <c r="F252" s="99"/>
      <c r="G252" s="99"/>
      <c r="H252" s="91"/>
      <c r="I252" s="88"/>
      <c r="J252" s="100" t="s">
        <v>290</v>
      </c>
      <c r="K252" s="99"/>
      <c r="L252" s="91"/>
      <c r="M252" s="73"/>
      <c r="N252" s="73"/>
      <c r="O252" s="73"/>
      <c r="P252" s="73"/>
      <c r="Q252" s="73"/>
      <c r="S252" s="73"/>
      <c r="T252" s="73"/>
      <c r="U252" s="73"/>
      <c r="V252" s="73"/>
      <c r="W252" s="73"/>
      <c r="X252" s="73"/>
      <c r="Y252" s="73"/>
      <c r="Z252" s="73"/>
      <c r="AA252" s="325"/>
      <c r="AB252" s="352"/>
      <c r="AC252" s="328"/>
      <c r="AD252" s="327" t="s">
        <v>553</v>
      </c>
      <c r="AE252" s="328"/>
      <c r="AF252" s="329"/>
    </row>
    <row r="253" spans="1:33" x14ac:dyDescent="0.2">
      <c r="A253" s="97"/>
      <c r="B253" s="101"/>
      <c r="C253" s="97"/>
      <c r="D253" s="97"/>
      <c r="E253" s="97"/>
      <c r="F253" s="87" t="s">
        <v>22</v>
      </c>
      <c r="G253" s="87" t="s">
        <v>22</v>
      </c>
      <c r="H253" s="94"/>
      <c r="I253" s="88"/>
      <c r="J253" s="101"/>
      <c r="K253" s="88"/>
      <c r="L253" s="94"/>
      <c r="M253" s="73"/>
      <c r="N253" s="73"/>
      <c r="O253" s="73"/>
      <c r="P253" s="73"/>
      <c r="Q253" s="73"/>
      <c r="S253" s="73"/>
      <c r="T253" s="73"/>
      <c r="U253" s="73"/>
      <c r="V253" s="73"/>
      <c r="W253" s="73"/>
      <c r="X253" s="73"/>
      <c r="Y253" s="73"/>
      <c r="Z253" s="73"/>
      <c r="AA253" s="325"/>
      <c r="AB253" s="353" t="s">
        <v>583</v>
      </c>
      <c r="AC253" s="347" t="s">
        <v>584</v>
      </c>
      <c r="AD253" s="347" t="s">
        <v>552</v>
      </c>
      <c r="AE253" s="348" t="s">
        <v>548</v>
      </c>
      <c r="AF253" s="347" t="s">
        <v>550</v>
      </c>
    </row>
    <row r="254" spans="1:33" x14ac:dyDescent="0.2">
      <c r="A254" s="93" t="s">
        <v>188</v>
      </c>
      <c r="B254" s="102" t="s">
        <v>403</v>
      </c>
      <c r="C254" s="93" t="s">
        <v>404</v>
      </c>
      <c r="D254" s="217" t="s">
        <v>405</v>
      </c>
      <c r="E254" s="217" t="s">
        <v>406</v>
      </c>
      <c r="F254" s="87" t="s">
        <v>288</v>
      </c>
      <c r="G254" s="87" t="s">
        <v>287</v>
      </c>
      <c r="H254" s="103" t="s">
        <v>217</v>
      </c>
      <c r="I254" s="87" t="s">
        <v>222</v>
      </c>
      <c r="J254" s="102" t="s">
        <v>214</v>
      </c>
      <c r="K254" s="87" t="s">
        <v>215</v>
      </c>
      <c r="L254" s="103" t="s">
        <v>216</v>
      </c>
      <c r="M254" s="73"/>
      <c r="S254" s="73"/>
      <c r="T254" s="73"/>
      <c r="U254" s="73"/>
      <c r="V254" s="73"/>
      <c r="W254" s="73"/>
      <c r="X254" s="73"/>
      <c r="Y254" s="73"/>
      <c r="Z254" s="73"/>
      <c r="AA254" s="325"/>
      <c r="AB254" s="354" t="s">
        <v>547</v>
      </c>
      <c r="AC254" s="349" t="s">
        <v>585</v>
      </c>
      <c r="AD254" s="350" t="s">
        <v>586</v>
      </c>
      <c r="AE254" s="351" t="s">
        <v>549</v>
      </c>
      <c r="AF254" s="349" t="s">
        <v>551</v>
      </c>
    </row>
    <row r="255" spans="1:33" x14ac:dyDescent="0.2">
      <c r="A255" s="92"/>
      <c r="B255" s="218"/>
      <c r="C255" s="215"/>
      <c r="D255" s="215" t="s">
        <v>2</v>
      </c>
      <c r="E255" s="215" t="s">
        <v>2</v>
      </c>
      <c r="F255" s="219"/>
      <c r="G255" s="219"/>
      <c r="H255" s="214"/>
      <c r="I255" s="219"/>
      <c r="J255" s="218"/>
      <c r="K255" s="219"/>
      <c r="L255" s="214"/>
      <c r="M255" s="73"/>
      <c r="S255" s="73"/>
      <c r="T255" s="73"/>
      <c r="U255" s="73"/>
      <c r="V255" s="73"/>
      <c r="W255" s="73"/>
      <c r="X255" s="73"/>
      <c r="Y255" s="73"/>
      <c r="Z255" s="73"/>
      <c r="AA255" s="325"/>
      <c r="AB255" s="355"/>
      <c r="AC255" s="332"/>
      <c r="AD255" s="167"/>
      <c r="AE255" s="332"/>
      <c r="AF255" s="332"/>
    </row>
    <row r="256" spans="1:33" x14ac:dyDescent="0.2">
      <c r="A256" s="102">
        <v>0</v>
      </c>
      <c r="B256" s="220">
        <f t="shared" ref="B256:B267" si="45">+J18</f>
        <v>1755.6959999999997</v>
      </c>
      <c r="C256" s="221">
        <f t="shared" ref="C256:C267" si="46">+J42</f>
        <v>0</v>
      </c>
      <c r="D256" s="221">
        <f t="shared" ref="D256:D267" si="47">+K18</f>
        <v>130.94999999999999</v>
      </c>
      <c r="E256" s="221">
        <f t="shared" ref="E256:E267" si="48">+K42</f>
        <v>0</v>
      </c>
      <c r="F256" s="210">
        <f t="shared" ref="F256:F267" si="49">+J69</f>
        <v>45.345300000000037</v>
      </c>
      <c r="G256" s="210">
        <f t="shared" ref="G256:G267" si="50">+J96</f>
        <v>0</v>
      </c>
      <c r="H256" s="222">
        <f t="shared" ref="H256:H267" si="51">+C122</f>
        <v>35.654446933875022</v>
      </c>
      <c r="I256" s="210">
        <f>0.35*$D$113*$D$114*(AA12-$J$275)*'Enf. convectivo nocturno'!G8</f>
        <v>0</v>
      </c>
      <c r="J256" s="220">
        <f t="shared" ref="J256:J267" si="52">+D149</f>
        <v>733.32</v>
      </c>
      <c r="K256" s="117">
        <f t="shared" ref="K256:K265" si="53">+F171</f>
        <v>40</v>
      </c>
      <c r="L256" s="213">
        <f t="shared" ref="L256:L267" si="54">+J212</f>
        <v>180</v>
      </c>
      <c r="M256" s="73"/>
      <c r="S256" s="73"/>
      <c r="T256" s="73"/>
      <c r="U256" s="73"/>
      <c r="V256" s="73"/>
      <c r="W256" s="73"/>
      <c r="X256" s="73"/>
      <c r="Y256" s="73"/>
      <c r="Z256" s="73"/>
      <c r="AA256" s="325"/>
      <c r="AB256" s="356">
        <f>SUM(B256:H256)</f>
        <v>1967.6457469338748</v>
      </c>
      <c r="AC256" s="330">
        <f>+SUM(J256:L256)</f>
        <v>953.32</v>
      </c>
      <c r="AD256" s="333">
        <f>+AC256+AB256</f>
        <v>2920.9657469338749</v>
      </c>
      <c r="AE256" s="330">
        <f t="shared" ref="AE256:AE267" si="55">+I256</f>
        <v>0</v>
      </c>
      <c r="AF256" s="330">
        <f t="shared" ref="AF256:AF267" si="56">SUM(B256:L256)</f>
        <v>2920.9657469338749</v>
      </c>
    </row>
    <row r="257" spans="1:32" x14ac:dyDescent="0.2">
      <c r="A257" s="102">
        <v>2</v>
      </c>
      <c r="B257" s="220">
        <f t="shared" si="45"/>
        <v>1386.3839999999998</v>
      </c>
      <c r="C257" s="221">
        <f t="shared" si="46"/>
        <v>0</v>
      </c>
      <c r="D257" s="221">
        <f t="shared" si="47"/>
        <v>130.94999999999999</v>
      </c>
      <c r="E257" s="221">
        <f t="shared" si="48"/>
        <v>0</v>
      </c>
      <c r="F257" s="210">
        <f t="shared" si="49"/>
        <v>-12.435150000000018</v>
      </c>
      <c r="G257" s="210">
        <f t="shared" si="50"/>
        <v>0</v>
      </c>
      <c r="H257" s="222">
        <f t="shared" si="51"/>
        <v>-9.7776042013125135</v>
      </c>
      <c r="I257" s="210">
        <f>0.35*$D$113*$D$114*(AA13-$J$275)*'Enf. convectivo nocturno'!G9</f>
        <v>-3443.0475492472501</v>
      </c>
      <c r="J257" s="220">
        <f t="shared" si="52"/>
        <v>733.32</v>
      </c>
      <c r="K257" s="117">
        <f t="shared" si="53"/>
        <v>40</v>
      </c>
      <c r="L257" s="213">
        <f t="shared" si="54"/>
        <v>180</v>
      </c>
      <c r="M257" s="73"/>
      <c r="S257" s="73"/>
      <c r="T257" s="73"/>
      <c r="U257" s="73"/>
      <c r="V257" s="73"/>
      <c r="W257" s="73"/>
      <c r="X257" s="73"/>
      <c r="Y257" s="73"/>
      <c r="Z257" s="73"/>
      <c r="AA257" s="325"/>
      <c r="AB257" s="356">
        <f t="shared" ref="AB257:AB266" si="57">SUM(B257:H257)</f>
        <v>1495.1212457986874</v>
      </c>
      <c r="AC257" s="330">
        <f t="shared" ref="AC257:AC266" si="58">+SUM(J257:L257)</f>
        <v>953.32</v>
      </c>
      <c r="AD257" s="333">
        <f t="shared" ref="AD257:AD266" si="59">+AC257+AB257</f>
        <v>2448.4412457986873</v>
      </c>
      <c r="AE257" s="330">
        <f t="shared" si="55"/>
        <v>-3443.0475492472501</v>
      </c>
      <c r="AF257" s="330">
        <f t="shared" si="56"/>
        <v>-994.60630344856281</v>
      </c>
    </row>
    <row r="258" spans="1:32" x14ac:dyDescent="0.2">
      <c r="A258" s="102">
        <v>4</v>
      </c>
      <c r="B258" s="220">
        <f t="shared" si="45"/>
        <v>1081.9199999999998</v>
      </c>
      <c r="C258" s="221">
        <f t="shared" si="46"/>
        <v>0</v>
      </c>
      <c r="D258" s="221">
        <f t="shared" si="47"/>
        <v>130.94999999999999</v>
      </c>
      <c r="E258" s="221">
        <f t="shared" si="48"/>
        <v>0</v>
      </c>
      <c r="F258" s="210">
        <f t="shared" si="49"/>
        <v>-70.21560000000008</v>
      </c>
      <c r="G258" s="210">
        <f t="shared" si="50"/>
        <v>0</v>
      </c>
      <c r="H258" s="222">
        <f t="shared" si="51"/>
        <v>-55.209655336500049</v>
      </c>
      <c r="I258" s="210">
        <f>0.35*$D$113*$D$114*(AA14-$J$275)*'Enf. convectivo nocturno'!G10</f>
        <v>-5078.6013901140013</v>
      </c>
      <c r="J258" s="220">
        <f t="shared" si="52"/>
        <v>733.32</v>
      </c>
      <c r="K258" s="117">
        <f t="shared" si="53"/>
        <v>40</v>
      </c>
      <c r="L258" s="213">
        <f t="shared" si="54"/>
        <v>180</v>
      </c>
      <c r="M258" s="73"/>
      <c r="S258" s="73"/>
      <c r="T258" s="73"/>
      <c r="U258" s="73"/>
      <c r="V258" s="73"/>
      <c r="W258" s="73"/>
      <c r="X258" s="73"/>
      <c r="Y258" s="73"/>
      <c r="Z258" s="73"/>
      <c r="AA258" s="325"/>
      <c r="AB258" s="356">
        <f t="shared" si="57"/>
        <v>1087.4447446634999</v>
      </c>
      <c r="AC258" s="330">
        <f t="shared" si="58"/>
        <v>953.32</v>
      </c>
      <c r="AD258" s="333">
        <f t="shared" si="59"/>
        <v>2040.7647446635001</v>
      </c>
      <c r="AE258" s="330">
        <f t="shared" si="55"/>
        <v>-5078.6013901140013</v>
      </c>
      <c r="AF258" s="330">
        <f t="shared" si="56"/>
        <v>-3037.8366454505012</v>
      </c>
    </row>
    <row r="259" spans="1:32" x14ac:dyDescent="0.2">
      <c r="A259" s="102">
        <v>6</v>
      </c>
      <c r="B259" s="220">
        <f t="shared" si="45"/>
        <v>1027.7759999999998</v>
      </c>
      <c r="C259" s="221">
        <f t="shared" si="46"/>
        <v>0</v>
      </c>
      <c r="D259" s="221">
        <f t="shared" si="47"/>
        <v>436.49999999999994</v>
      </c>
      <c r="E259" s="221">
        <f t="shared" si="48"/>
        <v>0</v>
      </c>
      <c r="F259" s="210">
        <f t="shared" si="49"/>
        <v>-109.2</v>
      </c>
      <c r="G259" s="210">
        <f t="shared" si="50"/>
        <v>153.81125760000003</v>
      </c>
      <c r="H259" s="222">
        <f t="shared" si="51"/>
        <v>-85.862605499999987</v>
      </c>
      <c r="I259" s="210">
        <f>0.35*$D$113*$D$114*(AA15-$J$275)*'Enf. convectivo nocturno'!G11</f>
        <v>-6182.1075959999989</v>
      </c>
      <c r="J259" s="220">
        <f t="shared" si="52"/>
        <v>733.32</v>
      </c>
      <c r="K259" s="117">
        <f t="shared" si="53"/>
        <v>40</v>
      </c>
      <c r="L259" s="213">
        <f t="shared" si="54"/>
        <v>628</v>
      </c>
      <c r="M259" s="73"/>
      <c r="S259" s="73"/>
      <c r="T259" s="73"/>
      <c r="U259" s="73"/>
      <c r="V259" s="73"/>
      <c r="W259" s="73"/>
      <c r="X259" s="73"/>
      <c r="Y259" s="73"/>
      <c r="Z259" s="73"/>
      <c r="AA259" s="325"/>
      <c r="AB259" s="356">
        <f t="shared" si="57"/>
        <v>1423.0246520999999</v>
      </c>
      <c r="AC259" s="330">
        <f t="shared" si="58"/>
        <v>1401.3200000000002</v>
      </c>
      <c r="AD259" s="333">
        <f t="shared" si="59"/>
        <v>2824.3446521000001</v>
      </c>
      <c r="AE259" s="330">
        <f t="shared" si="55"/>
        <v>-6182.1075959999989</v>
      </c>
      <c r="AF259" s="330">
        <f t="shared" si="56"/>
        <v>-3357.7629438999988</v>
      </c>
    </row>
    <row r="260" spans="1:32" x14ac:dyDescent="0.2">
      <c r="A260" s="102">
        <v>8</v>
      </c>
      <c r="B260" s="220">
        <f t="shared" si="45"/>
        <v>1098.4319999999998</v>
      </c>
      <c r="C260" s="221">
        <f t="shared" si="46"/>
        <v>0</v>
      </c>
      <c r="D260" s="221">
        <f t="shared" si="47"/>
        <v>436.49999999999994</v>
      </c>
      <c r="E260" s="221">
        <f t="shared" si="48"/>
        <v>0</v>
      </c>
      <c r="F260" s="210">
        <f t="shared" si="49"/>
        <v>-31.927349999999983</v>
      </c>
      <c r="G260" s="210">
        <f t="shared" si="50"/>
        <v>385.97919360000009</v>
      </c>
      <c r="H260" s="222">
        <f t="shared" si="51"/>
        <v>-25.104079283062482</v>
      </c>
      <c r="I260" s="210">
        <f>0.35*$D$113*$D$114*(AA16-$J$275)*'Enf. convectivo nocturno'!G12</f>
        <v>-3994.8006521902485</v>
      </c>
      <c r="J260" s="220">
        <f t="shared" si="52"/>
        <v>1047.6000000000001</v>
      </c>
      <c r="K260" s="117">
        <f t="shared" si="53"/>
        <v>108</v>
      </c>
      <c r="L260" s="213">
        <f t="shared" si="54"/>
        <v>643</v>
      </c>
      <c r="M260" s="73"/>
      <c r="S260" s="73"/>
      <c r="T260" s="73"/>
      <c r="U260" s="73"/>
      <c r="V260" s="73"/>
      <c r="W260" s="73"/>
      <c r="X260" s="73"/>
      <c r="Y260" s="73"/>
      <c r="Z260" s="73"/>
      <c r="AA260" s="325"/>
      <c r="AB260" s="356">
        <f t="shared" si="57"/>
        <v>1863.8797643169376</v>
      </c>
      <c r="AC260" s="330">
        <f t="shared" si="58"/>
        <v>1798.6000000000001</v>
      </c>
      <c r="AD260" s="333">
        <f t="shared" si="59"/>
        <v>3662.4797643169377</v>
      </c>
      <c r="AE260" s="330">
        <f t="shared" si="55"/>
        <v>-3994.8006521902485</v>
      </c>
      <c r="AF260" s="330">
        <f t="shared" si="56"/>
        <v>-332.32088787331054</v>
      </c>
    </row>
    <row r="261" spans="1:32" x14ac:dyDescent="0.2">
      <c r="A261" s="102">
        <v>10</v>
      </c>
      <c r="B261" s="220">
        <f t="shared" si="45"/>
        <v>1478.4479999999996</v>
      </c>
      <c r="C261" s="221">
        <f t="shared" si="46"/>
        <v>0</v>
      </c>
      <c r="D261" s="221">
        <f t="shared" si="47"/>
        <v>436.49999999999994</v>
      </c>
      <c r="E261" s="221">
        <f t="shared" si="48"/>
        <v>0</v>
      </c>
      <c r="F261" s="210">
        <f t="shared" si="49"/>
        <v>296.65545000000009</v>
      </c>
      <c r="G261" s="210">
        <f t="shared" si="50"/>
        <v>614.61019620000002</v>
      </c>
      <c r="H261" s="222">
        <f t="shared" si="51"/>
        <v>233.25650066643752</v>
      </c>
      <c r="I261" s="210">
        <f>0.35*$D$113*$D$114*(AA17-$J$275)*'Enf. convectivo nocturno'!G13</f>
        <v>0</v>
      </c>
      <c r="J261" s="220">
        <f t="shared" si="52"/>
        <v>628.56000000000006</v>
      </c>
      <c r="K261" s="117">
        <f t="shared" si="53"/>
        <v>72</v>
      </c>
      <c r="L261" s="213">
        <f t="shared" si="54"/>
        <v>268</v>
      </c>
      <c r="M261" s="73"/>
      <c r="S261" s="73"/>
      <c r="T261" s="73"/>
      <c r="U261" s="73"/>
      <c r="V261" s="73"/>
      <c r="W261" s="73"/>
      <c r="X261" s="73"/>
      <c r="Y261" s="73"/>
      <c r="Z261" s="73"/>
      <c r="AA261" s="325"/>
      <c r="AB261" s="356">
        <f t="shared" si="57"/>
        <v>3059.4701468664375</v>
      </c>
      <c r="AC261" s="330">
        <f t="shared" si="58"/>
        <v>968.56000000000006</v>
      </c>
      <c r="AD261" s="333">
        <f t="shared" si="59"/>
        <v>4028.0301468664375</v>
      </c>
      <c r="AE261" s="330">
        <f t="shared" si="55"/>
        <v>0</v>
      </c>
      <c r="AF261" s="330">
        <f t="shared" si="56"/>
        <v>4028.0301468664375</v>
      </c>
    </row>
    <row r="262" spans="1:32" x14ac:dyDescent="0.2">
      <c r="A262" s="102">
        <v>12</v>
      </c>
      <c r="B262" s="220">
        <f t="shared" si="45"/>
        <v>1867.5359999999996</v>
      </c>
      <c r="C262" s="221">
        <f t="shared" si="46"/>
        <v>0</v>
      </c>
      <c r="D262" s="221">
        <f t="shared" si="47"/>
        <v>480.14999999999992</v>
      </c>
      <c r="E262" s="221">
        <f t="shared" si="48"/>
        <v>0</v>
      </c>
      <c r="F262" s="210">
        <f t="shared" si="49"/>
        <v>490.18515000000008</v>
      </c>
      <c r="G262" s="210">
        <f t="shared" si="50"/>
        <v>631.41818740000019</v>
      </c>
      <c r="H262" s="222">
        <f t="shared" si="51"/>
        <v>385.42650326381244</v>
      </c>
      <c r="I262" s="210">
        <f>0.35*$D$113*$D$114*(AA18-$J$275)*'Enf. convectivo nocturno'!G14</f>
        <v>0</v>
      </c>
      <c r="J262" s="220">
        <f t="shared" si="52"/>
        <v>1319.9760000000001</v>
      </c>
      <c r="K262" s="117">
        <f t="shared" si="53"/>
        <v>0</v>
      </c>
      <c r="L262" s="213">
        <f t="shared" si="54"/>
        <v>1768</v>
      </c>
      <c r="M262" s="73"/>
      <c r="S262" s="73"/>
      <c r="T262" s="73"/>
      <c r="U262" s="73"/>
      <c r="V262" s="73"/>
      <c r="W262" s="73"/>
      <c r="X262" s="73"/>
      <c r="Y262" s="73"/>
      <c r="Z262" s="73"/>
      <c r="AA262" s="325"/>
      <c r="AB262" s="356">
        <f t="shared" si="57"/>
        <v>3854.7158406638123</v>
      </c>
      <c r="AC262" s="330">
        <f t="shared" si="58"/>
        <v>3087.9760000000001</v>
      </c>
      <c r="AD262" s="333">
        <f t="shared" si="59"/>
        <v>6942.6918406638124</v>
      </c>
      <c r="AE262" s="330">
        <f t="shared" si="55"/>
        <v>0</v>
      </c>
      <c r="AF262" s="330">
        <f t="shared" si="56"/>
        <v>6942.6918406638124</v>
      </c>
    </row>
    <row r="263" spans="1:32" x14ac:dyDescent="0.2">
      <c r="A263" s="102">
        <v>14</v>
      </c>
      <c r="B263" s="220">
        <f t="shared" si="45"/>
        <v>2332.7279999999996</v>
      </c>
      <c r="C263" s="221">
        <f t="shared" si="46"/>
        <v>0</v>
      </c>
      <c r="D263" s="221">
        <f t="shared" si="47"/>
        <v>742.05</v>
      </c>
      <c r="E263" s="221">
        <f t="shared" si="48"/>
        <v>0</v>
      </c>
      <c r="F263" s="210">
        <f t="shared" si="49"/>
        <v>586.95000000000005</v>
      </c>
      <c r="G263" s="210">
        <f t="shared" si="50"/>
        <v>614.61019620000013</v>
      </c>
      <c r="H263" s="222">
        <f t="shared" si="51"/>
        <v>461.51150456249991</v>
      </c>
      <c r="I263" s="210">
        <f>0.35*$D$113*$D$114*(AA19-$J$275)*'Enf. convectivo nocturno'!G15</f>
        <v>0</v>
      </c>
      <c r="J263" s="220">
        <f t="shared" si="52"/>
        <v>628.56000000000006</v>
      </c>
      <c r="K263" s="117">
        <f t="shared" si="53"/>
        <v>0</v>
      </c>
      <c r="L263" s="213">
        <f t="shared" si="54"/>
        <v>584</v>
      </c>
      <c r="M263" s="73"/>
      <c r="S263" s="73"/>
      <c r="T263" s="73"/>
      <c r="U263" s="73"/>
      <c r="V263" s="73"/>
      <c r="W263" s="73"/>
      <c r="X263" s="73"/>
      <c r="Y263" s="73"/>
      <c r="Z263" s="73"/>
      <c r="AA263" s="325"/>
      <c r="AB263" s="356">
        <f t="shared" si="57"/>
        <v>4737.8497007624992</v>
      </c>
      <c r="AC263" s="330">
        <f t="shared" si="58"/>
        <v>1212.56</v>
      </c>
      <c r="AD263" s="333">
        <f t="shared" si="59"/>
        <v>5950.4097007624987</v>
      </c>
      <c r="AE263" s="330">
        <f t="shared" si="55"/>
        <v>0</v>
      </c>
      <c r="AF263" s="330">
        <f t="shared" si="56"/>
        <v>5950.4097007624996</v>
      </c>
    </row>
    <row r="264" spans="1:32" x14ac:dyDescent="0.2">
      <c r="A264" s="102">
        <v>16</v>
      </c>
      <c r="B264" s="220">
        <f t="shared" si="45"/>
        <v>2459.6159999999995</v>
      </c>
      <c r="C264" s="221">
        <f t="shared" si="46"/>
        <v>0</v>
      </c>
      <c r="D264" s="221">
        <f t="shared" si="47"/>
        <v>872.99999999999989</v>
      </c>
      <c r="E264" s="221">
        <f t="shared" si="48"/>
        <v>0</v>
      </c>
      <c r="F264" s="210">
        <f t="shared" si="49"/>
        <v>529.16954999999996</v>
      </c>
      <c r="G264" s="210">
        <f t="shared" si="50"/>
        <v>385.97919360000003</v>
      </c>
      <c r="H264" s="222">
        <f t="shared" si="51"/>
        <v>416.07945342731239</v>
      </c>
      <c r="I264" s="210">
        <f>0.35*$D$113*$D$114*(AA20-$J$275)*'Enf. convectivo nocturno'!G16</f>
        <v>0</v>
      </c>
      <c r="J264" s="220">
        <f t="shared" si="52"/>
        <v>628.56000000000006</v>
      </c>
      <c r="K264" s="117">
        <f t="shared" si="53"/>
        <v>0</v>
      </c>
      <c r="L264" s="213">
        <f t="shared" si="54"/>
        <v>584</v>
      </c>
      <c r="M264" s="73"/>
      <c r="S264" s="73"/>
      <c r="T264" s="73"/>
      <c r="U264" s="73"/>
      <c r="V264" s="73"/>
      <c r="W264" s="73"/>
      <c r="X264" s="73"/>
      <c r="Y264" s="73"/>
      <c r="Z264" s="73"/>
      <c r="AA264" s="325"/>
      <c r="AB264" s="356">
        <f t="shared" si="57"/>
        <v>4663.8441970273125</v>
      </c>
      <c r="AC264" s="330">
        <f t="shared" si="58"/>
        <v>1212.56</v>
      </c>
      <c r="AD264" s="333">
        <f t="shared" si="59"/>
        <v>5876.404197027312</v>
      </c>
      <c r="AE264" s="330">
        <f t="shared" si="55"/>
        <v>0</v>
      </c>
      <c r="AF264" s="330">
        <f t="shared" si="56"/>
        <v>5876.4041970273129</v>
      </c>
    </row>
    <row r="265" spans="1:32" x14ac:dyDescent="0.2">
      <c r="A265" s="102">
        <v>18</v>
      </c>
      <c r="B265" s="220">
        <f t="shared" si="45"/>
        <v>2631.4799999999996</v>
      </c>
      <c r="C265" s="221">
        <f t="shared" si="46"/>
        <v>0</v>
      </c>
      <c r="D265" s="221">
        <f t="shared" si="47"/>
        <v>1003.9499999999998</v>
      </c>
      <c r="E265" s="221">
        <f t="shared" si="48"/>
        <v>0</v>
      </c>
      <c r="F265" s="210">
        <f t="shared" si="49"/>
        <v>373.92810000000014</v>
      </c>
      <c r="G265" s="210">
        <f t="shared" si="50"/>
        <v>153.81125760000003</v>
      </c>
      <c r="H265" s="222">
        <f t="shared" si="51"/>
        <v>294.01502688337501</v>
      </c>
      <c r="I265" s="210">
        <f>0.35*$D$113*$D$114*(AA21-$J$275)*'Enf. convectivo nocturno'!G17</f>
        <v>0</v>
      </c>
      <c r="J265" s="220">
        <f t="shared" si="52"/>
        <v>628.56000000000006</v>
      </c>
      <c r="K265" s="117">
        <f t="shared" si="53"/>
        <v>72</v>
      </c>
      <c r="L265" s="213">
        <f t="shared" si="54"/>
        <v>959</v>
      </c>
      <c r="M265" s="73"/>
      <c r="S265" s="73"/>
      <c r="T265" s="73"/>
      <c r="U265" s="73"/>
      <c r="V265" s="73"/>
      <c r="W265" s="73"/>
      <c r="X265" s="73"/>
      <c r="Y265" s="73"/>
      <c r="Z265" s="73"/>
      <c r="AA265" s="325"/>
      <c r="AB265" s="356">
        <f t="shared" si="57"/>
        <v>4457.1843844833747</v>
      </c>
      <c r="AC265" s="330">
        <f t="shared" si="58"/>
        <v>1659.56</v>
      </c>
      <c r="AD265" s="333">
        <f t="shared" si="59"/>
        <v>6116.7443844833742</v>
      </c>
      <c r="AE265" s="330">
        <f t="shared" si="55"/>
        <v>0</v>
      </c>
      <c r="AF265" s="330">
        <f t="shared" si="56"/>
        <v>6116.7443844833751</v>
      </c>
    </row>
    <row r="266" spans="1:32" x14ac:dyDescent="0.2">
      <c r="A266" s="102">
        <v>20</v>
      </c>
      <c r="B266" s="220">
        <f t="shared" si="45"/>
        <v>2898.3119999999994</v>
      </c>
      <c r="C266" s="221">
        <f t="shared" si="46"/>
        <v>0</v>
      </c>
      <c r="D266" s="221">
        <f t="shared" si="47"/>
        <v>960.29999999999984</v>
      </c>
      <c r="E266" s="221">
        <f t="shared" si="48"/>
        <v>0</v>
      </c>
      <c r="F266" s="210">
        <f t="shared" si="49"/>
        <v>199.89060000000006</v>
      </c>
      <c r="G266" s="210">
        <f t="shared" si="50"/>
        <v>0</v>
      </c>
      <c r="H266" s="222">
        <f t="shared" si="51"/>
        <v>157.17149936775004</v>
      </c>
      <c r="I266" s="210">
        <f>0.35*$D$113*$D$114*(AA22-$J$275)*'Enf. convectivo nocturno'!G18</f>
        <v>0</v>
      </c>
      <c r="J266" s="220">
        <f t="shared" si="52"/>
        <v>1047.6000000000001</v>
      </c>
      <c r="K266" s="117">
        <f>+F182</f>
        <v>148</v>
      </c>
      <c r="L266" s="213">
        <f t="shared" si="54"/>
        <v>584</v>
      </c>
      <c r="M266" s="73"/>
      <c r="S266" s="73"/>
      <c r="T266" s="73"/>
      <c r="U266" s="73"/>
      <c r="V266" s="73"/>
      <c r="W266" s="73"/>
      <c r="X266" s="73"/>
      <c r="Y266" s="73"/>
      <c r="Z266" s="73"/>
      <c r="AA266" s="325"/>
      <c r="AB266" s="356">
        <f t="shared" si="57"/>
        <v>4215.6740993677495</v>
      </c>
      <c r="AC266" s="330">
        <f t="shared" si="58"/>
        <v>1779.6000000000001</v>
      </c>
      <c r="AD266" s="333">
        <f t="shared" si="59"/>
        <v>5995.2740993677498</v>
      </c>
      <c r="AE266" s="330">
        <f t="shared" si="55"/>
        <v>0</v>
      </c>
      <c r="AF266" s="330">
        <f t="shared" si="56"/>
        <v>5995.2740993677498</v>
      </c>
    </row>
    <row r="267" spans="1:32" x14ac:dyDescent="0.2">
      <c r="A267" s="96">
        <v>22</v>
      </c>
      <c r="B267" s="223">
        <f t="shared" si="45"/>
        <v>2570.7119999999995</v>
      </c>
      <c r="C267" s="224">
        <f t="shared" si="46"/>
        <v>0</v>
      </c>
      <c r="D267" s="224">
        <f t="shared" si="47"/>
        <v>916.64999999999986</v>
      </c>
      <c r="E267" s="224">
        <f t="shared" si="48"/>
        <v>0</v>
      </c>
      <c r="F267" s="225">
        <f t="shared" si="49"/>
        <v>105.91035000000002</v>
      </c>
      <c r="G267" s="225">
        <f t="shared" si="50"/>
        <v>0</v>
      </c>
      <c r="H267" s="226">
        <f t="shared" si="51"/>
        <v>83.275994509312497</v>
      </c>
      <c r="I267" s="210">
        <f>0.35*$D$113*$D$114*(AA23-$J$275)*'Enf. convectivo nocturno'!G19</f>
        <v>0</v>
      </c>
      <c r="J267" s="223">
        <f t="shared" si="52"/>
        <v>838.08000000000015</v>
      </c>
      <c r="K267" s="117">
        <f>+F183</f>
        <v>672</v>
      </c>
      <c r="L267" s="216">
        <f t="shared" si="54"/>
        <v>3540</v>
      </c>
      <c r="M267" s="73"/>
      <c r="S267" s="73"/>
      <c r="T267" s="73"/>
      <c r="U267" s="73"/>
      <c r="V267" s="73"/>
      <c r="W267" s="73"/>
      <c r="X267" s="73"/>
      <c r="Y267" s="73"/>
      <c r="Z267" s="73"/>
      <c r="AA267" s="325"/>
      <c r="AB267" s="357">
        <f>SUM(B267:H267)</f>
        <v>3676.5483445093118</v>
      </c>
      <c r="AC267" s="326">
        <f>+SUM(J267:L267)</f>
        <v>5050.08</v>
      </c>
      <c r="AD267" s="333">
        <f>+AC267+AB267</f>
        <v>8726.6283445093122</v>
      </c>
      <c r="AE267" s="326">
        <f t="shared" si="55"/>
        <v>0</v>
      </c>
      <c r="AF267" s="326">
        <f t="shared" si="56"/>
        <v>8726.6283445093122</v>
      </c>
    </row>
    <row r="268" spans="1:32" x14ac:dyDescent="0.2">
      <c r="A268" s="92"/>
      <c r="B268" s="219"/>
      <c r="C268" s="219"/>
      <c r="D268" s="219"/>
      <c r="E268" s="219"/>
      <c r="F268" s="219"/>
      <c r="G268" s="219"/>
      <c r="H268" s="219"/>
      <c r="I268" s="219"/>
      <c r="J268" s="219"/>
      <c r="K268" s="219"/>
      <c r="L268" s="214"/>
      <c r="M268" s="73"/>
      <c r="S268" s="73"/>
      <c r="T268" s="73"/>
      <c r="U268" s="73"/>
      <c r="V268" s="73"/>
      <c r="W268" s="73"/>
      <c r="X268" s="73"/>
      <c r="Y268" s="73"/>
      <c r="Z268" s="73"/>
      <c r="AA268" s="325"/>
      <c r="AB268" s="358"/>
      <c r="AC268" s="330"/>
      <c r="AD268" s="332"/>
      <c r="AE268" s="331"/>
      <c r="AF268" s="330"/>
    </row>
    <row r="269" spans="1:32" x14ac:dyDescent="0.2">
      <c r="A269" s="102" t="s">
        <v>530</v>
      </c>
      <c r="B269" s="210">
        <f t="shared" ref="B269:L269" si="60">SUM(B256:B267)</f>
        <v>22589.039999999994</v>
      </c>
      <c r="C269" s="210">
        <f t="shared" si="60"/>
        <v>0</v>
      </c>
      <c r="D269" s="210">
        <f t="shared" si="60"/>
        <v>6678.45</v>
      </c>
      <c r="E269" s="210">
        <f t="shared" si="60"/>
        <v>0</v>
      </c>
      <c r="F269" s="210">
        <f t="shared" si="60"/>
        <v>2404.2564000000007</v>
      </c>
      <c r="G269" s="210">
        <f t="shared" si="60"/>
        <v>2940.2194822000006</v>
      </c>
      <c r="H269" s="210">
        <f t="shared" si="60"/>
        <v>1890.4369852934999</v>
      </c>
      <c r="I269" s="210">
        <f t="shared" si="60"/>
        <v>-18698.557187551502</v>
      </c>
      <c r="J269" s="210">
        <f t="shared" si="60"/>
        <v>9700.7760000000017</v>
      </c>
      <c r="K269" s="210">
        <f t="shared" si="60"/>
        <v>1232</v>
      </c>
      <c r="L269" s="222">
        <f t="shared" si="60"/>
        <v>10098</v>
      </c>
      <c r="M269" s="73"/>
      <c r="S269" s="73"/>
      <c r="T269" s="73"/>
      <c r="U269" s="73"/>
      <c r="V269" s="73"/>
      <c r="W269" s="73"/>
      <c r="X269" s="73"/>
      <c r="Y269" s="73"/>
      <c r="Z269" s="73"/>
      <c r="AA269" s="325"/>
      <c r="AB269" s="359">
        <f>SUM(AB256:AB267)</f>
        <v>36502.402867493496</v>
      </c>
      <c r="AC269" s="326">
        <f>SUM(AC256:AC267)</f>
        <v>21030.775999999998</v>
      </c>
      <c r="AD269" s="326">
        <f>SUM(AD256:AD267)</f>
        <v>57533.178867493501</v>
      </c>
      <c r="AE269" s="326">
        <f>SUM(AE256:AE267)</f>
        <v>-18698.557187551502</v>
      </c>
      <c r="AF269" s="326">
        <f>SUM(AF256:AF267)</f>
        <v>38834.621679942007</v>
      </c>
    </row>
    <row r="270" spans="1:32" x14ac:dyDescent="0.2">
      <c r="A270" s="96" t="s">
        <v>77</v>
      </c>
      <c r="B270" s="227">
        <f t="shared" ref="B270:H270" si="61">+B269/$AD$269</f>
        <v>0.39262631484391869</v>
      </c>
      <c r="C270" s="227">
        <f t="shared" si="61"/>
        <v>0</v>
      </c>
      <c r="D270" s="227">
        <f t="shared" si="61"/>
        <v>0.11607997561513768</v>
      </c>
      <c r="E270" s="227">
        <f t="shared" si="61"/>
        <v>0</v>
      </c>
      <c r="F270" s="227">
        <f t="shared" si="61"/>
        <v>4.1789041511808692E-2</v>
      </c>
      <c r="G270" s="227">
        <f>+G269/$AD$269</f>
        <v>5.1104763200582291E-2</v>
      </c>
      <c r="H270" s="227">
        <f t="shared" si="61"/>
        <v>3.2858204995893335E-2</v>
      </c>
      <c r="I270" s="227"/>
      <c r="J270" s="227">
        <f>+J269/$AD$269</f>
        <v>0.1686118547758706</v>
      </c>
      <c r="K270" s="227">
        <f>+K269/$AD$269</f>
        <v>2.1413730724621674E-2</v>
      </c>
      <c r="L270" s="227">
        <f>+L269/$AD$269</f>
        <v>0.17551611433216693</v>
      </c>
      <c r="M270" s="73"/>
      <c r="N270" s="207"/>
      <c r="O270" s="207"/>
      <c r="P270" s="207"/>
      <c r="Q270" s="207"/>
      <c r="S270" s="73"/>
      <c r="T270" s="73"/>
      <c r="U270" s="73"/>
      <c r="V270" s="73"/>
      <c r="W270" s="73"/>
      <c r="X270" s="73"/>
      <c r="Y270" s="73"/>
      <c r="Z270" s="73"/>
      <c r="AA270" s="325"/>
      <c r="AB270" s="360"/>
      <c r="AC270" s="167"/>
      <c r="AD270" s="167"/>
      <c r="AE270" s="167"/>
      <c r="AF270" s="167"/>
    </row>
    <row r="271" spans="1:32" x14ac:dyDescent="0.2">
      <c r="A271" s="80" t="s">
        <v>225</v>
      </c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</row>
    <row r="272" spans="1:32" ht="13.5" thickBot="1" x14ac:dyDescent="0.25">
      <c r="A272" s="80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</row>
    <row r="273" spans="1:27" x14ac:dyDescent="0.2">
      <c r="A273" s="251" t="s">
        <v>226</v>
      </c>
      <c r="B273" s="244"/>
      <c r="C273" s="244"/>
      <c r="D273" s="252">
        <f>MAX(AF256:AF267)</f>
        <v>8726.6283445093122</v>
      </c>
      <c r="E273" s="245" t="s">
        <v>407</v>
      </c>
      <c r="F273" s="584" t="s">
        <v>716</v>
      </c>
      <c r="G273" s="585"/>
      <c r="H273" s="586"/>
      <c r="I273" s="590" t="s">
        <v>717</v>
      </c>
      <c r="J273" s="591"/>
      <c r="K273" s="592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</row>
    <row r="274" spans="1:27" x14ac:dyDescent="0.2">
      <c r="A274" s="65" t="s">
        <v>291</v>
      </c>
      <c r="B274" s="88"/>
      <c r="C274" s="88"/>
      <c r="D274" s="253">
        <f>+D273*3600/4186</f>
        <v>7504.9837649865076</v>
      </c>
      <c r="E274" s="247" t="s">
        <v>227</v>
      </c>
      <c r="F274" s="587"/>
      <c r="G274" s="588"/>
      <c r="H274" s="589"/>
      <c r="I274" s="593"/>
      <c r="J274" s="594"/>
      <c r="K274" s="595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</row>
    <row r="275" spans="1:27" ht="13.5" thickBot="1" x14ac:dyDescent="0.25">
      <c r="A275" s="254" t="s">
        <v>292</v>
      </c>
      <c r="B275" s="255"/>
      <c r="C275" s="255"/>
      <c r="D275" s="256">
        <f>+D274/3000</f>
        <v>2.5016612549955024</v>
      </c>
      <c r="E275" s="250" t="s">
        <v>228</v>
      </c>
      <c r="F275" s="248"/>
      <c r="G275" s="268">
        <v>23</v>
      </c>
      <c r="H275" s="250" t="s">
        <v>99</v>
      </c>
      <c r="I275" s="248"/>
      <c r="J275" s="268">
        <v>25</v>
      </c>
      <c r="K275" s="250" t="s">
        <v>99</v>
      </c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</row>
    <row r="276" spans="1:27" x14ac:dyDescent="0.2">
      <c r="A276" s="80"/>
      <c r="B276" s="73"/>
      <c r="C276" s="73"/>
      <c r="D276" s="73"/>
      <c r="E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</row>
    <row r="277" spans="1:27" x14ac:dyDescent="0.2">
      <c r="A277" s="80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</row>
    <row r="278" spans="1:27" x14ac:dyDescent="0.2">
      <c r="A278" s="80"/>
      <c r="B278" s="73"/>
      <c r="C278" s="73" t="s">
        <v>2</v>
      </c>
      <c r="D278" s="80" t="s">
        <v>2</v>
      </c>
      <c r="E278" s="80" t="s">
        <v>2</v>
      </c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</row>
    <row r="279" spans="1:27" x14ac:dyDescent="0.2">
      <c r="A279" s="80"/>
      <c r="B279" s="208" t="s">
        <v>141</v>
      </c>
      <c r="C279" s="81" t="s">
        <v>6</v>
      </c>
      <c r="D279" s="80" t="s">
        <v>582</v>
      </c>
      <c r="E279" s="80" t="s">
        <v>581</v>
      </c>
      <c r="F279" s="208" t="s">
        <v>217</v>
      </c>
      <c r="G279" s="208" t="s">
        <v>214</v>
      </c>
      <c r="H279" s="208" t="s">
        <v>215</v>
      </c>
      <c r="I279" s="208" t="s">
        <v>216</v>
      </c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</row>
    <row r="280" spans="1:27" x14ac:dyDescent="0.2">
      <c r="A280" s="73"/>
      <c r="B280" s="73"/>
      <c r="C280" s="73"/>
      <c r="D280" s="73"/>
      <c r="E280" s="73"/>
      <c r="F280" s="73"/>
      <c r="G280" s="73"/>
      <c r="H280" s="73"/>
      <c r="I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</row>
    <row r="281" spans="1:27" x14ac:dyDescent="0.2">
      <c r="A281" s="73"/>
      <c r="B281" s="211">
        <f>+B269+C269</f>
        <v>22589.039999999994</v>
      </c>
      <c r="C281" s="211">
        <f>+D269+E269</f>
        <v>6678.45</v>
      </c>
      <c r="D281" s="211">
        <f t="shared" ref="D281:F282" si="62">+F269</f>
        <v>2404.2564000000007</v>
      </c>
      <c r="E281" s="211">
        <f t="shared" si="62"/>
        <v>2940.2194822000006</v>
      </c>
      <c r="F281" s="211">
        <f t="shared" si="62"/>
        <v>1890.4369852934999</v>
      </c>
      <c r="G281" s="211">
        <f t="shared" ref="G281:I282" si="63">+J269</f>
        <v>9700.7760000000017</v>
      </c>
      <c r="H281" s="211">
        <f t="shared" si="63"/>
        <v>1232</v>
      </c>
      <c r="I281" s="211">
        <f t="shared" si="63"/>
        <v>10098</v>
      </c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</row>
    <row r="282" spans="1:27" x14ac:dyDescent="0.2">
      <c r="A282" s="73"/>
      <c r="B282" s="335">
        <f>+B270+C270</f>
        <v>0.39262631484391869</v>
      </c>
      <c r="C282" s="335">
        <f>+D270+E270</f>
        <v>0.11607997561513768</v>
      </c>
      <c r="D282" s="335">
        <f t="shared" si="62"/>
        <v>4.1789041511808692E-2</v>
      </c>
      <c r="E282" s="335">
        <f t="shared" si="62"/>
        <v>5.1104763200582291E-2</v>
      </c>
      <c r="F282" s="335">
        <f t="shared" si="62"/>
        <v>3.2858204995893335E-2</v>
      </c>
      <c r="G282" s="335">
        <f t="shared" si="63"/>
        <v>0.1686118547758706</v>
      </c>
      <c r="H282" s="335">
        <f t="shared" si="63"/>
        <v>2.1413730724621674E-2</v>
      </c>
      <c r="I282" s="335">
        <f t="shared" si="63"/>
        <v>0.17551611433216693</v>
      </c>
      <c r="J282" s="336">
        <f>SUM(B282:I282)</f>
        <v>1</v>
      </c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</row>
    <row r="283" spans="1:27" x14ac:dyDescent="0.2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</row>
    <row r="284" spans="1:27" x14ac:dyDescent="0.2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</row>
    <row r="285" spans="1:27" x14ac:dyDescent="0.2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</row>
    <row r="286" spans="1:27" x14ac:dyDescent="0.2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</row>
    <row r="287" spans="1:27" x14ac:dyDescent="0.2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</row>
    <row r="288" spans="1:27" x14ac:dyDescent="0.2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</row>
    <row r="289" spans="1:27" x14ac:dyDescent="0.2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</row>
    <row r="290" spans="1:27" x14ac:dyDescent="0.2">
      <c r="A290" s="73"/>
      <c r="B290" s="73"/>
      <c r="C290" s="73"/>
      <c r="D290" s="73"/>
      <c r="E290" s="73"/>
      <c r="F290" s="73"/>
      <c r="G290" s="8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</row>
    <row r="291" spans="1:27" x14ac:dyDescent="0.2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</row>
    <row r="292" spans="1:27" x14ac:dyDescent="0.2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</row>
    <row r="293" spans="1:27" x14ac:dyDescent="0.2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</row>
    <row r="294" spans="1:27" x14ac:dyDescent="0.2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</row>
    <row r="295" spans="1:27" x14ac:dyDescent="0.2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</row>
    <row r="296" spans="1:27" x14ac:dyDescent="0.2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</row>
    <row r="297" spans="1:27" x14ac:dyDescent="0.2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</row>
    <row r="298" spans="1:27" x14ac:dyDescent="0.2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</row>
    <row r="299" spans="1:27" x14ac:dyDescent="0.2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</row>
    <row r="300" spans="1:27" x14ac:dyDescent="0.2">
      <c r="A300" s="80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</row>
    <row r="301" spans="1:27" x14ac:dyDescent="0.2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</row>
    <row r="302" spans="1:27" x14ac:dyDescent="0.2">
      <c r="A302" s="80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</row>
    <row r="303" spans="1:27" x14ac:dyDescent="0.2">
      <c r="A303" s="80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</row>
    <row r="304" spans="1:27" x14ac:dyDescent="0.2">
      <c r="A304" s="80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</row>
    <row r="305" spans="1:27" x14ac:dyDescent="0.2">
      <c r="A305" s="80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</row>
    <row r="306" spans="1:27" x14ac:dyDescent="0.2">
      <c r="A306" s="80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</row>
    <row r="307" spans="1:27" x14ac:dyDescent="0.2">
      <c r="A307" s="80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</row>
    <row r="308" spans="1:27" x14ac:dyDescent="0.2">
      <c r="A308" s="80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</row>
    <row r="309" spans="1:27" x14ac:dyDescent="0.2"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</row>
    <row r="310" spans="1:27" x14ac:dyDescent="0.2"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</row>
    <row r="311" spans="1:27" x14ac:dyDescent="0.2"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</row>
    <row r="312" spans="1:27" x14ac:dyDescent="0.2"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</row>
  </sheetData>
  <mergeCells count="3">
    <mergeCell ref="AC140:AC141"/>
    <mergeCell ref="F273:H274"/>
    <mergeCell ref="I273:K274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30"/>
  <sheetViews>
    <sheetView workbookViewId="0">
      <selection activeCell="B17" sqref="B17"/>
    </sheetView>
  </sheetViews>
  <sheetFormatPr baseColWidth="10" defaultRowHeight="12.75" x14ac:dyDescent="0.2"/>
  <cols>
    <col min="1" max="1" width="15" customWidth="1"/>
    <col min="8" max="8" width="12.140625" bestFit="1" customWidth="1"/>
  </cols>
  <sheetData>
    <row r="1" spans="1:1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2">
      <c r="A2" s="87" t="s">
        <v>353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">
      <c r="A3" s="274" t="s">
        <v>575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x14ac:dyDescent="0.2">
      <c r="A4" s="274"/>
      <c r="B4" s="87"/>
      <c r="C4" s="87"/>
      <c r="D4" s="87"/>
      <c r="E4" s="167"/>
      <c r="F4" s="87" t="s">
        <v>354</v>
      </c>
      <c r="G4" s="87"/>
      <c r="H4" s="87"/>
      <c r="I4" s="334">
        <f>+'Balance enfriamiento'!AD269</f>
        <v>57533.178867493501</v>
      </c>
      <c r="J4" s="87" t="s">
        <v>454</v>
      </c>
      <c r="K4" s="88"/>
    </row>
    <row r="5" spans="1:11" x14ac:dyDescent="0.2">
      <c r="A5" s="88" t="s">
        <v>355</v>
      </c>
      <c r="B5" s="88"/>
      <c r="C5" s="88"/>
      <c r="D5" s="88"/>
      <c r="E5" s="167"/>
      <c r="F5" s="88"/>
      <c r="G5" s="88"/>
      <c r="H5" s="88"/>
      <c r="I5" s="88"/>
      <c r="J5" s="88"/>
      <c r="K5" s="88"/>
    </row>
    <row r="6" spans="1:11" x14ac:dyDescent="0.2">
      <c r="A6" s="88" t="s">
        <v>469</v>
      </c>
      <c r="B6" s="88"/>
      <c r="C6" s="88"/>
      <c r="D6" s="88"/>
      <c r="E6" s="167"/>
      <c r="F6" s="87" t="s">
        <v>536</v>
      </c>
      <c r="G6" s="87"/>
      <c r="H6" s="87"/>
      <c r="I6" s="88"/>
      <c r="J6" s="88"/>
      <c r="K6" s="88"/>
    </row>
    <row r="7" spans="1:11" x14ac:dyDescent="0.2">
      <c r="A7" s="88"/>
      <c r="B7" s="88"/>
      <c r="C7" s="88"/>
      <c r="D7" s="88"/>
      <c r="E7" s="167"/>
      <c r="F7" s="87" t="s">
        <v>188</v>
      </c>
      <c r="G7" s="87" t="s">
        <v>211</v>
      </c>
      <c r="H7" s="87" t="s">
        <v>537</v>
      </c>
      <c r="I7" s="88"/>
      <c r="J7" s="88"/>
      <c r="K7" s="88"/>
    </row>
    <row r="8" spans="1:11" x14ac:dyDescent="0.2">
      <c r="A8" s="88" t="s">
        <v>471</v>
      </c>
      <c r="B8" s="88"/>
      <c r="C8" s="88"/>
      <c r="D8" s="88"/>
      <c r="E8" s="167"/>
      <c r="F8" s="117">
        <v>0</v>
      </c>
      <c r="G8" s="117">
        <f>IF((0.35*'Balance enfriamiento'!$D$113*'Balance enfriamiento'!$D$114*('Balance enfriamiento'!AA12-'Balance enfriamiento'!$G$275))&lt;0,($B$16),0)</f>
        <v>0</v>
      </c>
      <c r="H8" s="90">
        <f>IF((0.35*'Balance enfriamiento'!$D$113*'Balance enfriamiento'!$D$114*('Balance enfriamiento'!AA12-'Balance enfriamiento'!$J$275)*G8)&lt;0,(0.35*'Balance enfriamiento'!$D$113*'Balance enfriamiento'!$D$114*('Balance enfriamiento'!AA12-'Balance enfriamiento'!$J$275)*G8),0)</f>
        <v>0</v>
      </c>
      <c r="I8" s="88" t="s">
        <v>224</v>
      </c>
      <c r="J8" s="88"/>
      <c r="K8" s="88"/>
    </row>
    <row r="9" spans="1:11" x14ac:dyDescent="0.2">
      <c r="A9" s="88" t="s">
        <v>470</v>
      </c>
      <c r="B9" s="88"/>
      <c r="C9" s="88"/>
      <c r="D9" s="88"/>
      <c r="E9" s="167"/>
      <c r="F9" s="117">
        <v>2</v>
      </c>
      <c r="G9" s="117">
        <f>IF((0.35*'Balance enfriamiento'!$D$113*'Balance enfriamiento'!$D$114*('Balance enfriamiento'!AA13-'Balance enfriamiento'!$G$275))&lt;0,($B$16),0)</f>
        <v>18</v>
      </c>
      <c r="H9" s="90">
        <f>IF((0.35*'Balance enfriamiento'!$D$113*'Balance enfriamiento'!$D$114*('Balance enfriamiento'!AA13-'Balance enfriamiento'!$J$275)*G9)&lt;0,(0.35*'Balance enfriamiento'!$D$113*'Balance enfriamiento'!$D$114*('Balance enfriamiento'!AA13-'Balance enfriamiento'!$J$275)*G9),0)</f>
        <v>-3443.0475492472501</v>
      </c>
      <c r="I9" s="88" t="s">
        <v>224</v>
      </c>
      <c r="J9" s="88"/>
      <c r="K9" s="88"/>
    </row>
    <row r="10" spans="1:11" x14ac:dyDescent="0.2">
      <c r="A10" s="88"/>
      <c r="B10" s="88"/>
      <c r="C10" s="88"/>
      <c r="D10" s="88"/>
      <c r="E10" s="167"/>
      <c r="F10" s="117">
        <v>4</v>
      </c>
      <c r="G10" s="117">
        <f>IF((0.35*'Balance enfriamiento'!$D$113*'Balance enfriamiento'!$D$114*('Balance enfriamiento'!AA14-'Balance enfriamiento'!$G$275))&lt;0,($B$16),0)</f>
        <v>18</v>
      </c>
      <c r="H10" s="90">
        <f>IF((0.35*'Balance enfriamiento'!$D$113*'Balance enfriamiento'!$D$114*('Balance enfriamiento'!AA14-'Balance enfriamiento'!$J$275)*G10)&lt;0,(0.35*'Balance enfriamiento'!$D$113*'Balance enfriamiento'!$D$114*('Balance enfriamiento'!AA14-'Balance enfriamiento'!$J$275)*G10),0)</f>
        <v>-5078.6013901140013</v>
      </c>
      <c r="I10" s="88" t="s">
        <v>224</v>
      </c>
      <c r="J10" s="88"/>
      <c r="K10" s="88"/>
    </row>
    <row r="11" spans="1:11" x14ac:dyDescent="0.2">
      <c r="A11" s="274" t="s">
        <v>554</v>
      </c>
      <c r="B11" s="88"/>
      <c r="C11" s="88"/>
      <c r="D11" s="88"/>
      <c r="E11" s="167"/>
      <c r="F11" s="117">
        <v>6</v>
      </c>
      <c r="G11" s="117">
        <f>IF((0.35*'Balance enfriamiento'!$D$113*'Balance enfriamiento'!$D$114*('Balance enfriamiento'!AA15-'Balance enfriamiento'!$G$275))&lt;0,($B$16),0)</f>
        <v>18</v>
      </c>
      <c r="H11" s="90">
        <f>IF((0.35*'Balance enfriamiento'!$D$113*'Balance enfriamiento'!$D$114*('Balance enfriamiento'!AA15-'Balance enfriamiento'!$J$275)*G11)&lt;0,(0.35*'Balance enfriamiento'!$D$113*'Balance enfriamiento'!$D$114*('Balance enfriamiento'!AA15-'Balance enfriamiento'!$J$275)*G11),0)</f>
        <v>-6182.1075959999989</v>
      </c>
      <c r="I11" s="88" t="s">
        <v>224</v>
      </c>
      <c r="J11" s="88"/>
      <c r="K11" s="88"/>
    </row>
    <row r="12" spans="1:11" x14ac:dyDescent="0.2">
      <c r="A12" s="88" t="s">
        <v>522</v>
      </c>
      <c r="B12" s="88"/>
      <c r="C12" s="88"/>
      <c r="D12" s="88"/>
      <c r="E12" s="167"/>
      <c r="F12" s="117">
        <v>8</v>
      </c>
      <c r="G12" s="117">
        <f>IF((0.35*'Balance enfriamiento'!$D$113*'Balance enfriamiento'!$D$114*('Balance enfriamiento'!AA16-'Balance enfriamiento'!$G$275))&lt;0,($B$16),0)</f>
        <v>18</v>
      </c>
      <c r="H12" s="90">
        <f>IF((0.35*'Balance enfriamiento'!$D$113*'Balance enfriamiento'!$D$114*('Balance enfriamiento'!AA16-'Balance enfriamiento'!$J$275)*G12)&lt;0,(0.35*'Balance enfriamiento'!$D$113*'Balance enfriamiento'!$D$114*('Balance enfriamiento'!AA16-'Balance enfriamiento'!$J$275)*G12),0)</f>
        <v>-3994.8006521902485</v>
      </c>
      <c r="I12" s="88" t="s">
        <v>224</v>
      </c>
      <c r="J12" s="88"/>
      <c r="K12" s="88"/>
    </row>
    <row r="13" spans="1:11" x14ac:dyDescent="0.2">
      <c r="A13" s="274" t="s">
        <v>597</v>
      </c>
      <c r="B13" s="88"/>
      <c r="C13" s="88"/>
      <c r="D13" s="88"/>
      <c r="E13" s="167"/>
      <c r="F13" s="117">
        <v>10</v>
      </c>
      <c r="G13" s="117">
        <v>0</v>
      </c>
      <c r="H13" s="90">
        <f>IF((0.35*'Balance enfriamiento'!$D$113*'Balance enfriamiento'!$D$114*('Balance enfriamiento'!AA17-'Balance enfriamiento'!$J$275)*G13)&lt;0,(0.35*'Balance enfriamiento'!$D$113*'Balance enfriamiento'!$D$114*('Balance enfriamiento'!AA17-'Balance enfriamiento'!$J$275)*G13),0)</f>
        <v>0</v>
      </c>
      <c r="I13" s="88" t="s">
        <v>224</v>
      </c>
      <c r="J13" s="88"/>
      <c r="K13" s="88"/>
    </row>
    <row r="14" spans="1:11" x14ac:dyDescent="0.2">
      <c r="A14" s="274" t="s">
        <v>598</v>
      </c>
      <c r="B14" s="88"/>
      <c r="C14" s="88"/>
      <c r="D14" s="88"/>
      <c r="E14" s="167"/>
      <c r="F14" s="117">
        <v>12</v>
      </c>
      <c r="G14" s="117">
        <f>IF((0.35*'Balance enfriamiento'!$D$113*'Balance enfriamiento'!$D$114*('Balance enfriamiento'!AA18-'Balance enfriamiento'!$G$275))&lt;0,($B$16),0)</f>
        <v>0</v>
      </c>
      <c r="H14" s="90">
        <f>IF((0.35*'Balance enfriamiento'!$D$113*'Balance enfriamiento'!$D$114*('Balance enfriamiento'!AA18-'Balance enfriamiento'!$J$275)*G14)&lt;0,(0.35*'Balance enfriamiento'!$D$113*'Balance enfriamiento'!$D$114*('Balance enfriamiento'!AA18-'Balance enfriamiento'!$J$275)*G14),0)</f>
        <v>0</v>
      </c>
      <c r="I14" s="88" t="s">
        <v>224</v>
      </c>
      <c r="J14" s="88"/>
      <c r="K14" s="88"/>
    </row>
    <row r="15" spans="1:11" x14ac:dyDescent="0.2">
      <c r="A15" s="167"/>
      <c r="B15" s="167"/>
      <c r="C15" s="88"/>
      <c r="D15" s="88"/>
      <c r="E15" s="174"/>
      <c r="F15" s="117">
        <v>14</v>
      </c>
      <c r="G15" s="117">
        <f>IF((0.35*'Balance enfriamiento'!$D$113*'Balance enfriamiento'!$D$114*('Balance enfriamiento'!AA19-'Balance enfriamiento'!$G$275))&lt;0,($B$16),0)</f>
        <v>0</v>
      </c>
      <c r="H15" s="90">
        <f>IF((0.35*'Balance enfriamiento'!$D$113*'Balance enfriamiento'!$D$114*('Balance enfriamiento'!AA19-'Balance enfriamiento'!$J$275)*G15)&lt;0,(0.35*'Balance enfriamiento'!$D$113*'Balance enfriamiento'!$D$114*('Balance enfriamiento'!AA19-'Balance enfriamiento'!$J$275)*G15),0)</f>
        <v>0</v>
      </c>
      <c r="I15" s="88" t="s">
        <v>224</v>
      </c>
      <c r="J15" s="88"/>
      <c r="K15" s="88"/>
    </row>
    <row r="16" spans="1:11" x14ac:dyDescent="0.2">
      <c r="A16" s="174" t="s">
        <v>408</v>
      </c>
      <c r="B16" s="337">
        <v>18</v>
      </c>
      <c r="C16" s="167"/>
      <c r="D16" s="167"/>
      <c r="E16" s="167"/>
      <c r="F16" s="117">
        <v>16</v>
      </c>
      <c r="G16" s="117">
        <f>IF((0.35*'Balance enfriamiento'!$D$113*'Balance enfriamiento'!$D$114*('Balance enfriamiento'!AA20-'Balance enfriamiento'!$G$275))&lt;0,($B$16),0)</f>
        <v>0</v>
      </c>
      <c r="H16" s="90">
        <f>IF((0.35*'Balance enfriamiento'!$D$113*'Balance enfriamiento'!$D$114*('Balance enfriamiento'!AA20-'Balance enfriamiento'!$J$275)*G16)&lt;0,(0.35*'Balance enfriamiento'!$D$113*'Balance enfriamiento'!$D$114*('Balance enfriamiento'!AA20-'Balance enfriamiento'!$J$275)*G16),0)</f>
        <v>0</v>
      </c>
      <c r="I16" s="88" t="s">
        <v>224</v>
      </c>
      <c r="J16" s="88"/>
      <c r="K16" s="88"/>
    </row>
    <row r="17" spans="1:11" x14ac:dyDescent="0.2">
      <c r="A17" s="167"/>
      <c r="B17" s="167"/>
      <c r="C17" s="167"/>
      <c r="D17" s="167"/>
      <c r="E17" s="167"/>
      <c r="F17" s="117">
        <v>18</v>
      </c>
      <c r="G17" s="117">
        <f>IF((0.35*'Balance enfriamiento'!$D$113*'Balance enfriamiento'!$D$114*('Balance enfriamiento'!AA21-'Balance enfriamiento'!$G$275))&lt;0,($B$16),0)</f>
        <v>0</v>
      </c>
      <c r="H17" s="90">
        <f>IF((0.35*'Balance enfriamiento'!$D$113*'Balance enfriamiento'!$D$114*('Balance enfriamiento'!AA21-'Balance enfriamiento'!$J$275)*G17)&lt;0,(0.35*'Balance enfriamiento'!$D$113*'Balance enfriamiento'!$D$114*('Balance enfriamiento'!AA21-'Balance enfriamiento'!$J$275)*G17),0)</f>
        <v>0</v>
      </c>
      <c r="I17" s="88" t="s">
        <v>224</v>
      </c>
      <c r="J17" s="88"/>
      <c r="K17" s="88"/>
    </row>
    <row r="18" spans="1:11" x14ac:dyDescent="0.2">
      <c r="A18" s="174" t="s">
        <v>356</v>
      </c>
      <c r="B18" s="174"/>
      <c r="C18" s="174"/>
      <c r="D18" s="174"/>
      <c r="E18" s="167"/>
      <c r="F18" s="117">
        <v>20</v>
      </c>
      <c r="G18" s="117">
        <f>IF((0.35*'Balance enfriamiento'!$D$113*'Balance enfriamiento'!$D$114*('Balance enfriamiento'!AA22-'Balance enfriamiento'!$G$275))&lt;0,($B$16),0)</f>
        <v>0</v>
      </c>
      <c r="H18" s="90">
        <f>IF((0.35*'Balance enfriamiento'!$D$113*'Balance enfriamiento'!$D$114*('Balance enfriamiento'!AA22-'Balance enfriamiento'!$J$275)*G18)&lt;0,(0.35*'Balance enfriamiento'!$D$113*'Balance enfriamiento'!$D$114*('Balance enfriamiento'!AA22-'Balance enfriamiento'!$J$275)*G18),0)</f>
        <v>0</v>
      </c>
      <c r="I18" s="88" t="s">
        <v>224</v>
      </c>
      <c r="J18" s="88"/>
      <c r="K18" s="88"/>
    </row>
    <row r="19" spans="1:11" x14ac:dyDescent="0.2">
      <c r="A19" s="175" t="s">
        <v>555</v>
      </c>
      <c r="B19" s="174"/>
      <c r="C19" s="174"/>
      <c r="D19" s="174"/>
      <c r="E19" s="167"/>
      <c r="F19" s="117">
        <v>22</v>
      </c>
      <c r="G19" s="117">
        <f>IF((0.35*'Balance enfriamiento'!$D$113*'Balance enfriamiento'!$D$114*('Balance enfriamiento'!AA23-'Balance enfriamiento'!$G$275))&lt;0,($B$16),0)</f>
        <v>0</v>
      </c>
      <c r="H19" s="90">
        <f>IF((0.35*'Balance enfriamiento'!$D$113*'Balance enfriamiento'!$D$114*('Balance enfriamiento'!AA23-'Balance enfriamiento'!$J$275)*G19)&lt;0,(0.35*'Balance enfriamiento'!$D$113*'Balance enfriamiento'!$D$114*('Balance enfriamiento'!AA23-'Balance enfriamiento'!$J$275)*G19),0)</f>
        <v>0</v>
      </c>
      <c r="I19" s="88" t="s">
        <v>224</v>
      </c>
      <c r="J19" s="88"/>
      <c r="K19" s="88"/>
    </row>
    <row r="20" spans="1:11" x14ac:dyDescent="0.2">
      <c r="A20" s="175" t="s">
        <v>556</v>
      </c>
      <c r="B20" s="174"/>
      <c r="C20" s="174"/>
      <c r="D20" s="174"/>
      <c r="E20" s="167"/>
      <c r="F20" s="88"/>
      <c r="G20" s="87"/>
      <c r="H20" s="87"/>
      <c r="I20" s="88"/>
      <c r="J20" s="88"/>
      <c r="K20" s="88"/>
    </row>
    <row r="21" spans="1:11" x14ac:dyDescent="0.2">
      <c r="A21" s="175" t="s">
        <v>594</v>
      </c>
      <c r="B21" s="174"/>
      <c r="C21" s="174"/>
      <c r="D21" s="174"/>
      <c r="E21" s="167"/>
      <c r="F21" s="88"/>
      <c r="G21" s="116" t="s">
        <v>0</v>
      </c>
      <c r="H21" s="334">
        <f>SUM(H8:H19)</f>
        <v>-18698.557187551502</v>
      </c>
      <c r="I21" s="274" t="s">
        <v>454</v>
      </c>
      <c r="J21" s="88"/>
      <c r="K21" s="88"/>
    </row>
    <row r="22" spans="1:11" x14ac:dyDescent="0.2">
      <c r="A22" s="167" t="s">
        <v>595</v>
      </c>
      <c r="B22" s="167"/>
      <c r="C22" s="167"/>
      <c r="D22" s="167"/>
      <c r="E22" s="167"/>
      <c r="F22" s="174"/>
      <c r="G22" s="174"/>
      <c r="H22" s="174"/>
      <c r="I22" s="174"/>
      <c r="J22" s="174"/>
      <c r="K22" s="174"/>
    </row>
    <row r="23" spans="1:11" x14ac:dyDescent="0.2">
      <c r="A23" s="175" t="s">
        <v>596</v>
      </c>
      <c r="B23" s="167"/>
      <c r="C23" s="167"/>
      <c r="D23" s="167"/>
      <c r="E23" s="167"/>
      <c r="F23" s="174"/>
      <c r="G23" s="174"/>
      <c r="H23" s="174"/>
      <c r="I23" s="174"/>
      <c r="J23" s="174"/>
      <c r="K23" s="174"/>
    </row>
    <row r="24" spans="1:11" x14ac:dyDescent="0.2">
      <c r="A24" s="167" t="s">
        <v>557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</row>
    <row r="25" spans="1:11" x14ac:dyDescent="0.2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</row>
    <row r="26" spans="1:11" x14ac:dyDescent="0.2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</row>
    <row r="28" spans="1:11" x14ac:dyDescent="0.2">
      <c r="A28" s="87" t="s">
        <v>576</v>
      </c>
      <c r="B28" s="88"/>
      <c r="C28" s="88"/>
      <c r="D28" s="88"/>
      <c r="E28" s="88"/>
      <c r="F28" s="88"/>
      <c r="G28" s="88"/>
      <c r="H28" s="8"/>
      <c r="I28" s="8"/>
      <c r="J28" s="8"/>
      <c r="K28" s="8"/>
    </row>
    <row r="29" spans="1:11" x14ac:dyDescent="0.2">
      <c r="A29" s="88" t="s">
        <v>573</v>
      </c>
      <c r="B29" s="88"/>
      <c r="C29" s="88"/>
      <c r="D29" s="88"/>
      <c r="E29" s="88"/>
      <c r="F29" s="88"/>
      <c r="G29" s="88"/>
      <c r="H29" s="8"/>
      <c r="I29" s="8"/>
      <c r="J29" s="8"/>
      <c r="K29" s="8"/>
    </row>
    <row r="30" spans="1:11" x14ac:dyDescent="0.2">
      <c r="A30" s="87"/>
      <c r="B30" s="88"/>
      <c r="C30" s="88"/>
      <c r="D30" s="88"/>
      <c r="E30" s="88"/>
      <c r="F30" s="88"/>
      <c r="G30" s="88"/>
      <c r="H30" s="8"/>
      <c r="I30" s="8"/>
      <c r="J30" s="8"/>
      <c r="K30" s="8"/>
    </row>
    <row r="31" spans="1:11" x14ac:dyDescent="0.2">
      <c r="A31" s="87" t="s">
        <v>572</v>
      </c>
      <c r="B31" s="88"/>
      <c r="C31" s="88"/>
      <c r="D31" s="88"/>
      <c r="E31" s="88"/>
      <c r="F31" s="88"/>
      <c r="G31" s="88"/>
      <c r="H31" s="8"/>
      <c r="I31" s="8"/>
      <c r="J31" s="8"/>
      <c r="K31" s="8"/>
    </row>
    <row r="32" spans="1:11" x14ac:dyDescent="0.2">
      <c r="A32" s="88"/>
      <c r="B32" s="88"/>
      <c r="C32" s="88"/>
      <c r="D32" s="88"/>
      <c r="E32" s="88"/>
      <c r="F32" s="88"/>
      <c r="G32" s="88"/>
      <c r="H32" s="8"/>
      <c r="I32" s="8"/>
      <c r="J32" s="8"/>
      <c r="K32" s="8"/>
    </row>
    <row r="33" spans="1:11" ht="18" x14ac:dyDescent="0.2">
      <c r="A33" s="274" t="s">
        <v>513</v>
      </c>
      <c r="B33" s="88"/>
      <c r="C33" s="88"/>
      <c r="D33" s="88"/>
      <c r="E33" s="209">
        <f>+superficies!D22</f>
        <v>261.89999999999998</v>
      </c>
      <c r="F33" s="274" t="s">
        <v>512</v>
      </c>
      <c r="G33" s="88"/>
      <c r="H33" s="8"/>
      <c r="I33" s="8"/>
      <c r="J33" s="8"/>
      <c r="K33" s="8"/>
    </row>
    <row r="34" spans="1:11" x14ac:dyDescent="0.2">
      <c r="A34" s="88" t="s">
        <v>229</v>
      </c>
      <c r="B34" s="88"/>
      <c r="C34" s="88"/>
      <c r="D34" s="88"/>
      <c r="E34" s="117">
        <f>+'Enf. convectivo nocturno'!B16</f>
        <v>18</v>
      </c>
      <c r="F34" s="274" t="s">
        <v>516</v>
      </c>
      <c r="G34" s="88"/>
      <c r="H34" s="8"/>
      <c r="I34" s="8"/>
      <c r="J34" s="8"/>
      <c r="K34" s="8"/>
    </row>
    <row r="35" spans="1:11" ht="14.25" x14ac:dyDescent="0.2">
      <c r="A35" s="274" t="s">
        <v>514</v>
      </c>
      <c r="B35" s="88"/>
      <c r="C35" s="88"/>
      <c r="D35" s="88"/>
      <c r="E35" s="117">
        <f>+E34*E33</f>
        <v>4714.2</v>
      </c>
      <c r="F35" s="274" t="s">
        <v>518</v>
      </c>
      <c r="G35" s="88"/>
      <c r="H35" s="8"/>
      <c r="I35" s="8"/>
      <c r="J35" s="8"/>
      <c r="K35" s="8"/>
    </row>
    <row r="36" spans="1:11" x14ac:dyDescent="0.2">
      <c r="A36" s="274" t="s">
        <v>515</v>
      </c>
      <c r="B36" s="88"/>
      <c r="C36" s="88"/>
      <c r="D36" s="88"/>
      <c r="E36" s="139" t="str">
        <f>VLOOKUP(Lugar!E84,Lugar!A65:C84,2)</f>
        <v>Las Heras-Guaymallén</v>
      </c>
      <c r="F36" s="88"/>
      <c r="G36" s="88"/>
      <c r="H36" s="8"/>
      <c r="I36" s="8"/>
      <c r="J36" s="8"/>
      <c r="K36" s="8"/>
    </row>
    <row r="37" spans="1:11" x14ac:dyDescent="0.2">
      <c r="A37" s="274" t="s">
        <v>519</v>
      </c>
      <c r="B37" s="88"/>
      <c r="C37" s="88"/>
      <c r="D37" s="88"/>
      <c r="E37" s="212">
        <f>VLOOKUP(Lugar!E84,Lugar!A65:D84,4)</f>
        <v>12.7</v>
      </c>
      <c r="F37" s="290" t="s">
        <v>517</v>
      </c>
      <c r="G37" s="88"/>
      <c r="H37" s="8"/>
      <c r="I37" s="8"/>
      <c r="J37" s="8"/>
      <c r="K37" s="8"/>
    </row>
    <row r="38" spans="1:11" x14ac:dyDescent="0.2">
      <c r="A38" s="88" t="s">
        <v>529</v>
      </c>
      <c r="B38" s="88"/>
      <c r="C38" s="88"/>
      <c r="D38" s="88"/>
      <c r="E38" s="117" t="str">
        <f>VLOOKUP(Lugar!E84,Lugar!A64:I84,8)</f>
        <v>SE</v>
      </c>
      <c r="F38" s="293" t="s">
        <v>524</v>
      </c>
      <c r="G38" s="294"/>
      <c r="H38" s="295"/>
      <c r="I38" s="8"/>
      <c r="J38" s="8"/>
      <c r="K38" s="8"/>
    </row>
    <row r="39" spans="1:11" x14ac:dyDescent="0.2">
      <c r="A39" s="274" t="s">
        <v>479</v>
      </c>
      <c r="B39" s="88"/>
      <c r="C39" s="88"/>
      <c r="D39" s="88"/>
      <c r="E39" s="117">
        <f>VLOOKUP(Lugar!E84,Lugar!A64:I84,7)</f>
        <v>45</v>
      </c>
      <c r="F39" s="293" t="s">
        <v>478</v>
      </c>
      <c r="G39" s="294"/>
      <c r="H39" s="294" t="str">
        <f>VLOOKUP(Lugar!E84,Lugar!A64:I84,8)</f>
        <v>SE</v>
      </c>
      <c r="I39" s="8"/>
      <c r="J39" s="8"/>
      <c r="K39" s="8"/>
    </row>
    <row r="40" spans="1:11" x14ac:dyDescent="0.2">
      <c r="A40" s="274" t="s">
        <v>489</v>
      </c>
      <c r="B40" s="88"/>
      <c r="C40" s="88"/>
      <c r="D40" s="88"/>
      <c r="E40" s="88"/>
      <c r="F40" s="88"/>
      <c r="G40" s="88"/>
      <c r="H40" s="8"/>
      <c r="I40" s="8"/>
      <c r="J40" s="8"/>
      <c r="K40" s="8"/>
    </row>
    <row r="41" spans="1:11" x14ac:dyDescent="0.2">
      <c r="A41" s="88"/>
      <c r="B41" s="274" t="s">
        <v>488</v>
      </c>
      <c r="C41" s="274"/>
      <c r="D41" s="88" t="s">
        <v>183</v>
      </c>
      <c r="E41" s="88">
        <f>IF($E$39&lt;22.5,0.4,IF($E$39&lt;40,0.4,IF($E$39&lt;60,0.25,IF($E$39&lt;=80,-0.06,-0.4))))</f>
        <v>0.25</v>
      </c>
      <c r="F41" s="88"/>
      <c r="G41" s="88"/>
      <c r="H41" s="8"/>
      <c r="I41" s="8"/>
      <c r="J41" s="8"/>
      <c r="K41" s="8"/>
    </row>
    <row r="42" spans="1:11" x14ac:dyDescent="0.2">
      <c r="A42" s="88"/>
      <c r="B42" s="274" t="s">
        <v>488</v>
      </c>
      <c r="C42" s="88"/>
      <c r="D42" s="88" t="s">
        <v>230</v>
      </c>
      <c r="E42" s="88">
        <f>IF($E$39&lt;22.5,-0.4,IF($E$39&lt;40,-0.06,IF($E$39&lt;60,0.25,IF($E$39&lt;=80,0.3,0.4))))</f>
        <v>0.25</v>
      </c>
      <c r="F42" s="88"/>
      <c r="G42" s="88"/>
      <c r="H42" s="8"/>
      <c r="I42" s="8"/>
      <c r="J42" s="8"/>
      <c r="K42" s="8"/>
    </row>
    <row r="43" spans="1:11" x14ac:dyDescent="0.2">
      <c r="A43" s="88"/>
      <c r="B43" s="274" t="s">
        <v>488</v>
      </c>
      <c r="C43" s="88"/>
      <c r="D43" s="88" t="s">
        <v>185</v>
      </c>
      <c r="E43" s="88">
        <f>IF($E$39&lt;22.5,-0.25,IF($E$39&lt;40,-0.4,IF($E$39&lt;60,-0.45,IF($E$39&lt;=80,-0.55,-0.4))))</f>
        <v>-0.45</v>
      </c>
      <c r="F43" s="88"/>
      <c r="G43" s="88"/>
      <c r="H43" s="8"/>
      <c r="I43" s="8"/>
      <c r="J43" s="8"/>
      <c r="K43" s="8"/>
    </row>
    <row r="44" spans="1:11" x14ac:dyDescent="0.2">
      <c r="A44" s="88"/>
      <c r="B44" s="274" t="s">
        <v>488</v>
      </c>
      <c r="C44" s="88"/>
      <c r="D44" s="88" t="s">
        <v>231</v>
      </c>
      <c r="E44" s="88">
        <f>IF($E$39&lt;22.5,-0.4,IF($E$39&lt;40,-0.6,IF($E$39&lt;60,-0.45,IF($E$39&lt;=80,-0.4,-0.25))))</f>
        <v>-0.45</v>
      </c>
      <c r="F44" s="88"/>
      <c r="G44" s="88"/>
      <c r="H44" s="8"/>
      <c r="I44" s="8"/>
      <c r="J44" s="8"/>
      <c r="K44" s="8"/>
    </row>
    <row r="45" spans="1:11" x14ac:dyDescent="0.2">
      <c r="A45" s="88"/>
      <c r="B45" s="274" t="s">
        <v>490</v>
      </c>
      <c r="C45" s="88"/>
      <c r="D45" s="88" t="s">
        <v>187</v>
      </c>
      <c r="E45" s="88">
        <v>-0.3</v>
      </c>
      <c r="F45" s="274" t="s">
        <v>578</v>
      </c>
      <c r="G45" s="88"/>
      <c r="H45" s="8"/>
      <c r="I45" s="8"/>
      <c r="J45" s="8"/>
      <c r="K45" s="8"/>
    </row>
    <row r="46" spans="1:11" x14ac:dyDescent="0.2">
      <c r="A46" s="88"/>
      <c r="B46" s="88"/>
      <c r="C46" s="88"/>
      <c r="D46" s="88"/>
      <c r="E46" s="88"/>
      <c r="F46" s="88"/>
      <c r="G46" s="88"/>
      <c r="H46" s="8"/>
      <c r="I46" s="8"/>
      <c r="J46" s="8"/>
      <c r="K46" s="8"/>
    </row>
    <row r="47" spans="1:11" x14ac:dyDescent="0.2">
      <c r="A47" s="88"/>
      <c r="B47" s="88"/>
      <c r="C47" s="88"/>
      <c r="D47" s="88"/>
      <c r="E47" s="274" t="s">
        <v>525</v>
      </c>
      <c r="F47" s="88"/>
      <c r="G47" s="88"/>
      <c r="H47" s="8"/>
      <c r="I47" s="274" t="s">
        <v>526</v>
      </c>
      <c r="J47" s="8"/>
      <c r="K47" s="8"/>
    </row>
    <row r="48" spans="1:11" x14ac:dyDescent="0.2">
      <c r="A48" s="88"/>
      <c r="B48" s="88"/>
      <c r="C48" s="88"/>
      <c r="D48" s="88"/>
      <c r="E48" s="88" t="s">
        <v>528</v>
      </c>
      <c r="F48" s="88"/>
      <c r="G48" s="88"/>
      <c r="H48" s="8"/>
      <c r="I48" s="8" t="s">
        <v>527</v>
      </c>
      <c r="J48" s="8"/>
      <c r="K48" s="8"/>
    </row>
    <row r="49" spans="1:11" x14ac:dyDescent="0.2">
      <c r="A49" s="88"/>
      <c r="B49" s="88"/>
      <c r="C49" s="88"/>
      <c r="D49" s="88"/>
      <c r="E49" s="88" t="str">
        <f>+F39</f>
        <v xml:space="preserve">   Lado "a" sería:</v>
      </c>
      <c r="F49" s="88"/>
      <c r="G49" s="88" t="str">
        <f>+H39</f>
        <v>SE</v>
      </c>
      <c r="H49" s="88"/>
      <c r="I49" s="8"/>
      <c r="J49" s="8"/>
      <c r="K49" s="8"/>
    </row>
    <row r="50" spans="1:11" x14ac:dyDescent="0.2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88"/>
      <c r="B51" s="88"/>
      <c r="C51" s="88"/>
      <c r="D51" s="88"/>
      <c r="E51" s="274" t="s">
        <v>480</v>
      </c>
      <c r="F51" s="88"/>
      <c r="G51" s="72" t="s">
        <v>481</v>
      </c>
      <c r="H51" s="8">
        <f>+E41-E43</f>
        <v>0.7</v>
      </c>
      <c r="I51" s="72" t="s">
        <v>491</v>
      </c>
      <c r="J51" s="8"/>
      <c r="K51" s="8"/>
    </row>
    <row r="52" spans="1:11" x14ac:dyDescent="0.2">
      <c r="A52" s="88"/>
      <c r="B52" s="88"/>
      <c r="C52" s="88"/>
      <c r="D52" s="88"/>
      <c r="E52" s="274" t="s">
        <v>486</v>
      </c>
      <c r="F52" s="88"/>
      <c r="G52" s="72" t="s">
        <v>482</v>
      </c>
      <c r="H52" s="8">
        <f>+E41-E42</f>
        <v>0</v>
      </c>
      <c r="I52" s="72" t="s">
        <v>492</v>
      </c>
      <c r="J52" s="8"/>
      <c r="K52" s="8"/>
    </row>
    <row r="53" spans="1:11" x14ac:dyDescent="0.2">
      <c r="A53" s="88"/>
      <c r="B53" s="88"/>
      <c r="C53" s="88"/>
      <c r="D53" s="88"/>
      <c r="E53" s="274" t="s">
        <v>487</v>
      </c>
      <c r="F53" s="88"/>
      <c r="G53" s="72" t="s">
        <v>483</v>
      </c>
      <c r="H53" s="8">
        <f>+E41-E44</f>
        <v>0.7</v>
      </c>
      <c r="I53" s="72" t="s">
        <v>493</v>
      </c>
      <c r="J53" s="8"/>
      <c r="K53" s="8"/>
    </row>
    <row r="54" spans="1:11" x14ac:dyDescent="0.2">
      <c r="A54" s="88"/>
      <c r="B54" s="88"/>
      <c r="C54" s="88"/>
      <c r="D54" s="88"/>
      <c r="E54" s="274" t="s">
        <v>485</v>
      </c>
      <c r="F54" s="88"/>
      <c r="G54" s="72" t="s">
        <v>484</v>
      </c>
      <c r="H54" s="8">
        <f>+E41-E45</f>
        <v>0.55000000000000004</v>
      </c>
      <c r="I54" s="72" t="s">
        <v>494</v>
      </c>
      <c r="J54" s="8"/>
      <c r="K54" s="8"/>
    </row>
    <row r="55" spans="1:11" x14ac:dyDescent="0.2">
      <c r="A55" s="88"/>
      <c r="B55" s="88"/>
      <c r="C55" s="88"/>
      <c r="D55" s="88"/>
      <c r="E55" s="88"/>
      <c r="F55" s="88"/>
      <c r="G55" s="88"/>
      <c r="H55" s="8"/>
      <c r="I55" s="8"/>
      <c r="J55" s="8"/>
      <c r="K55" s="8"/>
    </row>
    <row r="56" spans="1:11" x14ac:dyDescent="0.2">
      <c r="A56" s="88"/>
      <c r="B56" s="88"/>
      <c r="C56" s="88"/>
      <c r="D56" s="88"/>
      <c r="E56" s="88"/>
      <c r="F56" s="88"/>
      <c r="G56" s="88"/>
      <c r="H56" s="8"/>
      <c r="I56" s="8"/>
      <c r="J56" s="8"/>
      <c r="K56" s="8"/>
    </row>
    <row r="57" spans="1:11" x14ac:dyDescent="0.2">
      <c r="A57" s="88"/>
      <c r="B57" s="88"/>
      <c r="C57" s="88"/>
      <c r="D57" s="88"/>
      <c r="E57" s="88"/>
      <c r="F57" s="88"/>
      <c r="G57" s="88"/>
      <c r="H57" s="8"/>
      <c r="I57" s="8"/>
      <c r="J57" s="8"/>
      <c r="K57" s="8"/>
    </row>
    <row r="58" spans="1:11" x14ac:dyDescent="0.2">
      <c r="A58" s="88"/>
      <c r="B58" s="88"/>
      <c r="C58" s="88"/>
      <c r="D58" s="88"/>
      <c r="E58" s="88"/>
      <c r="F58" s="88"/>
      <c r="G58" s="88"/>
      <c r="H58" s="8"/>
      <c r="I58" s="8"/>
      <c r="J58" s="8"/>
      <c r="K58" s="8"/>
    </row>
    <row r="59" spans="1:11" x14ac:dyDescent="0.2">
      <c r="A59" s="88"/>
      <c r="B59" s="88"/>
      <c r="C59" s="88"/>
      <c r="D59" s="88"/>
      <c r="E59" s="88"/>
      <c r="F59" s="88"/>
      <c r="G59" s="88"/>
      <c r="H59" s="8"/>
      <c r="I59" s="8"/>
      <c r="J59" s="8"/>
      <c r="K59" s="8"/>
    </row>
    <row r="60" spans="1:11" x14ac:dyDescent="0.2">
      <c r="A60" s="88" t="s">
        <v>232</v>
      </c>
      <c r="B60" s="88"/>
      <c r="C60" s="88"/>
      <c r="D60" s="88"/>
      <c r="E60" s="88"/>
      <c r="F60" s="88"/>
      <c r="G60" s="88"/>
      <c r="H60" s="8"/>
      <c r="I60" s="8"/>
      <c r="J60" s="8"/>
      <c r="K60" s="8"/>
    </row>
    <row r="61" spans="1:11" x14ac:dyDescent="0.2">
      <c r="A61" s="88" t="s">
        <v>233</v>
      </c>
      <c r="B61" s="88"/>
      <c r="C61" s="88"/>
      <c r="D61" s="88"/>
      <c r="E61" s="82">
        <v>0.65</v>
      </c>
      <c r="F61" s="88"/>
      <c r="G61" s="274" t="s">
        <v>496</v>
      </c>
      <c r="H61" s="8"/>
      <c r="I61" s="8"/>
      <c r="J61" s="8"/>
      <c r="K61" s="8"/>
    </row>
    <row r="62" spans="1:11" x14ac:dyDescent="0.2">
      <c r="A62" s="88"/>
      <c r="B62" s="88"/>
      <c r="C62" s="88"/>
      <c r="D62" s="88"/>
      <c r="E62" s="274" t="s">
        <v>2</v>
      </c>
      <c r="F62" s="88"/>
      <c r="G62" s="274" t="s">
        <v>495</v>
      </c>
      <c r="H62" s="8"/>
      <c r="I62" s="8"/>
      <c r="J62" s="8"/>
      <c r="K62" s="8"/>
    </row>
    <row r="63" spans="1:11" x14ac:dyDescent="0.2">
      <c r="A63" s="274" t="s">
        <v>497</v>
      </c>
      <c r="B63" s="88"/>
      <c r="C63" s="88"/>
      <c r="D63" s="88"/>
      <c r="E63" s="88"/>
      <c r="F63" s="88"/>
      <c r="G63" s="88"/>
      <c r="H63" s="8"/>
      <c r="I63" s="8"/>
      <c r="J63" s="8"/>
      <c r="K63" s="8"/>
    </row>
    <row r="64" spans="1:11" x14ac:dyDescent="0.2">
      <c r="A64" s="88"/>
      <c r="B64" s="88"/>
      <c r="C64" s="88"/>
      <c r="D64" s="88"/>
      <c r="E64" s="88"/>
      <c r="F64" s="88"/>
      <c r="G64" s="88"/>
      <c r="H64" s="8"/>
      <c r="I64" s="8"/>
      <c r="J64" s="8"/>
      <c r="K64" s="8"/>
    </row>
    <row r="65" spans="1:11" x14ac:dyDescent="0.2">
      <c r="A65" s="88"/>
      <c r="B65" s="88" t="s">
        <v>472</v>
      </c>
      <c r="C65" s="88"/>
      <c r="D65" s="88"/>
      <c r="E65" s="82">
        <v>12</v>
      </c>
      <c r="F65" s="88" t="s">
        <v>474</v>
      </c>
      <c r="G65" s="274" t="s">
        <v>509</v>
      </c>
      <c r="H65" s="8"/>
      <c r="I65" s="8"/>
      <c r="J65" s="8"/>
      <c r="K65" s="8"/>
    </row>
    <row r="66" spans="1:11" x14ac:dyDescent="0.2">
      <c r="A66" s="88"/>
      <c r="B66" s="88" t="s">
        <v>473</v>
      </c>
      <c r="C66" s="88"/>
      <c r="D66" s="88"/>
      <c r="E66" s="82">
        <v>6</v>
      </c>
      <c r="F66" s="88" t="s">
        <v>474</v>
      </c>
      <c r="G66" s="88"/>
      <c r="H66" s="8"/>
      <c r="I66" s="8"/>
      <c r="J66" s="8"/>
      <c r="K66" s="8"/>
    </row>
    <row r="67" spans="1:11" x14ac:dyDescent="0.2">
      <c r="A67" s="88"/>
      <c r="B67" s="88" t="s">
        <v>234</v>
      </c>
      <c r="C67" s="88"/>
      <c r="D67" s="88"/>
      <c r="E67" s="88">
        <f>+E65/E66</f>
        <v>2</v>
      </c>
      <c r="F67" s="88" t="s">
        <v>2</v>
      </c>
      <c r="G67" s="88"/>
      <c r="H67" s="8"/>
      <c r="I67" s="8"/>
      <c r="J67" s="8"/>
      <c r="K67" s="8"/>
    </row>
    <row r="68" spans="1:11" x14ac:dyDescent="0.2">
      <c r="A68" s="88"/>
      <c r="B68" s="88" t="s">
        <v>235</v>
      </c>
      <c r="C68" s="88"/>
      <c r="D68" s="88"/>
      <c r="E68" s="88">
        <f>IF(E67&lt;=6,0.0304+0.1689*E67,0.0304+0.1689*6)</f>
        <v>0.36819999999999997</v>
      </c>
      <c r="F68" s="88" t="s">
        <v>2</v>
      </c>
      <c r="G68" s="88"/>
      <c r="H68" s="8"/>
      <c r="I68" s="8"/>
      <c r="J68" s="8"/>
      <c r="K68" s="8"/>
    </row>
    <row r="69" spans="1:11" x14ac:dyDescent="0.2">
      <c r="A69" s="88"/>
      <c r="B69" s="88" t="s">
        <v>236</v>
      </c>
      <c r="C69" s="88"/>
      <c r="D69" s="88"/>
      <c r="E69" s="88">
        <f>IF(E67&lt;=6,0.0421+0.2264*E67,0.0421+0.2264*6)</f>
        <v>0.49490000000000001</v>
      </c>
      <c r="F69" s="88"/>
      <c r="G69" s="88"/>
      <c r="H69" s="8"/>
      <c r="I69" s="8"/>
      <c r="J69" s="8"/>
      <c r="K69" s="8"/>
    </row>
    <row r="70" spans="1:11" x14ac:dyDescent="0.2">
      <c r="A70" s="88"/>
      <c r="B70" s="88"/>
      <c r="C70" s="88"/>
      <c r="D70" s="88"/>
      <c r="E70" s="88"/>
      <c r="F70" s="88"/>
      <c r="G70" s="88"/>
      <c r="H70" s="8"/>
      <c r="I70" s="8"/>
      <c r="J70" s="8"/>
      <c r="K70" s="8"/>
    </row>
    <row r="71" spans="1:11" x14ac:dyDescent="0.2">
      <c r="A71" s="88" t="s">
        <v>237</v>
      </c>
      <c r="B71" s="88"/>
      <c r="C71" s="88"/>
      <c r="D71" s="88"/>
      <c r="E71" s="88"/>
      <c r="F71" s="88"/>
      <c r="G71" s="88"/>
      <c r="H71" s="8"/>
      <c r="I71" s="8"/>
      <c r="J71" s="8"/>
      <c r="K71" s="8"/>
    </row>
    <row r="72" spans="1:11" x14ac:dyDescent="0.2">
      <c r="A72" s="88"/>
      <c r="B72" s="88" t="s">
        <v>238</v>
      </c>
      <c r="C72" s="88"/>
      <c r="D72" s="88"/>
      <c r="E72" s="88">
        <f>+E68*E61</f>
        <v>0.23932999999999999</v>
      </c>
      <c r="F72" s="88"/>
      <c r="G72" s="88"/>
      <c r="H72" s="8"/>
      <c r="I72" s="8"/>
      <c r="J72" s="8"/>
      <c r="K72" s="8"/>
    </row>
    <row r="73" spans="1:11" x14ac:dyDescent="0.2">
      <c r="A73" s="88"/>
      <c r="B73" s="88" t="s">
        <v>239</v>
      </c>
      <c r="C73" s="88"/>
      <c r="D73" s="88"/>
      <c r="E73" s="88">
        <f>+E69*E61</f>
        <v>0.321685</v>
      </c>
      <c r="F73" s="88"/>
      <c r="G73" s="88"/>
      <c r="H73" s="8"/>
      <c r="I73" s="8"/>
      <c r="J73" s="8"/>
      <c r="K73" s="8"/>
    </row>
    <row r="74" spans="1:11" x14ac:dyDescent="0.2">
      <c r="A74" s="88"/>
      <c r="B74" s="88"/>
      <c r="C74" s="88"/>
      <c r="D74" s="88"/>
      <c r="E74" s="88"/>
      <c r="F74" s="88"/>
      <c r="G74" s="88"/>
      <c r="H74" s="8"/>
      <c r="I74" s="8"/>
      <c r="J74" s="8"/>
      <c r="K74" s="8"/>
    </row>
    <row r="75" spans="1:11" x14ac:dyDescent="0.2">
      <c r="A75" s="88" t="s">
        <v>240</v>
      </c>
      <c r="B75" s="88"/>
      <c r="C75" s="88"/>
      <c r="D75" s="88"/>
      <c r="E75" s="88"/>
      <c r="F75" s="117"/>
      <c r="G75" s="117"/>
      <c r="H75" s="8"/>
      <c r="I75" s="8"/>
      <c r="J75" s="8"/>
      <c r="K75" s="8"/>
    </row>
    <row r="76" spans="1:11" x14ac:dyDescent="0.2">
      <c r="A76" s="88"/>
      <c r="B76" s="88"/>
      <c r="C76" s="88"/>
      <c r="D76" s="88" t="s">
        <v>475</v>
      </c>
      <c r="E76" s="88"/>
      <c r="F76" s="273" t="s">
        <v>498</v>
      </c>
      <c r="G76" s="273" t="s">
        <v>499</v>
      </c>
      <c r="H76" s="8"/>
      <c r="I76" s="8"/>
      <c r="J76" s="8"/>
      <c r="K76" s="8"/>
    </row>
    <row r="77" spans="1:11" x14ac:dyDescent="0.2">
      <c r="A77" s="88"/>
      <c r="B77" s="88"/>
      <c r="C77" s="88"/>
      <c r="D77" s="88"/>
      <c r="E77" s="88"/>
      <c r="F77" s="117"/>
      <c r="G77" s="117"/>
      <c r="H77" s="8"/>
      <c r="I77" s="8"/>
      <c r="J77" s="8"/>
      <c r="K77" s="8"/>
    </row>
    <row r="78" spans="1:11" x14ac:dyDescent="0.2">
      <c r="A78" s="88"/>
      <c r="B78" s="88" t="s">
        <v>241</v>
      </c>
      <c r="C78" s="88"/>
      <c r="D78" s="88"/>
      <c r="E78" s="88"/>
      <c r="F78" s="117">
        <v>1.3</v>
      </c>
      <c r="G78" s="117">
        <v>0.98</v>
      </c>
      <c r="H78" s="8"/>
      <c r="I78" s="8"/>
      <c r="J78" s="8"/>
      <c r="K78" s="8"/>
    </row>
    <row r="79" spans="1:11" x14ac:dyDescent="0.2">
      <c r="A79" s="88"/>
      <c r="B79" s="88" t="s">
        <v>242</v>
      </c>
      <c r="C79" s="88"/>
      <c r="D79" s="88"/>
      <c r="E79" s="88"/>
      <c r="F79" s="117">
        <v>1</v>
      </c>
      <c r="G79" s="117">
        <v>0.75</v>
      </c>
      <c r="H79" s="8"/>
      <c r="I79" s="8"/>
      <c r="J79" s="8"/>
      <c r="K79" s="8"/>
    </row>
    <row r="80" spans="1:11" x14ac:dyDescent="0.2">
      <c r="A80" s="88"/>
      <c r="B80" s="88" t="s">
        <v>243</v>
      </c>
      <c r="C80" s="88"/>
      <c r="D80" s="88"/>
      <c r="E80" s="88"/>
      <c r="F80" s="117">
        <v>0.85</v>
      </c>
      <c r="G80" s="117">
        <v>0.64</v>
      </c>
      <c r="H80" s="8"/>
      <c r="I80" s="8"/>
      <c r="J80" s="8"/>
      <c r="K80" s="8"/>
    </row>
    <row r="81" spans="1:11" x14ac:dyDescent="0.2">
      <c r="A81" s="88"/>
      <c r="B81" s="88" t="s">
        <v>244</v>
      </c>
      <c r="C81" s="88"/>
      <c r="D81" s="88"/>
      <c r="E81" s="88"/>
      <c r="F81" s="117">
        <v>0.67</v>
      </c>
      <c r="G81" s="117">
        <v>0.5</v>
      </c>
      <c r="H81" s="8"/>
      <c r="I81" s="8"/>
      <c r="J81" s="8"/>
      <c r="K81" s="8"/>
    </row>
    <row r="82" spans="1:11" x14ac:dyDescent="0.2">
      <c r="A82" s="88"/>
      <c r="B82" s="88" t="s">
        <v>245</v>
      </c>
      <c r="C82" s="88"/>
      <c r="D82" s="88"/>
      <c r="E82" s="88"/>
      <c r="F82" s="117">
        <v>0.47</v>
      </c>
      <c r="G82" s="117">
        <v>0.35</v>
      </c>
      <c r="H82" s="8"/>
      <c r="I82" s="8"/>
      <c r="J82" s="8"/>
      <c r="K82" s="8"/>
    </row>
    <row r="83" spans="1:11" x14ac:dyDescent="0.2">
      <c r="A83" s="88"/>
      <c r="B83" s="88"/>
      <c r="C83" s="88"/>
      <c r="D83" s="88"/>
      <c r="E83" s="88"/>
      <c r="F83" s="88"/>
      <c r="G83" s="88"/>
      <c r="H83" s="8"/>
      <c r="I83" s="8"/>
      <c r="J83" s="8"/>
      <c r="K83" s="8"/>
    </row>
    <row r="84" spans="1:11" x14ac:dyDescent="0.2">
      <c r="A84" s="88"/>
      <c r="B84" s="88" t="s">
        <v>246</v>
      </c>
      <c r="C84" s="88" t="s">
        <v>2</v>
      </c>
      <c r="D84" s="82">
        <v>0.64</v>
      </c>
      <c r="E84" s="88"/>
      <c r="F84" s="88"/>
      <c r="G84" s="88"/>
      <c r="H84" s="8"/>
      <c r="I84" s="8"/>
      <c r="J84" s="8"/>
      <c r="K84" s="8"/>
    </row>
    <row r="85" spans="1:11" x14ac:dyDescent="0.2">
      <c r="A85" s="88"/>
      <c r="B85" s="88"/>
      <c r="C85" s="88"/>
      <c r="D85" s="88"/>
      <c r="E85" s="88"/>
      <c r="F85" s="88"/>
      <c r="G85" s="88"/>
      <c r="H85" s="8"/>
      <c r="I85" s="8"/>
      <c r="J85" s="8"/>
      <c r="K85" s="8"/>
    </row>
    <row r="86" spans="1:11" x14ac:dyDescent="0.2">
      <c r="A86" s="88" t="s">
        <v>247</v>
      </c>
      <c r="B86" s="88"/>
      <c r="C86" s="88"/>
      <c r="D86" s="88"/>
      <c r="E86" s="88"/>
      <c r="F86" s="88"/>
      <c r="G86" s="88"/>
      <c r="H86" s="8"/>
      <c r="I86" s="8"/>
      <c r="J86" s="8"/>
      <c r="K86" s="8"/>
    </row>
    <row r="87" spans="1:11" x14ac:dyDescent="0.2">
      <c r="A87" s="88"/>
      <c r="B87" s="88"/>
      <c r="C87" s="88"/>
      <c r="D87" s="88">
        <f>+E37*D84*1000</f>
        <v>8128</v>
      </c>
      <c r="E87" s="88" t="s">
        <v>257</v>
      </c>
      <c r="F87" s="88"/>
      <c r="G87" s="88"/>
      <c r="H87" s="8"/>
      <c r="I87" s="8"/>
      <c r="J87" s="8"/>
      <c r="K87" s="8"/>
    </row>
    <row r="88" spans="1:11" x14ac:dyDescent="0.2">
      <c r="A88" s="88"/>
      <c r="B88" s="88"/>
      <c r="C88" s="88"/>
      <c r="D88" s="88"/>
      <c r="E88" s="88"/>
      <c r="F88" s="88"/>
      <c r="G88" s="88"/>
      <c r="H88" s="8"/>
      <c r="I88" s="8"/>
      <c r="J88" s="8"/>
      <c r="K88" s="8"/>
    </row>
    <row r="89" spans="1:11" x14ac:dyDescent="0.2">
      <c r="A89" s="88" t="s">
        <v>248</v>
      </c>
      <c r="B89" s="88"/>
      <c r="C89" s="88"/>
      <c r="D89" s="88"/>
      <c r="E89" s="88"/>
      <c r="F89" s="88"/>
      <c r="G89" s="88"/>
      <c r="H89" s="8"/>
      <c r="I89" s="8"/>
      <c r="J89" s="8"/>
      <c r="K89" s="8"/>
    </row>
    <row r="90" spans="1:11" x14ac:dyDescent="0.2">
      <c r="A90" s="88"/>
      <c r="B90" s="88"/>
      <c r="C90" s="88"/>
      <c r="D90" s="88"/>
      <c r="E90" s="88"/>
      <c r="F90" s="88"/>
      <c r="G90" s="88"/>
      <c r="H90" s="8"/>
      <c r="I90" s="8"/>
      <c r="J90" s="8"/>
      <c r="K90" s="8"/>
    </row>
    <row r="91" spans="1:11" x14ac:dyDescent="0.2">
      <c r="A91" s="88" t="s">
        <v>249</v>
      </c>
      <c r="B91" s="88"/>
      <c r="C91" s="88"/>
      <c r="D91" s="90">
        <f>1.56*$E$35/($D$87*SQRT(E72))</f>
        <v>1.8494829693283921</v>
      </c>
      <c r="E91" s="88" t="s">
        <v>27</v>
      </c>
      <c r="F91" s="88"/>
      <c r="G91" s="88"/>
      <c r="H91" s="8"/>
      <c r="I91" s="8"/>
      <c r="J91" s="8"/>
      <c r="K91" s="8"/>
    </row>
    <row r="92" spans="1:11" x14ac:dyDescent="0.2">
      <c r="A92" s="274" t="s">
        <v>574</v>
      </c>
      <c r="B92" s="88"/>
      <c r="C92" s="88"/>
      <c r="D92" s="90">
        <f>1.56*$E$35/($D$87*SQRT(E73))</f>
        <v>1.5952674419926494</v>
      </c>
      <c r="E92" s="88" t="s">
        <v>27</v>
      </c>
      <c r="F92" s="88"/>
      <c r="G92" s="88"/>
      <c r="H92" s="8"/>
      <c r="I92" s="8"/>
      <c r="J92" s="8"/>
      <c r="K92" s="8"/>
    </row>
    <row r="93" spans="1:11" ht="13.5" thickBot="1" x14ac:dyDescent="0.25">
      <c r="A93" s="88"/>
      <c r="B93" s="88"/>
      <c r="C93" s="88"/>
      <c r="D93" s="90"/>
      <c r="E93" s="88"/>
      <c r="F93" s="88"/>
      <c r="G93" s="88"/>
      <c r="H93" s="8"/>
      <c r="I93" s="8"/>
      <c r="J93" s="8"/>
      <c r="K93" s="8"/>
    </row>
    <row r="94" spans="1:11" x14ac:dyDescent="0.2">
      <c r="A94" s="251" t="s">
        <v>502</v>
      </c>
      <c r="B94" s="244"/>
      <c r="C94" s="244"/>
      <c r="D94" s="252"/>
      <c r="E94" s="245"/>
      <c r="F94" s="88"/>
      <c r="G94" s="88"/>
      <c r="H94" s="8"/>
      <c r="I94" s="8"/>
      <c r="J94" s="8"/>
      <c r="K94" s="8"/>
    </row>
    <row r="95" spans="1:11" x14ac:dyDescent="0.2">
      <c r="A95" s="246" t="s">
        <v>249</v>
      </c>
      <c r="B95" s="88"/>
      <c r="C95" s="88"/>
      <c r="D95" s="90">
        <f>+D91*1.41</f>
        <v>2.6077709867530325</v>
      </c>
      <c r="E95" s="247" t="s">
        <v>27</v>
      </c>
      <c r="F95" s="88"/>
      <c r="G95" s="88"/>
      <c r="H95" s="8"/>
      <c r="I95" s="8"/>
      <c r="J95" s="8"/>
      <c r="K95" s="8"/>
    </row>
    <row r="96" spans="1:11" ht="13.5" thickBot="1" x14ac:dyDescent="0.25">
      <c r="A96" s="338" t="s">
        <v>574</v>
      </c>
      <c r="B96" s="255"/>
      <c r="C96" s="255"/>
      <c r="D96" s="324">
        <f>+D92*1.41</f>
        <v>2.2493270932096356</v>
      </c>
      <c r="E96" s="250" t="s">
        <v>27</v>
      </c>
      <c r="F96" s="88"/>
      <c r="G96" s="88"/>
      <c r="H96" s="8"/>
      <c r="I96" s="8"/>
      <c r="J96" s="8"/>
      <c r="K96" s="8"/>
    </row>
    <row r="97" spans="1:11" x14ac:dyDescent="0.2">
      <c r="A97" s="88"/>
      <c r="B97" s="88"/>
      <c r="C97" s="88"/>
      <c r="D97" s="90"/>
      <c r="E97" s="88"/>
      <c r="F97" s="88"/>
      <c r="G97" s="88"/>
      <c r="H97" s="8"/>
      <c r="I97" s="8"/>
      <c r="J97" s="8"/>
      <c r="K97" s="8"/>
    </row>
    <row r="98" spans="1:11" x14ac:dyDescent="0.2">
      <c r="A98" s="274"/>
      <c r="B98" s="88"/>
      <c r="C98" s="88"/>
      <c r="D98" s="90"/>
      <c r="E98" s="88"/>
      <c r="F98" s="88"/>
      <c r="G98" s="88"/>
      <c r="H98" s="8"/>
      <c r="I98" s="8"/>
      <c r="J98" s="8"/>
      <c r="K98" s="8"/>
    </row>
    <row r="99" spans="1:11" x14ac:dyDescent="0.2">
      <c r="A99" s="274" t="s">
        <v>686</v>
      </c>
      <c r="B99" s="88"/>
      <c r="C99" s="88"/>
      <c r="D99" s="90"/>
      <c r="E99" s="88"/>
      <c r="F99" s="88"/>
      <c r="G99" s="88"/>
      <c r="H99" s="8"/>
      <c r="I99" s="8"/>
      <c r="J99" s="8"/>
      <c r="K99" s="8"/>
    </row>
    <row r="100" spans="1:11" x14ac:dyDescent="0.2">
      <c r="A100" s="274" t="s">
        <v>687</v>
      </c>
      <c r="B100" s="88"/>
      <c r="C100" s="88"/>
      <c r="D100" s="90"/>
      <c r="E100" s="88"/>
      <c r="F100" s="88"/>
      <c r="G100" s="88"/>
      <c r="H100" s="8"/>
      <c r="I100" s="8"/>
      <c r="J100" s="8"/>
      <c r="K100" s="8"/>
    </row>
    <row r="101" spans="1:11" ht="13.5" thickBot="1" x14ac:dyDescent="0.25">
      <c r="A101" s="88"/>
      <c r="B101" s="88"/>
      <c r="C101" s="88"/>
      <c r="D101" s="90"/>
      <c r="E101" s="88"/>
      <c r="F101" s="88"/>
      <c r="G101" s="88"/>
      <c r="H101" s="8"/>
      <c r="I101" s="8"/>
      <c r="J101" s="8"/>
      <c r="K101" s="8"/>
    </row>
    <row r="102" spans="1:11" x14ac:dyDescent="0.2">
      <c r="A102" s="251" t="s">
        <v>503</v>
      </c>
      <c r="B102" s="244"/>
      <c r="C102" s="244"/>
      <c r="D102" s="252"/>
      <c r="E102" s="245"/>
      <c r="F102" s="88"/>
      <c r="G102" s="88"/>
      <c r="H102" s="8"/>
      <c r="I102" s="8"/>
      <c r="J102" s="8"/>
      <c r="K102" s="8"/>
    </row>
    <row r="103" spans="1:11" x14ac:dyDescent="0.2">
      <c r="A103" s="246" t="s">
        <v>249</v>
      </c>
      <c r="B103" s="88"/>
      <c r="C103" s="88"/>
      <c r="D103" s="90">
        <f>+D95*2</f>
        <v>5.2155419735060651</v>
      </c>
      <c r="E103" s="247" t="s">
        <v>27</v>
      </c>
      <c r="F103" s="88"/>
      <c r="G103" s="88"/>
      <c r="H103" s="8"/>
      <c r="I103" s="8"/>
      <c r="J103" s="8"/>
      <c r="K103" s="8"/>
    </row>
    <row r="104" spans="1:11" ht="13.5" thickBot="1" x14ac:dyDescent="0.25">
      <c r="A104" s="338" t="s">
        <v>574</v>
      </c>
      <c r="B104" s="255"/>
      <c r="C104" s="255"/>
      <c r="D104" s="324">
        <f>+D96*2</f>
        <v>4.4986541864192713</v>
      </c>
      <c r="E104" s="250" t="s">
        <v>27</v>
      </c>
      <c r="F104" s="88"/>
      <c r="G104" s="88"/>
      <c r="H104" s="8"/>
      <c r="I104" s="8"/>
      <c r="J104" s="8"/>
      <c r="K104" s="8"/>
    </row>
    <row r="105" spans="1:11" x14ac:dyDescent="0.2">
      <c r="A105" s="88"/>
      <c r="B105" s="88"/>
      <c r="C105" s="88"/>
      <c r="D105" s="88"/>
      <c r="E105" s="88"/>
      <c r="F105" s="88"/>
      <c r="G105" s="88"/>
      <c r="H105" s="8"/>
      <c r="I105" s="8"/>
      <c r="J105" s="8"/>
      <c r="K105" s="8"/>
    </row>
    <row r="106" spans="1:11" x14ac:dyDescent="0.2">
      <c r="A106" s="88" t="s">
        <v>331</v>
      </c>
      <c r="B106" s="88"/>
      <c r="C106" s="88"/>
      <c r="D106" s="88"/>
      <c r="E106" s="88"/>
      <c r="F106" s="88"/>
      <c r="G106" s="88"/>
      <c r="H106" s="8"/>
      <c r="I106" s="8"/>
      <c r="J106" s="8"/>
      <c r="K106" s="8"/>
    </row>
    <row r="107" spans="1:11" x14ac:dyDescent="0.2">
      <c r="A107" s="88" t="s">
        <v>332</v>
      </c>
      <c r="B107" s="88"/>
      <c r="C107" s="88"/>
      <c r="D107" s="88"/>
      <c r="E107" s="88"/>
      <c r="F107" s="88"/>
      <c r="G107" s="88"/>
      <c r="H107" s="8"/>
      <c r="I107" s="8"/>
      <c r="J107" s="8"/>
      <c r="K107" s="8"/>
    </row>
    <row r="108" spans="1:11" x14ac:dyDescent="0.2">
      <c r="A108" s="88"/>
      <c r="B108" s="88"/>
      <c r="C108" s="88"/>
      <c r="D108" s="88"/>
      <c r="E108" s="88"/>
      <c r="F108" s="88"/>
      <c r="G108" s="88"/>
      <c r="H108" s="8"/>
      <c r="I108" s="8"/>
      <c r="J108" s="8"/>
      <c r="K108" s="8"/>
    </row>
    <row r="109" spans="1:11" x14ac:dyDescent="0.2">
      <c r="A109" s="88" t="s">
        <v>250</v>
      </c>
      <c r="B109" s="88"/>
      <c r="C109" s="88"/>
      <c r="D109" s="88"/>
      <c r="E109" s="88"/>
      <c r="F109" s="88"/>
      <c r="G109" s="88"/>
      <c r="H109" s="8"/>
      <c r="I109" s="8"/>
      <c r="J109" s="8"/>
      <c r="K109" s="8"/>
    </row>
    <row r="110" spans="1:11" x14ac:dyDescent="0.2">
      <c r="A110" s="88"/>
      <c r="B110" s="88"/>
      <c r="C110" s="88"/>
      <c r="D110" s="88"/>
      <c r="E110" s="88"/>
      <c r="F110" s="88"/>
      <c r="G110" s="88"/>
      <c r="H110" s="8"/>
      <c r="I110" s="8"/>
      <c r="J110" s="8"/>
      <c r="K110" s="8"/>
    </row>
    <row r="111" spans="1:11" x14ac:dyDescent="0.2">
      <c r="A111" s="88" t="s">
        <v>251</v>
      </c>
      <c r="B111" s="88"/>
      <c r="C111" s="88"/>
      <c r="D111" s="88"/>
      <c r="E111" s="88"/>
      <c r="F111" s="88"/>
      <c r="G111" s="88"/>
      <c r="H111" s="8"/>
      <c r="I111" s="8"/>
      <c r="J111" s="8"/>
      <c r="K111" s="8"/>
    </row>
    <row r="112" spans="1:11" x14ac:dyDescent="0.2">
      <c r="A112" s="88"/>
      <c r="B112" s="88"/>
      <c r="C112" s="88"/>
      <c r="D112" s="88"/>
      <c r="E112" s="88"/>
      <c r="F112" s="88"/>
      <c r="G112" s="88"/>
      <c r="H112" s="8"/>
      <c r="I112" s="8"/>
      <c r="J112" s="8"/>
      <c r="K112" s="8"/>
    </row>
    <row r="113" spans="1:11" x14ac:dyDescent="0.2">
      <c r="A113" s="88" t="s">
        <v>252</v>
      </c>
      <c r="B113" s="88"/>
      <c r="C113" s="88">
        <v>1</v>
      </c>
      <c r="D113" s="88"/>
      <c r="E113" s="88"/>
      <c r="F113" s="88"/>
      <c r="G113" s="88"/>
      <c r="H113" s="8"/>
      <c r="I113" s="8"/>
      <c r="J113" s="8"/>
      <c r="K113" s="8"/>
    </row>
    <row r="114" spans="1:11" x14ac:dyDescent="0.2">
      <c r="A114" s="88" t="s">
        <v>253</v>
      </c>
      <c r="B114" s="88"/>
      <c r="C114" s="88">
        <v>0.8</v>
      </c>
      <c r="D114" s="88"/>
      <c r="E114" s="88"/>
      <c r="F114" s="88"/>
      <c r="G114" s="88"/>
      <c r="H114" s="8"/>
      <c r="I114" s="8"/>
      <c r="J114" s="8"/>
      <c r="K114" s="8"/>
    </row>
    <row r="115" spans="1:11" x14ac:dyDescent="0.2">
      <c r="A115" s="88" t="s">
        <v>254</v>
      </c>
      <c r="B115" s="88"/>
      <c r="C115" s="88">
        <v>0.6</v>
      </c>
      <c r="D115" s="88"/>
      <c r="E115" s="88"/>
      <c r="F115" s="88"/>
      <c r="G115" s="88"/>
      <c r="H115" s="8"/>
      <c r="I115" s="8"/>
      <c r="J115" s="8"/>
      <c r="K115" s="8"/>
    </row>
    <row r="116" spans="1:11" x14ac:dyDescent="0.2">
      <c r="A116" s="88"/>
      <c r="B116" s="88"/>
      <c r="C116" s="88"/>
      <c r="D116" s="88"/>
      <c r="E116" s="88"/>
      <c r="F116" s="88"/>
      <c r="G116" s="88"/>
      <c r="H116" s="8"/>
      <c r="I116" s="8"/>
      <c r="J116" s="8"/>
      <c r="K116" s="8"/>
    </row>
    <row r="117" spans="1:11" x14ac:dyDescent="0.2">
      <c r="A117" s="274" t="s">
        <v>508</v>
      </c>
      <c r="B117" s="88"/>
      <c r="C117" s="88"/>
      <c r="D117" s="88"/>
      <c r="E117" s="88"/>
      <c r="F117" s="88"/>
      <c r="G117" s="116" t="s">
        <v>2</v>
      </c>
      <c r="H117" s="116"/>
      <c r="I117" s="8"/>
      <c r="J117" s="8"/>
      <c r="K117" s="8"/>
    </row>
    <row r="118" spans="1:11" ht="13.5" thickBot="1" x14ac:dyDescent="0.25">
      <c r="A118" s="274"/>
      <c r="B118" s="88"/>
      <c r="C118" s="88"/>
      <c r="D118" s="88"/>
      <c r="E118" s="88"/>
      <c r="F118" s="88"/>
      <c r="G118" s="116"/>
      <c r="H118" s="116"/>
      <c r="I118" s="8"/>
      <c r="J118" s="8"/>
      <c r="K118" s="8"/>
    </row>
    <row r="119" spans="1:11" x14ac:dyDescent="0.2">
      <c r="A119" s="274"/>
      <c r="B119" s="88"/>
      <c r="C119" s="251" t="s">
        <v>505</v>
      </c>
      <c r="D119" s="245"/>
      <c r="E119" s="251" t="s">
        <v>506</v>
      </c>
      <c r="F119" s="276"/>
      <c r="G119" s="277" t="s">
        <v>507</v>
      </c>
      <c r="H119" s="28"/>
      <c r="I119" s="116"/>
      <c r="J119" s="8"/>
      <c r="K119" s="8"/>
    </row>
    <row r="120" spans="1:11" ht="13.5" thickBot="1" x14ac:dyDescent="0.25">
      <c r="A120" s="274"/>
      <c r="B120" s="88"/>
      <c r="C120" s="278" t="s">
        <v>109</v>
      </c>
      <c r="D120" s="279" t="s">
        <v>504</v>
      </c>
      <c r="E120" s="278" t="s">
        <v>109</v>
      </c>
      <c r="F120" s="279" t="s">
        <v>504</v>
      </c>
      <c r="G120" s="278" t="s">
        <v>109</v>
      </c>
      <c r="H120" s="279" t="s">
        <v>504</v>
      </c>
      <c r="I120" s="116"/>
      <c r="J120" s="8"/>
      <c r="K120" s="8"/>
    </row>
    <row r="121" spans="1:11" ht="13.5" thickBot="1" x14ac:dyDescent="0.25">
      <c r="A121" s="87"/>
      <c r="B121" s="280" t="s">
        <v>329</v>
      </c>
      <c r="C121" s="281">
        <f>+D95</f>
        <v>2.6077709867530325</v>
      </c>
      <c r="D121" s="282">
        <f>+D95/superficies!D18</f>
        <v>2.3897099534964793E-2</v>
      </c>
      <c r="E121" s="283">
        <f>+D95</f>
        <v>2.6077709867530325</v>
      </c>
      <c r="F121" s="282">
        <f>+D95/superficies!D18</f>
        <v>2.3897099534964793E-2</v>
      </c>
      <c r="G121" s="281">
        <f>+E121+C121</f>
        <v>5.2155419735060651</v>
      </c>
      <c r="H121" s="284">
        <f>+F121+D121</f>
        <v>4.7794199069929585E-2</v>
      </c>
      <c r="I121" s="8"/>
      <c r="J121" s="8"/>
      <c r="K121" s="8"/>
    </row>
    <row r="122" spans="1:11" ht="13.5" thickBot="1" x14ac:dyDescent="0.25">
      <c r="A122" s="88"/>
      <c r="B122" s="285" t="s">
        <v>330</v>
      </c>
      <c r="C122" s="286">
        <f>+D96</f>
        <v>2.2493270932096356</v>
      </c>
      <c r="D122" s="287">
        <f>+D96/superficies!D18</f>
        <v>2.0612390315781316E-2</v>
      </c>
      <c r="E122" s="288">
        <f>+D96</f>
        <v>2.2493270932096356</v>
      </c>
      <c r="F122" s="287">
        <f>+D96/superficies!D18</f>
        <v>2.0612390315781316E-2</v>
      </c>
      <c r="G122" s="281">
        <f>+E122+C122</f>
        <v>4.4986541864192713</v>
      </c>
      <c r="H122" s="289">
        <f>+F122+D122</f>
        <v>4.1224780631562631E-2</v>
      </c>
      <c r="I122" s="8"/>
      <c r="J122" s="8"/>
      <c r="K122" s="8"/>
    </row>
    <row r="123" spans="1:11" x14ac:dyDescent="0.2">
      <c r="A123" s="88"/>
      <c r="B123" s="274" t="s">
        <v>510</v>
      </c>
      <c r="C123" s="88"/>
      <c r="D123" s="88"/>
      <c r="E123" s="88"/>
      <c r="F123" s="88"/>
      <c r="G123" s="8"/>
      <c r="H123" s="8"/>
      <c r="I123" s="8"/>
      <c r="J123" s="8"/>
      <c r="K123" s="8"/>
    </row>
    <row r="124" spans="1:11" x14ac:dyDescent="0.2">
      <c r="A124" s="88"/>
      <c r="B124" s="274" t="s">
        <v>511</v>
      </c>
      <c r="C124" s="88"/>
      <c r="D124" s="88"/>
      <c r="E124" s="88"/>
      <c r="F124" s="88"/>
      <c r="G124" s="88"/>
      <c r="H124" s="8"/>
      <c r="I124" s="8"/>
      <c r="J124" s="8"/>
      <c r="K124" s="8"/>
    </row>
    <row r="125" spans="1:11" x14ac:dyDescent="0.2">
      <c r="A125" s="88"/>
      <c r="B125" s="274"/>
      <c r="C125" s="88"/>
      <c r="D125" s="88"/>
      <c r="E125" s="88"/>
      <c r="F125" s="88"/>
      <c r="G125" s="88"/>
      <c r="H125" s="8"/>
      <c r="I125" s="8"/>
      <c r="J125" s="8"/>
      <c r="K125" s="8"/>
    </row>
    <row r="126" spans="1:11" x14ac:dyDescent="0.2">
      <c r="A126" s="88" t="s">
        <v>255</v>
      </c>
      <c r="B126" s="88"/>
      <c r="C126" s="88"/>
      <c r="D126" s="88"/>
      <c r="E126" s="88"/>
      <c r="F126" s="88"/>
      <c r="G126" s="88"/>
      <c r="H126" s="8"/>
      <c r="I126" s="8"/>
      <c r="J126" s="8"/>
      <c r="K126" s="8"/>
    </row>
    <row r="127" spans="1:11" x14ac:dyDescent="0.2">
      <c r="A127" s="88" t="s">
        <v>256</v>
      </c>
      <c r="B127" s="88"/>
      <c r="C127" s="88"/>
      <c r="D127" s="88"/>
      <c r="E127" s="88"/>
      <c r="F127" s="88"/>
      <c r="G127" s="88"/>
      <c r="H127" s="8"/>
      <c r="I127" s="8"/>
      <c r="J127" s="8"/>
      <c r="K127" s="8"/>
    </row>
    <row r="128" spans="1:11" ht="13.5" thickBot="1" x14ac:dyDescent="0.25">
      <c r="A128" s="8"/>
      <c r="B128" s="8"/>
      <c r="C128" s="8"/>
      <c r="D128" s="8"/>
      <c r="E128" s="8"/>
      <c r="F128" s="88"/>
      <c r="G128" s="88"/>
      <c r="H128" s="8"/>
      <c r="I128" s="8"/>
      <c r="J128" s="8"/>
      <c r="K128" s="8"/>
    </row>
    <row r="129" spans="1:11" x14ac:dyDescent="0.2">
      <c r="A129" s="416" t="s">
        <v>616</v>
      </c>
      <c r="B129" s="417"/>
      <c r="C129" s="417"/>
      <c r="D129" s="417"/>
      <c r="E129" s="417"/>
      <c r="F129" s="418"/>
      <c r="G129" s="418"/>
      <c r="H129" s="417"/>
      <c r="I129" s="417"/>
      <c r="J129" s="417"/>
      <c r="K129" s="422"/>
    </row>
    <row r="130" spans="1:11" ht="13.5" thickBot="1" x14ac:dyDescent="0.25">
      <c r="A130" s="419" t="s">
        <v>617</v>
      </c>
      <c r="B130" s="420"/>
      <c r="C130" s="421"/>
      <c r="D130" s="421"/>
      <c r="E130" s="421"/>
      <c r="F130" s="421"/>
      <c r="G130" s="421"/>
      <c r="H130" s="421"/>
      <c r="I130" s="421"/>
      <c r="J130" s="421"/>
      <c r="K130" s="42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R47"/>
  <sheetViews>
    <sheetView workbookViewId="0">
      <selection activeCell="K12" sqref="K12"/>
    </sheetView>
  </sheetViews>
  <sheetFormatPr baseColWidth="10" defaultRowHeight="12.75" x14ac:dyDescent="0.2"/>
  <cols>
    <col min="2" max="2" width="11.7109375" customWidth="1"/>
    <col min="3" max="3" width="13.85546875" customWidth="1"/>
    <col min="4" max="4" width="10.85546875" customWidth="1"/>
    <col min="5" max="5" width="11" customWidth="1"/>
    <col min="6" max="6" width="10" customWidth="1"/>
    <col min="7" max="7" width="11.7109375" customWidth="1"/>
    <col min="8" max="8" width="10.7109375" customWidth="1"/>
    <col min="9" max="9" width="13.42578125" customWidth="1"/>
    <col min="11" max="11" width="16.5703125" customWidth="1"/>
  </cols>
  <sheetData>
    <row r="1" spans="1:18" x14ac:dyDescent="0.2">
      <c r="A1" s="385"/>
      <c r="B1" s="384" t="s">
        <v>577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</row>
    <row r="2" spans="1:18" x14ac:dyDescent="0.2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</row>
    <row r="3" spans="1:18" x14ac:dyDescent="0.2">
      <c r="A3" s="385"/>
      <c r="B3" s="386" t="s">
        <v>559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</row>
    <row r="4" spans="1:18" x14ac:dyDescent="0.2">
      <c r="A4" s="385"/>
      <c r="B4" s="386" t="s">
        <v>560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</row>
    <row r="5" spans="1:18" ht="13.5" thickBot="1" x14ac:dyDescent="0.25">
      <c r="A5" s="385"/>
      <c r="B5" s="386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</row>
    <row r="6" spans="1:18" ht="13.5" thickBot="1" x14ac:dyDescent="0.25">
      <c r="A6" s="385"/>
      <c r="B6" s="596" t="s">
        <v>324</v>
      </c>
      <c r="C6" s="597"/>
      <c r="D6" s="597"/>
      <c r="E6" s="597"/>
      <c r="F6" s="597"/>
      <c r="G6" s="597"/>
      <c r="H6" s="597"/>
      <c r="I6" s="597"/>
      <c r="J6" s="597"/>
      <c r="K6" s="598"/>
      <c r="L6" s="385"/>
      <c r="M6" s="385"/>
      <c r="N6" s="385"/>
      <c r="O6" s="385"/>
      <c r="P6" s="385"/>
      <c r="Q6" s="385"/>
      <c r="R6" s="385"/>
    </row>
    <row r="7" spans="1:18" ht="13.5" thickBot="1" x14ac:dyDescent="0.25">
      <c r="A7" s="385"/>
      <c r="B7" s="521"/>
      <c r="C7" s="522" t="s">
        <v>2</v>
      </c>
      <c r="D7" s="523" t="s">
        <v>316</v>
      </c>
      <c r="E7" s="524" t="s">
        <v>317</v>
      </c>
      <c r="F7" s="524" t="s">
        <v>318</v>
      </c>
      <c r="G7" s="524" t="s">
        <v>319</v>
      </c>
      <c r="H7" s="524" t="s">
        <v>322</v>
      </c>
      <c r="I7" s="525" t="s">
        <v>320</v>
      </c>
      <c r="J7" s="526" t="s">
        <v>706</v>
      </c>
      <c r="K7" s="526" t="s">
        <v>707</v>
      </c>
      <c r="L7" s="385"/>
      <c r="M7" s="385"/>
      <c r="N7" s="385"/>
      <c r="O7" s="385"/>
      <c r="P7" s="385"/>
      <c r="Q7" s="385"/>
      <c r="R7" s="385"/>
    </row>
    <row r="8" spans="1:18" hidden="1" x14ac:dyDescent="0.2">
      <c r="A8" s="385"/>
      <c r="B8" s="375" t="s">
        <v>321</v>
      </c>
      <c r="C8" s="376" t="s">
        <v>545</v>
      </c>
      <c r="D8" s="377"/>
      <c r="E8" s="378"/>
      <c r="F8" s="378"/>
      <c r="G8" s="378"/>
      <c r="H8" s="378"/>
      <c r="I8" s="379"/>
      <c r="J8" s="527"/>
      <c r="K8" s="528"/>
      <c r="L8" s="385"/>
      <c r="M8" s="385"/>
      <c r="N8" s="385"/>
      <c r="O8" s="385"/>
      <c r="P8" s="385"/>
      <c r="Q8" s="385"/>
      <c r="R8" s="385"/>
    </row>
    <row r="9" spans="1:18" hidden="1" x14ac:dyDescent="0.2">
      <c r="A9" s="385"/>
      <c r="B9" s="380" t="s">
        <v>323</v>
      </c>
      <c r="C9" s="376"/>
      <c r="D9" s="381">
        <v>58.968000000000004</v>
      </c>
      <c r="E9" s="382">
        <v>47.061</v>
      </c>
      <c r="F9" s="382">
        <v>34.587000000000003</v>
      </c>
      <c r="G9" s="382">
        <v>14.742000000000001</v>
      </c>
      <c r="H9" s="382">
        <v>20.411999999999999</v>
      </c>
      <c r="I9" s="383">
        <v>31.184999999999999</v>
      </c>
      <c r="J9" s="529">
        <v>31.184999999999999</v>
      </c>
      <c r="K9" s="530"/>
      <c r="L9" s="385"/>
      <c r="M9" s="385"/>
      <c r="N9" s="385"/>
      <c r="O9" s="385"/>
      <c r="P9" s="385"/>
      <c r="Q9" s="385"/>
      <c r="R9" s="385"/>
    </row>
    <row r="10" spans="1:18" x14ac:dyDescent="0.2">
      <c r="A10" s="385"/>
      <c r="B10" s="531" t="s">
        <v>561</v>
      </c>
      <c r="C10" s="532"/>
      <c r="D10" s="533"/>
      <c r="E10" s="534"/>
      <c r="F10" s="534"/>
      <c r="G10" s="534"/>
      <c r="H10" s="534"/>
      <c r="I10" s="535"/>
      <c r="J10" s="535"/>
      <c r="K10" s="535"/>
      <c r="L10" s="385"/>
      <c r="M10" s="385"/>
      <c r="N10" s="385"/>
      <c r="O10" s="385"/>
      <c r="P10" s="385"/>
      <c r="Q10" s="385"/>
      <c r="R10" s="385"/>
    </row>
    <row r="11" spans="1:18" x14ac:dyDescent="0.2">
      <c r="A11" s="385"/>
      <c r="B11" s="536" t="s">
        <v>718</v>
      </c>
      <c r="C11" s="537" t="s">
        <v>2</v>
      </c>
      <c r="D11" s="538">
        <v>23.247</v>
      </c>
      <c r="E11" s="539">
        <v>22.113</v>
      </c>
      <c r="F11" s="539">
        <v>19.844999999999999</v>
      </c>
      <c r="G11" s="539">
        <v>4.3</v>
      </c>
      <c r="H11" s="539">
        <v>14.742000000000001</v>
      </c>
      <c r="I11" s="540">
        <v>18.710999999999999</v>
      </c>
      <c r="J11" s="540">
        <v>11.8</v>
      </c>
      <c r="K11" s="540">
        <v>9</v>
      </c>
      <c r="L11" s="385"/>
      <c r="M11" s="385"/>
      <c r="N11" s="385"/>
      <c r="O11" s="385"/>
      <c r="P11" s="385"/>
      <c r="Q11" s="385"/>
      <c r="R11" s="385"/>
    </row>
    <row r="12" spans="1:18" ht="13.5" thickBot="1" x14ac:dyDescent="0.25">
      <c r="A12" s="385"/>
      <c r="B12" s="541" t="s">
        <v>708</v>
      </c>
      <c r="C12" s="542"/>
      <c r="D12" s="543">
        <v>0.1</v>
      </c>
      <c r="E12" s="543">
        <v>0.1</v>
      </c>
      <c r="F12" s="543">
        <v>0.1</v>
      </c>
      <c r="G12" s="544">
        <v>2.5000000000000001E-2</v>
      </c>
      <c r="H12" s="545">
        <v>0.1016</v>
      </c>
      <c r="I12" s="546">
        <v>0.1</v>
      </c>
      <c r="J12" s="546">
        <v>0.03</v>
      </c>
      <c r="K12" s="546">
        <v>1.4999999999999999E-2</v>
      </c>
      <c r="L12" s="385"/>
      <c r="M12" s="385"/>
      <c r="N12" s="385"/>
      <c r="O12" s="385"/>
      <c r="P12" s="385"/>
      <c r="Q12" s="385"/>
      <c r="R12" s="385"/>
    </row>
    <row r="13" spans="1:18" x14ac:dyDescent="0.2">
      <c r="A13" s="385"/>
      <c r="B13" s="387" t="s">
        <v>562</v>
      </c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</row>
    <row r="14" spans="1:18" x14ac:dyDescent="0.2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</row>
    <row r="15" spans="1:18" x14ac:dyDescent="0.2">
      <c r="A15" s="385"/>
      <c r="B15" s="386" t="s">
        <v>558</v>
      </c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</row>
    <row r="16" spans="1:18" x14ac:dyDescent="0.2">
      <c r="A16" s="385"/>
      <c r="B16" s="386" t="s">
        <v>563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</row>
    <row r="17" spans="1:18" x14ac:dyDescent="0.2">
      <c r="A17" s="385"/>
      <c r="B17" s="386" t="s">
        <v>564</v>
      </c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</row>
    <row r="18" spans="1:18" x14ac:dyDescent="0.2">
      <c r="A18" s="385"/>
      <c r="B18" s="386" t="s">
        <v>565</v>
      </c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</row>
    <row r="19" spans="1:18" ht="13.5" thickBot="1" x14ac:dyDescent="0.25">
      <c r="A19" s="385"/>
      <c r="B19" s="385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</row>
    <row r="20" spans="1:18" ht="13.5" thickBot="1" x14ac:dyDescent="0.25">
      <c r="A20" s="385"/>
      <c r="B20" s="386"/>
      <c r="C20" s="410"/>
      <c r="D20" s="411"/>
      <c r="E20" s="412"/>
      <c r="F20" s="413" t="s">
        <v>704</v>
      </c>
      <c r="G20" s="555" t="s">
        <v>141</v>
      </c>
      <c r="H20" s="413" t="s">
        <v>704</v>
      </c>
      <c r="I20" s="554" t="s">
        <v>28</v>
      </c>
      <c r="J20" s="413" t="s">
        <v>704</v>
      </c>
      <c r="K20" s="414" t="s">
        <v>705</v>
      </c>
      <c r="L20" s="385"/>
      <c r="M20" s="385"/>
      <c r="N20" s="385"/>
      <c r="O20" s="385"/>
      <c r="P20" s="385"/>
      <c r="Q20" s="385"/>
      <c r="R20" s="385"/>
    </row>
    <row r="21" spans="1:18" x14ac:dyDescent="0.2">
      <c r="A21" s="385"/>
      <c r="B21" s="385"/>
      <c r="C21" s="547" t="s">
        <v>434</v>
      </c>
      <c r="D21" s="548"/>
      <c r="E21" s="549"/>
      <c r="F21" s="404"/>
      <c r="G21" s="405">
        <f>+superficies!D16</f>
        <v>110.16</v>
      </c>
      <c r="H21" s="406"/>
      <c r="I21" s="405">
        <f>+superficies!D23</f>
        <v>109.12499999999999</v>
      </c>
      <c r="J21" s="406"/>
      <c r="K21" s="405">
        <v>148.86000000000001</v>
      </c>
      <c r="L21" s="385" t="s">
        <v>27</v>
      </c>
      <c r="M21" s="385"/>
      <c r="N21" s="385"/>
      <c r="O21" s="385"/>
      <c r="P21" s="385"/>
      <c r="Q21" s="385"/>
      <c r="R21" s="385"/>
    </row>
    <row r="22" spans="1:18" ht="13.5" thickBot="1" x14ac:dyDescent="0.25">
      <c r="A22" s="385"/>
      <c r="B22" s="385"/>
      <c r="C22" s="550" t="s">
        <v>433</v>
      </c>
      <c r="D22" s="551"/>
      <c r="E22" s="552"/>
      <c r="F22" s="407" t="s">
        <v>318</v>
      </c>
      <c r="G22" s="374">
        <v>19.850000000000001</v>
      </c>
      <c r="H22" s="408" t="s">
        <v>580</v>
      </c>
      <c r="I22" s="409">
        <f>+D11</f>
        <v>23.247</v>
      </c>
      <c r="J22" s="408" t="s">
        <v>706</v>
      </c>
      <c r="K22" s="409">
        <v>11.8</v>
      </c>
      <c r="L22" s="385" t="s">
        <v>315</v>
      </c>
      <c r="M22" s="385"/>
      <c r="N22" s="385"/>
      <c r="O22" s="385"/>
      <c r="P22" s="385"/>
      <c r="Q22" s="385"/>
      <c r="R22" s="385"/>
    </row>
    <row r="23" spans="1:18" ht="13.5" thickBot="1" x14ac:dyDescent="0.25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</row>
    <row r="24" spans="1:18" x14ac:dyDescent="0.2">
      <c r="A24" s="385"/>
      <c r="B24" s="386" t="s">
        <v>566</v>
      </c>
      <c r="C24" s="385"/>
      <c r="D24" s="385"/>
      <c r="E24" s="385"/>
      <c r="F24" s="388" t="s">
        <v>293</v>
      </c>
      <c r="G24" s="392" t="s">
        <v>546</v>
      </c>
      <c r="H24" s="392" t="s">
        <v>294</v>
      </c>
      <c r="I24" s="393" t="s">
        <v>587</v>
      </c>
      <c r="J24" s="385"/>
      <c r="K24" s="385"/>
      <c r="L24" s="385"/>
      <c r="M24" s="385"/>
      <c r="N24" s="385"/>
      <c r="O24" s="385"/>
      <c r="P24" s="385"/>
      <c r="Q24" s="385"/>
      <c r="R24" s="385"/>
    </row>
    <row r="25" spans="1:18" ht="13.5" thickBot="1" x14ac:dyDescent="0.25">
      <c r="A25" s="385"/>
      <c r="B25" s="386" t="s">
        <v>567</v>
      </c>
      <c r="C25" s="385"/>
      <c r="D25" s="385"/>
      <c r="E25" s="385"/>
      <c r="F25" s="390"/>
      <c r="G25" s="394" t="s">
        <v>295</v>
      </c>
      <c r="H25" s="394" t="s">
        <v>224</v>
      </c>
      <c r="I25" s="415">
        <v>24.8</v>
      </c>
      <c r="J25" s="385"/>
      <c r="K25" s="385"/>
      <c r="L25" s="385"/>
      <c r="M25" s="385"/>
      <c r="N25" s="385"/>
      <c r="O25" s="385"/>
      <c r="P25" s="385"/>
      <c r="Q25" s="385"/>
      <c r="R25" s="385"/>
    </row>
    <row r="26" spans="1:18" x14ac:dyDescent="0.2">
      <c r="A26" s="385"/>
      <c r="B26" s="386" t="s">
        <v>568</v>
      </c>
      <c r="C26" s="385"/>
      <c r="D26" s="385"/>
      <c r="E26" s="385"/>
      <c r="F26" s="395">
        <v>0</v>
      </c>
      <c r="G26" s="396">
        <f>+'Balance enfriamiento'!AA12</f>
        <v>23.830500000000001</v>
      </c>
      <c r="H26" s="396">
        <f>+'Balance enfriamiento'!AF256</f>
        <v>2920.9657469338749</v>
      </c>
      <c r="I26" s="397">
        <f>IF(AND(H26&lt;0,(+H26/(($G$22*$G$21)+($I$21*$I$22)+($K$21*$K$22))+I25)&lt;G26),G26,(+H26/(($G$22*$G$21)+($I$21*$I$22)+($K$21*$K$22))+I25))</f>
        <v>25.25076264087334</v>
      </c>
      <c r="J26" s="385"/>
      <c r="K26" s="385"/>
      <c r="L26" s="385"/>
      <c r="M26" s="385"/>
      <c r="N26" s="385"/>
      <c r="O26" s="385"/>
      <c r="P26" s="385"/>
      <c r="Q26" s="385"/>
      <c r="R26" s="385"/>
    </row>
    <row r="27" spans="1:18" x14ac:dyDescent="0.2">
      <c r="A27" s="385"/>
      <c r="B27" s="386" t="s">
        <v>569</v>
      </c>
      <c r="C27" s="385"/>
      <c r="D27" s="385"/>
      <c r="E27" s="385"/>
      <c r="F27" s="398">
        <v>2</v>
      </c>
      <c r="G27" s="399">
        <f>+'Balance enfriamiento'!AA13</f>
        <v>22.77225</v>
      </c>
      <c r="H27" s="399">
        <f>+'Balance enfriamiento'!AF257</f>
        <v>-994.60630344856281</v>
      </c>
      <c r="I27" s="389">
        <f t="shared" ref="I27:I37" si="0">IF(AND(H27&lt;0,(+H27/(($G$22*$G$21)+($I$21*$I$22)+($K$21*$K$22))+I26)&lt;G27),G27,(+H27/(($G$22*$G$21)+($I$21*$I$22)+($K$21*$K$22))+I26))</f>
        <v>25.097275266212286</v>
      </c>
      <c r="J27" s="385"/>
      <c r="K27" s="385"/>
      <c r="L27" s="385"/>
      <c r="M27" s="385"/>
      <c r="N27" s="385"/>
      <c r="O27" s="385"/>
      <c r="P27" s="385"/>
      <c r="Q27" s="385"/>
      <c r="R27" s="385"/>
    </row>
    <row r="28" spans="1:18" x14ac:dyDescent="0.2">
      <c r="A28" s="385"/>
      <c r="B28" s="386" t="s">
        <v>570</v>
      </c>
      <c r="C28" s="385"/>
      <c r="D28" s="385"/>
      <c r="E28" s="385"/>
      <c r="F28" s="398">
        <v>4</v>
      </c>
      <c r="G28" s="399">
        <f>+'Balance enfriamiento'!AA14</f>
        <v>21.713999999999999</v>
      </c>
      <c r="H28" s="399">
        <f>+'Balance enfriamiento'!AF258</f>
        <v>-3037.8366454505012</v>
      </c>
      <c r="I28" s="389">
        <f t="shared" si="0"/>
        <v>24.628477140016365</v>
      </c>
      <c r="J28" s="385"/>
      <c r="K28" s="385"/>
      <c r="L28" s="385"/>
      <c r="M28" s="385"/>
      <c r="N28" s="385"/>
      <c r="O28" s="385"/>
      <c r="P28" s="385"/>
      <c r="Q28" s="385"/>
      <c r="R28" s="385"/>
    </row>
    <row r="29" spans="1:18" x14ac:dyDescent="0.2">
      <c r="A29" s="385"/>
      <c r="B29" s="386" t="s">
        <v>571</v>
      </c>
      <c r="C29" s="385"/>
      <c r="D29" s="385"/>
      <c r="E29" s="385"/>
      <c r="F29" s="398">
        <v>6</v>
      </c>
      <c r="G29" s="399">
        <f>+'Balance enfriamiento'!AA15</f>
        <v>21</v>
      </c>
      <c r="H29" s="399">
        <f>+'Balance enfriamiento'!AF259</f>
        <v>-3357.7629438999988</v>
      </c>
      <c r="I29" s="389">
        <f t="shared" si="0"/>
        <v>24.110308074320276</v>
      </c>
      <c r="J29" s="385"/>
      <c r="K29" s="385"/>
      <c r="L29" s="385"/>
      <c r="M29" s="385"/>
      <c r="N29" s="385"/>
      <c r="O29" s="385"/>
      <c r="P29" s="385"/>
      <c r="Q29" s="385"/>
      <c r="R29" s="385"/>
    </row>
    <row r="30" spans="1:18" x14ac:dyDescent="0.2">
      <c r="A30" s="385"/>
      <c r="B30" s="385"/>
      <c r="C30" s="385"/>
      <c r="D30" s="385"/>
      <c r="E30" s="385"/>
      <c r="F30" s="398">
        <v>8</v>
      </c>
      <c r="G30" s="399">
        <f>+'Balance enfriamiento'!AA16</f>
        <v>22.41525</v>
      </c>
      <c r="H30" s="399">
        <f>+'Balance enfriamiento'!AF260</f>
        <v>-332.32088787331054</v>
      </c>
      <c r="I30" s="389">
        <f t="shared" si="0"/>
        <v>24.059024405146001</v>
      </c>
      <c r="J30" s="385"/>
      <c r="K30" s="385"/>
      <c r="L30" s="385"/>
      <c r="M30" s="385"/>
      <c r="N30" s="385"/>
      <c r="O30" s="385"/>
      <c r="P30" s="385"/>
      <c r="Q30" s="385"/>
      <c r="R30" s="385"/>
    </row>
    <row r="31" spans="1:18" x14ac:dyDescent="0.2">
      <c r="A31" s="385"/>
      <c r="B31" s="385"/>
      <c r="C31" s="385"/>
      <c r="D31" s="385"/>
      <c r="E31" s="385"/>
      <c r="F31" s="398">
        <v>10</v>
      </c>
      <c r="G31" s="399">
        <f>+'Balance enfriamiento'!AA17</f>
        <v>28.433250000000001</v>
      </c>
      <c r="H31" s="399">
        <f>+'Balance enfriamiento'!AF261</f>
        <v>4028.0301468664375</v>
      </c>
      <c r="I31" s="389">
        <f t="shared" si="0"/>
        <v>24.680628923591605</v>
      </c>
      <c r="J31" s="385"/>
      <c r="K31" s="385"/>
      <c r="L31" s="385"/>
      <c r="M31" s="385"/>
      <c r="N31" s="385"/>
      <c r="O31" s="385"/>
      <c r="P31" s="385"/>
      <c r="Q31" s="385"/>
      <c r="R31" s="385"/>
    </row>
    <row r="32" spans="1:18" x14ac:dyDescent="0.2">
      <c r="A32" s="385"/>
      <c r="B32" s="385"/>
      <c r="C32" s="385"/>
      <c r="D32" s="385"/>
      <c r="E32" s="385"/>
      <c r="F32" s="398">
        <v>12</v>
      </c>
      <c r="G32" s="399">
        <f>+'Balance enfriamiento'!AA18</f>
        <v>31.97775</v>
      </c>
      <c r="H32" s="399">
        <f>+'Balance enfriamiento'!AF262</f>
        <v>6942.6918406638124</v>
      </c>
      <c r="I32" s="389">
        <f t="shared" si="0"/>
        <v>25.752023243142403</v>
      </c>
      <c r="J32" s="385"/>
      <c r="K32" s="385"/>
      <c r="L32" s="385"/>
      <c r="M32" s="385"/>
      <c r="N32" s="385"/>
      <c r="O32" s="385"/>
      <c r="P32" s="385"/>
      <c r="Q32" s="385"/>
      <c r="R32" s="385"/>
    </row>
    <row r="33" spans="1:18" x14ac:dyDescent="0.2">
      <c r="A33" s="385"/>
      <c r="B33" s="385"/>
      <c r="C33" s="385"/>
      <c r="D33" s="385"/>
      <c r="E33" s="385"/>
      <c r="F33" s="398">
        <v>14</v>
      </c>
      <c r="G33" s="399">
        <f>+'Balance enfriamiento'!AA19</f>
        <v>33.75</v>
      </c>
      <c r="H33" s="399">
        <f>+'Balance enfriamiento'!AF263</f>
        <v>5950.4097007624996</v>
      </c>
      <c r="I33" s="389">
        <f t="shared" si="0"/>
        <v>26.670288852319629</v>
      </c>
      <c r="J33" s="385"/>
      <c r="K33" s="385"/>
      <c r="L33" s="385"/>
      <c r="M33" s="385"/>
      <c r="N33" s="385"/>
      <c r="O33" s="385"/>
      <c r="P33" s="385"/>
      <c r="Q33" s="385"/>
      <c r="R33" s="385"/>
    </row>
    <row r="34" spans="1:18" x14ac:dyDescent="0.2">
      <c r="A34" s="385"/>
      <c r="B34" s="385"/>
      <c r="C34" s="385"/>
      <c r="D34" s="385"/>
      <c r="E34" s="385"/>
      <c r="F34" s="398">
        <v>16</v>
      </c>
      <c r="G34" s="399">
        <f>+'Balance enfriamiento'!AA20</f>
        <v>32.691749999999999</v>
      </c>
      <c r="H34" s="399">
        <f>+'Balance enfriamiento'!AF264</f>
        <v>5876.4041970273129</v>
      </c>
      <c r="I34" s="389">
        <f t="shared" si="0"/>
        <v>27.577133952256766</v>
      </c>
      <c r="J34" s="385"/>
      <c r="K34" s="385"/>
      <c r="L34" s="385"/>
      <c r="M34" s="385"/>
      <c r="N34" s="385"/>
      <c r="O34" s="385"/>
      <c r="P34" s="385"/>
      <c r="Q34" s="385"/>
      <c r="R34" s="385"/>
    </row>
    <row r="35" spans="1:18" x14ac:dyDescent="0.2">
      <c r="A35" s="385"/>
      <c r="B35" s="385"/>
      <c r="C35" s="385"/>
      <c r="D35" s="385"/>
      <c r="E35" s="385"/>
      <c r="F35" s="398">
        <v>18</v>
      </c>
      <c r="G35" s="399">
        <f>+'Balance enfriamiento'!AA21</f>
        <v>29.848500000000001</v>
      </c>
      <c r="H35" s="399">
        <f>+'Balance enfriamiento'!AF265</f>
        <v>6116.7443844833751</v>
      </c>
      <c r="I35" s="389">
        <f t="shared" si="0"/>
        <v>28.521068284657314</v>
      </c>
      <c r="J35" s="385"/>
      <c r="K35" s="385"/>
      <c r="L35" s="385"/>
      <c r="M35" s="385"/>
      <c r="N35" s="385"/>
      <c r="O35" s="385"/>
      <c r="P35" s="385"/>
      <c r="Q35" s="385"/>
      <c r="R35" s="385"/>
    </row>
    <row r="36" spans="1:18" x14ac:dyDescent="0.2">
      <c r="A36" s="385"/>
      <c r="B36" s="385"/>
      <c r="C36" s="385"/>
      <c r="D36" s="385"/>
      <c r="E36" s="385"/>
      <c r="F36" s="398">
        <v>20</v>
      </c>
      <c r="G36" s="399">
        <f>+'Balance enfriamiento'!AA22</f>
        <v>26.661000000000001</v>
      </c>
      <c r="H36" s="399">
        <f>+'Balance enfriamiento'!AF266</f>
        <v>5995.2740993677498</v>
      </c>
      <c r="I36" s="389">
        <f t="shared" si="0"/>
        <v>29.446257355644292</v>
      </c>
      <c r="J36" s="385"/>
      <c r="K36" s="385"/>
      <c r="L36" s="385"/>
      <c r="M36" s="385"/>
      <c r="N36" s="385"/>
      <c r="O36" s="385"/>
      <c r="P36" s="385"/>
      <c r="Q36" s="385"/>
      <c r="R36" s="385"/>
    </row>
    <row r="37" spans="1:18" ht="13.5" thickBot="1" x14ac:dyDescent="0.25">
      <c r="A37" s="385"/>
      <c r="B37" s="385"/>
      <c r="C37" s="385"/>
      <c r="D37" s="385"/>
      <c r="E37" s="385"/>
      <c r="F37" s="400">
        <v>22</v>
      </c>
      <c r="G37" s="401">
        <f>+'Balance enfriamiento'!AA23</f>
        <v>24.93975</v>
      </c>
      <c r="H37" s="401">
        <f>+'Balance enfriamiento'!AF267</f>
        <v>8726.6283445093122</v>
      </c>
      <c r="I37" s="391">
        <f t="shared" si="0"/>
        <v>30.792948272037364</v>
      </c>
      <c r="J37" s="385"/>
      <c r="K37" s="385"/>
      <c r="L37" s="385"/>
      <c r="M37" s="385"/>
      <c r="N37" s="385"/>
      <c r="O37" s="385"/>
      <c r="P37" s="385"/>
      <c r="Q37" s="385"/>
      <c r="R37" s="385"/>
    </row>
    <row r="38" spans="1:18" x14ac:dyDescent="0.2">
      <c r="A38" s="385"/>
      <c r="B38" s="385"/>
      <c r="C38" s="402"/>
      <c r="D38" s="385"/>
      <c r="E38" s="385"/>
      <c r="F38" s="385" t="s">
        <v>2</v>
      </c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</row>
    <row r="39" spans="1:18" x14ac:dyDescent="0.2">
      <c r="A39" s="385"/>
      <c r="B39" s="386" t="s">
        <v>588</v>
      </c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</row>
    <row r="40" spans="1:18" x14ac:dyDescent="0.2">
      <c r="A40" s="385"/>
      <c r="B40" s="386" t="s">
        <v>589</v>
      </c>
      <c r="C40" s="385"/>
      <c r="D40" s="403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</row>
    <row r="41" spans="1:18" x14ac:dyDescent="0.2">
      <c r="A41" s="385"/>
      <c r="B41" s="386" t="s">
        <v>590</v>
      </c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</row>
    <row r="42" spans="1:18" x14ac:dyDescent="0.2">
      <c r="A42" s="385"/>
      <c r="B42" s="386" t="s">
        <v>591</v>
      </c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</row>
    <row r="43" spans="1:18" x14ac:dyDescent="0.2">
      <c r="A43" s="385"/>
      <c r="B43" s="386" t="s">
        <v>592</v>
      </c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</row>
    <row r="44" spans="1:18" x14ac:dyDescent="0.2">
      <c r="A44" s="385"/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</row>
    <row r="45" spans="1:18" x14ac:dyDescent="0.2">
      <c r="A45" s="385"/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</row>
    <row r="46" spans="1:18" x14ac:dyDescent="0.2">
      <c r="A46" s="385"/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</row>
    <row r="47" spans="1:18" x14ac:dyDescent="0.2">
      <c r="A47" s="385"/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</row>
  </sheetData>
  <mergeCells count="1">
    <mergeCell ref="B6:K6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23"/>
  <sheetViews>
    <sheetView workbookViewId="0">
      <selection activeCell="G114" sqref="G114:G115"/>
    </sheetView>
  </sheetViews>
  <sheetFormatPr baseColWidth="10" defaultRowHeight="12.75" x14ac:dyDescent="0.2"/>
  <cols>
    <col min="4" max="4" width="12.42578125" customWidth="1"/>
    <col min="10" max="10" width="15.140625" customWidth="1"/>
    <col min="12" max="12" width="15.85546875" customWidth="1"/>
  </cols>
  <sheetData>
    <row r="1" spans="1:11" x14ac:dyDescent="0.2">
      <c r="A1" s="87" t="s">
        <v>607</v>
      </c>
      <c r="B1" s="88"/>
      <c r="C1" s="88"/>
      <c r="D1" s="88"/>
      <c r="E1" s="88"/>
      <c r="F1" s="88"/>
      <c r="G1" s="88"/>
      <c r="H1" s="8"/>
      <c r="I1" s="8"/>
      <c r="J1" s="8"/>
      <c r="K1" s="8"/>
    </row>
    <row r="2" spans="1:11" x14ac:dyDescent="0.2">
      <c r="A2" s="88" t="s">
        <v>573</v>
      </c>
      <c r="B2" s="88"/>
      <c r="C2" s="88"/>
      <c r="D2" s="88"/>
      <c r="E2" s="88"/>
      <c r="F2" s="88"/>
      <c r="G2" s="88"/>
      <c r="H2" s="8"/>
      <c r="I2" s="8"/>
      <c r="J2" s="8"/>
      <c r="K2" s="8"/>
    </row>
    <row r="3" spans="1:11" x14ac:dyDescent="0.2">
      <c r="A3" s="88"/>
      <c r="B3" s="88"/>
      <c r="C3" s="88"/>
      <c r="D3" s="88"/>
      <c r="E3" s="88"/>
      <c r="F3" s="88"/>
      <c r="G3" s="88"/>
      <c r="H3" s="8"/>
      <c r="I3" s="8"/>
      <c r="J3" s="8"/>
      <c r="K3" s="8"/>
    </row>
    <row r="4" spans="1:11" x14ac:dyDescent="0.2">
      <c r="A4" s="274" t="s">
        <v>608</v>
      </c>
      <c r="B4" s="88"/>
      <c r="C4" s="88"/>
      <c r="D4" s="88"/>
      <c r="E4" s="88"/>
      <c r="F4" s="88"/>
      <c r="G4" s="88"/>
      <c r="H4" s="8"/>
      <c r="I4" s="8"/>
      <c r="J4" s="8"/>
      <c r="K4" s="8"/>
    </row>
    <row r="5" spans="1:11" x14ac:dyDescent="0.2">
      <c r="A5" s="274" t="s">
        <v>611</v>
      </c>
      <c r="B5" s="88"/>
      <c r="C5" s="88"/>
      <c r="D5" s="88"/>
      <c r="E5" s="88"/>
      <c r="F5" s="88"/>
      <c r="G5" s="88"/>
      <c r="H5" s="8"/>
      <c r="I5" s="8"/>
      <c r="J5" s="8"/>
      <c r="K5" s="8"/>
    </row>
    <row r="6" spans="1:11" x14ac:dyDescent="0.2">
      <c r="A6" s="88" t="s">
        <v>609</v>
      </c>
      <c r="B6" s="88"/>
      <c r="C6" s="88"/>
      <c r="D6" s="88"/>
      <c r="E6" s="88"/>
      <c r="F6" s="88"/>
      <c r="G6" s="88"/>
      <c r="H6" s="8"/>
      <c r="I6" s="8"/>
      <c r="J6" s="8"/>
      <c r="K6" s="8"/>
    </row>
    <row r="7" spans="1:11" x14ac:dyDescent="0.2">
      <c r="A7" s="88"/>
      <c r="B7" s="88"/>
      <c r="C7" s="88"/>
      <c r="D7" s="88"/>
      <c r="E7" s="88"/>
      <c r="F7" s="88"/>
      <c r="G7" s="88"/>
      <c r="H7" s="8"/>
      <c r="I7" s="8"/>
      <c r="J7" s="8"/>
      <c r="K7" s="8"/>
    </row>
    <row r="8" spans="1:11" x14ac:dyDescent="0.2">
      <c r="A8" s="274" t="s">
        <v>610</v>
      </c>
      <c r="B8" s="88"/>
      <c r="C8" s="88"/>
      <c r="D8" s="88"/>
      <c r="E8" s="88"/>
      <c r="F8" s="88"/>
      <c r="G8" s="88"/>
      <c r="H8" s="8"/>
      <c r="I8" s="8"/>
      <c r="J8" s="8"/>
      <c r="K8" s="8"/>
    </row>
    <row r="9" spans="1:11" ht="13.5" thickBot="1" x14ac:dyDescent="0.25">
      <c r="A9" s="274"/>
      <c r="B9" s="88"/>
      <c r="C9" s="88"/>
      <c r="D9" s="88"/>
      <c r="E9" s="88"/>
      <c r="F9" s="88"/>
      <c r="G9" s="88"/>
      <c r="H9" s="8"/>
      <c r="I9" s="8"/>
      <c r="J9" s="8"/>
      <c r="K9" s="8"/>
    </row>
    <row r="10" spans="1:11" x14ac:dyDescent="0.2">
      <c r="A10" s="87"/>
      <c r="B10" s="363" t="s">
        <v>600</v>
      </c>
      <c r="C10" s="364"/>
      <c r="D10" s="364" t="s">
        <v>548</v>
      </c>
      <c r="E10" s="88"/>
      <c r="F10" s="88"/>
      <c r="G10" s="88"/>
      <c r="H10" s="8"/>
      <c r="I10" s="8"/>
      <c r="J10" s="8"/>
      <c r="K10" s="8"/>
    </row>
    <row r="11" spans="1:11" ht="13.5" thickBot="1" x14ac:dyDescent="0.25">
      <c r="A11" s="87"/>
      <c r="B11" s="367"/>
      <c r="C11" s="368"/>
      <c r="D11" s="368" t="s">
        <v>599</v>
      </c>
      <c r="E11" s="88"/>
      <c r="F11" s="88"/>
      <c r="G11" s="88"/>
      <c r="H11" s="8"/>
      <c r="I11" s="8"/>
      <c r="J11" s="8"/>
      <c r="K11" s="8"/>
    </row>
    <row r="12" spans="1:11" x14ac:dyDescent="0.2">
      <c r="A12" s="87"/>
      <c r="B12" s="372" t="s">
        <v>604</v>
      </c>
      <c r="C12" s="373"/>
      <c r="D12" s="369">
        <v>3</v>
      </c>
      <c r="E12" s="88"/>
      <c r="F12" s="88"/>
      <c r="G12" s="88"/>
      <c r="H12" s="8"/>
      <c r="I12" s="8"/>
      <c r="J12" s="8"/>
      <c r="K12" s="8"/>
    </row>
    <row r="13" spans="1:11" x14ac:dyDescent="0.2">
      <c r="A13" s="87"/>
      <c r="B13" s="365" t="s">
        <v>601</v>
      </c>
      <c r="C13" s="369"/>
      <c r="D13" s="370">
        <v>20</v>
      </c>
      <c r="E13" s="88"/>
      <c r="F13" s="88"/>
      <c r="G13" s="88"/>
      <c r="H13" s="8"/>
      <c r="I13" s="8"/>
      <c r="J13" s="8"/>
      <c r="K13" s="8"/>
    </row>
    <row r="14" spans="1:11" x14ac:dyDescent="0.2">
      <c r="A14" s="87"/>
      <c r="B14" s="365" t="s">
        <v>602</v>
      </c>
      <c r="C14" s="369"/>
      <c r="D14" s="370">
        <v>10</v>
      </c>
      <c r="E14" s="88"/>
      <c r="F14" s="88"/>
      <c r="G14" s="88"/>
      <c r="H14" s="8"/>
      <c r="I14" s="8"/>
      <c r="J14" s="8"/>
      <c r="K14" s="8"/>
    </row>
    <row r="15" spans="1:11" x14ac:dyDescent="0.2">
      <c r="A15" s="87"/>
      <c r="B15" s="365" t="s">
        <v>603</v>
      </c>
      <c r="C15" s="369"/>
      <c r="D15" s="370">
        <v>6</v>
      </c>
      <c r="E15" s="88"/>
      <c r="F15" s="88"/>
      <c r="G15" s="88"/>
      <c r="H15" s="8"/>
      <c r="I15" s="8"/>
      <c r="J15" s="8"/>
      <c r="K15" s="8"/>
    </row>
    <row r="16" spans="1:11" x14ac:dyDescent="0.2">
      <c r="A16" s="87"/>
      <c r="B16" s="365" t="s">
        <v>605</v>
      </c>
      <c r="C16" s="369"/>
      <c r="D16" s="370">
        <v>12</v>
      </c>
      <c r="E16" s="88"/>
      <c r="F16" s="88"/>
      <c r="G16" s="88"/>
      <c r="H16" s="8"/>
      <c r="I16" s="8"/>
      <c r="J16" s="8"/>
      <c r="K16" s="8"/>
    </row>
    <row r="17" spans="1:11" ht="13.5" thickBot="1" x14ac:dyDescent="0.25">
      <c r="A17" s="87"/>
      <c r="B17" s="366" t="s">
        <v>606</v>
      </c>
      <c r="C17" s="374"/>
      <c r="D17" s="371">
        <v>8</v>
      </c>
      <c r="E17" s="88"/>
      <c r="F17" s="88"/>
      <c r="G17" s="88"/>
      <c r="H17" s="8"/>
      <c r="I17" s="8"/>
      <c r="J17" s="8"/>
      <c r="K17" s="8"/>
    </row>
    <row r="18" spans="1:11" x14ac:dyDescent="0.2">
      <c r="A18" s="87"/>
      <c r="B18" s="88"/>
      <c r="C18" s="88"/>
      <c r="D18" s="88"/>
      <c r="E18" s="88"/>
      <c r="F18" s="88"/>
      <c r="G18" s="88"/>
      <c r="H18" s="8"/>
      <c r="I18" s="8"/>
      <c r="J18" s="8"/>
      <c r="K18" s="8"/>
    </row>
    <row r="19" spans="1:11" x14ac:dyDescent="0.2">
      <c r="A19" s="87"/>
      <c r="B19" s="88"/>
      <c r="C19" s="88"/>
      <c r="D19" s="88"/>
      <c r="E19" s="88"/>
      <c r="F19" s="88"/>
      <c r="G19" s="88"/>
      <c r="H19" s="8"/>
      <c r="I19" s="8"/>
      <c r="J19" s="8"/>
      <c r="K19" s="8"/>
    </row>
    <row r="20" spans="1:11" x14ac:dyDescent="0.2">
      <c r="A20" s="87" t="s">
        <v>572</v>
      </c>
      <c r="B20" s="88"/>
      <c r="C20" s="88"/>
      <c r="D20" s="88"/>
      <c r="E20" s="88"/>
      <c r="F20" s="88"/>
      <c r="G20" s="88"/>
      <c r="H20" s="8"/>
      <c r="I20" s="8"/>
      <c r="J20" s="8"/>
      <c r="K20" s="8"/>
    </row>
    <row r="21" spans="1:11" x14ac:dyDescent="0.2">
      <c r="A21" s="88"/>
      <c r="B21" s="88"/>
      <c r="C21" s="88"/>
      <c r="D21" s="88"/>
      <c r="E21" s="88"/>
      <c r="F21" s="88"/>
      <c r="G21" s="88"/>
      <c r="H21" s="8"/>
      <c r="I21" s="8"/>
      <c r="J21" s="8"/>
      <c r="K21" s="8"/>
    </row>
    <row r="22" spans="1:11" ht="18" x14ac:dyDescent="0.2">
      <c r="A22" s="274" t="s">
        <v>513</v>
      </c>
      <c r="B22" s="88"/>
      <c r="C22" s="88"/>
      <c r="D22" s="88"/>
      <c r="E22" s="88">
        <f>+superficies!D22</f>
        <v>261.89999999999998</v>
      </c>
      <c r="F22" s="274" t="s">
        <v>512</v>
      </c>
      <c r="G22" s="88"/>
      <c r="H22" s="88"/>
      <c r="I22" s="88"/>
      <c r="J22" s="88"/>
      <c r="K22" s="88"/>
    </row>
    <row r="23" spans="1:11" x14ac:dyDescent="0.2">
      <c r="A23" s="88" t="s">
        <v>229</v>
      </c>
      <c r="B23" s="88"/>
      <c r="C23" s="88"/>
      <c r="D23" s="88"/>
      <c r="E23" s="339">
        <v>20</v>
      </c>
      <c r="F23" s="274" t="s">
        <v>516</v>
      </c>
      <c r="G23" s="88"/>
      <c r="H23" s="8"/>
      <c r="I23" s="8"/>
      <c r="J23" s="8"/>
      <c r="K23" s="8"/>
    </row>
    <row r="24" spans="1:11" ht="14.25" x14ac:dyDescent="0.2">
      <c r="A24" s="274" t="s">
        <v>514</v>
      </c>
      <c r="B24" s="88"/>
      <c r="C24" s="88"/>
      <c r="D24" s="88"/>
      <c r="E24" s="117">
        <f>+E23*E22</f>
        <v>5238</v>
      </c>
      <c r="F24" s="274" t="s">
        <v>518</v>
      </c>
      <c r="G24" s="88"/>
      <c r="H24" s="8"/>
      <c r="I24" s="8"/>
      <c r="J24" s="8"/>
      <c r="K24" s="8"/>
    </row>
    <row r="25" spans="1:11" x14ac:dyDescent="0.2">
      <c r="A25" s="274" t="s">
        <v>515</v>
      </c>
      <c r="B25" s="88"/>
      <c r="C25" s="88"/>
      <c r="D25" s="88"/>
      <c r="E25" s="139" t="str">
        <f>VLOOKUP(Lugar!E84,Lugar!A65:C84,2)</f>
        <v>Las Heras-Guaymallén</v>
      </c>
      <c r="F25" s="88"/>
      <c r="G25" s="88"/>
      <c r="H25" s="8"/>
      <c r="I25" s="8"/>
      <c r="J25" s="8"/>
      <c r="K25" s="8"/>
    </row>
    <row r="26" spans="1:11" x14ac:dyDescent="0.2">
      <c r="A26" s="274" t="s">
        <v>519</v>
      </c>
      <c r="B26" s="88"/>
      <c r="C26" s="88"/>
      <c r="D26" s="88"/>
      <c r="E26" s="139">
        <f>VLOOKUP(Lugar!E84,Lugar!A64:E84,4)</f>
        <v>12.7</v>
      </c>
      <c r="F26" s="290" t="s">
        <v>517</v>
      </c>
      <c r="G26" s="88"/>
      <c r="H26" s="8"/>
      <c r="I26" s="8"/>
      <c r="J26" s="8"/>
      <c r="K26" s="8"/>
    </row>
    <row r="27" spans="1:11" x14ac:dyDescent="0.2">
      <c r="A27" s="88" t="s">
        <v>529</v>
      </c>
      <c r="B27" s="88"/>
      <c r="C27" s="88"/>
      <c r="D27" s="88"/>
      <c r="E27" s="117" t="str">
        <f>VLOOKUP(Lugar!E84,Lugar!A64:I84,8)</f>
        <v>SE</v>
      </c>
      <c r="F27" s="293" t="s">
        <v>524</v>
      </c>
      <c r="G27" s="294"/>
      <c r="H27" s="295"/>
      <c r="I27" s="8"/>
      <c r="J27" s="8"/>
      <c r="K27" s="8"/>
    </row>
    <row r="28" spans="1:11" x14ac:dyDescent="0.2">
      <c r="A28" s="274" t="s">
        <v>479</v>
      </c>
      <c r="B28" s="88"/>
      <c r="C28" s="88"/>
      <c r="D28" s="88"/>
      <c r="E28" s="117">
        <f>VLOOKUP(Lugar!E84,Lugar!A64:I84,7)</f>
        <v>45</v>
      </c>
      <c r="F28" s="293" t="s">
        <v>478</v>
      </c>
      <c r="G28" s="294"/>
      <c r="H28" s="117" t="str">
        <f>VLOOKUP(Lugar!E84,Lugar!A64:I84,8)</f>
        <v>SE</v>
      </c>
      <c r="I28" s="8"/>
      <c r="J28" s="8"/>
      <c r="K28" s="8"/>
    </row>
    <row r="29" spans="1:11" x14ac:dyDescent="0.2">
      <c r="A29" s="274" t="s">
        <v>489</v>
      </c>
      <c r="B29" s="88"/>
      <c r="C29" s="88"/>
      <c r="D29" s="88"/>
      <c r="E29" s="88"/>
      <c r="F29" s="88"/>
      <c r="G29" s="88"/>
      <c r="H29" s="8"/>
      <c r="I29" s="8"/>
      <c r="J29" s="8"/>
      <c r="K29" s="8"/>
    </row>
    <row r="30" spans="1:11" x14ac:dyDescent="0.2">
      <c r="A30" s="88"/>
      <c r="B30" s="274" t="s">
        <v>488</v>
      </c>
      <c r="C30" s="274"/>
      <c r="D30" s="88" t="s">
        <v>183</v>
      </c>
      <c r="E30" s="88">
        <f>IF($E$28&lt;22.5,0.4,IF($E$28&lt;40,0.4,IF($E$28&lt;60,0.25,IF($E$28&lt;=80,-0.06,-0.4))))</f>
        <v>0.25</v>
      </c>
      <c r="F30" s="88"/>
      <c r="G30" s="88"/>
      <c r="H30" s="8"/>
      <c r="I30" s="8"/>
      <c r="J30" s="8"/>
      <c r="K30" s="8"/>
    </row>
    <row r="31" spans="1:11" x14ac:dyDescent="0.2">
      <c r="A31" s="88"/>
      <c r="B31" s="274" t="s">
        <v>488</v>
      </c>
      <c r="C31" s="88"/>
      <c r="D31" s="88" t="s">
        <v>230</v>
      </c>
      <c r="E31" s="88">
        <f>IF($E$28&lt;22.5,-0.4,IF($E$28&lt;40,-0.06,IF($E$28&lt;60,0.25,IF($E$28&lt;=80,0.3,0.4))))</f>
        <v>0.25</v>
      </c>
      <c r="F31" s="88"/>
      <c r="G31" s="88"/>
      <c r="H31" s="8"/>
      <c r="I31" s="8"/>
      <c r="J31" s="8"/>
      <c r="K31" s="8"/>
    </row>
    <row r="32" spans="1:11" x14ac:dyDescent="0.2">
      <c r="A32" s="88"/>
      <c r="B32" s="274" t="s">
        <v>488</v>
      </c>
      <c r="C32" s="88"/>
      <c r="D32" s="88" t="s">
        <v>185</v>
      </c>
      <c r="E32" s="88">
        <f>IF($E$28&lt;22.5,-0.25,IF($E$28&lt;40,-0.4,IF($E$28&lt;60,-0.45,IF($E$28&lt;=80,-0.55,-0.4))))</f>
        <v>-0.45</v>
      </c>
      <c r="F32" s="88"/>
      <c r="G32" s="88"/>
      <c r="H32" s="8"/>
      <c r="I32" s="8"/>
      <c r="J32" s="8"/>
      <c r="K32" s="8"/>
    </row>
    <row r="33" spans="1:11" x14ac:dyDescent="0.2">
      <c r="A33" s="88"/>
      <c r="B33" s="274" t="s">
        <v>488</v>
      </c>
      <c r="C33" s="88"/>
      <c r="D33" s="88" t="s">
        <v>231</v>
      </c>
      <c r="E33" s="88">
        <f>IF($E$28&lt;22.5,-0.4,IF($E$28&lt;40,-0.6,IF($E$28&lt;60,-0.45,IF($E$28&lt;=80,-0.4,-0.25))))</f>
        <v>-0.45</v>
      </c>
      <c r="F33" s="88"/>
      <c r="G33" s="88"/>
      <c r="H33" s="8"/>
      <c r="I33" s="8"/>
      <c r="J33" s="8"/>
      <c r="K33" s="8"/>
    </row>
    <row r="34" spans="1:11" x14ac:dyDescent="0.2">
      <c r="A34" s="88"/>
      <c r="B34" s="274" t="s">
        <v>490</v>
      </c>
      <c r="C34" s="88"/>
      <c r="D34" s="88" t="s">
        <v>187</v>
      </c>
      <c r="E34" s="88">
        <v>-0.3</v>
      </c>
      <c r="F34" s="274" t="s">
        <v>579</v>
      </c>
      <c r="G34" s="88"/>
      <c r="H34" s="8"/>
      <c r="I34" s="8"/>
      <c r="J34" s="8"/>
      <c r="K34" s="8"/>
    </row>
    <row r="35" spans="1:11" x14ac:dyDescent="0.2">
      <c r="A35" s="88"/>
      <c r="B35" s="88"/>
      <c r="C35" s="88"/>
      <c r="D35" s="88"/>
      <c r="E35" s="88"/>
      <c r="F35" s="88"/>
      <c r="G35" s="88"/>
      <c r="H35" s="8"/>
      <c r="I35" s="8"/>
      <c r="J35" s="8"/>
      <c r="K35" s="8"/>
    </row>
    <row r="36" spans="1:11" x14ac:dyDescent="0.2">
      <c r="A36" s="88"/>
      <c r="B36" s="88"/>
      <c r="C36" s="88"/>
      <c r="D36" s="88"/>
      <c r="E36" s="274" t="s">
        <v>525</v>
      </c>
      <c r="F36" s="88"/>
      <c r="G36" s="88"/>
      <c r="H36" s="8"/>
      <c r="I36" s="274" t="s">
        <v>526</v>
      </c>
      <c r="J36" s="8"/>
      <c r="K36" s="8"/>
    </row>
    <row r="37" spans="1:11" x14ac:dyDescent="0.2">
      <c r="A37" s="88"/>
      <c r="B37" s="88"/>
      <c r="C37" s="88"/>
      <c r="D37" s="88"/>
      <c r="E37" s="88" t="s">
        <v>528</v>
      </c>
      <c r="F37" s="88"/>
      <c r="G37" s="88"/>
      <c r="H37" s="8"/>
      <c r="I37" s="8" t="s">
        <v>527</v>
      </c>
      <c r="J37" s="8"/>
      <c r="K37" s="8"/>
    </row>
    <row r="38" spans="1:11" x14ac:dyDescent="0.2">
      <c r="A38" s="88"/>
      <c r="B38" s="88"/>
      <c r="C38" s="88"/>
      <c r="D38" s="88"/>
      <c r="E38" s="88" t="str">
        <f>+F28</f>
        <v xml:space="preserve">   Lado "a" sería:</v>
      </c>
      <c r="F38" s="88"/>
      <c r="G38" s="88" t="str">
        <f>+H28</f>
        <v>SE</v>
      </c>
      <c r="H38" s="88"/>
      <c r="I38" s="8"/>
      <c r="J38" s="8"/>
      <c r="K38" s="8"/>
    </row>
    <row r="39" spans="1:11" x14ac:dyDescent="0.2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1:11" x14ac:dyDescent="0.2">
      <c r="A40" s="88"/>
      <c r="B40" s="88"/>
      <c r="C40" s="88"/>
      <c r="D40" s="88"/>
      <c r="E40" s="274" t="s">
        <v>480</v>
      </c>
      <c r="F40" s="88"/>
      <c r="G40" s="72" t="s">
        <v>481</v>
      </c>
      <c r="H40" s="8">
        <f>+E30-E32</f>
        <v>0.7</v>
      </c>
      <c r="I40" s="72" t="s">
        <v>491</v>
      </c>
      <c r="J40" s="8"/>
      <c r="K40" s="8"/>
    </row>
    <row r="41" spans="1:11" x14ac:dyDescent="0.2">
      <c r="A41" s="88"/>
      <c r="B41" s="88"/>
      <c r="C41" s="88"/>
      <c r="D41" s="88"/>
      <c r="E41" s="274" t="s">
        <v>486</v>
      </c>
      <c r="F41" s="88"/>
      <c r="G41" s="72" t="s">
        <v>482</v>
      </c>
      <c r="H41" s="8">
        <f>+E30-E31</f>
        <v>0</v>
      </c>
      <c r="I41" s="72" t="s">
        <v>492</v>
      </c>
      <c r="J41" s="8"/>
      <c r="K41" s="8"/>
    </row>
    <row r="42" spans="1:11" x14ac:dyDescent="0.2">
      <c r="A42" s="88"/>
      <c r="B42" s="88"/>
      <c r="C42" s="88"/>
      <c r="D42" s="88"/>
      <c r="E42" s="274" t="s">
        <v>487</v>
      </c>
      <c r="F42" s="88"/>
      <c r="G42" s="72" t="s">
        <v>483</v>
      </c>
      <c r="H42" s="8">
        <f>+E30-E33</f>
        <v>0.7</v>
      </c>
      <c r="I42" s="72" t="s">
        <v>493</v>
      </c>
      <c r="J42" s="8"/>
      <c r="K42" s="8"/>
    </row>
    <row r="43" spans="1:11" x14ac:dyDescent="0.2">
      <c r="A43" s="88"/>
      <c r="B43" s="88"/>
      <c r="C43" s="88"/>
      <c r="D43" s="88"/>
      <c r="E43" s="274" t="s">
        <v>485</v>
      </c>
      <c r="F43" s="88"/>
      <c r="G43" s="72" t="s">
        <v>484</v>
      </c>
      <c r="H43" s="8">
        <f>+E30-E34</f>
        <v>0.55000000000000004</v>
      </c>
      <c r="I43" s="72" t="s">
        <v>494</v>
      </c>
      <c r="J43" s="8"/>
      <c r="K43" s="8"/>
    </row>
    <row r="44" spans="1:11" x14ac:dyDescent="0.2">
      <c r="A44" s="88"/>
      <c r="B44" s="88"/>
      <c r="C44" s="88"/>
      <c r="D44" s="88"/>
      <c r="E44" s="88"/>
      <c r="F44" s="88"/>
      <c r="G44" s="88"/>
      <c r="H44" s="8"/>
      <c r="I44" s="8"/>
      <c r="J44" s="8"/>
      <c r="K44" s="8"/>
    </row>
    <row r="45" spans="1:11" x14ac:dyDescent="0.2">
      <c r="A45" s="88"/>
      <c r="B45" s="88"/>
      <c r="C45" s="88"/>
      <c r="D45" s="88"/>
      <c r="E45" s="88"/>
      <c r="F45" s="88"/>
      <c r="G45" s="88"/>
      <c r="H45" s="8"/>
      <c r="I45" s="8"/>
      <c r="J45" s="8"/>
      <c r="K45" s="8"/>
    </row>
    <row r="46" spans="1:11" x14ac:dyDescent="0.2">
      <c r="A46" s="88"/>
      <c r="B46" s="88"/>
      <c r="C46" s="88"/>
      <c r="D46" s="88"/>
      <c r="E46" s="88"/>
      <c r="F46" s="88"/>
      <c r="G46" s="88"/>
      <c r="H46" s="8"/>
      <c r="I46" s="8"/>
      <c r="J46" s="8"/>
      <c r="K46" s="8"/>
    </row>
    <row r="47" spans="1:11" x14ac:dyDescent="0.2">
      <c r="A47" s="88"/>
      <c r="B47" s="88"/>
      <c r="C47" s="88"/>
      <c r="D47" s="88"/>
      <c r="E47" s="88"/>
      <c r="F47" s="88"/>
      <c r="G47" s="88"/>
      <c r="H47" s="8"/>
      <c r="I47" s="8"/>
      <c r="J47" s="8"/>
      <c r="K47" s="8"/>
    </row>
    <row r="48" spans="1:11" x14ac:dyDescent="0.2">
      <c r="A48" s="88"/>
      <c r="B48" s="88"/>
      <c r="C48" s="88"/>
      <c r="D48" s="88"/>
      <c r="E48" s="88"/>
      <c r="F48" s="88"/>
      <c r="G48" s="88"/>
      <c r="H48" s="8"/>
      <c r="I48" s="8"/>
      <c r="J48" s="8"/>
      <c r="K48" s="8"/>
    </row>
    <row r="49" spans="1:11" x14ac:dyDescent="0.2">
      <c r="A49" s="88"/>
      <c r="B49" s="88"/>
      <c r="C49" s="88"/>
      <c r="D49" s="88"/>
      <c r="E49" s="88"/>
      <c r="F49" s="88"/>
      <c r="G49" s="88"/>
      <c r="H49" s="8"/>
      <c r="I49" s="8"/>
      <c r="J49" s="8"/>
      <c r="K49" s="8"/>
    </row>
    <row r="50" spans="1:11" x14ac:dyDescent="0.2">
      <c r="A50" s="88"/>
      <c r="B50" s="88"/>
      <c r="C50" s="88"/>
      <c r="D50" s="88"/>
      <c r="E50" s="88"/>
      <c r="F50" s="88"/>
      <c r="G50" s="88"/>
      <c r="H50" s="8"/>
      <c r="I50" s="8"/>
      <c r="J50" s="8"/>
      <c r="K50" s="8"/>
    </row>
    <row r="51" spans="1:11" x14ac:dyDescent="0.2">
      <c r="A51" s="88"/>
      <c r="B51" s="88"/>
      <c r="C51" s="88"/>
      <c r="D51" s="88"/>
      <c r="E51" s="88"/>
      <c r="F51" s="88"/>
      <c r="G51" s="88"/>
      <c r="H51" s="8"/>
      <c r="I51" s="8"/>
      <c r="J51" s="8"/>
      <c r="K51" s="8"/>
    </row>
    <row r="52" spans="1:11" x14ac:dyDescent="0.2">
      <c r="A52" s="88"/>
      <c r="B52" s="88"/>
      <c r="C52" s="88"/>
      <c r="D52" s="88"/>
      <c r="E52" s="88"/>
      <c r="F52" s="88"/>
      <c r="G52" s="88"/>
      <c r="H52" s="8"/>
      <c r="I52" s="8"/>
      <c r="J52" s="8"/>
      <c r="K52" s="8"/>
    </row>
    <row r="53" spans="1:11" x14ac:dyDescent="0.2">
      <c r="A53" s="88" t="s">
        <v>232</v>
      </c>
      <c r="B53" s="88"/>
      <c r="C53" s="88"/>
      <c r="D53" s="88"/>
      <c r="E53" s="88"/>
      <c r="F53" s="88"/>
      <c r="G53" s="88"/>
      <c r="H53" s="8"/>
      <c r="I53" s="8"/>
      <c r="J53" s="8"/>
      <c r="K53" s="8"/>
    </row>
    <row r="54" spans="1:11" x14ac:dyDescent="0.2">
      <c r="A54" s="88" t="s">
        <v>233</v>
      </c>
      <c r="B54" s="88"/>
      <c r="C54" s="88"/>
      <c r="D54" s="88"/>
      <c r="E54" s="82">
        <f>+E30-E32</f>
        <v>0.7</v>
      </c>
      <c r="F54" s="88"/>
      <c r="G54" s="274" t="s">
        <v>496</v>
      </c>
      <c r="H54" s="8"/>
      <c r="I54" s="8"/>
      <c r="J54" s="8"/>
      <c r="K54" s="8"/>
    </row>
    <row r="55" spans="1:11" x14ac:dyDescent="0.2">
      <c r="A55" s="88"/>
      <c r="B55" s="88"/>
      <c r="C55" s="88"/>
      <c r="D55" s="88"/>
      <c r="E55" s="88"/>
      <c r="F55" s="88"/>
      <c r="G55" s="274" t="s">
        <v>495</v>
      </c>
      <c r="H55" s="8"/>
      <c r="I55" s="8"/>
      <c r="J55" s="8"/>
      <c r="K55" s="8"/>
    </row>
    <row r="56" spans="1:11" x14ac:dyDescent="0.2">
      <c r="A56" s="274" t="s">
        <v>497</v>
      </c>
      <c r="B56" s="88"/>
      <c r="C56" s="88"/>
      <c r="D56" s="88"/>
      <c r="E56" s="88"/>
      <c r="F56" s="88"/>
      <c r="G56" s="88"/>
      <c r="H56" s="8"/>
      <c r="I56" s="8"/>
      <c r="J56" s="8"/>
      <c r="K56" s="8"/>
    </row>
    <row r="57" spans="1:11" x14ac:dyDescent="0.2">
      <c r="A57" s="88"/>
      <c r="B57" s="88"/>
      <c r="C57" s="88"/>
      <c r="D57" s="88"/>
      <c r="E57" s="88"/>
      <c r="F57" s="88"/>
      <c r="G57" s="88"/>
      <c r="H57" s="8"/>
      <c r="I57" s="8"/>
      <c r="J57" s="8"/>
      <c r="K57" s="8"/>
    </row>
    <row r="58" spans="1:11" x14ac:dyDescent="0.2">
      <c r="A58" s="88"/>
      <c r="B58" s="88" t="s">
        <v>472</v>
      </c>
      <c r="C58" s="88"/>
      <c r="D58" s="88"/>
      <c r="E58" s="82">
        <v>12</v>
      </c>
      <c r="F58" s="88" t="s">
        <v>474</v>
      </c>
      <c r="G58" s="274" t="s">
        <v>614</v>
      </c>
      <c r="H58" s="8"/>
      <c r="I58" s="8"/>
      <c r="J58" s="8"/>
      <c r="K58" s="8"/>
    </row>
    <row r="59" spans="1:11" x14ac:dyDescent="0.2">
      <c r="A59" s="88"/>
      <c r="B59" s="88" t="s">
        <v>473</v>
      </c>
      <c r="C59" s="88"/>
      <c r="D59" s="88"/>
      <c r="E59" s="82">
        <v>6</v>
      </c>
      <c r="F59" s="88" t="s">
        <v>474</v>
      </c>
      <c r="G59" s="88" t="s">
        <v>612</v>
      </c>
      <c r="H59" s="8"/>
      <c r="I59" s="8"/>
      <c r="J59" s="8"/>
      <c r="K59" s="8"/>
    </row>
    <row r="60" spans="1:11" x14ac:dyDescent="0.2">
      <c r="A60" s="88"/>
      <c r="B60" s="88" t="s">
        <v>234</v>
      </c>
      <c r="C60" s="88"/>
      <c r="D60" s="88"/>
      <c r="E60" s="88">
        <f>+E58/E59</f>
        <v>2</v>
      </c>
      <c r="F60" s="88" t="s">
        <v>2</v>
      </c>
      <c r="G60" s="88" t="s">
        <v>613</v>
      </c>
      <c r="H60" s="8"/>
      <c r="I60" s="8"/>
      <c r="J60" s="8"/>
      <c r="K60" s="8"/>
    </row>
    <row r="61" spans="1:11" x14ac:dyDescent="0.2">
      <c r="A61" s="88"/>
      <c r="B61" s="88" t="s">
        <v>235</v>
      </c>
      <c r="C61" s="88"/>
      <c r="D61" s="88"/>
      <c r="E61" s="88">
        <f>IF(E60&lt;=6,0.0304+0.1689*E60,0.0304+0.1689*6)</f>
        <v>0.36819999999999997</v>
      </c>
      <c r="F61" s="88" t="s">
        <v>2</v>
      </c>
      <c r="G61" s="88"/>
      <c r="H61" s="8"/>
      <c r="I61" s="8"/>
      <c r="J61" s="8"/>
      <c r="K61" s="8"/>
    </row>
    <row r="62" spans="1:11" x14ac:dyDescent="0.2">
      <c r="A62" s="88"/>
      <c r="B62" s="88" t="s">
        <v>236</v>
      </c>
      <c r="C62" s="88"/>
      <c r="D62" s="88"/>
      <c r="E62" s="88">
        <f>IF(E60&lt;=6,0.0421+0.2264*E60,0.0421+0.2264*6)</f>
        <v>0.49490000000000001</v>
      </c>
      <c r="F62" s="88"/>
      <c r="G62" s="88"/>
      <c r="H62" s="8"/>
      <c r="I62" s="8"/>
      <c r="J62" s="8"/>
      <c r="K62" s="8"/>
    </row>
    <row r="63" spans="1:11" x14ac:dyDescent="0.2">
      <c r="A63" s="88"/>
      <c r="B63" s="88"/>
      <c r="C63" s="88"/>
      <c r="D63" s="88"/>
      <c r="E63" s="88"/>
      <c r="F63" s="88"/>
      <c r="G63" s="88"/>
      <c r="H63" s="8"/>
      <c r="I63" s="8"/>
      <c r="J63" s="8"/>
      <c r="K63" s="8"/>
    </row>
    <row r="64" spans="1:11" x14ac:dyDescent="0.2">
      <c r="A64" s="88" t="s">
        <v>237</v>
      </c>
      <c r="B64" s="88"/>
      <c r="C64" s="88"/>
      <c r="D64" s="88"/>
      <c r="E64" s="88"/>
      <c r="F64" s="88"/>
      <c r="G64" s="88"/>
      <c r="H64" s="8"/>
      <c r="I64" s="8"/>
      <c r="J64" s="8"/>
      <c r="K64" s="8"/>
    </row>
    <row r="65" spans="1:11" x14ac:dyDescent="0.2">
      <c r="A65" s="88"/>
      <c r="B65" s="88" t="s">
        <v>238</v>
      </c>
      <c r="C65" s="88"/>
      <c r="D65" s="88"/>
      <c r="E65" s="88">
        <f>+E61*E54</f>
        <v>0.25773999999999997</v>
      </c>
      <c r="F65" s="88"/>
      <c r="G65" s="88"/>
      <c r="H65" s="8"/>
      <c r="I65" s="8"/>
      <c r="J65" s="8"/>
      <c r="K65" s="8"/>
    </row>
    <row r="66" spans="1:11" x14ac:dyDescent="0.2">
      <c r="A66" s="88"/>
      <c r="B66" s="88" t="s">
        <v>239</v>
      </c>
      <c r="C66" s="88"/>
      <c r="D66" s="88"/>
      <c r="E66" s="88">
        <f>+E62*E54</f>
        <v>0.34642999999999996</v>
      </c>
      <c r="F66" s="88"/>
      <c r="G66" s="88"/>
      <c r="H66" s="8"/>
      <c r="I66" s="8"/>
      <c r="J66" s="8"/>
      <c r="K66" s="8"/>
    </row>
    <row r="67" spans="1:11" x14ac:dyDescent="0.2">
      <c r="A67" s="88"/>
      <c r="B67" s="88"/>
      <c r="C67" s="88"/>
      <c r="D67" s="88"/>
      <c r="E67" s="88"/>
      <c r="F67" s="88"/>
      <c r="G67" s="88"/>
      <c r="H67" s="8"/>
      <c r="I67" s="8"/>
      <c r="J67" s="8"/>
      <c r="K67" s="8"/>
    </row>
    <row r="68" spans="1:11" x14ac:dyDescent="0.2">
      <c r="A68" s="88" t="s">
        <v>240</v>
      </c>
      <c r="B68" s="88"/>
      <c r="C68" s="88"/>
      <c r="D68" s="88"/>
      <c r="E68" s="88"/>
      <c r="F68" s="117"/>
      <c r="G68" s="117"/>
      <c r="H68" s="8"/>
      <c r="I68" s="8"/>
      <c r="J68" s="8"/>
      <c r="K68" s="8"/>
    </row>
    <row r="69" spans="1:11" x14ac:dyDescent="0.2">
      <c r="A69" s="88"/>
      <c r="B69" s="88"/>
      <c r="C69" s="88"/>
      <c r="D69" s="88" t="s">
        <v>475</v>
      </c>
      <c r="E69" s="88"/>
      <c r="F69" s="273" t="s">
        <v>498</v>
      </c>
      <c r="G69" s="273" t="s">
        <v>499</v>
      </c>
      <c r="H69" s="8"/>
      <c r="I69" s="8"/>
      <c r="J69" s="8"/>
      <c r="K69" s="8"/>
    </row>
    <row r="70" spans="1:11" x14ac:dyDescent="0.2">
      <c r="A70" s="88"/>
      <c r="B70" s="88"/>
      <c r="C70" s="88"/>
      <c r="D70" s="88"/>
      <c r="E70" s="88"/>
      <c r="F70" s="117"/>
      <c r="G70" s="117"/>
      <c r="H70" s="8"/>
      <c r="I70" s="8"/>
      <c r="J70" s="8"/>
      <c r="K70" s="8"/>
    </row>
    <row r="71" spans="1:11" x14ac:dyDescent="0.2">
      <c r="A71" s="88"/>
      <c r="B71" s="88" t="s">
        <v>241</v>
      </c>
      <c r="C71" s="88"/>
      <c r="D71" s="88"/>
      <c r="E71" s="88"/>
      <c r="F71" s="117">
        <v>1.3</v>
      </c>
      <c r="G71" s="117">
        <v>0.98</v>
      </c>
      <c r="H71" s="8"/>
      <c r="I71" s="8"/>
      <c r="J71" s="8"/>
      <c r="K71" s="8"/>
    </row>
    <row r="72" spans="1:11" x14ac:dyDescent="0.2">
      <c r="A72" s="88"/>
      <c r="B72" s="88" t="s">
        <v>242</v>
      </c>
      <c r="C72" s="88"/>
      <c r="D72" s="88"/>
      <c r="E72" s="88"/>
      <c r="F72" s="117">
        <v>1</v>
      </c>
      <c r="G72" s="117">
        <v>0.75</v>
      </c>
      <c r="H72" s="8"/>
      <c r="I72" s="8"/>
      <c r="J72" s="8"/>
      <c r="K72" s="8"/>
    </row>
    <row r="73" spans="1:11" x14ac:dyDescent="0.2">
      <c r="A73" s="88"/>
      <c r="B73" s="88" t="s">
        <v>243</v>
      </c>
      <c r="C73" s="88"/>
      <c r="D73" s="88"/>
      <c r="E73" s="88"/>
      <c r="F73" s="117">
        <v>0.85</v>
      </c>
      <c r="G73" s="117">
        <v>0.64</v>
      </c>
      <c r="H73" s="8"/>
      <c r="I73" s="8"/>
      <c r="J73" s="8"/>
      <c r="K73" s="8"/>
    </row>
    <row r="74" spans="1:11" x14ac:dyDescent="0.2">
      <c r="A74" s="88"/>
      <c r="B74" s="88" t="s">
        <v>244</v>
      </c>
      <c r="C74" s="88"/>
      <c r="D74" s="88"/>
      <c r="E74" s="88"/>
      <c r="F74" s="117">
        <v>0.67</v>
      </c>
      <c r="G74" s="117">
        <v>0.5</v>
      </c>
      <c r="H74" s="8"/>
      <c r="I74" s="8"/>
      <c r="J74" s="8"/>
      <c r="K74" s="8"/>
    </row>
    <row r="75" spans="1:11" x14ac:dyDescent="0.2">
      <c r="A75" s="88"/>
      <c r="B75" s="88" t="s">
        <v>245</v>
      </c>
      <c r="C75" s="88"/>
      <c r="D75" s="88"/>
      <c r="E75" s="88"/>
      <c r="F75" s="117">
        <v>0.47</v>
      </c>
      <c r="G75" s="117">
        <v>0.35</v>
      </c>
      <c r="H75" s="8"/>
      <c r="I75" s="8"/>
      <c r="J75" s="8"/>
      <c r="K75" s="8"/>
    </row>
    <row r="76" spans="1:11" x14ac:dyDescent="0.2">
      <c r="A76" s="88"/>
      <c r="B76" s="88"/>
      <c r="C76" s="88"/>
      <c r="D76" s="88"/>
      <c r="E76" s="88"/>
      <c r="F76" s="88"/>
      <c r="G76" s="88"/>
      <c r="H76" s="8"/>
      <c r="I76" s="8"/>
      <c r="J76" s="8"/>
      <c r="K76" s="8"/>
    </row>
    <row r="77" spans="1:11" x14ac:dyDescent="0.2">
      <c r="A77" s="88"/>
      <c r="B77" s="88" t="s">
        <v>246</v>
      </c>
      <c r="C77" s="88" t="s">
        <v>2</v>
      </c>
      <c r="D77" s="82">
        <v>0.85</v>
      </c>
      <c r="E77" s="88"/>
      <c r="F77" s="88"/>
      <c r="G77" s="88"/>
      <c r="H77" s="8"/>
      <c r="I77" s="8"/>
      <c r="J77" s="8"/>
      <c r="K77" s="8"/>
    </row>
    <row r="78" spans="1:11" x14ac:dyDescent="0.2">
      <c r="A78" s="88"/>
      <c r="B78" s="88"/>
      <c r="C78" s="88"/>
      <c r="D78" s="88"/>
      <c r="E78" s="88"/>
      <c r="F78" s="88"/>
      <c r="G78" s="88"/>
      <c r="H78" s="8"/>
      <c r="I78" s="8"/>
      <c r="J78" s="8"/>
      <c r="K78" s="8"/>
    </row>
    <row r="79" spans="1:11" x14ac:dyDescent="0.2">
      <c r="A79" s="88" t="s">
        <v>247</v>
      </c>
      <c r="B79" s="88"/>
      <c r="C79" s="88"/>
      <c r="D79" s="88"/>
      <c r="E79" s="88"/>
      <c r="F79" s="88"/>
      <c r="G79" s="88"/>
      <c r="H79" s="8"/>
      <c r="I79" s="8"/>
      <c r="J79" s="8"/>
      <c r="K79" s="8"/>
    </row>
    <row r="80" spans="1:11" x14ac:dyDescent="0.2">
      <c r="A80" s="88"/>
      <c r="B80" s="88"/>
      <c r="C80" s="88"/>
      <c r="D80" s="88">
        <f>+E26*D77*1000</f>
        <v>10795</v>
      </c>
      <c r="E80" s="88" t="s">
        <v>257</v>
      </c>
      <c r="F80" s="88"/>
      <c r="G80" s="88"/>
      <c r="H80" s="8"/>
      <c r="I80" s="8"/>
      <c r="J80" s="8"/>
      <c r="K80" s="8"/>
    </row>
    <row r="81" spans="1:11" x14ac:dyDescent="0.2">
      <c r="A81" s="88"/>
      <c r="B81" s="88"/>
      <c r="C81" s="88"/>
      <c r="D81" s="88"/>
      <c r="E81" s="88"/>
      <c r="F81" s="88"/>
      <c r="G81" s="88"/>
      <c r="H81" s="8"/>
      <c r="I81" s="8"/>
      <c r="J81" s="8"/>
      <c r="K81" s="8"/>
    </row>
    <row r="82" spans="1:11" x14ac:dyDescent="0.2">
      <c r="A82" s="88" t="s">
        <v>248</v>
      </c>
      <c r="B82" s="88"/>
      <c r="C82" s="88"/>
      <c r="D82" s="88"/>
      <c r="E82" s="88"/>
      <c r="F82" s="88"/>
      <c r="G82" s="88"/>
      <c r="H82" s="8"/>
      <c r="I82" s="8"/>
      <c r="J82" s="8"/>
      <c r="K82" s="8"/>
    </row>
    <row r="83" spans="1:11" x14ac:dyDescent="0.2">
      <c r="A83" s="88"/>
      <c r="B83" s="88"/>
      <c r="C83" s="88"/>
      <c r="D83" s="88"/>
      <c r="E83" s="88"/>
      <c r="F83" s="88"/>
      <c r="G83" s="88"/>
      <c r="H83" s="8"/>
      <c r="I83" s="8"/>
      <c r="J83" s="8"/>
      <c r="K83" s="8"/>
    </row>
    <row r="84" spans="1:11" x14ac:dyDescent="0.2">
      <c r="A84" s="88" t="s">
        <v>249</v>
      </c>
      <c r="B84" s="88"/>
      <c r="C84" s="88"/>
      <c r="D84" s="90">
        <f>1.56*$E$24/($D$80*SQRT(E65))</f>
        <v>1.4909961899907511</v>
      </c>
      <c r="E84" s="88" t="s">
        <v>27</v>
      </c>
      <c r="F84" s="88"/>
      <c r="G84" s="88"/>
      <c r="H84" s="8"/>
      <c r="I84" s="8"/>
      <c r="J84" s="8"/>
      <c r="K84" s="8"/>
    </row>
    <row r="85" spans="1:11" x14ac:dyDescent="0.2">
      <c r="A85" s="274" t="s">
        <v>574</v>
      </c>
      <c r="B85" s="88"/>
      <c r="C85" s="88"/>
      <c r="D85" s="90">
        <f>1.56*$E$24/($D$80*SQRT(E66))</f>
        <v>1.2860554638635342</v>
      </c>
      <c r="E85" s="88" t="s">
        <v>27</v>
      </c>
      <c r="F85" s="88"/>
      <c r="G85" s="88"/>
      <c r="H85" s="8"/>
      <c r="I85" s="8"/>
      <c r="J85" s="8"/>
      <c r="K85" s="8"/>
    </row>
    <row r="86" spans="1:11" ht="13.5" thickBot="1" x14ac:dyDescent="0.25">
      <c r="A86" s="88"/>
      <c r="B86" s="88"/>
      <c r="C86" s="88"/>
      <c r="D86" s="90"/>
      <c r="E86" s="88"/>
      <c r="F86" s="88"/>
      <c r="G86" s="88"/>
      <c r="H86" s="8"/>
      <c r="I86" s="8"/>
      <c r="J86" s="8"/>
      <c r="K86" s="8"/>
    </row>
    <row r="87" spans="1:11" x14ac:dyDescent="0.2">
      <c r="A87" s="251" t="s">
        <v>502</v>
      </c>
      <c r="B87" s="244"/>
      <c r="C87" s="244"/>
      <c r="D87" s="252"/>
      <c r="E87" s="245"/>
      <c r="F87" s="88"/>
      <c r="G87" s="88"/>
      <c r="H87" s="8"/>
      <c r="I87" s="8"/>
      <c r="J87" s="8"/>
      <c r="K87" s="8"/>
    </row>
    <row r="88" spans="1:11" x14ac:dyDescent="0.2">
      <c r="A88" s="246" t="s">
        <v>249</v>
      </c>
      <c r="B88" s="88"/>
      <c r="C88" s="88"/>
      <c r="D88" s="90">
        <f>+D84*1.41</f>
        <v>2.102304627886959</v>
      </c>
      <c r="E88" s="247" t="s">
        <v>27</v>
      </c>
      <c r="F88" s="88"/>
      <c r="G88" s="88"/>
      <c r="H88" s="8"/>
      <c r="I88" s="8"/>
      <c r="J88" s="8"/>
      <c r="K88" s="8"/>
    </row>
    <row r="89" spans="1:11" ht="13.5" thickBot="1" x14ac:dyDescent="0.25">
      <c r="A89" s="338" t="s">
        <v>574</v>
      </c>
      <c r="B89" s="255"/>
      <c r="C89" s="255"/>
      <c r="D89" s="324">
        <f>+D85*1.41</f>
        <v>1.8133382040475832</v>
      </c>
      <c r="E89" s="250" t="s">
        <v>27</v>
      </c>
      <c r="F89" s="88"/>
      <c r="G89" s="88"/>
      <c r="H89" s="8"/>
      <c r="I89" s="8"/>
      <c r="J89" s="8"/>
      <c r="K89" s="8"/>
    </row>
    <row r="90" spans="1:11" x14ac:dyDescent="0.2">
      <c r="A90" s="274"/>
      <c r="B90" s="88"/>
      <c r="C90" s="88"/>
      <c r="D90" s="90"/>
      <c r="E90" s="88"/>
      <c r="F90" s="88"/>
      <c r="G90" s="88"/>
      <c r="H90" s="8"/>
      <c r="I90" s="8"/>
      <c r="J90" s="8"/>
      <c r="K90" s="8"/>
    </row>
    <row r="91" spans="1:11" x14ac:dyDescent="0.2">
      <c r="A91" s="274"/>
      <c r="B91" s="88"/>
      <c r="C91" s="88"/>
      <c r="D91" s="90"/>
      <c r="E91" s="88"/>
      <c r="F91" s="88"/>
      <c r="G91" s="88"/>
      <c r="H91" s="8"/>
      <c r="I91" s="8"/>
      <c r="J91" s="8"/>
      <c r="K91" s="8"/>
    </row>
    <row r="92" spans="1:11" x14ac:dyDescent="0.2">
      <c r="A92" s="274" t="s">
        <v>686</v>
      </c>
      <c r="B92" s="88"/>
      <c r="C92" s="88"/>
      <c r="D92" s="90"/>
      <c r="E92" s="88"/>
      <c r="F92" s="88"/>
      <c r="G92" s="88"/>
      <c r="H92" s="8"/>
      <c r="I92" s="8"/>
      <c r="J92" s="8"/>
      <c r="K92" s="8"/>
    </row>
    <row r="93" spans="1:11" x14ac:dyDescent="0.2">
      <c r="A93" s="274" t="s">
        <v>687</v>
      </c>
      <c r="B93" s="88"/>
      <c r="C93" s="88"/>
      <c r="D93" s="90"/>
      <c r="E93" s="88"/>
      <c r="F93" s="88"/>
      <c r="G93" s="88"/>
      <c r="H93" s="8"/>
      <c r="I93" s="8"/>
      <c r="J93" s="8"/>
      <c r="K93" s="8"/>
    </row>
    <row r="94" spans="1:11" ht="13.5" thickBot="1" x14ac:dyDescent="0.25">
      <c r="A94" s="88"/>
      <c r="B94" s="88"/>
      <c r="C94" s="88"/>
      <c r="D94" s="90"/>
      <c r="E94" s="88"/>
      <c r="F94" s="88"/>
      <c r="G94" s="88"/>
      <c r="H94" s="8"/>
      <c r="I94" s="8"/>
      <c r="J94" s="8"/>
      <c r="K94" s="8"/>
    </row>
    <row r="95" spans="1:11" x14ac:dyDescent="0.2">
      <c r="A95" s="251" t="s">
        <v>503</v>
      </c>
      <c r="B95" s="244"/>
      <c r="C95" s="244"/>
      <c r="D95" s="252"/>
      <c r="E95" s="245"/>
      <c r="F95" s="88"/>
      <c r="G95" s="88"/>
      <c r="H95" s="8"/>
      <c r="I95" s="8"/>
      <c r="J95" s="8"/>
      <c r="K95" s="8"/>
    </row>
    <row r="96" spans="1:11" x14ac:dyDescent="0.2">
      <c r="A96" s="246" t="s">
        <v>249</v>
      </c>
      <c r="B96" s="88"/>
      <c r="C96" s="88"/>
      <c r="D96" s="90">
        <f>+D88*2</f>
        <v>4.2046092557739181</v>
      </c>
      <c r="E96" s="247" t="s">
        <v>27</v>
      </c>
      <c r="F96" s="88"/>
      <c r="G96" s="88"/>
      <c r="H96" s="8"/>
      <c r="I96" s="8"/>
      <c r="J96" s="8"/>
      <c r="K96" s="8"/>
    </row>
    <row r="97" spans="1:11" ht="13.5" thickBot="1" x14ac:dyDescent="0.25">
      <c r="A97" s="338" t="s">
        <v>574</v>
      </c>
      <c r="B97" s="255"/>
      <c r="C97" s="255"/>
      <c r="D97" s="324">
        <f>+D89*2</f>
        <v>3.6266764080951663</v>
      </c>
      <c r="E97" s="250" t="s">
        <v>27</v>
      </c>
      <c r="F97" s="88"/>
      <c r="G97" s="88"/>
      <c r="H97" s="8"/>
      <c r="I97" s="8"/>
      <c r="J97" s="8"/>
      <c r="K97" s="8"/>
    </row>
    <row r="98" spans="1:11" x14ac:dyDescent="0.2">
      <c r="A98" s="88"/>
      <c r="B98" s="88"/>
      <c r="C98" s="88"/>
      <c r="D98" s="88"/>
      <c r="E98" s="88"/>
      <c r="F98" s="88"/>
      <c r="G98" s="88"/>
      <c r="H98" s="8"/>
      <c r="I98" s="8"/>
      <c r="J98" s="8"/>
      <c r="K98" s="8"/>
    </row>
    <row r="99" spans="1:11" x14ac:dyDescent="0.2">
      <c r="A99" s="88" t="s">
        <v>331</v>
      </c>
      <c r="B99" s="88"/>
      <c r="C99" s="88"/>
      <c r="D99" s="88"/>
      <c r="E99" s="88"/>
      <c r="F99" s="88"/>
      <c r="G99" s="88"/>
      <c r="H99" s="8"/>
      <c r="I99" s="8"/>
      <c r="J99" s="8"/>
      <c r="K99" s="8"/>
    </row>
    <row r="100" spans="1:11" x14ac:dyDescent="0.2">
      <c r="A100" s="274" t="s">
        <v>615</v>
      </c>
      <c r="B100" s="88"/>
      <c r="C100" s="88"/>
      <c r="D100" s="88"/>
      <c r="E100" s="88"/>
      <c r="F100" s="88"/>
      <c r="G100" s="88"/>
      <c r="H100" s="8"/>
      <c r="I100" s="8"/>
      <c r="J100" s="8"/>
      <c r="K100" s="8"/>
    </row>
    <row r="101" spans="1:11" x14ac:dyDescent="0.2">
      <c r="A101" s="88"/>
      <c r="B101" s="88"/>
      <c r="C101" s="88"/>
      <c r="D101" s="88"/>
      <c r="E101" s="88"/>
      <c r="F101" s="88"/>
      <c r="G101" s="88"/>
      <c r="H101" s="8"/>
      <c r="I101" s="8"/>
      <c r="J101" s="8"/>
      <c r="K101" s="8"/>
    </row>
    <row r="102" spans="1:11" x14ac:dyDescent="0.2">
      <c r="A102" s="88" t="s">
        <v>250</v>
      </c>
      <c r="B102" s="88"/>
      <c r="C102" s="88"/>
      <c r="D102" s="88"/>
      <c r="E102" s="88"/>
      <c r="F102" s="88"/>
      <c r="G102" s="88"/>
      <c r="H102" s="8"/>
      <c r="I102" s="8"/>
      <c r="J102" s="8"/>
      <c r="K102" s="8"/>
    </row>
    <row r="103" spans="1:11" x14ac:dyDescent="0.2">
      <c r="A103" s="88"/>
      <c r="B103" s="88"/>
      <c r="C103" s="88"/>
      <c r="D103" s="88"/>
      <c r="E103" s="88"/>
      <c r="F103" s="88"/>
      <c r="G103" s="88"/>
      <c r="H103" s="8"/>
      <c r="I103" s="8"/>
      <c r="J103" s="8"/>
      <c r="K103" s="8"/>
    </row>
    <row r="104" spans="1:11" x14ac:dyDescent="0.2">
      <c r="A104" s="88" t="s">
        <v>251</v>
      </c>
      <c r="B104" s="88"/>
      <c r="C104" s="88"/>
      <c r="D104" s="88"/>
      <c r="E104" s="88"/>
      <c r="F104" s="88"/>
      <c r="G104" s="88"/>
      <c r="H104" s="8"/>
      <c r="I104" s="8"/>
      <c r="J104" s="8"/>
      <c r="K104" s="8"/>
    </row>
    <row r="105" spans="1:11" x14ac:dyDescent="0.2">
      <c r="A105" s="88"/>
      <c r="B105" s="88"/>
      <c r="C105" s="88"/>
      <c r="D105" s="88"/>
      <c r="E105" s="88"/>
      <c r="F105" s="88"/>
      <c r="G105" s="88"/>
      <c r="H105" s="8"/>
      <c r="I105" s="8"/>
      <c r="J105" s="8"/>
      <c r="K105" s="8"/>
    </row>
    <row r="106" spans="1:11" x14ac:dyDescent="0.2">
      <c r="A106" s="88" t="s">
        <v>252</v>
      </c>
      <c r="B106" s="88"/>
      <c r="C106" s="88">
        <v>1</v>
      </c>
      <c r="D106" s="88"/>
      <c r="E106" s="88"/>
      <c r="F106" s="88"/>
      <c r="G106" s="88"/>
      <c r="H106" s="8"/>
      <c r="I106" s="8"/>
      <c r="J106" s="8"/>
      <c r="K106" s="8"/>
    </row>
    <row r="107" spans="1:11" x14ac:dyDescent="0.2">
      <c r="A107" s="88" t="s">
        <v>253</v>
      </c>
      <c r="B107" s="88"/>
      <c r="C107" s="88">
        <v>0.8</v>
      </c>
      <c r="D107" s="88"/>
      <c r="E107" s="88"/>
      <c r="F107" s="88"/>
      <c r="G107" s="88"/>
      <c r="H107" s="8"/>
      <c r="I107" s="8"/>
      <c r="J107" s="8"/>
      <c r="K107" s="8"/>
    </row>
    <row r="108" spans="1:11" x14ac:dyDescent="0.2">
      <c r="A108" s="88" t="s">
        <v>254</v>
      </c>
      <c r="B108" s="88"/>
      <c r="C108" s="88">
        <v>0.6</v>
      </c>
      <c r="D108" s="88"/>
      <c r="E108" s="88"/>
      <c r="F108" s="88"/>
      <c r="G108" s="88"/>
      <c r="H108" s="8"/>
      <c r="I108" s="8"/>
      <c r="J108" s="8"/>
      <c r="K108" s="8"/>
    </row>
    <row r="109" spans="1:11" x14ac:dyDescent="0.2">
      <c r="A109" s="88"/>
      <c r="B109" s="88"/>
      <c r="C109" s="88"/>
      <c r="D109" s="88"/>
      <c r="E109" s="88"/>
      <c r="F109" s="88"/>
      <c r="G109" s="88"/>
      <c r="H109" s="8"/>
      <c r="I109" s="8"/>
      <c r="J109" s="8"/>
      <c r="K109" s="8"/>
    </row>
    <row r="110" spans="1:11" x14ac:dyDescent="0.2">
      <c r="A110" s="274" t="s">
        <v>508</v>
      </c>
      <c r="B110" s="88"/>
      <c r="C110" s="88"/>
      <c r="D110" s="88"/>
      <c r="E110" s="88"/>
      <c r="F110" s="88"/>
      <c r="G110" s="116" t="s">
        <v>2</v>
      </c>
      <c r="H110" s="116"/>
      <c r="I110" s="8"/>
      <c r="J110" s="8"/>
      <c r="K110" s="8"/>
    </row>
    <row r="111" spans="1:11" ht="13.5" thickBot="1" x14ac:dyDescent="0.25">
      <c r="A111" s="274"/>
      <c r="B111" s="88"/>
      <c r="C111" s="88"/>
      <c r="D111" s="88"/>
      <c r="E111" s="88"/>
      <c r="F111" s="88"/>
      <c r="G111" s="116"/>
      <c r="H111" s="116"/>
      <c r="I111" s="8"/>
      <c r="J111" s="8"/>
      <c r="K111" s="8"/>
    </row>
    <row r="112" spans="1:11" x14ac:dyDescent="0.2">
      <c r="A112" s="274"/>
      <c r="B112" s="88"/>
      <c r="C112" s="251" t="s">
        <v>505</v>
      </c>
      <c r="D112" s="245"/>
      <c r="E112" s="251" t="s">
        <v>506</v>
      </c>
      <c r="F112" s="276"/>
      <c r="G112" s="277" t="s">
        <v>507</v>
      </c>
      <c r="H112" s="28"/>
      <c r="I112" s="116"/>
      <c r="J112" s="8"/>
      <c r="K112" s="8"/>
    </row>
    <row r="113" spans="1:11" ht="13.5" thickBot="1" x14ac:dyDescent="0.25">
      <c r="A113" s="274"/>
      <c r="B113" s="88"/>
      <c r="C113" s="278" t="s">
        <v>109</v>
      </c>
      <c r="D113" s="279" t="s">
        <v>504</v>
      </c>
      <c r="E113" s="278" t="s">
        <v>109</v>
      </c>
      <c r="F113" s="279" t="s">
        <v>504</v>
      </c>
      <c r="G113" s="278" t="s">
        <v>109</v>
      </c>
      <c r="H113" s="279" t="s">
        <v>504</v>
      </c>
      <c r="I113" s="116"/>
      <c r="J113" s="8"/>
      <c r="K113" s="8"/>
    </row>
    <row r="114" spans="1:11" ht="13.5" thickBot="1" x14ac:dyDescent="0.25">
      <c r="A114" s="87"/>
      <c r="B114" s="280" t="s">
        <v>329</v>
      </c>
      <c r="C114" s="281">
        <f>+D88</f>
        <v>2.102304627886959</v>
      </c>
      <c r="D114" s="282">
        <f>+D88/superficies!D23</f>
        <v>1.9265105410189776E-2</v>
      </c>
      <c r="E114" s="283">
        <f>+D96</f>
        <v>4.2046092557739181</v>
      </c>
      <c r="F114" s="282">
        <f>+D96/superficies!D23</f>
        <v>3.8530210820379551E-2</v>
      </c>
      <c r="G114" s="283">
        <f>+E114+C114</f>
        <v>6.3069138836608776</v>
      </c>
      <c r="H114" s="284">
        <f>+F114+D114</f>
        <v>5.7795316230569327E-2</v>
      </c>
      <c r="I114" s="8"/>
      <c r="J114" s="8"/>
      <c r="K114" s="8"/>
    </row>
    <row r="115" spans="1:11" ht="13.5" thickBot="1" x14ac:dyDescent="0.25">
      <c r="A115" s="88"/>
      <c r="B115" s="285" t="s">
        <v>330</v>
      </c>
      <c r="C115" s="286">
        <f>+D89</f>
        <v>1.8133382040475832</v>
      </c>
      <c r="D115" s="287">
        <f>+D89/superficies!D23</f>
        <v>1.6617074034800308E-2</v>
      </c>
      <c r="E115" s="288">
        <f>+D97</f>
        <v>3.6266764080951663</v>
      </c>
      <c r="F115" s="287">
        <f>+D97/superficies!D23</f>
        <v>3.3234148069600615E-2</v>
      </c>
      <c r="G115" s="283">
        <f>+E115+C115</f>
        <v>5.4400146121427495</v>
      </c>
      <c r="H115" s="289">
        <f>+F115+D115</f>
        <v>4.9851222104400919E-2</v>
      </c>
      <c r="I115" s="8"/>
      <c r="J115" s="8"/>
      <c r="K115" s="8"/>
    </row>
    <row r="116" spans="1:11" x14ac:dyDescent="0.2">
      <c r="A116" s="88"/>
      <c r="B116" s="274" t="s">
        <v>674</v>
      </c>
      <c r="C116" s="88"/>
      <c r="D116" s="88"/>
      <c r="E116" s="88"/>
      <c r="F116" s="88"/>
      <c r="G116" s="8"/>
      <c r="H116" s="8"/>
      <c r="I116" s="8"/>
      <c r="J116" s="8"/>
      <c r="K116" s="8"/>
    </row>
    <row r="117" spans="1:11" x14ac:dyDescent="0.2">
      <c r="A117" s="88"/>
      <c r="B117" s="274" t="s">
        <v>511</v>
      </c>
      <c r="C117" s="88"/>
      <c r="D117" s="88"/>
      <c r="E117" s="88"/>
      <c r="F117" s="88"/>
      <c r="G117" s="88"/>
      <c r="H117" s="8"/>
      <c r="I117" s="8"/>
      <c r="J117" s="8"/>
      <c r="K117" s="8"/>
    </row>
    <row r="118" spans="1:11" x14ac:dyDescent="0.2">
      <c r="A118" s="88"/>
      <c r="B118" s="274"/>
      <c r="C118" s="88"/>
      <c r="D118" s="88"/>
      <c r="E118" s="88"/>
      <c r="F118" s="88"/>
      <c r="G118" s="88"/>
      <c r="H118" s="8"/>
      <c r="I118" s="8"/>
      <c r="J118" s="8"/>
      <c r="K118" s="8"/>
    </row>
    <row r="119" spans="1:11" x14ac:dyDescent="0.2">
      <c r="A119" s="88" t="s">
        <v>255</v>
      </c>
      <c r="B119" s="88"/>
      <c r="C119" s="88"/>
      <c r="D119" s="88"/>
      <c r="E119" s="88"/>
      <c r="F119" s="88"/>
      <c r="G119" s="88"/>
      <c r="H119" s="8"/>
      <c r="I119" s="8"/>
      <c r="J119" s="8"/>
      <c r="K119" s="8"/>
    </row>
    <row r="120" spans="1:11" x14ac:dyDescent="0.2">
      <c r="A120" s="88" t="s">
        <v>256</v>
      </c>
      <c r="B120" s="88"/>
      <c r="C120" s="88"/>
      <c r="D120" s="88"/>
      <c r="E120" s="88"/>
      <c r="F120" s="88"/>
      <c r="G120" s="88"/>
      <c r="H120" s="8"/>
      <c r="I120" s="8"/>
      <c r="J120" s="8"/>
      <c r="K120" s="8"/>
    </row>
    <row r="121" spans="1:11" ht="13.5" thickBot="1" x14ac:dyDescent="0.25">
      <c r="A121" s="8"/>
      <c r="B121" s="8"/>
      <c r="C121" s="8"/>
      <c r="D121" s="8"/>
      <c r="E121" s="8"/>
      <c r="F121" s="88"/>
      <c r="G121" s="88"/>
      <c r="H121" s="8"/>
      <c r="I121" s="8"/>
      <c r="J121" s="8"/>
      <c r="K121" s="8"/>
    </row>
    <row r="122" spans="1:11" x14ac:dyDescent="0.2">
      <c r="A122" s="416" t="s">
        <v>616</v>
      </c>
      <c r="B122" s="417"/>
      <c r="C122" s="417"/>
      <c r="D122" s="417"/>
      <c r="E122" s="417"/>
      <c r="F122" s="418"/>
      <c r="G122" s="418"/>
      <c r="H122" s="417"/>
      <c r="I122" s="417"/>
      <c r="J122" s="417"/>
      <c r="K122" s="422"/>
    </row>
    <row r="123" spans="1:11" ht="13.5" thickBot="1" x14ac:dyDescent="0.25">
      <c r="A123" s="419" t="s">
        <v>617</v>
      </c>
      <c r="B123" s="420"/>
      <c r="C123" s="421"/>
      <c r="D123" s="421"/>
      <c r="E123" s="421"/>
      <c r="F123" s="421"/>
      <c r="G123" s="421"/>
      <c r="H123" s="421"/>
      <c r="I123" s="421"/>
      <c r="J123" s="421"/>
      <c r="K123" s="423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Lugar</vt:lpstr>
      <vt:lpstr>superficies</vt:lpstr>
      <vt:lpstr>Balance calefacción</vt:lpstr>
      <vt:lpstr>K comp</vt:lpstr>
      <vt:lpstr>Balance enfriamiento</vt:lpstr>
      <vt:lpstr>Enf. convectivo nocturno</vt:lpstr>
      <vt:lpstr>Masa Térmica</vt:lpstr>
      <vt:lpstr>Ventilación natural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AlfredoE;A.Esteves</dc:creator>
  <cp:lastModifiedBy>María Victoria Mercado</cp:lastModifiedBy>
  <cp:lastPrinted>2020-08-01T09:34:03Z</cp:lastPrinted>
  <dcterms:created xsi:type="dcterms:W3CDTF">2000-05-22T21:06:38Z</dcterms:created>
  <dcterms:modified xsi:type="dcterms:W3CDTF">2025-04-08T14:57:25Z</dcterms:modified>
</cp:coreProperties>
</file>