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D89953B1-7B83-EF46-B3FA-2E163DE9971A}" xr6:coauthVersionLast="47" xr6:coauthVersionMax="47" xr10:uidLastSave="{00000000-0000-0000-0000-000000000000}"/>
  <bookViews>
    <workbookView xWindow="0" yWindow="0" windowWidth="22260" windowHeight="12645" tabRatio="852" firstSheet="2" activeTab="8" xr2:uid="{00000000-000D-0000-FFFF-FFFF00000000}"/>
  </bookViews>
  <sheets>
    <sheet name="INICIO" sheetId="10" r:id="rId1"/>
    <sheet name="OFERTA Y DEMANDA" sheetId="9" r:id="rId2"/>
    <sheet name="MATERIA PRIMA" sheetId="5" r:id="rId3"/>
    <sheet name="MANO DE OBRA" sheetId="2" r:id="rId4"/>
    <sheet name="COSTOS FIJOS" sheetId="3" r:id="rId5"/>
    <sheet name="INVERSIONES - ACTIVOS" sheetId="4" r:id="rId6"/>
    <sheet name="FINANCIAMIENTO" sheetId="7" r:id="rId7"/>
    <sheet name="FLUJO DE FONDOS" sheetId="6" r:id="rId8"/>
    <sheet name="INDICADORES" sheetId="8" r:id="rId9"/>
    <sheet name="INGRESOS" sheetId="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C14" i="3"/>
  <c r="D14" i="3"/>
  <c r="D15" i="3"/>
  <c r="F6" i="2"/>
  <c r="H6" i="2"/>
  <c r="O8" i="8"/>
  <c r="C2" i="6"/>
  <c r="Q6" i="10"/>
  <c r="Q7" i="10"/>
  <c r="Q11" i="10"/>
  <c r="H7" i="10"/>
  <c r="C22" i="6"/>
  <c r="L6" i="8"/>
  <c r="C4" i="1"/>
  <c r="L13" i="2"/>
  <c r="L14" i="2"/>
  <c r="L9" i="2"/>
  <c r="L10" i="2"/>
  <c r="M12" i="2"/>
  <c r="G14" i="3"/>
  <c r="G13" i="3"/>
  <c r="H13" i="3"/>
  <c r="G12" i="3"/>
  <c r="H12" i="3"/>
  <c r="G11" i="3"/>
  <c r="H11" i="3"/>
  <c r="G10" i="3"/>
  <c r="H10" i="3"/>
  <c r="G9" i="3"/>
  <c r="H9" i="3"/>
  <c r="G8" i="3"/>
  <c r="H8" i="3"/>
  <c r="G7" i="3"/>
  <c r="H7" i="3"/>
  <c r="G6" i="3"/>
  <c r="H6" i="3"/>
  <c r="G5" i="3"/>
  <c r="H5" i="3"/>
  <c r="M14" i="2"/>
  <c r="M13" i="2"/>
  <c r="C7" i="7"/>
  <c r="C5" i="7"/>
  <c r="C4" i="7"/>
  <c r="E7" i="2"/>
  <c r="E8" i="2"/>
  <c r="E9" i="2"/>
  <c r="E10" i="2"/>
  <c r="E13" i="2"/>
  <c r="E26" i="2"/>
  <c r="F26" i="2"/>
  <c r="G26" i="2"/>
  <c r="H26" i="2"/>
  <c r="C9" i="1"/>
  <c r="D9" i="1"/>
  <c r="E9" i="1"/>
  <c r="F9" i="1"/>
  <c r="G9" i="1"/>
  <c r="H21" i="4"/>
  <c r="H22" i="4"/>
  <c r="H23" i="4"/>
  <c r="H24" i="4"/>
  <c r="H25" i="4"/>
  <c r="H26" i="4"/>
  <c r="H28" i="4"/>
  <c r="H34" i="6"/>
  <c r="C38" i="4"/>
  <c r="C32" i="6"/>
  <c r="H32" i="6"/>
  <c r="C30" i="6"/>
  <c r="C28" i="4"/>
  <c r="C29" i="6"/>
  <c r="C17" i="4"/>
  <c r="C28" i="6"/>
  <c r="C36" i="6"/>
  <c r="C6" i="8"/>
  <c r="C7" i="8"/>
  <c r="H14" i="4"/>
  <c r="H13" i="4"/>
  <c r="H12" i="4"/>
  <c r="H11" i="4"/>
  <c r="H10" i="4"/>
  <c r="H9" i="4"/>
  <c r="H8" i="4"/>
  <c r="H7" i="4"/>
  <c r="H6" i="4"/>
  <c r="C6" i="7"/>
  <c r="H17" i="4"/>
  <c r="H33" i="6"/>
  <c r="L2" i="7"/>
  <c r="M2" i="7"/>
  <c r="N2" i="7"/>
  <c r="O2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G11" i="7"/>
  <c r="F11" i="7"/>
  <c r="I11" i="7"/>
  <c r="G12" i="7"/>
  <c r="F12" i="7"/>
  <c r="I12" i="7"/>
  <c r="G13" i="7"/>
  <c r="F13" i="7"/>
  <c r="I13" i="7"/>
  <c r="G14" i="7"/>
  <c r="F14" i="7"/>
  <c r="I14" i="7"/>
  <c r="G15" i="7"/>
  <c r="F15" i="7"/>
  <c r="I15" i="7"/>
  <c r="G16" i="7"/>
  <c r="F16" i="7"/>
  <c r="I16" i="7"/>
  <c r="G17" i="7"/>
  <c r="F17" i="7"/>
  <c r="I17" i="7"/>
  <c r="G18" i="7"/>
  <c r="F18" i="7"/>
  <c r="I18" i="7"/>
  <c r="G19" i="7"/>
  <c r="F19" i="7"/>
  <c r="I19" i="7"/>
  <c r="G20" i="7"/>
  <c r="F20" i="7"/>
  <c r="I20" i="7"/>
  <c r="G21" i="7"/>
  <c r="F21" i="7"/>
  <c r="I21" i="7"/>
  <c r="G22" i="7"/>
  <c r="F22" i="7"/>
  <c r="K22" i="7"/>
  <c r="K5" i="7"/>
  <c r="D17" i="6"/>
  <c r="I22" i="7"/>
  <c r="G23" i="7"/>
  <c r="J22" i="7"/>
  <c r="K4" i="7"/>
  <c r="D31" i="6"/>
  <c r="F23" i="7"/>
  <c r="I23" i="7"/>
  <c r="G24" i="7"/>
  <c r="F24" i="7"/>
  <c r="I24" i="7"/>
  <c r="G25" i="7"/>
  <c r="F25" i="7"/>
  <c r="I25" i="7"/>
  <c r="G26" i="7"/>
  <c r="F26" i="7"/>
  <c r="I26" i="7"/>
  <c r="G27" i="7"/>
  <c r="F27" i="7"/>
  <c r="I27" i="7"/>
  <c r="G28" i="7"/>
  <c r="F28" i="7"/>
  <c r="I28" i="7"/>
  <c r="G29" i="7"/>
  <c r="F29" i="7"/>
  <c r="I29" i="7"/>
  <c r="G30" i="7"/>
  <c r="F30" i="7"/>
  <c r="I30" i="7"/>
  <c r="G31" i="7"/>
  <c r="F31" i="7"/>
  <c r="I31" i="7"/>
  <c r="G32" i="7"/>
  <c r="F32" i="7"/>
  <c r="I32" i="7"/>
  <c r="G33" i="7"/>
  <c r="F33" i="7"/>
  <c r="I33" i="7"/>
  <c r="G34" i="7"/>
  <c r="F34" i="7"/>
  <c r="K34" i="7"/>
  <c r="L5" i="7"/>
  <c r="E17" i="6"/>
  <c r="I34" i="7"/>
  <c r="G35" i="7"/>
  <c r="J34" i="7"/>
  <c r="L4" i="7"/>
  <c r="E31" i="6"/>
  <c r="F35" i="7"/>
  <c r="I35" i="7"/>
  <c r="G36" i="7"/>
  <c r="F36" i="7"/>
  <c r="I36" i="7"/>
  <c r="G37" i="7"/>
  <c r="F37" i="7"/>
  <c r="I37" i="7"/>
  <c r="G38" i="7"/>
  <c r="F38" i="7"/>
  <c r="I38" i="7"/>
  <c r="G39" i="7"/>
  <c r="F39" i="7"/>
  <c r="I39" i="7"/>
  <c r="G40" i="7"/>
  <c r="F40" i="7"/>
  <c r="I40" i="7"/>
  <c r="G41" i="7"/>
  <c r="F41" i="7"/>
  <c r="I41" i="7"/>
  <c r="G42" i="7"/>
  <c r="F42" i="7"/>
  <c r="I42" i="7"/>
  <c r="G43" i="7"/>
  <c r="F43" i="7"/>
  <c r="I43" i="7"/>
  <c r="G44" i="7"/>
  <c r="F44" i="7"/>
  <c r="I44" i="7"/>
  <c r="G45" i="7"/>
  <c r="F45" i="7"/>
  <c r="I45" i="7"/>
  <c r="G46" i="7"/>
  <c r="F46" i="7"/>
  <c r="K46" i="7"/>
  <c r="M5" i="7"/>
  <c r="F17" i="6"/>
  <c r="I46" i="7"/>
  <c r="G47" i="7"/>
  <c r="J46" i="7"/>
  <c r="M4" i="7"/>
  <c r="F31" i="6"/>
  <c r="F47" i="7"/>
  <c r="I47" i="7"/>
  <c r="G48" i="7"/>
  <c r="F48" i="7"/>
  <c r="I48" i="7"/>
  <c r="G49" i="7"/>
  <c r="F49" i="7"/>
  <c r="I49" i="7"/>
  <c r="G50" i="7"/>
  <c r="F50" i="7"/>
  <c r="I50" i="7"/>
  <c r="G51" i="7"/>
  <c r="F51" i="7"/>
  <c r="I51" i="7"/>
  <c r="G52" i="7"/>
  <c r="F52" i="7"/>
  <c r="I52" i="7"/>
  <c r="G53" i="7"/>
  <c r="F53" i="7"/>
  <c r="I53" i="7"/>
  <c r="G54" i="7"/>
  <c r="F54" i="7"/>
  <c r="I54" i="7"/>
  <c r="G55" i="7"/>
  <c r="F55" i="7"/>
  <c r="I55" i="7"/>
  <c r="G56" i="7"/>
  <c r="F56" i="7"/>
  <c r="I56" i="7"/>
  <c r="G57" i="7"/>
  <c r="F57" i="7"/>
  <c r="I57" i="7"/>
  <c r="G58" i="7"/>
  <c r="F58" i="7"/>
  <c r="K58" i="7"/>
  <c r="N5" i="7"/>
  <c r="G17" i="6"/>
  <c r="J58" i="7"/>
  <c r="N4" i="7"/>
  <c r="G31" i="6"/>
  <c r="I58" i="7"/>
  <c r="G59" i="7"/>
  <c r="F59" i="7"/>
  <c r="I59" i="7"/>
  <c r="G60" i="7"/>
  <c r="F60" i="7"/>
  <c r="I60" i="7"/>
  <c r="G61" i="7"/>
  <c r="F61" i="7"/>
  <c r="G21" i="4"/>
  <c r="L21" i="4"/>
  <c r="M21" i="4"/>
  <c r="N21" i="4"/>
  <c r="O21" i="4"/>
  <c r="P21" i="4"/>
  <c r="Q21" i="4"/>
  <c r="Q22" i="4"/>
  <c r="Q23" i="4"/>
  <c r="Q24" i="4"/>
  <c r="Q25" i="4"/>
  <c r="Q28" i="4"/>
  <c r="R21" i="4"/>
  <c r="S21" i="4"/>
  <c r="T21" i="4"/>
  <c r="G22" i="4"/>
  <c r="L22" i="4"/>
  <c r="M22" i="4"/>
  <c r="N22" i="4"/>
  <c r="O22" i="4"/>
  <c r="P22" i="4"/>
  <c r="R22" i="4"/>
  <c r="S22" i="4"/>
  <c r="T22" i="4"/>
  <c r="G23" i="4"/>
  <c r="L23" i="4"/>
  <c r="M23" i="4"/>
  <c r="N23" i="4"/>
  <c r="O23" i="4"/>
  <c r="P23" i="4"/>
  <c r="R23" i="4"/>
  <c r="S23" i="4"/>
  <c r="T23" i="4"/>
  <c r="G24" i="4"/>
  <c r="L24" i="4"/>
  <c r="M24" i="4"/>
  <c r="N24" i="4"/>
  <c r="O24" i="4"/>
  <c r="P24" i="4"/>
  <c r="R24" i="4"/>
  <c r="S24" i="4"/>
  <c r="T24" i="4"/>
  <c r="G25" i="4"/>
  <c r="L25" i="4"/>
  <c r="M25" i="4"/>
  <c r="N25" i="4"/>
  <c r="O25" i="4"/>
  <c r="P25" i="4"/>
  <c r="R25" i="4"/>
  <c r="S25" i="4"/>
  <c r="T25" i="4"/>
  <c r="K15" i="4"/>
  <c r="K21" i="4"/>
  <c r="K22" i="4"/>
  <c r="K23" i="4"/>
  <c r="K24" i="4"/>
  <c r="K25" i="4"/>
  <c r="S6" i="4"/>
  <c r="Q8" i="4"/>
  <c r="G6" i="4"/>
  <c r="K6" i="4"/>
  <c r="G7" i="4"/>
  <c r="L7" i="4"/>
  <c r="G8" i="4"/>
  <c r="K8" i="4"/>
  <c r="D6" i="6"/>
  <c r="C10" i="5"/>
  <c r="C11" i="5"/>
  <c r="P8" i="4"/>
  <c r="R6" i="4"/>
  <c r="T7" i="4"/>
  <c r="Q6" i="4"/>
  <c r="S7" i="4"/>
  <c r="P6" i="4"/>
  <c r="R7" i="4"/>
  <c r="T8" i="4"/>
  <c r="Q7" i="4"/>
  <c r="S8" i="4"/>
  <c r="P7" i="4"/>
  <c r="R8" i="4"/>
  <c r="T6" i="4"/>
  <c r="O6" i="4"/>
  <c r="N8" i="4"/>
  <c r="O8" i="4"/>
  <c r="M6" i="4"/>
  <c r="N6" i="4"/>
  <c r="L6" i="4"/>
  <c r="N7" i="4"/>
  <c r="O7" i="4"/>
  <c r="K28" i="4"/>
  <c r="D19" i="6"/>
  <c r="R28" i="4"/>
  <c r="P28" i="4"/>
  <c r="O28" i="4"/>
  <c r="H19" i="6"/>
  <c r="H27" i="6"/>
  <c r="N28" i="4"/>
  <c r="G19" i="6"/>
  <c r="G27" i="6"/>
  <c r="M28" i="4"/>
  <c r="F19" i="6"/>
  <c r="F27" i="6"/>
  <c r="T28" i="4"/>
  <c r="L28" i="4"/>
  <c r="E19" i="6"/>
  <c r="E27" i="6"/>
  <c r="S28" i="4"/>
  <c r="I61" i="7"/>
  <c r="G62" i="7"/>
  <c r="M8" i="4"/>
  <c r="L8" i="4"/>
  <c r="M7" i="4"/>
  <c r="K7" i="4"/>
  <c r="C13" i="5"/>
  <c r="D27" i="6"/>
  <c r="Y22" i="8"/>
  <c r="F62" i="7"/>
  <c r="C17" i="5"/>
  <c r="C19" i="5"/>
  <c r="D12" i="6"/>
  <c r="G14" i="4"/>
  <c r="G13" i="4"/>
  <c r="G12" i="4"/>
  <c r="G11" i="4"/>
  <c r="G10" i="4"/>
  <c r="G9" i="4"/>
  <c r="H14" i="3"/>
  <c r="F7" i="2"/>
  <c r="H7" i="2"/>
  <c r="F8" i="2"/>
  <c r="H8" i="2"/>
  <c r="F9" i="2"/>
  <c r="H9" i="2"/>
  <c r="F10" i="2"/>
  <c r="H10" i="2"/>
  <c r="F13" i="2"/>
  <c r="D17" i="5"/>
  <c r="D19" i="5"/>
  <c r="E12" i="6"/>
  <c r="O12" i="6"/>
  <c r="P14" i="4"/>
  <c r="T14" i="4"/>
  <c r="Q14" i="4"/>
  <c r="R14" i="4"/>
  <c r="S14" i="4"/>
  <c r="H11" i="2"/>
  <c r="Y17" i="8"/>
  <c r="N12" i="6"/>
  <c r="E11" i="1"/>
  <c r="F8" i="6"/>
  <c r="E6" i="6"/>
  <c r="I62" i="7"/>
  <c r="O9" i="4"/>
  <c r="P9" i="4"/>
  <c r="Q9" i="4"/>
  <c r="R9" i="4"/>
  <c r="N9" i="4"/>
  <c r="S9" i="4"/>
  <c r="K9" i="4"/>
  <c r="M9" i="4"/>
  <c r="L9" i="4"/>
  <c r="T9" i="4"/>
  <c r="N10" i="4"/>
  <c r="T10" i="4"/>
  <c r="O10" i="4"/>
  <c r="P10" i="4"/>
  <c r="L10" i="4"/>
  <c r="Q10" i="4"/>
  <c r="R10" i="4"/>
  <c r="M10" i="4"/>
  <c r="S10" i="4"/>
  <c r="K10" i="4"/>
  <c r="M11" i="4"/>
  <c r="N11" i="4"/>
  <c r="S11" i="4"/>
  <c r="O11" i="4"/>
  <c r="P11" i="4"/>
  <c r="Q11" i="4"/>
  <c r="K11" i="4"/>
  <c r="L11" i="4"/>
  <c r="T11" i="4"/>
  <c r="R11" i="4"/>
  <c r="L12" i="4"/>
  <c r="T12" i="4"/>
  <c r="R12" i="4"/>
  <c r="M12" i="4"/>
  <c r="N12" i="4"/>
  <c r="O12" i="4"/>
  <c r="S12" i="4"/>
  <c r="K12" i="4"/>
  <c r="P12" i="4"/>
  <c r="Q12" i="4"/>
  <c r="S13" i="4"/>
  <c r="K13" i="4"/>
  <c r="L13" i="4"/>
  <c r="T13" i="4"/>
  <c r="M13" i="4"/>
  <c r="Q13" i="4"/>
  <c r="N13" i="4"/>
  <c r="O13" i="4"/>
  <c r="R13" i="4"/>
  <c r="P13" i="4"/>
  <c r="K14" i="4"/>
  <c r="L14" i="4"/>
  <c r="M14" i="4"/>
  <c r="N14" i="4"/>
  <c r="O14" i="4"/>
  <c r="D24" i="2"/>
  <c r="H13" i="2"/>
  <c r="E14" i="2"/>
  <c r="E15" i="2"/>
  <c r="F15" i="2"/>
  <c r="H15" i="2"/>
  <c r="C11" i="1"/>
  <c r="D8" i="6"/>
  <c r="D11" i="1"/>
  <c r="E8" i="6"/>
  <c r="K18" i="4"/>
  <c r="D18" i="6"/>
  <c r="Y19" i="8"/>
  <c r="N10" i="6"/>
  <c r="C20" i="3"/>
  <c r="F14" i="2"/>
  <c r="H14" i="2"/>
  <c r="H16" i="2"/>
  <c r="E24" i="2"/>
  <c r="D15" i="6"/>
  <c r="G6" i="6"/>
  <c r="F17" i="5"/>
  <c r="F19" i="5"/>
  <c r="G12" i="6"/>
  <c r="Q12" i="6"/>
  <c r="F6" i="6"/>
  <c r="E17" i="5"/>
  <c r="E19" i="5"/>
  <c r="F12" i="6"/>
  <c r="P12" i="6"/>
  <c r="N18" i="4"/>
  <c r="G18" i="6"/>
  <c r="T18" i="4"/>
  <c r="P18" i="4"/>
  <c r="D26" i="6"/>
  <c r="R18" i="4"/>
  <c r="L18" i="4"/>
  <c r="E18" i="6"/>
  <c r="O18" i="4"/>
  <c r="H18" i="6"/>
  <c r="S18" i="4"/>
  <c r="Q18" i="4"/>
  <c r="M18" i="4"/>
  <c r="F18" i="6"/>
  <c r="G63" i="7"/>
  <c r="F11" i="1"/>
  <c r="G8" i="6"/>
  <c r="N14" i="6"/>
  <c r="N9" i="6"/>
  <c r="M10" i="6"/>
  <c r="Y21" i="8"/>
  <c r="F26" i="6"/>
  <c r="P14" i="6"/>
  <c r="G26" i="6"/>
  <c r="Q14" i="6"/>
  <c r="H26" i="6"/>
  <c r="R14" i="6"/>
  <c r="E26" i="6"/>
  <c r="O14" i="6"/>
  <c r="O10" i="6"/>
  <c r="F24" i="2"/>
  <c r="E15" i="6"/>
  <c r="G11" i="1"/>
  <c r="H8" i="6"/>
  <c r="H6" i="6"/>
  <c r="G17" i="5"/>
  <c r="G23" i="5"/>
  <c r="O5" i="8"/>
  <c r="D20" i="3"/>
  <c r="D16" i="6"/>
  <c r="Y20" i="8"/>
  <c r="F63" i="7"/>
  <c r="D27" i="2"/>
  <c r="H18" i="2"/>
  <c r="N15" i="6"/>
  <c r="M15" i="6"/>
  <c r="M26" i="6"/>
  <c r="P10" i="6"/>
  <c r="O9" i="6"/>
  <c r="G19" i="5"/>
  <c r="H12" i="6"/>
  <c r="R12" i="6"/>
  <c r="D14" i="6"/>
  <c r="D28" i="2"/>
  <c r="G24" i="2"/>
  <c r="F15" i="6"/>
  <c r="E20" i="3"/>
  <c r="E16" i="6"/>
  <c r="O15" i="6"/>
  <c r="I63" i="7"/>
  <c r="G64" i="7"/>
  <c r="F64" i="7"/>
  <c r="I64" i="7"/>
  <c r="G65" i="7"/>
  <c r="F65" i="7"/>
  <c r="I65" i="7"/>
  <c r="E27" i="2"/>
  <c r="Q10" i="6"/>
  <c r="P9" i="6"/>
  <c r="Y18" i="8"/>
  <c r="N13" i="6"/>
  <c r="Y26" i="8"/>
  <c r="Y28" i="8"/>
  <c r="D21" i="6"/>
  <c r="D22" i="6"/>
  <c r="D24" i="6"/>
  <c r="H24" i="2"/>
  <c r="H15" i="6"/>
  <c r="G15" i="6"/>
  <c r="E14" i="6"/>
  <c r="E28" i="2"/>
  <c r="F20" i="3"/>
  <c r="F16" i="6"/>
  <c r="P15" i="6"/>
  <c r="G66" i="7"/>
  <c r="F66" i="7"/>
  <c r="I66" i="7"/>
  <c r="G67" i="7"/>
  <c r="F67" i="7"/>
  <c r="I67" i="7"/>
  <c r="G68" i="7"/>
  <c r="F68" i="7"/>
  <c r="I68" i="7"/>
  <c r="G69" i="7"/>
  <c r="F69" i="7"/>
  <c r="I69" i="7"/>
  <c r="G70" i="7"/>
  <c r="F27" i="2"/>
  <c r="D36" i="6"/>
  <c r="D6" i="8"/>
  <c r="N24" i="6"/>
  <c r="N26" i="6"/>
  <c r="N16" i="6"/>
  <c r="N18" i="6"/>
  <c r="E21" i="6"/>
  <c r="E22" i="6"/>
  <c r="E24" i="6"/>
  <c r="E36" i="6"/>
  <c r="E6" i="8"/>
  <c r="E9" i="8"/>
  <c r="O13" i="6"/>
  <c r="R10" i="6"/>
  <c r="Q9" i="6"/>
  <c r="F14" i="6"/>
  <c r="F28" i="2"/>
  <c r="G20" i="3"/>
  <c r="H16" i="6"/>
  <c r="R15" i="6"/>
  <c r="G16" i="6"/>
  <c r="Q15" i="6"/>
  <c r="F70" i="7"/>
  <c r="K70" i="7"/>
  <c r="O5" i="7"/>
  <c r="H17" i="6"/>
  <c r="G27" i="2"/>
  <c r="D7" i="8"/>
  <c r="E7" i="8"/>
  <c r="D9" i="8"/>
  <c r="O16" i="6"/>
  <c r="O18" i="6"/>
  <c r="O19" i="6"/>
  <c r="O26" i="6"/>
  <c r="F21" i="6"/>
  <c r="F22" i="6"/>
  <c r="F24" i="6"/>
  <c r="F36" i="6"/>
  <c r="F6" i="8"/>
  <c r="P13" i="6"/>
  <c r="R9" i="6"/>
  <c r="N21" i="6"/>
  <c r="N19" i="6"/>
  <c r="L18" i="8"/>
  <c r="L17" i="8"/>
  <c r="L22" i="8"/>
  <c r="L19" i="8"/>
  <c r="L21" i="8"/>
  <c r="L20" i="8"/>
  <c r="L23" i="8"/>
  <c r="L24" i="8"/>
  <c r="Q24" i="8"/>
  <c r="G14" i="6"/>
  <c r="G28" i="2"/>
  <c r="I70" i="7"/>
  <c r="J70" i="7"/>
  <c r="O4" i="7"/>
  <c r="H31" i="6"/>
  <c r="H27" i="2"/>
  <c r="O21" i="6"/>
  <c r="P16" i="6"/>
  <c r="P18" i="6"/>
  <c r="P19" i="6"/>
  <c r="P26" i="6"/>
  <c r="G21" i="6"/>
  <c r="G22" i="6"/>
  <c r="G24" i="6"/>
  <c r="G36" i="6"/>
  <c r="G6" i="8"/>
  <c r="G9" i="8"/>
  <c r="Q13" i="6"/>
  <c r="F9" i="8"/>
  <c r="F7" i="8"/>
  <c r="N20" i="8"/>
  <c r="N17" i="8"/>
  <c r="H14" i="6"/>
  <c r="H28" i="2"/>
  <c r="P21" i="6"/>
  <c r="Q16" i="6"/>
  <c r="Q18" i="6"/>
  <c r="Q19" i="6"/>
  <c r="Q26" i="6"/>
  <c r="H21" i="6"/>
  <c r="H22" i="6"/>
  <c r="H24" i="6"/>
  <c r="H36" i="6"/>
  <c r="H6" i="8"/>
  <c r="H9" i="8"/>
  <c r="R13" i="6"/>
  <c r="G7" i="8"/>
  <c r="Q21" i="6"/>
  <c r="R16" i="6"/>
  <c r="R18" i="6"/>
  <c r="R19" i="6"/>
  <c r="R26" i="6"/>
  <c r="C13" i="8"/>
  <c r="C11" i="8"/>
  <c r="C15" i="8"/>
  <c r="H7" i="8"/>
  <c r="R21" i="6"/>
  <c r="N22" i="6"/>
  <c r="H11" i="8"/>
</calcChain>
</file>

<file path=xl/sharedStrings.xml><?xml version="1.0" encoding="utf-8"?>
<sst xmlns="http://schemas.openxmlformats.org/spreadsheetml/2006/main" count="259" uniqueCount="196">
  <si>
    <t>AÑO_1</t>
  </si>
  <si>
    <t>AÑO_2</t>
  </si>
  <si>
    <t>AÑO_3</t>
  </si>
  <si>
    <t>AÑO_4</t>
  </si>
  <si>
    <t>AÑO_5</t>
  </si>
  <si>
    <t>Unidades comercializadas</t>
  </si>
  <si>
    <t>PRECIO UNITARIO DE VENTA [USD / un]</t>
  </si>
  <si>
    <t>INGRESOS GENERADOS [usd]</t>
  </si>
  <si>
    <t>Escenario PROBABLE</t>
  </si>
  <si>
    <t>INGRESOS PROYECTADOS</t>
  </si>
  <si>
    <t>Puesto</t>
  </si>
  <si>
    <t>Cantidad de personas</t>
  </si>
  <si>
    <t>Cargas Patronales unitarias x mes</t>
  </si>
  <si>
    <t>Cantidad de Sueldos al año (meses año + aguinaldo)</t>
  </si>
  <si>
    <t>COSTO SALARIAL TOTAL ANUAL</t>
  </si>
  <si>
    <t>Gerente General</t>
  </si>
  <si>
    <t>Gerentes de área</t>
  </si>
  <si>
    <t>Jefes de área</t>
  </si>
  <si>
    <t>Coordinadores</t>
  </si>
  <si>
    <t>Salario Unitario
Bruto
[usd / mes]</t>
  </si>
  <si>
    <t>TOTAL AÑO 1:</t>
  </si>
  <si>
    <t>Costo Mano de obra Directa</t>
  </si>
  <si>
    <t>Costo Mano de obra Indirecta</t>
  </si>
  <si>
    <t xml:space="preserve">Costo Total de Mano de obra </t>
  </si>
  <si>
    <t>Tasa de incremento MO-Indirecta</t>
  </si>
  <si>
    <t>Tasa de incremento MO-Directa</t>
  </si>
  <si>
    <t>Subtotal - Mano de Obra Indirecta:</t>
  </si>
  <si>
    <t>Subtotal - Mano de Obra Directa:</t>
  </si>
  <si>
    <t>CONCEPTO</t>
  </si>
  <si>
    <t>Alquileres</t>
  </si>
  <si>
    <t>Publicidad y Promoción</t>
  </si>
  <si>
    <t>Seguros</t>
  </si>
  <si>
    <t>Servicios de Telefonía y Celular</t>
  </si>
  <si>
    <t>Suministros de oficinas</t>
  </si>
  <si>
    <t>Servicios Públicos INDIRECTOS</t>
  </si>
  <si>
    <t>Costos de Mantenimiento General</t>
  </si>
  <si>
    <t>Otros Costos</t>
  </si>
  <si>
    <t>COSTO ANUAL 
[usd]</t>
  </si>
  <si>
    <t>COSTO MENSUAL
[usd]</t>
  </si>
  <si>
    <t>TOTAL COSTOS FIJOS - AÑO 1</t>
  </si>
  <si>
    <t>Tasa de incremento Costos Fijos</t>
  </si>
  <si>
    <t>Total Costo Fijos</t>
  </si>
  <si>
    <t>TOTAL DE INVERSIÓN INICIAL</t>
  </si>
  <si>
    <t>Monto en USD</t>
  </si>
  <si>
    <t>Inmuebles</t>
  </si>
  <si>
    <t>Terrenos</t>
  </si>
  <si>
    <t>Instalaciones</t>
  </si>
  <si>
    <t>Mobiliario</t>
  </si>
  <si>
    <t>Rodados</t>
  </si>
  <si>
    <t>Equipos de Cómputo</t>
  </si>
  <si>
    <t>Gastos de constitución de la empresa o sociedad</t>
  </si>
  <si>
    <t>Gastos de organización y lanzamiento</t>
  </si>
  <si>
    <t>AMORTIZACIÓN / DEPRECIACIÓN DE ACTIVOS</t>
  </si>
  <si>
    <t>VIDA ÚTIL
[años]</t>
  </si>
  <si>
    <t>VALOR RESIDUAL
[%]</t>
  </si>
  <si>
    <t>AM / DEP. ANUAL
[usd / año]</t>
  </si>
  <si>
    <t>Unidades COMERCIALIZADAS</t>
  </si>
  <si>
    <t>COSTOS DIRECTOS</t>
  </si>
  <si>
    <t>USD/un prod.</t>
  </si>
  <si>
    <t>Electricidad</t>
  </si>
  <si>
    <t>Gas</t>
  </si>
  <si>
    <t>Servicios Legales</t>
  </si>
  <si>
    <t>Servicios Contables</t>
  </si>
  <si>
    <t>COSTO MATERIA PRIMA - UNITARIO</t>
  </si>
  <si>
    <t>COSTO MATERIA PRIMA - ANUAL</t>
  </si>
  <si>
    <t>AÑO_0</t>
  </si>
  <si>
    <t>INGRESOS POR VENTAS</t>
  </si>
  <si>
    <t>MANO DE OBRA</t>
  </si>
  <si>
    <t>MATERIA PRIMA</t>
  </si>
  <si>
    <t>Mano de Obra Directa</t>
  </si>
  <si>
    <t>Mano de Obra Indirecta</t>
  </si>
  <si>
    <t>COSTOS FIJOS DE OPERACIÓN</t>
  </si>
  <si>
    <t>INTERESES DEL PRÉSTAMO</t>
  </si>
  <si>
    <t>COSTOS QUE AFECTA EL IMPUESTO A LAS GANANCIAS</t>
  </si>
  <si>
    <t>INVERSIONES FIJAS - TANGIBLES</t>
  </si>
  <si>
    <t>INVERSIONES FIJAS - INTANGIBLES</t>
  </si>
  <si>
    <t>INVERSIONES EN CAPITAL DE TRABAJO</t>
  </si>
  <si>
    <t>Honorarios profesionales varios</t>
  </si>
  <si>
    <t>Estudios económicos</t>
  </si>
  <si>
    <t>Desarrollos de ingeniería</t>
  </si>
  <si>
    <t>Materia prima</t>
  </si>
  <si>
    <t>Productos en proceso</t>
  </si>
  <si>
    <t>Productos terminados</t>
  </si>
  <si>
    <t xml:space="preserve">Productos en tránsito </t>
  </si>
  <si>
    <t>Cuentas por cobrar</t>
  </si>
  <si>
    <t>Inventario de repuestos y herramientas</t>
  </si>
  <si>
    <t>EGRESOS</t>
  </si>
  <si>
    <t>AÑO</t>
  </si>
  <si>
    <t>TOTAL DEPRECIACIÓN DE ACTIVOS</t>
  </si>
  <si>
    <t>TOTAL AMORTIZACIÓN DE ACTIVOS INTANGIBLES</t>
  </si>
  <si>
    <t>RESULTADO ANTES DE IMPUESTOS</t>
  </si>
  <si>
    <t>Impuesto a la renta</t>
  </si>
  <si>
    <t>DEPRECIACIÓN DE ACTIVOS FIJOS</t>
  </si>
  <si>
    <t>AMORTIZACIÓN  DE ACTIVOS INTANGIBLES</t>
  </si>
  <si>
    <t>UTILIDAD NETA</t>
  </si>
  <si>
    <t>Capital solicitado</t>
  </si>
  <si>
    <t>Tasa de interés ANUAL</t>
  </si>
  <si>
    <t>Tasa de interés MENSUAL</t>
  </si>
  <si>
    <t>Período de devolución (meses)</t>
  </si>
  <si>
    <t>DATOS DEL PRÉSTAMO</t>
  </si>
  <si>
    <t>Amortización de Capital (1)</t>
  </si>
  <si>
    <t>Pago de Interés(2)</t>
  </si>
  <si>
    <t>Total de la Cuota (3)</t>
  </si>
  <si>
    <t xml:space="preserve">Capital adeudado </t>
  </si>
  <si>
    <t>Período</t>
  </si>
  <si>
    <t>AÑO 1</t>
  </si>
  <si>
    <t>AÑO 2</t>
  </si>
  <si>
    <t>AÑO 3</t>
  </si>
  <si>
    <t>AÑO 4</t>
  </si>
  <si>
    <t>AÑO 5</t>
  </si>
  <si>
    <t>AMORTIZACIÓN DE CAPITAL</t>
  </si>
  <si>
    <t>INTERESES</t>
  </si>
  <si>
    <t>Amortización de Capital por año</t>
  </si>
  <si>
    <t>Pago de Interés por año</t>
  </si>
  <si>
    <t>VALOR RESIDUAL
[usd]</t>
  </si>
  <si>
    <t>TOTAL INVERSIONES TANGIBLES</t>
  </si>
  <si>
    <t>TOTAL INVERSIONES CAPITAL DE TRABAJO</t>
  </si>
  <si>
    <t>TOTAL INVERSIONES INTANGIBLES</t>
  </si>
  <si>
    <t>INGRESO POR PRÉSTAMO</t>
  </si>
  <si>
    <t>AMORTIZACIÓN  DEL PRÉSTAMO</t>
  </si>
  <si>
    <t>VALOR RESIDUAL TOTA INTANGIBLES:</t>
  </si>
  <si>
    <t>VALOR RESIDUAL TANGIBLES</t>
  </si>
  <si>
    <t>VALOR RESIDUAL INTANGIBLES</t>
  </si>
  <si>
    <t>FLUJO DE CAJA NETO</t>
  </si>
  <si>
    <t xml:space="preserve">TASA DE DCTO.:  </t>
  </si>
  <si>
    <t>VAN=</t>
  </si>
  <si>
    <t>Valor de cada periodo a hoy:</t>
  </si>
  <si>
    <t>(cálculo manual)</t>
  </si>
  <si>
    <t>(cálculo con excel)</t>
  </si>
  <si>
    <t>TIR=</t>
  </si>
  <si>
    <t>FLUJO ACUMULADO</t>
  </si>
  <si>
    <t>TABLERO DE CONTROL</t>
  </si>
  <si>
    <t>Objetivo de venta inicial [Un / año]:</t>
  </si>
  <si>
    <t>Tasa de Incremento anual en Ventas:</t>
  </si>
  <si>
    <t>Precio Unitario de venta [USD / Un.]:</t>
  </si>
  <si>
    <t>Input - financiación</t>
  </si>
  <si>
    <t>COMPOSICIÓN ESTRUCTURA DE COSTOS</t>
  </si>
  <si>
    <t>Materia Prima</t>
  </si>
  <si>
    <t>Mano de obra Directa</t>
  </si>
  <si>
    <t>Costos fijos de Operación</t>
  </si>
  <si>
    <t>Maquinarias e Instalaciones</t>
  </si>
  <si>
    <t>Amortización de Intangibles</t>
  </si>
  <si>
    <t>Intereses financieros</t>
  </si>
  <si>
    <t>Amortización del préstamo</t>
  </si>
  <si>
    <t>Oficial Especializado</t>
  </si>
  <si>
    <t>Oficial</t>
  </si>
  <si>
    <t>Ayudante</t>
  </si>
  <si>
    <t>Mensual
usd</t>
  </si>
  <si>
    <t>Mensual
ARS</t>
  </si>
  <si>
    <t>Horas / Día:</t>
  </si>
  <si>
    <t>Días / Semana:</t>
  </si>
  <si>
    <t>RENDIMIENTO [Un / HH]</t>
  </si>
  <si>
    <t>Cantidad Objetivo:</t>
  </si>
  <si>
    <t>Un. / Año</t>
  </si>
  <si>
    <t>Un. / mes</t>
  </si>
  <si>
    <t>CANT</t>
  </si>
  <si>
    <t>Semanas / mes:</t>
  </si>
  <si>
    <t>MERCADO EN EL QUE PARTICIPARÁ NUESTRO PRODUCTO / SERVICIO</t>
  </si>
  <si>
    <t>PRECIO DE EQUILIBRIO [USD/UN.]  :</t>
  </si>
  <si>
    <t>CANTIDAD DE EQUILIBRIO [UN/AÑO]  :</t>
  </si>
  <si>
    <t>Objetivo de participación inicial [%]:</t>
  </si>
  <si>
    <t>Impuesto a la Renta</t>
  </si>
  <si>
    <t>PARTICIÁCIÓN DE MERCADO A 5 AÑOS</t>
  </si>
  <si>
    <t>CONSIDERA VALOR RESIDUAL</t>
  </si>
  <si>
    <t>SI</t>
  </si>
  <si>
    <t>PU=</t>
  </si>
  <si>
    <t>Materia Prima=</t>
  </si>
  <si>
    <t>Mano de obra=</t>
  </si>
  <si>
    <t>Costos fijos=</t>
  </si>
  <si>
    <t>Costo Unitario=</t>
  </si>
  <si>
    <t>Utilidad [Usd/Un.]=</t>
  </si>
  <si>
    <t>Utilidad [%]=</t>
  </si>
  <si>
    <t>GANANCIA TOTAL=</t>
  </si>
  <si>
    <t>Cantidades vendidas:</t>
  </si>
  <si>
    <t>Maquinarias=</t>
  </si>
  <si>
    <t>Costos fijos + Variables:</t>
  </si>
  <si>
    <t>Tipo de Cambio:</t>
  </si>
  <si>
    <t>ARS/usd</t>
  </si>
  <si>
    <t>PRECIO [usd]:</t>
  </si>
  <si>
    <t>PRECIO [ARS]:</t>
  </si>
  <si>
    <t>COSTO [USD]:</t>
  </si>
  <si>
    <t>GANANCIA [usd]:</t>
  </si>
  <si>
    <t>Gano:</t>
  </si>
  <si>
    <t>Si vendo:</t>
  </si>
  <si>
    <t>Otros</t>
  </si>
  <si>
    <t>Materia prima - Caños</t>
  </si>
  <si>
    <t>Materia prima - Cobre</t>
  </si>
  <si>
    <t>Materia prima - Plástico</t>
  </si>
  <si>
    <t>Maquinaria par procesar Cobre</t>
  </si>
  <si>
    <t>Maquinaria par procesar Caños</t>
  </si>
  <si>
    <t>Maquinaria par procesar Plástico</t>
  </si>
  <si>
    <r>
      <t xml:space="preserve">SOBRE COSTO DE </t>
    </r>
    <r>
      <rPr>
        <i/>
        <sz val="14"/>
        <color theme="1"/>
        <rFont val="Calibri"/>
        <family val="2"/>
        <scheme val="minor"/>
      </rPr>
      <t>NO CALIDAD</t>
    </r>
  </si>
  <si>
    <t>MANO DE OBRA INDIRECTA</t>
  </si>
  <si>
    <t>MANO DE OBRA DIRECTA</t>
  </si>
  <si>
    <t>Administrativos y comerciales</t>
  </si>
  <si>
    <t>VALOR RESIDUAL TOTA TANGIBLES: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</si>
</sst>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 * #,##0.0000_ ;_ * \-#,##0.0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333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1" xfId="0" applyBorder="1"/>
    <xf numFmtId="164" fontId="0" fillId="0" borderId="0" xfId="1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 wrapText="1"/>
    </xf>
    <xf numFmtId="165" fontId="0" fillId="0" borderId="0" xfId="1" applyNumberFormat="1" applyFont="1" applyAlignment="1">
      <alignment horizontal="center"/>
    </xf>
    <xf numFmtId="0" fontId="3" fillId="0" borderId="4" xfId="0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6" borderId="0" xfId="0" applyFont="1" applyFill="1" applyAlignment="1">
      <alignment horizontal="center"/>
    </xf>
    <xf numFmtId="0" fontId="3" fillId="0" borderId="4" xfId="0" applyFont="1" applyBorder="1"/>
    <xf numFmtId="165" fontId="3" fillId="0" borderId="4" xfId="1" applyNumberFormat="1" applyFont="1" applyBorder="1"/>
    <xf numFmtId="0" fontId="7" fillId="0" borderId="0" xfId="0" applyFont="1"/>
    <xf numFmtId="0" fontId="0" fillId="0" borderId="5" xfId="0" applyBorder="1"/>
    <xf numFmtId="165" fontId="0" fillId="0" borderId="5" xfId="1" applyNumberFormat="1" applyFont="1" applyBorder="1" applyAlignment="1">
      <alignment horizontal="center"/>
    </xf>
    <xf numFmtId="0" fontId="0" fillId="0" borderId="0" xfId="0" applyBorder="1"/>
    <xf numFmtId="165" fontId="0" fillId="0" borderId="0" xfId="1" applyNumberFormat="1" applyFont="1" applyBorder="1" applyAlignment="1">
      <alignment horizontal="center"/>
    </xf>
    <xf numFmtId="165" fontId="3" fillId="5" borderId="0" xfId="1" applyNumberFormat="1" applyFont="1" applyFill="1" applyAlignment="1">
      <alignment horizontal="center"/>
    </xf>
    <xf numFmtId="165" fontId="3" fillId="5" borderId="0" xfId="1" applyNumberFormat="1" applyFont="1" applyFill="1" applyAlignment="1">
      <alignment horizontal="right"/>
    </xf>
    <xf numFmtId="165" fontId="0" fillId="5" borderId="0" xfId="1" applyNumberFormat="1" applyFont="1" applyFill="1" applyAlignment="1">
      <alignment horizontal="center"/>
    </xf>
    <xf numFmtId="9" fontId="7" fillId="0" borderId="0" xfId="2" applyFont="1" applyAlignment="1">
      <alignment horizontal="right"/>
    </xf>
    <xf numFmtId="9" fontId="8" fillId="4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165" fontId="2" fillId="2" borderId="3" xfId="1" applyNumberFormat="1" applyFont="1" applyFill="1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2" fillId="2" borderId="3" xfId="1" applyNumberFormat="1" applyFont="1" applyFill="1" applyBorder="1"/>
    <xf numFmtId="0" fontId="4" fillId="2" borderId="0" xfId="0" applyFont="1" applyFill="1" applyAlignment="1">
      <alignment horizontal="center"/>
    </xf>
    <xf numFmtId="165" fontId="0" fillId="0" borderId="0" xfId="0" applyNumberFormat="1"/>
    <xf numFmtId="9" fontId="2" fillId="4" borderId="0" xfId="0" applyNumberFormat="1" applyFont="1" applyFill="1" applyAlignment="1">
      <alignment horizontal="center"/>
    </xf>
    <xf numFmtId="165" fontId="10" fillId="0" borderId="4" xfId="0" applyNumberFormat="1" applyFont="1" applyBorder="1"/>
    <xf numFmtId="0" fontId="3" fillId="0" borderId="1" xfId="0" applyFont="1" applyBorder="1"/>
    <xf numFmtId="0" fontId="10" fillId="0" borderId="3" xfId="0" applyFont="1" applyBorder="1"/>
    <xf numFmtId="0" fontId="11" fillId="0" borderId="3" xfId="0" applyFont="1" applyBorder="1"/>
    <xf numFmtId="165" fontId="11" fillId="0" borderId="3" xfId="1" applyNumberFormat="1" applyFont="1" applyBorder="1"/>
    <xf numFmtId="0" fontId="6" fillId="7" borderId="0" xfId="0" applyFont="1" applyFill="1"/>
    <xf numFmtId="0" fontId="3" fillId="0" borderId="0" xfId="0" applyFont="1" applyAlignment="1">
      <alignment horizontal="left" indent="3"/>
    </xf>
    <xf numFmtId="0" fontId="0" fillId="0" borderId="0" xfId="0" applyAlignment="1">
      <alignment horizontal="left" indent="5"/>
    </xf>
    <xf numFmtId="0" fontId="6" fillId="7" borderId="4" xfId="0" applyFont="1" applyFill="1" applyBorder="1"/>
    <xf numFmtId="0" fontId="2" fillId="2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0" fillId="0" borderId="0" xfId="0" applyNumberFormat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6" fillId="0" borderId="9" xfId="0" applyFont="1" applyBorder="1"/>
    <xf numFmtId="0" fontId="13" fillId="0" borderId="10" xfId="0" applyFont="1" applyBorder="1"/>
    <xf numFmtId="165" fontId="13" fillId="0" borderId="10" xfId="0" applyNumberFormat="1" applyFont="1" applyBorder="1"/>
    <xf numFmtId="165" fontId="13" fillId="0" borderId="11" xfId="0" applyNumberFormat="1" applyFont="1" applyBorder="1"/>
    <xf numFmtId="166" fontId="0" fillId="0" borderId="0" xfId="2" applyNumberFormat="1" applyFont="1"/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1" applyNumberFormat="1" applyFont="1" applyBorder="1"/>
    <xf numFmtId="165" fontId="0" fillId="0" borderId="2" xfId="0" applyNumberFormat="1" applyBorder="1"/>
    <xf numFmtId="0" fontId="2" fillId="2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165" fontId="0" fillId="0" borderId="0" xfId="0" applyNumberFormat="1" applyAlignment="1">
      <alignment horizontal="left" indent="1"/>
    </xf>
    <xf numFmtId="0" fontId="3" fillId="0" borderId="0" xfId="0" applyFont="1" applyBorder="1" applyAlignment="1">
      <alignment horizontal="right"/>
    </xf>
    <xf numFmtId="165" fontId="3" fillId="0" borderId="3" xfId="0" applyNumberFormat="1" applyFont="1" applyBorder="1"/>
    <xf numFmtId="0" fontId="3" fillId="0" borderId="0" xfId="0" applyFont="1" applyFill="1" applyBorder="1"/>
    <xf numFmtId="165" fontId="13" fillId="0" borderId="3" xfId="1" applyNumberFormat="1" applyFont="1" applyBorder="1"/>
    <xf numFmtId="0" fontId="16" fillId="3" borderId="3" xfId="0" applyFont="1" applyFill="1" applyBorder="1" applyAlignment="1">
      <alignment horizontal="center"/>
    </xf>
    <xf numFmtId="0" fontId="13" fillId="0" borderId="0" xfId="0" applyFont="1"/>
    <xf numFmtId="9" fontId="13" fillId="0" borderId="0" xfId="0" applyNumberFormat="1" applyFont="1"/>
    <xf numFmtId="0" fontId="13" fillId="0" borderId="0" xfId="0" applyFont="1" applyAlignment="1">
      <alignment horizontal="right"/>
    </xf>
    <xf numFmtId="165" fontId="13" fillId="0" borderId="0" xfId="0" applyNumberFormat="1" applyFont="1"/>
    <xf numFmtId="9" fontId="0" fillId="0" borderId="0" xfId="2" applyFont="1"/>
    <xf numFmtId="9" fontId="18" fillId="4" borderId="3" xfId="0" applyNumberFormat="1" applyFont="1" applyFill="1" applyBorder="1" applyAlignment="1">
      <alignment horizontal="center"/>
    </xf>
    <xf numFmtId="0" fontId="15" fillId="7" borderId="0" xfId="0" applyFont="1" applyFill="1" applyBorder="1" applyAlignment="1">
      <alignment horizontal="left" vertical="center"/>
    </xf>
    <xf numFmtId="165" fontId="0" fillId="0" borderId="1" xfId="1" applyNumberFormat="1" applyFont="1" applyBorder="1"/>
    <xf numFmtId="165" fontId="17" fillId="8" borderId="12" xfId="1" applyNumberFormat="1" applyFont="1" applyFill="1" applyBorder="1" applyAlignment="1">
      <alignment vertical="center"/>
    </xf>
    <xf numFmtId="9" fontId="17" fillId="8" borderId="13" xfId="2" applyFont="1" applyFill="1" applyBorder="1" applyAlignment="1">
      <alignment vertical="center"/>
    </xf>
    <xf numFmtId="165" fontId="17" fillId="8" borderId="13" xfId="1" applyNumberFormat="1" applyFont="1" applyFill="1" applyBorder="1" applyAlignment="1">
      <alignment vertical="center"/>
    </xf>
    <xf numFmtId="165" fontId="5" fillId="9" borderId="3" xfId="1" applyNumberFormat="1" applyFont="1" applyFill="1" applyBorder="1"/>
    <xf numFmtId="0" fontId="4" fillId="0" borderId="0" xfId="0" applyFont="1" applyAlignment="1">
      <alignment horizontal="center"/>
    </xf>
    <xf numFmtId="167" fontId="0" fillId="0" borderId="0" xfId="1" applyNumberFormat="1" applyFont="1"/>
    <xf numFmtId="165" fontId="2" fillId="4" borderId="3" xfId="1" applyNumberFormat="1" applyFont="1" applyFill="1" applyBorder="1"/>
    <xf numFmtId="9" fontId="2" fillId="4" borderId="3" xfId="2" applyFont="1" applyFill="1" applyBorder="1"/>
    <xf numFmtId="166" fontId="0" fillId="0" borderId="3" xfId="2" applyNumberFormat="1" applyFont="1" applyBorder="1"/>
    <xf numFmtId="0" fontId="18" fillId="2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left" indent="1"/>
    </xf>
    <xf numFmtId="165" fontId="0" fillId="0" borderId="3" xfId="1" applyNumberFormat="1" applyFont="1" applyBorder="1"/>
    <xf numFmtId="165" fontId="0" fillId="0" borderId="3" xfId="0" applyNumberFormat="1" applyBorder="1"/>
    <xf numFmtId="0" fontId="15" fillId="7" borderId="4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8" fillId="8" borderId="18" xfId="0" applyFont="1" applyFill="1" applyBorder="1" applyAlignment="1">
      <alignment horizontal="center"/>
    </xf>
    <xf numFmtId="9" fontId="18" fillId="8" borderId="13" xfId="2" applyFont="1" applyFill="1" applyBorder="1" applyAlignment="1">
      <alignment vertical="center"/>
    </xf>
    <xf numFmtId="9" fontId="18" fillId="8" borderId="14" xfId="2" applyFont="1" applyFill="1" applyBorder="1" applyAlignment="1">
      <alignment vertical="center"/>
    </xf>
    <xf numFmtId="9" fontId="17" fillId="8" borderId="13" xfId="2" applyNumberFormat="1" applyFont="1" applyFill="1" applyBorder="1" applyAlignment="1">
      <alignment vertical="center"/>
    </xf>
    <xf numFmtId="0" fontId="18" fillId="8" borderId="0" xfId="0" applyFont="1" applyFill="1"/>
    <xf numFmtId="2" fontId="0" fillId="0" borderId="0" xfId="0" applyNumberFormat="1"/>
    <xf numFmtId="165" fontId="0" fillId="0" borderId="19" xfId="1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0" fontId="19" fillId="0" borderId="0" xfId="0" applyFont="1" applyAlignment="1">
      <alignment horizontal="right"/>
    </xf>
    <xf numFmtId="165" fontId="20" fillId="0" borderId="0" xfId="1" applyNumberFormat="1" applyFont="1"/>
    <xf numFmtId="10" fontId="17" fillId="8" borderId="13" xfId="2" applyNumberFormat="1" applyFont="1" applyFill="1" applyBorder="1" applyAlignment="1">
      <alignment vertical="center"/>
    </xf>
    <xf numFmtId="9" fontId="12" fillId="4" borderId="19" xfId="0" applyNumberFormat="1" applyFont="1" applyFill="1" applyBorder="1" applyAlignment="1">
      <alignment horizontal="center"/>
    </xf>
    <xf numFmtId="165" fontId="0" fillId="0" borderId="9" xfId="1" applyNumberFormat="1" applyFont="1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165" fontId="0" fillId="0" borderId="21" xfId="1" applyNumberFormat="1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165" fontId="3" fillId="0" borderId="1" xfId="1" applyNumberFormat="1" applyFont="1" applyBorder="1"/>
    <xf numFmtId="9" fontId="18" fillId="8" borderId="14" xfId="2" applyFont="1" applyFill="1" applyBorder="1" applyAlignment="1">
      <alignment horizontal="center" vertical="center"/>
    </xf>
    <xf numFmtId="165" fontId="3" fillId="0" borderId="0" xfId="0" applyNumberFormat="1" applyFont="1"/>
    <xf numFmtId="10" fontId="0" fillId="0" borderId="0" xfId="2" applyNumberFormat="1" applyFont="1"/>
    <xf numFmtId="165" fontId="0" fillId="0" borderId="0" xfId="0" applyNumberFormat="1" applyAlignment="1">
      <alignment horizontal="right"/>
    </xf>
    <xf numFmtId="0" fontId="19" fillId="0" borderId="0" xfId="0" applyFont="1"/>
    <xf numFmtId="0" fontId="19" fillId="0" borderId="22" xfId="0" applyFont="1" applyBorder="1" applyAlignment="1">
      <alignment horizontal="right"/>
    </xf>
    <xf numFmtId="0" fontId="19" fillId="0" borderId="24" xfId="0" applyFont="1" applyBorder="1"/>
    <xf numFmtId="0" fontId="19" fillId="0" borderId="25" xfId="0" applyFont="1" applyBorder="1" applyAlignment="1">
      <alignment horizontal="right"/>
    </xf>
    <xf numFmtId="0" fontId="19" fillId="0" borderId="26" xfId="0" applyFont="1" applyBorder="1"/>
    <xf numFmtId="0" fontId="0" fillId="0" borderId="27" xfId="0" applyBorder="1"/>
    <xf numFmtId="0" fontId="0" fillId="0" borderId="20" xfId="0" applyBorder="1"/>
    <xf numFmtId="0" fontId="0" fillId="0" borderId="28" xfId="0" applyBorder="1"/>
    <xf numFmtId="0" fontId="19" fillId="0" borderId="22" xfId="0" applyFont="1" applyBorder="1"/>
    <xf numFmtId="165" fontId="19" fillId="0" borderId="23" xfId="1" applyNumberFormat="1" applyFont="1" applyBorder="1"/>
    <xf numFmtId="0" fontId="19" fillId="0" borderId="25" xfId="0" applyFont="1" applyBorder="1"/>
    <xf numFmtId="165" fontId="19" fillId="0" borderId="0" xfId="1" applyNumberFormat="1" applyFont="1" applyBorder="1"/>
    <xf numFmtId="0" fontId="19" fillId="0" borderId="27" xfId="0" applyFont="1" applyBorder="1"/>
    <xf numFmtId="0" fontId="19" fillId="0" borderId="20" xfId="0" applyFont="1" applyBorder="1"/>
    <xf numFmtId="0" fontId="19" fillId="0" borderId="28" xfId="0" applyFont="1" applyBorder="1"/>
    <xf numFmtId="1" fontId="19" fillId="0" borderId="0" xfId="0" applyNumberFormat="1" applyFont="1" applyBorder="1"/>
    <xf numFmtId="0" fontId="0" fillId="0" borderId="30" xfId="0" applyBorder="1"/>
    <xf numFmtId="0" fontId="0" fillId="0" borderId="31" xfId="0" applyBorder="1"/>
    <xf numFmtId="0" fontId="0" fillId="12" borderId="29" xfId="0" applyFill="1" applyBorder="1" applyAlignment="1">
      <alignment horizontal="center" vertical="center" wrapText="1"/>
    </xf>
    <xf numFmtId="0" fontId="6" fillId="0" borderId="4" xfId="0" applyFont="1" applyBorder="1"/>
    <xf numFmtId="0" fontId="13" fillId="0" borderId="1" xfId="0" applyFont="1" applyBorder="1"/>
    <xf numFmtId="165" fontId="13" fillId="0" borderId="1" xfId="1" applyNumberFormat="1" applyFont="1" applyBorder="1"/>
    <xf numFmtId="165" fontId="6" fillId="0" borderId="4" xfId="0" applyNumberFormat="1" applyFont="1" applyBorder="1"/>
    <xf numFmtId="0" fontId="6" fillId="0" borderId="0" xfId="0" applyFont="1"/>
    <xf numFmtId="0" fontId="17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/>
    </xf>
    <xf numFmtId="0" fontId="3" fillId="7" borderId="0" xfId="0" applyFont="1" applyFill="1"/>
    <xf numFmtId="1" fontId="19" fillId="0" borderId="23" xfId="0" applyNumberFormat="1" applyFont="1" applyBorder="1"/>
    <xf numFmtId="0" fontId="15" fillId="9" borderId="3" xfId="0" applyFont="1" applyFill="1" applyBorder="1" applyAlignment="1">
      <alignment horizontal="left" vertical="center"/>
    </xf>
    <xf numFmtId="165" fontId="16" fillId="9" borderId="3" xfId="1" applyNumberFormat="1" applyFont="1" applyFill="1" applyBorder="1" applyAlignment="1">
      <alignment vertical="center"/>
    </xf>
    <xf numFmtId="165" fontId="0" fillId="0" borderId="19" xfId="2" applyNumberFormat="1" applyFont="1" applyBorder="1"/>
    <xf numFmtId="9" fontId="13" fillId="12" borderId="3" xfId="2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top" wrapText="1"/>
    </xf>
    <xf numFmtId="0" fontId="19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9" fontId="18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VENTAS vs. 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INGRESOS!$B$9</c:f>
              <c:strCache>
                <c:ptCount val="1"/>
                <c:pt idx="0">
                  <c:v>Unidades comercializadas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INGRESOS!$C$7:$G$7</c:f>
              <c:strCache>
                <c:ptCount val="5"/>
                <c:pt idx="0">
                  <c:v>AÑO_1</c:v>
                </c:pt>
                <c:pt idx="1">
                  <c:v>AÑO_2</c:v>
                </c:pt>
                <c:pt idx="2">
                  <c:v>AÑO_3</c:v>
                </c:pt>
                <c:pt idx="3">
                  <c:v>AÑO_4</c:v>
                </c:pt>
                <c:pt idx="4">
                  <c:v>AÑO_5</c:v>
                </c:pt>
              </c:strCache>
            </c:strRef>
          </c:cat>
          <c:val>
            <c:numRef>
              <c:f>INGRESOS!$C$9:$G$9</c:f>
              <c:numCache>
                <c:formatCode>_ * #,##0_ ;_ * \-#,##0_ ;_ * "-"??_ ;_ @_ </c:formatCode>
                <c:ptCount val="5"/>
                <c:pt idx="0">
                  <c:v>5432</c:v>
                </c:pt>
                <c:pt idx="1">
                  <c:v>6464.08</c:v>
                </c:pt>
                <c:pt idx="2">
                  <c:v>7692.2551999999996</c:v>
                </c:pt>
                <c:pt idx="3">
                  <c:v>9153.7836879999995</c:v>
                </c:pt>
                <c:pt idx="4">
                  <c:v>10893.002588719999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B-4117-A6F1-104467D9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280624"/>
        <c:axId val="209279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INGRESOS!$B$8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INGRESOS!$C$7:$G$7</c15:sqref>
                        </c15:formulaRef>
                      </c:ext>
                    </c:extLst>
                    <c:strCache>
                      <c:ptCount val="5"/>
                      <c:pt idx="0">
                        <c:v>AÑO_1</c:v>
                      </c:pt>
                      <c:pt idx="1">
                        <c:v>AÑO_2</c:v>
                      </c:pt>
                      <c:pt idx="2">
                        <c:v>AÑO_3</c:v>
                      </c:pt>
                      <c:pt idx="3">
                        <c:v>AÑO_4</c:v>
                      </c:pt>
                      <c:pt idx="4">
                        <c:v>AÑO_5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INGRESOS!$C$8:$G$8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CB-4117-A6F1-104467D9EEF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INGRESOS!$B$10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INGRESOS!$C$7:$G$7</c15:sqref>
                        </c15:formulaRef>
                      </c:ext>
                    </c:extLst>
                    <c:strCache>
                      <c:ptCount val="5"/>
                      <c:pt idx="0">
                        <c:v>AÑO_1</c:v>
                      </c:pt>
                      <c:pt idx="1">
                        <c:v>AÑO_2</c:v>
                      </c:pt>
                      <c:pt idx="2">
                        <c:v>AÑO_3</c:v>
                      </c:pt>
                      <c:pt idx="3">
                        <c:v>AÑO_4</c:v>
                      </c:pt>
                      <c:pt idx="4">
                        <c:v>AÑO_5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INGRESOS!$C$10:$G$10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CB-4117-A6F1-104467D9EEF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INGRESOS!$B$11</c:f>
              <c:strCache>
                <c:ptCount val="1"/>
                <c:pt idx="0">
                  <c:v>INGRESOS GENERADOS [usd]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INGRESOS!$C$7:$G$7</c:f>
              <c:strCache>
                <c:ptCount val="5"/>
                <c:pt idx="0">
                  <c:v>AÑO_1</c:v>
                </c:pt>
                <c:pt idx="1">
                  <c:v>AÑO_2</c:v>
                </c:pt>
                <c:pt idx="2">
                  <c:v>AÑO_3</c:v>
                </c:pt>
                <c:pt idx="3">
                  <c:v>AÑO_4</c:v>
                </c:pt>
                <c:pt idx="4">
                  <c:v>AÑO_5</c:v>
                </c:pt>
              </c:strCache>
            </c:strRef>
          </c:cat>
          <c:val>
            <c:numRef>
              <c:f>INGRESOS!$C$11:$G$11</c:f>
              <c:numCache>
                <c:formatCode>_ * #,##0_ ;_ * \-#,##0_ ;_ * "-"??_ ;_ @_ </c:formatCode>
                <c:ptCount val="5"/>
                <c:pt idx="0">
                  <c:v>2390080</c:v>
                </c:pt>
                <c:pt idx="1">
                  <c:v>2844195.2</c:v>
                </c:pt>
                <c:pt idx="2">
                  <c:v>3384592.2879999997</c:v>
                </c:pt>
                <c:pt idx="3">
                  <c:v>4027664.8227199996</c:v>
                </c:pt>
                <c:pt idx="4">
                  <c:v>4792921.1390367998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CB-4117-A6F1-104467D9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38304"/>
        <c:axId val="209284368"/>
      </c:lineChart>
      <c:valAx>
        <c:axId val="209279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UNIDADES VENDIDAS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9280624"/>
        <c:crosses val="max"/>
        <c:crossBetween val="between"/>
      </c:valAx>
      <c:catAx>
        <c:axId val="20928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PERIODO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9279792"/>
        <c:crosses val="autoZero"/>
        <c:auto val="1"/>
        <c:lblAlgn val="ctr"/>
        <c:lblOffset val="100"/>
        <c:noMultiLvlLbl val="0"/>
      </c:catAx>
      <c:valAx>
        <c:axId val="209284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INGRESOS GENERADOS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21538304"/>
        <c:crosses val="autoZero"/>
        <c:crossBetween val="between"/>
      </c:valAx>
      <c:catAx>
        <c:axId val="221538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284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 /><Relationship Id="rId2" Type="http://schemas.openxmlformats.org/officeDocument/2006/relationships/image" Target="../media/image1.png" /><Relationship Id="rId1" Type="http://schemas.openxmlformats.org/officeDocument/2006/relationships/image" Target="../media/image3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 /><Relationship Id="rId1" Type="http://schemas.openxmlformats.org/officeDocument/2006/relationships/image" Target="../media/image6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495688</xdr:colOff>
      <xdr:row>23</xdr:row>
      <xdr:rowOff>153129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781688" cy="5220429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76201</xdr:colOff>
      <xdr:row>1</xdr:row>
      <xdr:rowOff>9525</xdr:rowOff>
    </xdr:from>
    <xdr:to>
      <xdr:col>14</xdr:col>
      <xdr:colOff>19051</xdr:colOff>
      <xdr:row>16</xdr:row>
      <xdr:rowOff>175283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3426" y="200025"/>
          <a:ext cx="2990850" cy="3747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7</xdr:row>
      <xdr:rowOff>0</xdr:rowOff>
    </xdr:from>
    <xdr:to>
      <xdr:col>10</xdr:col>
      <xdr:colOff>420227</xdr:colOff>
      <xdr:row>38</xdr:row>
      <xdr:rowOff>67514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" t="634"/>
        <a:stretch/>
      </xdr:blipFill>
      <xdr:spPr>
        <a:xfrm>
          <a:off x="552450" y="1333500"/>
          <a:ext cx="8021177" cy="5973014"/>
        </a:xfrm>
        <a:prstGeom prst="rect">
          <a:avLst/>
        </a:prstGeom>
      </xdr:spPr>
    </xdr:pic>
    <xdr:clientData/>
  </xdr:twoCellAnchor>
  <xdr:twoCellAnchor editAs="oneCell">
    <xdr:from>
      <xdr:col>11</xdr:col>
      <xdr:colOff>628650</xdr:colOff>
      <xdr:row>5</xdr:row>
      <xdr:rowOff>161925</xdr:rowOff>
    </xdr:from>
    <xdr:to>
      <xdr:col>15</xdr:col>
      <xdr:colOff>362338</xdr:colOff>
      <xdr:row>33</xdr:row>
      <xdr:rowOff>48354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1409700"/>
          <a:ext cx="2781688" cy="522042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7</xdr:row>
      <xdr:rowOff>76200</xdr:rowOff>
    </xdr:from>
    <xdr:to>
      <xdr:col>20</xdr:col>
      <xdr:colOff>467266</xdr:colOff>
      <xdr:row>28</xdr:row>
      <xdr:rowOff>38653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39650" y="1704975"/>
          <a:ext cx="3877216" cy="3962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8</xdr:row>
      <xdr:rowOff>114301</xdr:rowOff>
    </xdr:from>
    <xdr:to>
      <xdr:col>20</xdr:col>
      <xdr:colOff>401059</xdr:colOff>
      <xdr:row>20</xdr:row>
      <xdr:rowOff>70307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0" y="1647826"/>
          <a:ext cx="6144634" cy="262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13</xdr:row>
      <xdr:rowOff>209550</xdr:rowOff>
    </xdr:from>
    <xdr:to>
      <xdr:col>6</xdr:col>
      <xdr:colOff>867147</xdr:colOff>
      <xdr:row>18</xdr:row>
      <xdr:rowOff>238300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3067050"/>
          <a:ext cx="2667372" cy="125747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9</xdr:row>
      <xdr:rowOff>114300</xdr:rowOff>
    </xdr:from>
    <xdr:to>
      <xdr:col>5</xdr:col>
      <xdr:colOff>1000125</xdr:colOff>
      <xdr:row>12</xdr:row>
      <xdr:rowOff>76199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635" t="24238" r="26082" b="20466"/>
        <a:stretch/>
      </xdr:blipFill>
      <xdr:spPr>
        <a:xfrm>
          <a:off x="6810375" y="1990725"/>
          <a:ext cx="6477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19954</xdr:rowOff>
    </xdr:from>
    <xdr:to>
      <xdr:col>6</xdr:col>
      <xdr:colOff>402167</xdr:colOff>
      <xdr:row>29</xdr:row>
      <xdr:rowOff>15139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54787"/>
          <a:ext cx="8053917" cy="27151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133350</xdr:rowOff>
    </xdr:from>
    <xdr:to>
      <xdr:col>7</xdr:col>
      <xdr:colOff>9525</xdr:colOff>
      <xdr:row>30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9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4:R18"/>
  <sheetViews>
    <sheetView showGridLines="0" zoomScale="80" zoomScaleNormal="80" workbookViewId="0">
      <selection activeCell="Q11" sqref="Q11"/>
    </sheetView>
  </sheetViews>
  <sheetFormatPr defaultColWidth="10.76171875" defaultRowHeight="15" x14ac:dyDescent="0.2"/>
  <cols>
    <col min="7" max="7" width="21.25390625" bestFit="1" customWidth="1"/>
    <col min="8" max="8" width="16.8125" bestFit="1" customWidth="1"/>
    <col min="16" max="16" width="22.46484375" bestFit="1" customWidth="1"/>
    <col min="17" max="17" width="19.1015625" bestFit="1" customWidth="1"/>
    <col min="18" max="18" width="1.34375" customWidth="1"/>
  </cols>
  <sheetData>
    <row r="4" spans="7:18" ht="15.75" thickBot="1" x14ac:dyDescent="0.25"/>
    <row r="5" spans="7:18" ht="21" x14ac:dyDescent="0.3">
      <c r="G5" s="127" t="s">
        <v>179</v>
      </c>
      <c r="H5" s="135">
        <v>674452</v>
      </c>
      <c r="I5" s="128"/>
      <c r="P5" s="127" t="s">
        <v>178</v>
      </c>
      <c r="Q5" s="153">
        <v>465.13931034482761</v>
      </c>
      <c r="R5" s="128"/>
    </row>
    <row r="6" spans="7:18" ht="21" x14ac:dyDescent="0.3">
      <c r="G6" s="129" t="s">
        <v>176</v>
      </c>
      <c r="H6" s="137">
        <v>1450</v>
      </c>
      <c r="I6" s="130" t="s">
        <v>177</v>
      </c>
      <c r="P6" s="129" t="s">
        <v>180</v>
      </c>
      <c r="Q6" s="137">
        <f>+Q5/2</f>
        <v>232.5696551724138</v>
      </c>
      <c r="R6" s="130"/>
    </row>
    <row r="7" spans="7:18" ht="21" x14ac:dyDescent="0.3">
      <c r="G7" s="129" t="s">
        <v>178</v>
      </c>
      <c r="H7" s="141">
        <f>+H5/H6</f>
        <v>465.13931034482761</v>
      </c>
      <c r="I7" s="130"/>
      <c r="P7" s="129" t="s">
        <v>181</v>
      </c>
      <c r="Q7" s="137">
        <f>+Q5-Q6</f>
        <v>232.5696551724138</v>
      </c>
      <c r="R7" s="130"/>
    </row>
    <row r="8" spans="7:18" ht="15.75" thickBot="1" x14ac:dyDescent="0.25">
      <c r="G8" s="131"/>
      <c r="H8" s="132"/>
      <c r="I8" s="133"/>
      <c r="P8" s="131"/>
      <c r="Q8" s="132"/>
      <c r="R8" s="133"/>
    </row>
    <row r="10" spans="7:18" ht="15.75" thickBot="1" x14ac:dyDescent="0.25"/>
    <row r="11" spans="7:18" ht="21" x14ac:dyDescent="0.3">
      <c r="P11" s="134" t="s">
        <v>183</v>
      </c>
      <c r="Q11" s="135">
        <f>+Q13/Q7</f>
        <v>4299.7870864049628</v>
      </c>
      <c r="R11" s="128"/>
    </row>
    <row r="12" spans="7:18" ht="21" x14ac:dyDescent="0.3">
      <c r="P12" s="136"/>
      <c r="Q12" s="137"/>
      <c r="R12" s="130"/>
    </row>
    <row r="13" spans="7:18" ht="21" x14ac:dyDescent="0.3">
      <c r="P13" s="136" t="s">
        <v>182</v>
      </c>
      <c r="Q13" s="137">
        <v>1000000</v>
      </c>
      <c r="R13" s="130"/>
    </row>
    <row r="14" spans="7:18" ht="21.75" thickBot="1" x14ac:dyDescent="0.35">
      <c r="P14" s="138"/>
      <c r="Q14" s="139"/>
      <c r="R14" s="140"/>
    </row>
    <row r="15" spans="7:18" ht="21" x14ac:dyDescent="0.3">
      <c r="P15" s="126"/>
      <c r="Q15" s="126"/>
      <c r="R15" s="126"/>
    </row>
    <row r="16" spans="7:18" ht="21" x14ac:dyDescent="0.3">
      <c r="P16" s="126"/>
      <c r="Q16" s="126"/>
      <c r="R16" s="126"/>
    </row>
    <row r="17" spans="16:18" ht="21" x14ac:dyDescent="0.3">
      <c r="P17" s="126"/>
      <c r="Q17" s="126"/>
      <c r="R17" s="126"/>
    </row>
    <row r="18" spans="16:18" ht="21" x14ac:dyDescent="0.3">
      <c r="P18" s="126"/>
      <c r="Q18" s="126"/>
      <c r="R18" s="12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24"/>
  <sheetViews>
    <sheetView showGridLines="0" workbookViewId="0">
      <selection activeCell="Q26" sqref="Q26"/>
    </sheetView>
  </sheetViews>
  <sheetFormatPr defaultColWidth="9.14453125" defaultRowHeight="15" x14ac:dyDescent="0.2"/>
  <cols>
    <col min="1" max="1" width="2.6875" customWidth="1"/>
    <col min="2" max="2" width="35.6484375" bestFit="1" customWidth="1"/>
    <col min="3" max="7" width="12.375" customWidth="1"/>
    <col min="18" max="20" width="12.10546875" customWidth="1"/>
  </cols>
  <sheetData>
    <row r="2" spans="2:7" ht="18.75" x14ac:dyDescent="0.25">
      <c r="B2" s="160" t="s">
        <v>9</v>
      </c>
      <c r="C2" s="160"/>
      <c r="D2" s="160"/>
      <c r="E2" s="160"/>
      <c r="F2" s="160"/>
      <c r="G2" s="160"/>
    </row>
    <row r="4" spans="2:7" x14ac:dyDescent="0.2">
      <c r="B4" t="s">
        <v>6</v>
      </c>
      <c r="C4" s="87">
        <f>+INDICADORES!L8</f>
        <v>440</v>
      </c>
    </row>
    <row r="7" spans="2:7" x14ac:dyDescent="0.2">
      <c r="B7" s="7" t="s">
        <v>8</v>
      </c>
      <c r="C7" s="7" t="s">
        <v>0</v>
      </c>
      <c r="D7" s="7" t="s">
        <v>1</v>
      </c>
      <c r="E7" s="7" t="s">
        <v>2</v>
      </c>
      <c r="F7" s="7" t="s">
        <v>3</v>
      </c>
      <c r="G7" s="7" t="s">
        <v>4</v>
      </c>
    </row>
    <row r="9" spans="2:7" x14ac:dyDescent="0.2">
      <c r="B9" s="1" t="s">
        <v>5</v>
      </c>
      <c r="C9" s="83">
        <f>+INDICADORES!L6</f>
        <v>5432</v>
      </c>
      <c r="D9" s="83">
        <f>+C9*(1+INDICADORES!$L$7)</f>
        <v>6464.08</v>
      </c>
      <c r="E9" s="83">
        <f>+D9*(1+INDICADORES!$L$7)</f>
        <v>7692.2551999999996</v>
      </c>
      <c r="F9" s="83">
        <f>+E9*(1+INDICADORES!$L$7)</f>
        <v>9153.7836879999995</v>
      </c>
      <c r="G9" s="83">
        <f>+F9*(1+INDICADORES!$L$7)</f>
        <v>10893.002588719999</v>
      </c>
    </row>
    <row r="11" spans="2:7" x14ac:dyDescent="0.2">
      <c r="B11" s="4" t="s">
        <v>7</v>
      </c>
      <c r="C11" s="5">
        <f>+C9*$C$4</f>
        <v>2390080</v>
      </c>
      <c r="D11" s="5">
        <f>+D9*$C$4</f>
        <v>2844195.2</v>
      </c>
      <c r="E11" s="5">
        <f>+E9*$C$4</f>
        <v>3384592.2879999997</v>
      </c>
      <c r="F11" s="5">
        <f>+F9*$C$4</f>
        <v>4027664.8227199996</v>
      </c>
      <c r="G11" s="5">
        <f>+G9*$C$4</f>
        <v>4792921.1390367998</v>
      </c>
    </row>
    <row r="21" spans="4:5" x14ac:dyDescent="0.2">
      <c r="D21" s="3"/>
      <c r="E21" s="3"/>
    </row>
    <row r="22" spans="4:5" x14ac:dyDescent="0.2">
      <c r="D22" s="3"/>
      <c r="E22" s="3"/>
    </row>
    <row r="23" spans="4:5" x14ac:dyDescent="0.2">
      <c r="D23" s="3"/>
      <c r="E23" s="3"/>
    </row>
    <row r="24" spans="4:5" x14ac:dyDescent="0.2">
      <c r="D24" s="3"/>
      <c r="E24" s="3"/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"/>
  <sheetViews>
    <sheetView showGridLines="0" topLeftCell="A4" zoomScale="70" zoomScaleNormal="70" workbookViewId="0">
      <selection activeCell="I4" sqref="I4:I5"/>
    </sheetView>
  </sheetViews>
  <sheetFormatPr defaultColWidth="10.76171875" defaultRowHeight="15" x14ac:dyDescent="0.2"/>
  <cols>
    <col min="2" max="2" width="12.5078125" customWidth="1"/>
    <col min="6" max="6" width="18.29296875" bestFit="1" customWidth="1"/>
    <col min="16" max="16" width="12.5078125" bestFit="1" customWidth="1"/>
  </cols>
  <sheetData>
    <row r="2" spans="2:11" ht="21.75" thickBot="1" x14ac:dyDescent="0.35">
      <c r="B2" s="159" t="s">
        <v>157</v>
      </c>
      <c r="C2" s="159"/>
      <c r="D2" s="159"/>
      <c r="E2" s="159"/>
      <c r="F2" s="159"/>
      <c r="G2" s="159"/>
      <c r="H2" s="159"/>
      <c r="I2" s="159"/>
      <c r="J2" s="159"/>
      <c r="K2" s="159"/>
    </row>
    <row r="4" spans="2:11" ht="23.25" x14ac:dyDescent="0.3">
      <c r="E4" s="112" t="s">
        <v>159</v>
      </c>
      <c r="F4" s="113">
        <v>135800</v>
      </c>
    </row>
    <row r="5" spans="2:11" ht="23.25" x14ac:dyDescent="0.3">
      <c r="E5" s="112" t="s">
        <v>158</v>
      </c>
      <c r="F5" s="113">
        <v>440</v>
      </c>
    </row>
  </sheetData>
  <mergeCells count="1">
    <mergeCell ref="B2:K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3"/>
  <sheetViews>
    <sheetView showGridLines="0" workbookViewId="0">
      <selection activeCell="I8" sqref="I8"/>
    </sheetView>
  </sheetViews>
  <sheetFormatPr defaultColWidth="10.76171875" defaultRowHeight="18.75" outlineLevelRow="1" x14ac:dyDescent="0.25"/>
  <cols>
    <col min="2" max="2" width="43.046875" style="76" bestFit="1" customWidth="1"/>
    <col min="3" max="3" width="11.703125" style="76" bestFit="1" customWidth="1"/>
  </cols>
  <sheetData>
    <row r="3" spans="2:7" ht="35.25" x14ac:dyDescent="0.25">
      <c r="B3" s="151" t="s">
        <v>57</v>
      </c>
      <c r="C3" s="150" t="s">
        <v>58</v>
      </c>
    </row>
    <row r="4" spans="2:7" x14ac:dyDescent="0.25">
      <c r="B4" s="76" t="s">
        <v>185</v>
      </c>
      <c r="C4" s="76">
        <v>25</v>
      </c>
    </row>
    <row r="5" spans="2:7" x14ac:dyDescent="0.25">
      <c r="B5" s="76" t="s">
        <v>186</v>
      </c>
      <c r="C5" s="76">
        <v>32</v>
      </c>
    </row>
    <row r="6" spans="2:7" x14ac:dyDescent="0.25">
      <c r="B6" s="76" t="s">
        <v>187</v>
      </c>
      <c r="C6" s="76">
        <v>20</v>
      </c>
    </row>
    <row r="7" spans="2:7" x14ac:dyDescent="0.25">
      <c r="B7" s="76" t="s">
        <v>59</v>
      </c>
      <c r="C7" s="76">
        <v>10</v>
      </c>
    </row>
    <row r="8" spans="2:7" x14ac:dyDescent="0.25">
      <c r="B8" s="76" t="s">
        <v>60</v>
      </c>
      <c r="C8" s="76">
        <v>3</v>
      </c>
    </row>
    <row r="9" spans="2:7" x14ac:dyDescent="0.25">
      <c r="B9" s="76" t="s">
        <v>184</v>
      </c>
      <c r="C9" s="76">
        <v>2</v>
      </c>
    </row>
    <row r="10" spans="2:7" x14ac:dyDescent="0.25">
      <c r="B10" s="145" t="s">
        <v>63</v>
      </c>
      <c r="C10" s="145">
        <f>+SUM(C4:C9)</f>
        <v>92</v>
      </c>
    </row>
    <row r="11" spans="2:7" x14ac:dyDescent="0.25">
      <c r="B11" s="76" t="s">
        <v>191</v>
      </c>
      <c r="C11" s="76">
        <f>+C10*D11</f>
        <v>4.6000000000000005</v>
      </c>
      <c r="D11" s="42">
        <v>0.05</v>
      </c>
    </row>
    <row r="13" spans="2:7" x14ac:dyDescent="0.25">
      <c r="B13" s="145" t="s">
        <v>63</v>
      </c>
      <c r="C13" s="149">
        <f>+SUM(C10:C11)</f>
        <v>96.6</v>
      </c>
    </row>
    <row r="14" spans="2:7" outlineLevel="1" x14ac:dyDescent="0.25"/>
    <row r="15" spans="2:7" outlineLevel="1" x14ac:dyDescent="0.25">
      <c r="B15" s="75" t="s">
        <v>8</v>
      </c>
      <c r="C15" s="75" t="s">
        <v>0</v>
      </c>
      <c r="D15" s="7" t="s">
        <v>1</v>
      </c>
      <c r="E15" s="7" t="s">
        <v>2</v>
      </c>
      <c r="F15" s="7" t="s">
        <v>3</v>
      </c>
      <c r="G15" s="7" t="s">
        <v>4</v>
      </c>
    </row>
    <row r="16" spans="2:7" outlineLevel="1" x14ac:dyDescent="0.25"/>
    <row r="17" spans="2:7" outlineLevel="1" x14ac:dyDescent="0.25">
      <c r="B17" s="146" t="s">
        <v>56</v>
      </c>
      <c r="C17" s="147">
        <f>+INGRESOS!C9</f>
        <v>5432</v>
      </c>
      <c r="D17" s="147">
        <f>+INGRESOS!D9</f>
        <v>6464.08</v>
      </c>
      <c r="E17" s="147">
        <f>+INGRESOS!E9</f>
        <v>7692.2551999999996</v>
      </c>
      <c r="F17" s="147">
        <f>+INGRESOS!F9</f>
        <v>9153.7836879999995</v>
      </c>
      <c r="G17" s="147">
        <f>+INGRESOS!G9</f>
        <v>10893.002588719999</v>
      </c>
    </row>
    <row r="18" spans="2:7" outlineLevel="1" x14ac:dyDescent="0.25"/>
    <row r="19" spans="2:7" outlineLevel="1" x14ac:dyDescent="0.25">
      <c r="B19" s="145" t="s">
        <v>64</v>
      </c>
      <c r="C19" s="148">
        <f>+C17*$C$13</f>
        <v>524731.19999999995</v>
      </c>
      <c r="D19" s="43">
        <f t="shared" ref="D19:G19" si="0">+D17*$C$13</f>
        <v>624430.12799999991</v>
      </c>
      <c r="E19" s="43">
        <f t="shared" si="0"/>
        <v>743071.85231999995</v>
      </c>
      <c r="F19" s="43">
        <f t="shared" si="0"/>
        <v>884255.50426079985</v>
      </c>
      <c r="G19" s="43">
        <f t="shared" si="0"/>
        <v>1052264.0500703519</v>
      </c>
    </row>
    <row r="20" spans="2:7" outlineLevel="1" x14ac:dyDescent="0.25"/>
    <row r="22" spans="2:7" ht="19.5" thickBot="1" x14ac:dyDescent="0.3"/>
    <row r="23" spans="2:7" ht="19.5" thickBot="1" x14ac:dyDescent="0.3">
      <c r="G23" s="156">
        <f>+G17</f>
        <v>10893.002588719999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P28"/>
  <sheetViews>
    <sheetView showGridLines="0" zoomScale="90" zoomScaleNormal="90" workbookViewId="0">
      <selection activeCell="C17" sqref="C17"/>
    </sheetView>
  </sheetViews>
  <sheetFormatPr defaultColWidth="10.76171875" defaultRowHeight="15" outlineLevelRow="1" x14ac:dyDescent="0.2"/>
  <cols>
    <col min="1" max="1" width="7.53125" customWidth="1"/>
    <col min="2" max="2" width="5.37890625" bestFit="1" customWidth="1"/>
    <col min="3" max="3" width="38.47265625" customWidth="1"/>
    <col min="4" max="4" width="14.2578125" customWidth="1"/>
    <col min="5" max="8" width="20.4453125" customWidth="1"/>
    <col min="9" max="9" width="3.2265625" customWidth="1"/>
    <col min="10" max="10" width="1.8828125" customWidth="1"/>
    <col min="11" max="11" width="19.1015625" bestFit="1" customWidth="1"/>
  </cols>
  <sheetData>
    <row r="1" spans="3:16" ht="18.75" x14ac:dyDescent="0.25">
      <c r="C1" s="160" t="s">
        <v>9</v>
      </c>
      <c r="D1" s="160"/>
      <c r="E1" s="160"/>
      <c r="F1" s="160"/>
      <c r="G1" s="160"/>
      <c r="H1" s="160"/>
    </row>
    <row r="4" spans="3:16" ht="41.25" x14ac:dyDescent="0.2">
      <c r="C4" s="8" t="s">
        <v>10</v>
      </c>
      <c r="D4" s="8" t="s">
        <v>11</v>
      </c>
      <c r="E4" s="8" t="s">
        <v>19</v>
      </c>
      <c r="F4" s="8" t="s">
        <v>12</v>
      </c>
      <c r="G4" s="8" t="s">
        <v>13</v>
      </c>
      <c r="H4" s="8" t="s">
        <v>14</v>
      </c>
      <c r="P4" s="144" t="s">
        <v>11</v>
      </c>
    </row>
    <row r="5" spans="3:16" ht="18.75" x14ac:dyDescent="0.25">
      <c r="C5" s="152" t="s">
        <v>192</v>
      </c>
      <c r="D5" s="152"/>
      <c r="E5" s="152"/>
      <c r="F5" s="24">
        <v>0.17</v>
      </c>
      <c r="K5" s="63" t="s">
        <v>149</v>
      </c>
      <c r="L5" s="106">
        <v>8</v>
      </c>
      <c r="P5" s="142"/>
    </row>
    <row r="6" spans="3:16" ht="19.5" thickBot="1" x14ac:dyDescent="0.3">
      <c r="C6" t="s">
        <v>15</v>
      </c>
      <c r="D6" s="99">
        <v>1</v>
      </c>
      <c r="E6" s="9">
        <v>6000</v>
      </c>
      <c r="F6" s="9">
        <f>+E6*$F$5</f>
        <v>1020.0000000000001</v>
      </c>
      <c r="G6" s="9">
        <v>13</v>
      </c>
      <c r="H6" s="9">
        <f>+D6*(E6+F6)*G6</f>
        <v>91260</v>
      </c>
      <c r="K6" s="63" t="s">
        <v>150</v>
      </c>
      <c r="L6" s="106">
        <v>5</v>
      </c>
      <c r="P6" s="142">
        <v>1</v>
      </c>
    </row>
    <row r="7" spans="3:16" ht="19.5" thickBot="1" x14ac:dyDescent="0.3">
      <c r="C7" t="s">
        <v>16</v>
      </c>
      <c r="D7" s="100">
        <v>3</v>
      </c>
      <c r="E7" s="9">
        <f>+E6*0.6</f>
        <v>3600</v>
      </c>
      <c r="F7" s="9">
        <f t="shared" ref="F7:F10" si="0">+E7*$F$5</f>
        <v>612</v>
      </c>
      <c r="G7" s="9">
        <v>13</v>
      </c>
      <c r="H7" s="9">
        <f t="shared" ref="H7:H10" si="1">+D7*(E7+F7)*G7</f>
        <v>164268</v>
      </c>
      <c r="K7" s="63" t="s">
        <v>156</v>
      </c>
      <c r="L7" s="106">
        <v>4</v>
      </c>
      <c r="P7" s="142">
        <v>4</v>
      </c>
    </row>
    <row r="8" spans="3:16" ht="19.5" thickBot="1" x14ac:dyDescent="0.3">
      <c r="C8" t="s">
        <v>17</v>
      </c>
      <c r="D8" s="100">
        <v>3</v>
      </c>
      <c r="E8" s="9">
        <f>+E7*0.8</f>
        <v>2880</v>
      </c>
      <c r="F8" s="9">
        <f t="shared" si="0"/>
        <v>489.6</v>
      </c>
      <c r="G8" s="9">
        <v>13</v>
      </c>
      <c r="H8" s="9">
        <f t="shared" si="1"/>
        <v>131414.39999999999</v>
      </c>
      <c r="P8" s="142">
        <v>3</v>
      </c>
    </row>
    <row r="9" spans="3:16" ht="19.5" thickBot="1" x14ac:dyDescent="0.3">
      <c r="C9" t="s">
        <v>18</v>
      </c>
      <c r="D9" s="100">
        <v>3</v>
      </c>
      <c r="E9" s="9">
        <f>+E8*0.8</f>
        <v>2304</v>
      </c>
      <c r="F9" s="9">
        <f t="shared" si="0"/>
        <v>391.68</v>
      </c>
      <c r="G9" s="9">
        <v>13</v>
      </c>
      <c r="H9" s="9">
        <f t="shared" si="1"/>
        <v>105131.51999999999</v>
      </c>
      <c r="K9" s="54" t="s">
        <v>152</v>
      </c>
      <c r="L9" s="108">
        <f>+INDICADORES!L6</f>
        <v>5432</v>
      </c>
      <c r="M9" t="s">
        <v>153</v>
      </c>
      <c r="P9" s="142">
        <v>3</v>
      </c>
    </row>
    <row r="10" spans="3:16" ht="19.5" thickBot="1" x14ac:dyDescent="0.3">
      <c r="C10" t="s">
        <v>194</v>
      </c>
      <c r="D10" s="101">
        <v>5</v>
      </c>
      <c r="E10" s="9">
        <f>+E9*0.7</f>
        <v>1612.8</v>
      </c>
      <c r="F10" s="9">
        <f t="shared" si="0"/>
        <v>274.17599999999999</v>
      </c>
      <c r="G10" s="9">
        <v>13</v>
      </c>
      <c r="H10" s="9">
        <f t="shared" si="1"/>
        <v>122653.43999999999</v>
      </c>
      <c r="K10" s="54" t="s">
        <v>152</v>
      </c>
      <c r="L10" s="108">
        <f>+L9/12</f>
        <v>452.66666666666669</v>
      </c>
      <c r="M10" t="s">
        <v>154</v>
      </c>
      <c r="P10" s="142">
        <v>5</v>
      </c>
    </row>
    <row r="11" spans="3:16" x14ac:dyDescent="0.2">
      <c r="F11" s="20"/>
      <c r="G11" s="21" t="s">
        <v>26</v>
      </c>
      <c r="H11" s="20">
        <f>+SUM(H6:H10)</f>
        <v>614727.36</v>
      </c>
      <c r="K11" s="161" t="s">
        <v>151</v>
      </c>
      <c r="L11" s="161"/>
      <c r="M11" s="40" t="s">
        <v>155</v>
      </c>
      <c r="P11" s="142"/>
    </row>
    <row r="12" spans="3:16" x14ac:dyDescent="0.2">
      <c r="C12" s="152" t="s">
        <v>193</v>
      </c>
      <c r="D12" s="152"/>
      <c r="E12" s="152"/>
      <c r="K12" s="63" t="s">
        <v>144</v>
      </c>
      <c r="L12" s="107">
        <v>0.3</v>
      </c>
      <c r="M12">
        <f>ROUNDUP($L$10/(L12*$L$5*$L$6*$L$7)/3,0)</f>
        <v>4</v>
      </c>
      <c r="P12" s="142">
        <v>4</v>
      </c>
    </row>
    <row r="13" spans="3:16" ht="19.5" thickBot="1" x14ac:dyDescent="0.3">
      <c r="C13" s="16" t="s">
        <v>144</v>
      </c>
      <c r="D13" s="102">
        <v>4</v>
      </c>
      <c r="E13" s="17">
        <f>+E10*0.8</f>
        <v>1290.24</v>
      </c>
      <c r="F13" s="17">
        <f>+E13*$F$5</f>
        <v>219.34080000000003</v>
      </c>
      <c r="G13" s="17">
        <v>13</v>
      </c>
      <c r="H13" s="17">
        <f>+D13*(E13+F13)*G13</f>
        <v>78498.2016</v>
      </c>
      <c r="K13" s="63" t="s">
        <v>145</v>
      </c>
      <c r="L13" s="107">
        <f>+L12/2</f>
        <v>0.15</v>
      </c>
      <c r="M13">
        <f>ROUNDUP($L$10/(L13*$L$5*$L$6*$L$7)/3,0)</f>
        <v>7</v>
      </c>
      <c r="P13" s="142">
        <v>8</v>
      </c>
    </row>
    <row r="14" spans="3:16" ht="19.5" thickBot="1" x14ac:dyDescent="0.3">
      <c r="C14" s="18" t="s">
        <v>145</v>
      </c>
      <c r="D14" s="100">
        <v>8</v>
      </c>
      <c r="E14" s="19">
        <f>+E13*0.8</f>
        <v>1032.192</v>
      </c>
      <c r="F14" s="19">
        <f>+E14*$F$5</f>
        <v>175.47264000000001</v>
      </c>
      <c r="G14" s="19">
        <v>13</v>
      </c>
      <c r="H14" s="19">
        <f>+D14*(E14+F14)*G14</f>
        <v>125597.12255999999</v>
      </c>
      <c r="J14" s="89"/>
      <c r="K14" s="63" t="s">
        <v>146</v>
      </c>
      <c r="L14" s="107">
        <f>+L13/2.5</f>
        <v>0.06</v>
      </c>
      <c r="M14">
        <f>ROUNDUP($L$10/(L14*$L$5*$L$6*$L$7)/3,0)</f>
        <v>16</v>
      </c>
      <c r="P14" s="142">
        <v>18</v>
      </c>
    </row>
    <row r="15" spans="3:16" ht="18.75" x14ac:dyDescent="0.25">
      <c r="C15" t="s">
        <v>146</v>
      </c>
      <c r="D15" s="101">
        <v>18</v>
      </c>
      <c r="E15" s="9">
        <f>+E14*0.8</f>
        <v>825.75360000000001</v>
      </c>
      <c r="F15" s="9">
        <f>+E15*$F$5</f>
        <v>140.37811200000002</v>
      </c>
      <c r="G15" s="9">
        <v>13</v>
      </c>
      <c r="H15" s="9">
        <f>+D15*(E15+F15)*G15</f>
        <v>226074.82060799998</v>
      </c>
      <c r="P15" s="143"/>
    </row>
    <row r="16" spans="3:16" x14ac:dyDescent="0.2">
      <c r="D16" s="6"/>
      <c r="E16" s="9"/>
      <c r="F16" s="22"/>
      <c r="G16" s="21" t="s">
        <v>27</v>
      </c>
      <c r="H16" s="20">
        <f>+SUM(H13:H15)</f>
        <v>430170.144768</v>
      </c>
    </row>
    <row r="17" spans="3:13" x14ac:dyDescent="0.2">
      <c r="E17" s="2"/>
      <c r="F17" s="2"/>
      <c r="G17" s="2"/>
      <c r="H17" s="2"/>
    </row>
    <row r="18" spans="3:13" x14ac:dyDescent="0.2">
      <c r="G18" s="10" t="s">
        <v>20</v>
      </c>
      <c r="H18" s="11">
        <f>+H11+H16</f>
        <v>1044897.504768</v>
      </c>
    </row>
    <row r="19" spans="3:13" x14ac:dyDescent="0.2">
      <c r="M19" s="41"/>
    </row>
    <row r="22" spans="3:13" outlineLevel="1" x14ac:dyDescent="0.2">
      <c r="D22" s="12" t="s">
        <v>0</v>
      </c>
      <c r="E22" s="12" t="s">
        <v>1</v>
      </c>
      <c r="F22" s="12" t="s">
        <v>2</v>
      </c>
      <c r="G22" s="12" t="s">
        <v>3</v>
      </c>
      <c r="H22" s="12" t="s">
        <v>4</v>
      </c>
    </row>
    <row r="23" spans="3:13" outlineLevel="1" x14ac:dyDescent="0.2">
      <c r="C23" s="15" t="s">
        <v>24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3:13" outlineLevel="1" x14ac:dyDescent="0.2">
      <c r="C24" s="4" t="s">
        <v>22</v>
      </c>
      <c r="D24" s="5">
        <f>+H11</f>
        <v>614727.36</v>
      </c>
      <c r="E24" s="5">
        <f>+D24*(1+E23)</f>
        <v>614727.36</v>
      </c>
      <c r="F24" s="5">
        <f t="shared" ref="F24:H24" si="2">+E24*(1+F23)</f>
        <v>614727.36</v>
      </c>
      <c r="G24" s="5">
        <f t="shared" si="2"/>
        <v>614727.36</v>
      </c>
      <c r="H24" s="5">
        <f t="shared" si="2"/>
        <v>614727.36</v>
      </c>
    </row>
    <row r="25" spans="3:13" outlineLevel="1" x14ac:dyDescent="0.2">
      <c r="C25" s="4"/>
      <c r="D25" s="5"/>
      <c r="E25" s="5"/>
      <c r="F25" s="5"/>
      <c r="G25" s="5"/>
      <c r="H25" s="5"/>
    </row>
    <row r="26" spans="3:13" outlineLevel="1" x14ac:dyDescent="0.2">
      <c r="C26" s="15" t="s">
        <v>25</v>
      </c>
      <c r="D26" s="23">
        <v>0</v>
      </c>
      <c r="E26" s="23">
        <f>+INDICADORES!$L$7</f>
        <v>0.19</v>
      </c>
      <c r="F26" s="23">
        <f>+E26</f>
        <v>0.19</v>
      </c>
      <c r="G26" s="23">
        <f>+F26</f>
        <v>0.19</v>
      </c>
      <c r="H26" s="23">
        <f>+G26</f>
        <v>0.19</v>
      </c>
    </row>
    <row r="27" spans="3:13" outlineLevel="1" x14ac:dyDescent="0.2">
      <c r="C27" s="4" t="s">
        <v>21</v>
      </c>
      <c r="D27" s="5">
        <f>+H16</f>
        <v>430170.144768</v>
      </c>
      <c r="E27" s="5">
        <f>+D27*(1+E26)</f>
        <v>511902.47227391996</v>
      </c>
      <c r="F27" s="5">
        <f t="shared" ref="F27:H27" si="3">+E27*(1+F26)</f>
        <v>609163.94200596469</v>
      </c>
      <c r="G27" s="5">
        <f t="shared" si="3"/>
        <v>724905.09098709794</v>
      </c>
      <c r="H27" s="5">
        <f t="shared" si="3"/>
        <v>862637.05827464652</v>
      </c>
    </row>
    <row r="28" spans="3:13" outlineLevel="1" x14ac:dyDescent="0.2">
      <c r="C28" s="13" t="s">
        <v>23</v>
      </c>
      <c r="D28" s="14">
        <f>+D27+D24</f>
        <v>1044897.504768</v>
      </c>
      <c r="E28" s="14">
        <f t="shared" ref="E28:H28" si="4">+E27+E24</f>
        <v>1126629.8322739201</v>
      </c>
      <c r="F28" s="14">
        <f t="shared" si="4"/>
        <v>1223891.3020059648</v>
      </c>
      <c r="G28" s="14">
        <f t="shared" si="4"/>
        <v>1339632.4509870978</v>
      </c>
      <c r="H28" s="14">
        <f t="shared" si="4"/>
        <v>1477364.4182746466</v>
      </c>
    </row>
  </sheetData>
  <mergeCells count="2">
    <mergeCell ref="C1:H1"/>
    <mergeCell ref="K11:L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21"/>
  <sheetViews>
    <sheetView showGridLines="0" workbookViewId="0">
      <selection activeCell="C5" sqref="C5"/>
    </sheetView>
  </sheetViews>
  <sheetFormatPr defaultColWidth="10.76171875" defaultRowHeight="15" x14ac:dyDescent="0.2"/>
  <cols>
    <col min="2" max="2" width="31.87890625" bestFit="1" customWidth="1"/>
    <col min="3" max="3" width="14.125" customWidth="1"/>
    <col min="4" max="4" width="14.52734375" customWidth="1"/>
    <col min="8" max="8" width="12.5078125" bestFit="1" customWidth="1"/>
  </cols>
  <sheetData>
    <row r="3" spans="2:8" ht="41.25" x14ac:dyDescent="0.2">
      <c r="B3" s="8" t="s">
        <v>28</v>
      </c>
      <c r="C3" s="8" t="s">
        <v>38</v>
      </c>
      <c r="D3" s="8" t="s">
        <v>37</v>
      </c>
      <c r="G3" s="158" t="s">
        <v>147</v>
      </c>
      <c r="H3" s="158" t="s">
        <v>148</v>
      </c>
    </row>
    <row r="5" spans="2:8" x14ac:dyDescent="0.2">
      <c r="B5" t="s">
        <v>29</v>
      </c>
      <c r="C5" s="3">
        <v>7000</v>
      </c>
      <c r="D5" s="3">
        <f>+C5*12</f>
        <v>84000</v>
      </c>
      <c r="G5" s="3">
        <f>+C5</f>
        <v>7000</v>
      </c>
      <c r="H5" s="3">
        <f>+G5*1450</f>
        <v>10150000</v>
      </c>
    </row>
    <row r="6" spans="2:8" x14ac:dyDescent="0.2">
      <c r="B6" t="s">
        <v>30</v>
      </c>
      <c r="C6" s="3">
        <v>1800</v>
      </c>
      <c r="D6" s="3">
        <f t="shared" ref="D6:D14" si="0">+C6*12</f>
        <v>21600</v>
      </c>
      <c r="G6" s="3">
        <f t="shared" ref="G6:G14" si="1">+C6</f>
        <v>1800</v>
      </c>
      <c r="H6" s="3">
        <f t="shared" ref="H6:H14" si="2">+G6*1450</f>
        <v>2610000</v>
      </c>
    </row>
    <row r="7" spans="2:8" x14ac:dyDescent="0.2">
      <c r="B7" t="s">
        <v>31</v>
      </c>
      <c r="C7" s="3">
        <v>800</v>
      </c>
      <c r="D7" s="3">
        <f t="shared" si="0"/>
        <v>9600</v>
      </c>
      <c r="G7" s="3">
        <f t="shared" si="1"/>
        <v>800</v>
      </c>
      <c r="H7" s="3">
        <f t="shared" si="2"/>
        <v>1160000</v>
      </c>
    </row>
    <row r="8" spans="2:8" x14ac:dyDescent="0.2">
      <c r="B8" t="s">
        <v>34</v>
      </c>
      <c r="C8" s="3">
        <v>550</v>
      </c>
      <c r="D8" s="3">
        <f t="shared" si="0"/>
        <v>6600</v>
      </c>
      <c r="G8" s="3">
        <f t="shared" si="1"/>
        <v>550</v>
      </c>
      <c r="H8" s="3">
        <f t="shared" si="2"/>
        <v>797500</v>
      </c>
    </row>
    <row r="9" spans="2:8" x14ac:dyDescent="0.2">
      <c r="B9" t="s">
        <v>32</v>
      </c>
      <c r="C9" s="3">
        <v>750</v>
      </c>
      <c r="D9" s="3">
        <f t="shared" si="0"/>
        <v>9000</v>
      </c>
      <c r="G9" s="3">
        <f t="shared" si="1"/>
        <v>750</v>
      </c>
      <c r="H9" s="3">
        <f t="shared" si="2"/>
        <v>1087500</v>
      </c>
    </row>
    <row r="10" spans="2:8" x14ac:dyDescent="0.2">
      <c r="B10" t="s">
        <v>35</v>
      </c>
      <c r="C10" s="3">
        <v>2300</v>
      </c>
      <c r="D10" s="3">
        <f t="shared" si="0"/>
        <v>27600</v>
      </c>
      <c r="G10" s="3">
        <f t="shared" si="1"/>
        <v>2300</v>
      </c>
      <c r="H10" s="3">
        <f t="shared" si="2"/>
        <v>3335000</v>
      </c>
    </row>
    <row r="11" spans="2:8" x14ac:dyDescent="0.2">
      <c r="B11" t="s">
        <v>33</v>
      </c>
      <c r="C11" s="3">
        <v>250</v>
      </c>
      <c r="D11" s="3">
        <f t="shared" si="0"/>
        <v>3000</v>
      </c>
      <c r="G11" s="3">
        <f t="shared" si="1"/>
        <v>250</v>
      </c>
      <c r="H11" s="3">
        <f t="shared" si="2"/>
        <v>362500</v>
      </c>
    </row>
    <row r="12" spans="2:8" x14ac:dyDescent="0.2">
      <c r="B12" t="s">
        <v>61</v>
      </c>
      <c r="C12" s="3">
        <v>900</v>
      </c>
      <c r="D12" s="3">
        <f t="shared" si="0"/>
        <v>10800</v>
      </c>
      <c r="G12" s="3">
        <f t="shared" si="1"/>
        <v>900</v>
      </c>
      <c r="H12" s="3">
        <f t="shared" si="2"/>
        <v>1305000</v>
      </c>
    </row>
    <row r="13" spans="2:8" x14ac:dyDescent="0.2">
      <c r="B13" t="s">
        <v>62</v>
      </c>
      <c r="C13" s="3">
        <v>1200</v>
      </c>
      <c r="D13" s="3">
        <f t="shared" si="0"/>
        <v>14400</v>
      </c>
      <c r="G13" s="3">
        <f t="shared" si="1"/>
        <v>1200</v>
      </c>
      <c r="H13" s="3">
        <f t="shared" si="2"/>
        <v>1740000</v>
      </c>
    </row>
    <row r="14" spans="2:8" x14ac:dyDescent="0.2">
      <c r="B14" t="s">
        <v>36</v>
      </c>
      <c r="C14" s="3">
        <f>+SUM(C5:C13)*4%</f>
        <v>622</v>
      </c>
      <c r="D14" s="3">
        <f t="shared" si="0"/>
        <v>7464</v>
      </c>
      <c r="G14" s="3">
        <f t="shared" si="1"/>
        <v>622</v>
      </c>
      <c r="H14" s="3">
        <f t="shared" si="2"/>
        <v>901900</v>
      </c>
    </row>
    <row r="15" spans="2:8" x14ac:dyDescent="0.2">
      <c r="B15" s="13" t="s">
        <v>39</v>
      </c>
      <c r="C15" s="14"/>
      <c r="D15" s="14">
        <f>+SUM(D5:D14)</f>
        <v>194064</v>
      </c>
    </row>
    <row r="18" spans="2:7" x14ac:dyDescent="0.2">
      <c r="C18" s="12" t="s">
        <v>0</v>
      </c>
      <c r="D18" s="12" t="s">
        <v>1</v>
      </c>
      <c r="E18" s="12" t="s">
        <v>2</v>
      </c>
      <c r="F18" s="12" t="s">
        <v>3</v>
      </c>
      <c r="G18" s="12" t="s">
        <v>4</v>
      </c>
    </row>
    <row r="19" spans="2:7" x14ac:dyDescent="0.2">
      <c r="B19" s="15" t="s">
        <v>40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2:7" x14ac:dyDescent="0.2">
      <c r="B20" s="4" t="s">
        <v>41</v>
      </c>
      <c r="C20" s="5">
        <f>+D15</f>
        <v>194064</v>
      </c>
      <c r="D20" s="5">
        <f>+C20*(1+D19)</f>
        <v>194064</v>
      </c>
      <c r="E20" s="5">
        <f t="shared" ref="E20:G20" si="3">+D20*(1+E19)</f>
        <v>194064</v>
      </c>
      <c r="F20" s="5">
        <f t="shared" si="3"/>
        <v>194064</v>
      </c>
      <c r="G20" s="5">
        <f t="shared" si="3"/>
        <v>194064</v>
      </c>
    </row>
    <row r="21" spans="2:7" x14ac:dyDescent="0.2">
      <c r="B21" s="4"/>
      <c r="C21" s="5"/>
      <c r="D21" s="5"/>
      <c r="E21" s="5"/>
      <c r="F21" s="5"/>
      <c r="G21" s="5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T39"/>
  <sheetViews>
    <sheetView showGridLines="0" topLeftCell="A19" workbookViewId="0">
      <selection activeCell="E31" sqref="E31"/>
    </sheetView>
  </sheetViews>
  <sheetFormatPr defaultColWidth="10.76171875" defaultRowHeight="15" x14ac:dyDescent="0.2"/>
  <cols>
    <col min="2" max="2" width="44.390625" bestFit="1" customWidth="1"/>
    <col min="3" max="3" width="14.66015625" style="5" bestFit="1" customWidth="1"/>
    <col min="4" max="4" width="4.4375" customWidth="1"/>
    <col min="5" max="8" width="17.75390625" customWidth="1"/>
    <col min="9" max="9" width="36.3203125" customWidth="1"/>
  </cols>
  <sheetData>
    <row r="3" spans="2:20" x14ac:dyDescent="0.2">
      <c r="B3" s="4" t="s">
        <v>42</v>
      </c>
      <c r="E3" s="4" t="s">
        <v>52</v>
      </c>
    </row>
    <row r="4" spans="2:20" x14ac:dyDescent="0.2">
      <c r="J4" s="162" t="s">
        <v>87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2:20" s="25" customFormat="1" ht="27.75" x14ac:dyDescent="0.2">
      <c r="B5" s="52" t="s">
        <v>74</v>
      </c>
      <c r="C5" s="26" t="s">
        <v>43</v>
      </c>
      <c r="E5" s="8" t="s">
        <v>53</v>
      </c>
      <c r="F5" s="8" t="s">
        <v>54</v>
      </c>
      <c r="G5" s="8" t="s">
        <v>55</v>
      </c>
      <c r="H5" s="8" t="s">
        <v>114</v>
      </c>
      <c r="J5" s="53">
        <v>0</v>
      </c>
      <c r="K5" s="53">
        <v>1</v>
      </c>
      <c r="L5" s="53">
        <v>2</v>
      </c>
      <c r="M5" s="53">
        <v>3</v>
      </c>
      <c r="N5" s="53">
        <v>4</v>
      </c>
      <c r="O5" s="53">
        <v>5</v>
      </c>
      <c r="P5" s="53">
        <v>6</v>
      </c>
      <c r="Q5" s="53">
        <v>7</v>
      </c>
      <c r="R5" s="53">
        <v>8</v>
      </c>
      <c r="S5" s="53">
        <v>9</v>
      </c>
      <c r="T5" s="53">
        <v>10</v>
      </c>
    </row>
    <row r="6" spans="2:20" x14ac:dyDescent="0.2">
      <c r="B6" s="27" t="s">
        <v>189</v>
      </c>
      <c r="C6" s="30">
        <v>950000</v>
      </c>
      <c r="E6" s="33">
        <v>5</v>
      </c>
      <c r="F6" s="35">
        <v>0.4</v>
      </c>
      <c r="G6" s="37">
        <f>+C6*(1-F6)/E6</f>
        <v>114000</v>
      </c>
      <c r="H6" s="37">
        <f>+C6*F6</f>
        <v>380000</v>
      </c>
      <c r="K6" s="2">
        <f>IF(K$5&lt;=$E6,$G6,0)</f>
        <v>114000</v>
      </c>
      <c r="L6" s="2">
        <f t="shared" ref="L6:T6" si="0">IF(L$5&lt;=$E6,$G6,0)</f>
        <v>114000</v>
      </c>
      <c r="M6" s="2">
        <f t="shared" si="0"/>
        <v>114000</v>
      </c>
      <c r="N6" s="2">
        <f t="shared" si="0"/>
        <v>114000</v>
      </c>
      <c r="O6" s="2">
        <f t="shared" si="0"/>
        <v>114000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</row>
    <row r="7" spans="2:20" x14ac:dyDescent="0.2">
      <c r="B7" s="28" t="s">
        <v>188</v>
      </c>
      <c r="C7" s="31">
        <v>570000</v>
      </c>
      <c r="E7" s="34">
        <v>5</v>
      </c>
      <c r="F7" s="36">
        <v>0.4</v>
      </c>
      <c r="G7" s="38">
        <f t="shared" ref="G7:G14" si="1">+C7*(1-F7)/E7</f>
        <v>68400</v>
      </c>
      <c r="H7" s="38">
        <f t="shared" ref="H7:H14" si="2">+C7*F7</f>
        <v>228000</v>
      </c>
      <c r="K7" s="2">
        <f t="shared" ref="K7:T25" si="3">IF(K$5&lt;=$E7,$G7,0)</f>
        <v>68400</v>
      </c>
      <c r="L7" s="2">
        <f t="shared" si="3"/>
        <v>68400</v>
      </c>
      <c r="M7" s="2">
        <f t="shared" si="3"/>
        <v>68400</v>
      </c>
      <c r="N7" s="2">
        <f t="shared" si="3"/>
        <v>68400</v>
      </c>
      <c r="O7" s="2">
        <f t="shared" si="3"/>
        <v>68400</v>
      </c>
      <c r="P7" s="2">
        <f t="shared" si="3"/>
        <v>0</v>
      </c>
      <c r="Q7" s="2">
        <f t="shared" si="3"/>
        <v>0</v>
      </c>
      <c r="R7" s="2">
        <f t="shared" si="3"/>
        <v>0</v>
      </c>
      <c r="S7" s="2">
        <f t="shared" si="3"/>
        <v>0</v>
      </c>
      <c r="T7" s="2">
        <f t="shared" si="3"/>
        <v>0</v>
      </c>
    </row>
    <row r="8" spans="2:20" x14ac:dyDescent="0.2">
      <c r="B8" s="28" t="s">
        <v>190</v>
      </c>
      <c r="C8" s="31">
        <v>430000</v>
      </c>
      <c r="E8" s="34">
        <v>5</v>
      </c>
      <c r="F8" s="36">
        <v>0.4</v>
      </c>
      <c r="G8" s="38">
        <f t="shared" si="1"/>
        <v>51600</v>
      </c>
      <c r="H8" s="38">
        <f t="shared" si="2"/>
        <v>172000</v>
      </c>
      <c r="K8" s="2">
        <f t="shared" si="3"/>
        <v>51600</v>
      </c>
      <c r="L8" s="2">
        <f t="shared" si="3"/>
        <v>51600</v>
      </c>
      <c r="M8" s="2">
        <f t="shared" si="3"/>
        <v>51600</v>
      </c>
      <c r="N8" s="2">
        <f t="shared" si="3"/>
        <v>51600</v>
      </c>
      <c r="O8" s="2">
        <f t="shared" si="3"/>
        <v>51600</v>
      </c>
      <c r="P8" s="2">
        <f t="shared" si="3"/>
        <v>0</v>
      </c>
      <c r="Q8" s="2">
        <f t="shared" si="3"/>
        <v>0</v>
      </c>
      <c r="R8" s="2">
        <f t="shared" si="3"/>
        <v>0</v>
      </c>
      <c r="S8" s="2">
        <f t="shared" si="3"/>
        <v>0</v>
      </c>
      <c r="T8" s="2">
        <f t="shared" si="3"/>
        <v>0</v>
      </c>
    </row>
    <row r="9" spans="2:20" x14ac:dyDescent="0.2">
      <c r="B9" s="28" t="s">
        <v>44</v>
      </c>
      <c r="C9" s="31">
        <v>400000</v>
      </c>
      <c r="E9" s="34">
        <v>5</v>
      </c>
      <c r="F9" s="36">
        <v>0.8</v>
      </c>
      <c r="G9" s="38">
        <f t="shared" si="1"/>
        <v>15999.999999999996</v>
      </c>
      <c r="H9" s="38">
        <f t="shared" si="2"/>
        <v>320000</v>
      </c>
      <c r="K9" s="2">
        <f t="shared" si="3"/>
        <v>15999.999999999996</v>
      </c>
      <c r="L9" s="2">
        <f t="shared" si="3"/>
        <v>15999.999999999996</v>
      </c>
      <c r="M9" s="2">
        <f t="shared" si="3"/>
        <v>15999.999999999996</v>
      </c>
      <c r="N9" s="2">
        <f t="shared" si="3"/>
        <v>15999.999999999996</v>
      </c>
      <c r="O9" s="2">
        <f t="shared" si="3"/>
        <v>15999.999999999996</v>
      </c>
      <c r="P9" s="2">
        <f t="shared" si="3"/>
        <v>0</v>
      </c>
      <c r="Q9" s="2">
        <f t="shared" si="3"/>
        <v>0</v>
      </c>
      <c r="R9" s="2">
        <f t="shared" si="3"/>
        <v>0</v>
      </c>
      <c r="S9" s="2">
        <f t="shared" si="3"/>
        <v>0</v>
      </c>
      <c r="T9" s="2">
        <f t="shared" si="3"/>
        <v>0</v>
      </c>
    </row>
    <row r="10" spans="2:20" x14ac:dyDescent="0.2">
      <c r="B10" s="28" t="s">
        <v>45</v>
      </c>
      <c r="C10" s="31">
        <v>150000</v>
      </c>
      <c r="E10" s="34">
        <v>5</v>
      </c>
      <c r="F10" s="36">
        <v>0.9</v>
      </c>
      <c r="G10" s="38">
        <f t="shared" si="1"/>
        <v>2999.9999999999991</v>
      </c>
      <c r="H10" s="38">
        <f t="shared" si="2"/>
        <v>135000</v>
      </c>
      <c r="K10" s="2">
        <f t="shared" si="3"/>
        <v>2999.9999999999991</v>
      </c>
      <c r="L10" s="2">
        <f t="shared" si="3"/>
        <v>2999.9999999999991</v>
      </c>
      <c r="M10" s="2">
        <f t="shared" si="3"/>
        <v>2999.9999999999991</v>
      </c>
      <c r="N10" s="2">
        <f t="shared" si="3"/>
        <v>2999.9999999999991</v>
      </c>
      <c r="O10" s="2">
        <f t="shared" si="3"/>
        <v>2999.9999999999991</v>
      </c>
      <c r="P10" s="2">
        <f t="shared" si="3"/>
        <v>0</v>
      </c>
      <c r="Q10" s="2">
        <f t="shared" si="3"/>
        <v>0</v>
      </c>
      <c r="R10" s="2">
        <f t="shared" si="3"/>
        <v>0</v>
      </c>
      <c r="S10" s="2">
        <f t="shared" si="3"/>
        <v>0</v>
      </c>
      <c r="T10" s="2">
        <f t="shared" si="3"/>
        <v>0</v>
      </c>
    </row>
    <row r="11" spans="2:20" x14ac:dyDescent="0.2">
      <c r="B11" s="28" t="s">
        <v>46</v>
      </c>
      <c r="C11" s="31">
        <v>480000</v>
      </c>
      <c r="E11" s="34">
        <v>5</v>
      </c>
      <c r="F11" s="36">
        <v>0.3</v>
      </c>
      <c r="G11" s="38">
        <f t="shared" si="1"/>
        <v>67200</v>
      </c>
      <c r="H11" s="38">
        <f t="shared" si="2"/>
        <v>144000</v>
      </c>
      <c r="K11" s="2">
        <f t="shared" si="3"/>
        <v>67200</v>
      </c>
      <c r="L11" s="2">
        <f t="shared" si="3"/>
        <v>67200</v>
      </c>
      <c r="M11" s="2">
        <f t="shared" si="3"/>
        <v>67200</v>
      </c>
      <c r="N11" s="2">
        <f t="shared" si="3"/>
        <v>67200</v>
      </c>
      <c r="O11" s="2">
        <f t="shared" si="3"/>
        <v>67200</v>
      </c>
      <c r="P11" s="2">
        <f t="shared" si="3"/>
        <v>0</v>
      </c>
      <c r="Q11" s="2">
        <f t="shared" si="3"/>
        <v>0</v>
      </c>
      <c r="R11" s="2">
        <f t="shared" si="3"/>
        <v>0</v>
      </c>
      <c r="S11" s="2">
        <f t="shared" si="3"/>
        <v>0</v>
      </c>
      <c r="T11" s="2">
        <f t="shared" si="3"/>
        <v>0</v>
      </c>
    </row>
    <row r="12" spans="2:20" x14ac:dyDescent="0.2">
      <c r="B12" s="28" t="s">
        <v>47</v>
      </c>
      <c r="C12" s="31">
        <v>25000</v>
      </c>
      <c r="E12" s="34">
        <v>5</v>
      </c>
      <c r="F12" s="36">
        <v>0.1</v>
      </c>
      <c r="G12" s="38">
        <f t="shared" si="1"/>
        <v>4500</v>
      </c>
      <c r="H12" s="38">
        <f t="shared" si="2"/>
        <v>2500</v>
      </c>
      <c r="K12" s="2">
        <f t="shared" si="3"/>
        <v>4500</v>
      </c>
      <c r="L12" s="2">
        <f t="shared" si="3"/>
        <v>4500</v>
      </c>
      <c r="M12" s="2">
        <f t="shared" si="3"/>
        <v>4500</v>
      </c>
      <c r="N12" s="2">
        <f t="shared" si="3"/>
        <v>4500</v>
      </c>
      <c r="O12" s="2">
        <f t="shared" si="3"/>
        <v>4500</v>
      </c>
      <c r="P12" s="2">
        <f t="shared" si="3"/>
        <v>0</v>
      </c>
      <c r="Q12" s="2">
        <f t="shared" si="3"/>
        <v>0</v>
      </c>
      <c r="R12" s="2">
        <f t="shared" si="3"/>
        <v>0</v>
      </c>
      <c r="S12" s="2">
        <f t="shared" si="3"/>
        <v>0</v>
      </c>
      <c r="T12" s="2">
        <f t="shared" si="3"/>
        <v>0</v>
      </c>
    </row>
    <row r="13" spans="2:20" x14ac:dyDescent="0.2">
      <c r="B13" s="28" t="s">
        <v>48</v>
      </c>
      <c r="C13" s="31">
        <v>200000</v>
      </c>
      <c r="E13" s="34">
        <v>5</v>
      </c>
      <c r="F13" s="36">
        <v>0.4</v>
      </c>
      <c r="G13" s="38">
        <f t="shared" si="1"/>
        <v>24000</v>
      </c>
      <c r="H13" s="38">
        <f t="shared" si="2"/>
        <v>80000</v>
      </c>
      <c r="K13" s="2">
        <f t="shared" si="3"/>
        <v>24000</v>
      </c>
      <c r="L13" s="2">
        <f t="shared" si="3"/>
        <v>24000</v>
      </c>
      <c r="M13" s="2">
        <f t="shared" si="3"/>
        <v>24000</v>
      </c>
      <c r="N13" s="2">
        <f t="shared" si="3"/>
        <v>24000</v>
      </c>
      <c r="O13" s="2">
        <f t="shared" si="3"/>
        <v>24000</v>
      </c>
      <c r="P13" s="2">
        <f t="shared" si="3"/>
        <v>0</v>
      </c>
      <c r="Q13" s="2">
        <f t="shared" si="3"/>
        <v>0</v>
      </c>
      <c r="R13" s="2">
        <f t="shared" si="3"/>
        <v>0</v>
      </c>
      <c r="S13" s="2">
        <f t="shared" si="3"/>
        <v>0</v>
      </c>
      <c r="T13" s="2">
        <f t="shared" si="3"/>
        <v>0</v>
      </c>
    </row>
    <row r="14" spans="2:20" x14ac:dyDescent="0.2">
      <c r="B14" s="28" t="s">
        <v>49</v>
      </c>
      <c r="C14" s="31">
        <v>250000</v>
      </c>
      <c r="E14" s="34">
        <v>5</v>
      </c>
      <c r="F14" s="36">
        <v>0.2</v>
      </c>
      <c r="G14" s="38">
        <f t="shared" si="1"/>
        <v>40000</v>
      </c>
      <c r="H14" s="38">
        <f t="shared" si="2"/>
        <v>50000</v>
      </c>
      <c r="K14" s="2">
        <f t="shared" si="3"/>
        <v>40000</v>
      </c>
      <c r="L14" s="2">
        <f t="shared" si="3"/>
        <v>40000</v>
      </c>
      <c r="M14" s="2">
        <f t="shared" si="3"/>
        <v>40000</v>
      </c>
      <c r="N14" s="2">
        <f t="shared" si="3"/>
        <v>40000</v>
      </c>
      <c r="O14" s="2">
        <f t="shared" si="3"/>
        <v>40000</v>
      </c>
      <c r="P14" s="2">
        <f t="shared" si="3"/>
        <v>0</v>
      </c>
      <c r="Q14" s="2">
        <f t="shared" si="3"/>
        <v>0</v>
      </c>
      <c r="R14" s="2">
        <f t="shared" si="3"/>
        <v>0</v>
      </c>
      <c r="S14" s="2">
        <f t="shared" si="3"/>
        <v>0</v>
      </c>
      <c r="T14" s="2">
        <f t="shared" si="3"/>
        <v>0</v>
      </c>
    </row>
    <row r="15" spans="2:20" ht="6" customHeight="1" x14ac:dyDescent="0.2">
      <c r="B15" s="29"/>
      <c r="C15" s="32"/>
      <c r="E15" s="29"/>
      <c r="F15" s="29"/>
      <c r="G15" s="29"/>
      <c r="H15" s="29"/>
      <c r="K15" s="2">
        <f t="shared" si="3"/>
        <v>0</v>
      </c>
    </row>
    <row r="16" spans="2:20" ht="6" customHeight="1" x14ac:dyDescent="0.2">
      <c r="B16" s="18"/>
      <c r="C16" s="56"/>
      <c r="E16" s="18"/>
      <c r="F16" s="18"/>
      <c r="G16" s="18"/>
      <c r="K16" s="2"/>
    </row>
    <row r="17" spans="2:20" x14ac:dyDescent="0.2">
      <c r="B17" s="73" t="s">
        <v>115</v>
      </c>
      <c r="C17" s="56">
        <f>+SUM(C6:C15)</f>
        <v>3455000</v>
      </c>
      <c r="E17" s="18"/>
      <c r="F17" s="18"/>
      <c r="G17" s="71" t="s">
        <v>195</v>
      </c>
      <c r="H17" s="72">
        <f>+SUM(H6:H15)*IF(INDICADORES!L26="SI",1,0)</f>
        <v>1511500</v>
      </c>
      <c r="K17" s="2"/>
    </row>
    <row r="18" spans="2:20" x14ac:dyDescent="0.2">
      <c r="J18" s="54" t="s">
        <v>88</v>
      </c>
      <c r="K18" s="2">
        <f>+SUM(K6:K16)</f>
        <v>388700</v>
      </c>
      <c r="L18" s="2">
        <f t="shared" ref="L18:T18" si="4">+SUM(L6:L16)</f>
        <v>388700</v>
      </c>
      <c r="M18" s="2">
        <f t="shared" si="4"/>
        <v>388700</v>
      </c>
      <c r="N18" s="2">
        <f t="shared" si="4"/>
        <v>388700</v>
      </c>
      <c r="O18" s="2">
        <f t="shared" si="4"/>
        <v>388700</v>
      </c>
      <c r="P18" s="2">
        <f t="shared" si="4"/>
        <v>0</v>
      </c>
      <c r="Q18" s="2">
        <f t="shared" si="4"/>
        <v>0</v>
      </c>
      <c r="R18" s="2">
        <f t="shared" si="4"/>
        <v>0</v>
      </c>
      <c r="S18" s="2">
        <f t="shared" si="4"/>
        <v>0</v>
      </c>
      <c r="T18" s="2">
        <f t="shared" si="4"/>
        <v>0</v>
      </c>
    </row>
    <row r="19" spans="2:20" x14ac:dyDescent="0.2">
      <c r="J19" s="54"/>
      <c r="K19" s="2"/>
    </row>
    <row r="20" spans="2:20" ht="27.75" x14ac:dyDescent="0.2">
      <c r="B20" s="52" t="s">
        <v>75</v>
      </c>
      <c r="C20" s="26" t="s">
        <v>43</v>
      </c>
      <c r="D20" s="25"/>
      <c r="E20" s="8" t="s">
        <v>53</v>
      </c>
      <c r="F20" s="8" t="s">
        <v>54</v>
      </c>
      <c r="G20" s="8" t="s">
        <v>55</v>
      </c>
      <c r="H20" s="8" t="s">
        <v>114</v>
      </c>
      <c r="K20" s="2"/>
    </row>
    <row r="21" spans="2:20" x14ac:dyDescent="0.2">
      <c r="B21" s="27" t="s">
        <v>78</v>
      </c>
      <c r="C21" s="30">
        <v>150000</v>
      </c>
      <c r="E21" s="33">
        <v>5</v>
      </c>
      <c r="F21" s="35">
        <v>0</v>
      </c>
      <c r="G21" s="37">
        <f>+C21*(1-F21)/E21</f>
        <v>30000</v>
      </c>
      <c r="H21" s="37">
        <f>+C21*F21</f>
        <v>0</v>
      </c>
      <c r="K21" s="2">
        <f t="shared" si="3"/>
        <v>30000</v>
      </c>
      <c r="L21" s="2">
        <f t="shared" si="3"/>
        <v>30000</v>
      </c>
      <c r="M21" s="2">
        <f t="shared" si="3"/>
        <v>30000</v>
      </c>
      <c r="N21" s="2">
        <f t="shared" si="3"/>
        <v>30000</v>
      </c>
      <c r="O21" s="2">
        <f t="shared" si="3"/>
        <v>30000</v>
      </c>
      <c r="P21" s="2">
        <f t="shared" si="3"/>
        <v>0</v>
      </c>
      <c r="Q21" s="2">
        <f t="shared" si="3"/>
        <v>0</v>
      </c>
      <c r="R21" s="2">
        <f t="shared" si="3"/>
        <v>0</v>
      </c>
      <c r="S21" s="2">
        <f t="shared" si="3"/>
        <v>0</v>
      </c>
      <c r="T21" s="2">
        <f t="shared" si="3"/>
        <v>0</v>
      </c>
    </row>
    <row r="22" spans="2:20" x14ac:dyDescent="0.2">
      <c r="B22" s="28" t="s">
        <v>79</v>
      </c>
      <c r="C22" s="31">
        <v>50000</v>
      </c>
      <c r="E22" s="34">
        <v>5</v>
      </c>
      <c r="F22" s="36">
        <v>0</v>
      </c>
      <c r="G22" s="38">
        <f t="shared" ref="G22:G24" si="5">+C22*(1-F22)/E22</f>
        <v>10000</v>
      </c>
      <c r="H22" s="38">
        <f t="shared" ref="H22:H26" si="6">+C22*F22</f>
        <v>0</v>
      </c>
      <c r="K22" s="2">
        <f t="shared" si="3"/>
        <v>10000</v>
      </c>
      <c r="L22" s="2">
        <f t="shared" si="3"/>
        <v>10000</v>
      </c>
      <c r="M22" s="2">
        <f t="shared" si="3"/>
        <v>10000</v>
      </c>
      <c r="N22" s="2">
        <f t="shared" si="3"/>
        <v>10000</v>
      </c>
      <c r="O22" s="2">
        <f t="shared" si="3"/>
        <v>10000</v>
      </c>
      <c r="P22" s="2">
        <f t="shared" si="3"/>
        <v>0</v>
      </c>
      <c r="Q22" s="2">
        <f t="shared" si="3"/>
        <v>0</v>
      </c>
      <c r="R22" s="2">
        <f t="shared" si="3"/>
        <v>0</v>
      </c>
      <c r="S22" s="2">
        <f t="shared" si="3"/>
        <v>0</v>
      </c>
      <c r="T22" s="2">
        <f t="shared" si="3"/>
        <v>0</v>
      </c>
    </row>
    <row r="23" spans="2:20" x14ac:dyDescent="0.2">
      <c r="B23" s="28" t="s">
        <v>50</v>
      </c>
      <c r="C23" s="31">
        <v>5000</v>
      </c>
      <c r="E23" s="34">
        <v>5</v>
      </c>
      <c r="F23" s="36">
        <v>0</v>
      </c>
      <c r="G23" s="38">
        <f t="shared" si="5"/>
        <v>1000</v>
      </c>
      <c r="H23" s="38">
        <f t="shared" si="6"/>
        <v>0</v>
      </c>
      <c r="K23" s="2">
        <f t="shared" si="3"/>
        <v>1000</v>
      </c>
      <c r="L23" s="2">
        <f t="shared" si="3"/>
        <v>1000</v>
      </c>
      <c r="M23" s="2">
        <f t="shared" si="3"/>
        <v>1000</v>
      </c>
      <c r="N23" s="2">
        <f t="shared" si="3"/>
        <v>1000</v>
      </c>
      <c r="O23" s="2">
        <f t="shared" si="3"/>
        <v>1000</v>
      </c>
      <c r="P23" s="2">
        <f t="shared" si="3"/>
        <v>0</v>
      </c>
      <c r="Q23" s="2">
        <f t="shared" si="3"/>
        <v>0</v>
      </c>
      <c r="R23" s="2">
        <f t="shared" si="3"/>
        <v>0</v>
      </c>
      <c r="S23" s="2">
        <f t="shared" si="3"/>
        <v>0</v>
      </c>
      <c r="T23" s="2">
        <f t="shared" si="3"/>
        <v>0</v>
      </c>
    </row>
    <row r="24" spans="2:20" x14ac:dyDescent="0.2">
      <c r="B24" s="28" t="s">
        <v>51</v>
      </c>
      <c r="C24" s="31">
        <v>25000</v>
      </c>
      <c r="E24" s="34">
        <v>5</v>
      </c>
      <c r="F24" s="36">
        <v>0</v>
      </c>
      <c r="G24" s="38">
        <f t="shared" si="5"/>
        <v>5000</v>
      </c>
      <c r="H24" s="38">
        <f t="shared" si="6"/>
        <v>0</v>
      </c>
      <c r="K24" s="2">
        <f t="shared" si="3"/>
        <v>5000</v>
      </c>
      <c r="L24" s="2">
        <f t="shared" si="3"/>
        <v>5000</v>
      </c>
      <c r="M24" s="2">
        <f t="shared" si="3"/>
        <v>5000</v>
      </c>
      <c r="N24" s="2">
        <f t="shared" si="3"/>
        <v>5000</v>
      </c>
      <c r="O24" s="2">
        <f t="shared" si="3"/>
        <v>5000</v>
      </c>
      <c r="P24" s="2">
        <f t="shared" si="3"/>
        <v>0</v>
      </c>
      <c r="Q24" s="2">
        <f t="shared" si="3"/>
        <v>0</v>
      </c>
      <c r="R24" s="2">
        <f t="shared" si="3"/>
        <v>0</v>
      </c>
      <c r="S24" s="2">
        <f t="shared" si="3"/>
        <v>0</v>
      </c>
      <c r="T24" s="2">
        <f t="shared" si="3"/>
        <v>0</v>
      </c>
    </row>
    <row r="25" spans="2:20" x14ac:dyDescent="0.2">
      <c r="B25" s="28" t="s">
        <v>77</v>
      </c>
      <c r="C25" s="31">
        <v>21000</v>
      </c>
      <c r="E25" s="34">
        <v>5</v>
      </c>
      <c r="F25" s="36">
        <v>0</v>
      </c>
      <c r="G25" s="38">
        <f t="shared" ref="G25" si="7">+C25*(1-F25)/E25</f>
        <v>4200</v>
      </c>
      <c r="H25" s="38">
        <f t="shared" si="6"/>
        <v>0</v>
      </c>
      <c r="K25" s="2">
        <f t="shared" si="3"/>
        <v>4200</v>
      </c>
      <c r="L25" s="2">
        <f t="shared" si="3"/>
        <v>4200</v>
      </c>
      <c r="M25" s="2">
        <f t="shared" si="3"/>
        <v>4200</v>
      </c>
      <c r="N25" s="2">
        <f t="shared" si="3"/>
        <v>4200</v>
      </c>
      <c r="O25" s="2">
        <f t="shared" si="3"/>
        <v>4200</v>
      </c>
      <c r="P25" s="2">
        <f t="shared" si="3"/>
        <v>0</v>
      </c>
      <c r="Q25" s="2">
        <f t="shared" si="3"/>
        <v>0</v>
      </c>
      <c r="R25" s="2">
        <f t="shared" si="3"/>
        <v>0</v>
      </c>
      <c r="S25" s="2">
        <f t="shared" si="3"/>
        <v>0</v>
      </c>
      <c r="T25" s="2">
        <f t="shared" si="3"/>
        <v>0</v>
      </c>
    </row>
    <row r="26" spans="2:20" ht="6" customHeight="1" x14ac:dyDescent="0.2">
      <c r="B26" s="29"/>
      <c r="C26" s="32"/>
      <c r="E26" s="29"/>
      <c r="F26" s="32"/>
      <c r="G26" s="32"/>
      <c r="H26" s="32">
        <f t="shared" si="6"/>
        <v>0</v>
      </c>
    </row>
    <row r="27" spans="2:20" ht="6" customHeight="1" x14ac:dyDescent="0.2">
      <c r="B27" s="18"/>
      <c r="C27" s="56"/>
      <c r="E27" s="18"/>
      <c r="F27" s="56"/>
      <c r="G27" s="56"/>
    </row>
    <row r="28" spans="2:20" x14ac:dyDescent="0.2">
      <c r="B28" s="73" t="s">
        <v>117</v>
      </c>
      <c r="C28" s="56">
        <f>+SUM(C21:C26)</f>
        <v>251000</v>
      </c>
      <c r="G28" s="71" t="s">
        <v>120</v>
      </c>
      <c r="H28" s="72">
        <f>+SUM(H21:H26)</f>
        <v>0</v>
      </c>
      <c r="J28" s="54" t="s">
        <v>89</v>
      </c>
      <c r="K28" s="55">
        <f>+SUM(K21:K26)</f>
        <v>50200</v>
      </c>
      <c r="L28" s="55">
        <f t="shared" ref="L28:T28" si="8">+SUM(L21:L26)</f>
        <v>50200</v>
      </c>
      <c r="M28" s="55">
        <f t="shared" si="8"/>
        <v>50200</v>
      </c>
      <c r="N28" s="55">
        <f t="shared" si="8"/>
        <v>50200</v>
      </c>
      <c r="O28" s="55">
        <f t="shared" si="8"/>
        <v>50200</v>
      </c>
      <c r="P28" s="55">
        <f t="shared" si="8"/>
        <v>0</v>
      </c>
      <c r="Q28" s="55">
        <f t="shared" si="8"/>
        <v>0</v>
      </c>
      <c r="R28" s="55">
        <f t="shared" si="8"/>
        <v>0</v>
      </c>
      <c r="S28" s="55">
        <f t="shared" si="8"/>
        <v>0</v>
      </c>
      <c r="T28" s="55">
        <f t="shared" si="8"/>
        <v>0</v>
      </c>
    </row>
    <row r="29" spans="2:20" x14ac:dyDescent="0.2">
      <c r="B29" s="73"/>
      <c r="C29" s="56"/>
      <c r="J29" s="54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spans="2:20" x14ac:dyDescent="0.2">
      <c r="B30" s="52" t="s">
        <v>76</v>
      </c>
      <c r="C30" s="39" t="s">
        <v>43</v>
      </c>
    </row>
    <row r="31" spans="2:20" x14ac:dyDescent="0.2">
      <c r="B31" s="27" t="s">
        <v>80</v>
      </c>
      <c r="C31" s="30">
        <v>150000</v>
      </c>
    </row>
    <row r="32" spans="2:20" x14ac:dyDescent="0.2">
      <c r="B32" s="28" t="s">
        <v>81</v>
      </c>
      <c r="C32" s="31">
        <v>50000</v>
      </c>
    </row>
    <row r="33" spans="2:3" x14ac:dyDescent="0.2">
      <c r="B33" s="28" t="s">
        <v>82</v>
      </c>
      <c r="C33" s="31">
        <v>100000</v>
      </c>
    </row>
    <row r="34" spans="2:3" x14ac:dyDescent="0.2">
      <c r="B34" s="28" t="s">
        <v>83</v>
      </c>
      <c r="C34" s="31">
        <v>150000</v>
      </c>
    </row>
    <row r="35" spans="2:3" x14ac:dyDescent="0.2">
      <c r="B35" s="28" t="s">
        <v>84</v>
      </c>
      <c r="C35" s="31">
        <v>300000</v>
      </c>
    </row>
    <row r="36" spans="2:3" x14ac:dyDescent="0.2">
      <c r="B36" s="29" t="s">
        <v>85</v>
      </c>
      <c r="C36" s="32">
        <v>100000</v>
      </c>
    </row>
    <row r="37" spans="2:3" ht="6" customHeight="1" x14ac:dyDescent="0.2"/>
    <row r="38" spans="2:3" x14ac:dyDescent="0.2">
      <c r="B38" s="73" t="s">
        <v>116</v>
      </c>
      <c r="C38" s="56">
        <f>+SUM(C31:C36)</f>
        <v>850000</v>
      </c>
    </row>
    <row r="39" spans="2:3" x14ac:dyDescent="0.2">
      <c r="C39"/>
    </row>
  </sheetData>
  <mergeCells count="1">
    <mergeCell ref="J4:T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70"/>
  <sheetViews>
    <sheetView showGridLines="0" workbookViewId="0">
      <selection activeCell="K4" sqref="K4"/>
    </sheetView>
  </sheetViews>
  <sheetFormatPr defaultColWidth="10.76171875" defaultRowHeight="15" x14ac:dyDescent="0.2"/>
  <cols>
    <col min="2" max="2" width="28.78515625" bestFit="1" customWidth="1"/>
    <col min="3" max="3" width="12.5078125" bestFit="1" customWidth="1"/>
    <col min="5" max="9" width="14.125" customWidth="1"/>
    <col min="10" max="11" width="13.44921875" customWidth="1"/>
  </cols>
  <sheetData>
    <row r="2" spans="2:15" x14ac:dyDescent="0.2">
      <c r="K2" s="6">
        <v>12</v>
      </c>
      <c r="L2" s="6">
        <f>+K2+12</f>
        <v>24</v>
      </c>
      <c r="M2" s="6">
        <f t="shared" ref="M2:O2" si="0">+L2+12</f>
        <v>36</v>
      </c>
      <c r="N2" s="6">
        <f t="shared" si="0"/>
        <v>48</v>
      </c>
      <c r="O2" s="6">
        <f t="shared" si="0"/>
        <v>60</v>
      </c>
    </row>
    <row r="3" spans="2:15" x14ac:dyDescent="0.2">
      <c r="B3" s="163" t="s">
        <v>99</v>
      </c>
      <c r="C3" s="163"/>
      <c r="K3" s="67" t="s">
        <v>105</v>
      </c>
      <c r="L3" s="67" t="s">
        <v>106</v>
      </c>
      <c r="M3" s="67" t="s">
        <v>107</v>
      </c>
      <c r="N3" s="67" t="s">
        <v>108</v>
      </c>
      <c r="O3" s="67" t="s">
        <v>109</v>
      </c>
    </row>
    <row r="4" spans="2:15" x14ac:dyDescent="0.2">
      <c r="B4" t="s">
        <v>95</v>
      </c>
      <c r="C4" s="90">
        <f>INDICADORES!L11</f>
        <v>4556000</v>
      </c>
      <c r="J4" s="63" t="s">
        <v>110</v>
      </c>
      <c r="K4" s="3">
        <f>+VLOOKUP(K$2,$E$10:$K$70,6,0)</f>
        <v>691941.97535307682</v>
      </c>
      <c r="L4" s="3">
        <f t="shared" ref="L4:O4" si="1">+VLOOKUP(L$2,$E$10:$K$70,6,0)</f>
        <v>787452.44334387092</v>
      </c>
      <c r="M4" s="3">
        <f t="shared" si="1"/>
        <v>896146.45825153729</v>
      </c>
      <c r="N4" s="3">
        <f t="shared" si="1"/>
        <v>1019843.7777734847</v>
      </c>
      <c r="O4" s="3">
        <f t="shared" si="1"/>
        <v>1160615.3452780314</v>
      </c>
    </row>
    <row r="5" spans="2:15" x14ac:dyDescent="0.2">
      <c r="B5" t="s">
        <v>96</v>
      </c>
      <c r="C5" s="91">
        <f>INDICADORES!L12</f>
        <v>0.13</v>
      </c>
      <c r="J5" s="63" t="s">
        <v>111</v>
      </c>
      <c r="K5" s="3">
        <f>+VLOOKUP(K$2,$E$10:$K$70,7,0)</f>
        <v>552014.03412073886</v>
      </c>
      <c r="L5" s="3">
        <f t="shared" ref="L5:O5" si="2">+VLOOKUP(L$2,$E$10:$K$70,7,0)</f>
        <v>456503.56612994475</v>
      </c>
      <c r="M5" s="3">
        <f t="shared" si="2"/>
        <v>347809.5512222785</v>
      </c>
      <c r="N5" s="3">
        <f t="shared" si="2"/>
        <v>224112.23170033109</v>
      </c>
      <c r="O5" s="3">
        <f t="shared" si="2"/>
        <v>83340.66419578444</v>
      </c>
    </row>
    <row r="6" spans="2:15" x14ac:dyDescent="0.2">
      <c r="B6" t="s">
        <v>97</v>
      </c>
      <c r="C6" s="92">
        <f>+C5/12</f>
        <v>1.0833333333333334E-2</v>
      </c>
    </row>
    <row r="7" spans="2:15" x14ac:dyDescent="0.2">
      <c r="B7" t="s">
        <v>98</v>
      </c>
      <c r="C7" s="90">
        <f>INDICADORES!L13</f>
        <v>60</v>
      </c>
    </row>
    <row r="10" spans="2:15" ht="41.25" x14ac:dyDescent="0.2">
      <c r="E10" s="68" t="s">
        <v>104</v>
      </c>
      <c r="F10" s="68" t="s">
        <v>100</v>
      </c>
      <c r="G10" s="68" t="s">
        <v>101</v>
      </c>
      <c r="H10" s="68" t="s">
        <v>102</v>
      </c>
      <c r="I10" s="68" t="s">
        <v>103</v>
      </c>
      <c r="J10" s="68" t="s">
        <v>112</v>
      </c>
      <c r="K10" s="68" t="s">
        <v>113</v>
      </c>
    </row>
    <row r="11" spans="2:15" x14ac:dyDescent="0.2">
      <c r="E11">
        <v>1</v>
      </c>
      <c r="F11" s="3">
        <f>+H11-G11</f>
        <v>54306.334122817978</v>
      </c>
      <c r="G11" s="3">
        <f>+C4*$C$6</f>
        <v>49356.666666666672</v>
      </c>
      <c r="H11" s="3">
        <f>IF(E11&gt;$C$7,0,PMT($C$6,$C$7,$C$4)*-1)</f>
        <v>103663.00078948465</v>
      </c>
      <c r="I11" s="3">
        <f>+C4-F11</f>
        <v>4501693.665877182</v>
      </c>
    </row>
    <row r="12" spans="2:15" x14ac:dyDescent="0.2">
      <c r="E12">
        <f>+E11+1</f>
        <v>2</v>
      </c>
      <c r="F12" s="3">
        <f>+H12-G12</f>
        <v>54894.652742481841</v>
      </c>
      <c r="G12" s="3">
        <f>+I11*$C$6</f>
        <v>48768.348047002808</v>
      </c>
      <c r="H12" s="3">
        <f t="shared" ref="H12:H70" si="3">IF(E12&gt;$C$7,0,PMT($C$6,$C$7,$C$4)*-1)</f>
        <v>103663.00078948465</v>
      </c>
      <c r="I12" s="3">
        <f>+I11-F12</f>
        <v>4446799.0131347002</v>
      </c>
    </row>
    <row r="13" spans="2:15" x14ac:dyDescent="0.2">
      <c r="E13">
        <f t="shared" ref="E13:E70" si="4">+E12+1</f>
        <v>3</v>
      </c>
      <c r="F13" s="3">
        <f t="shared" ref="F13:F70" si="5">+H13-G13</f>
        <v>55489.344813858726</v>
      </c>
      <c r="G13" s="3">
        <f t="shared" ref="G13:G70" si="6">+I12*$C$6</f>
        <v>48173.655975625923</v>
      </c>
      <c r="H13" s="3">
        <f t="shared" si="3"/>
        <v>103663.00078948465</v>
      </c>
      <c r="I13" s="3">
        <f t="shared" ref="I13:I70" si="7">+I12-F13</f>
        <v>4391309.6683208412</v>
      </c>
    </row>
    <row r="14" spans="2:15" x14ac:dyDescent="0.2">
      <c r="E14">
        <f t="shared" si="4"/>
        <v>4</v>
      </c>
      <c r="F14" s="3">
        <f t="shared" si="5"/>
        <v>56090.479382675534</v>
      </c>
      <c r="G14" s="3">
        <f t="shared" si="6"/>
        <v>47572.521406809115</v>
      </c>
      <c r="H14" s="3">
        <f t="shared" si="3"/>
        <v>103663.00078948465</v>
      </c>
      <c r="I14" s="3">
        <f t="shared" si="7"/>
        <v>4335219.188938166</v>
      </c>
    </row>
    <row r="15" spans="2:15" x14ac:dyDescent="0.2">
      <c r="E15">
        <f t="shared" si="4"/>
        <v>5</v>
      </c>
      <c r="F15" s="3">
        <f t="shared" si="5"/>
        <v>56698.126242654514</v>
      </c>
      <c r="G15" s="3">
        <f t="shared" si="6"/>
        <v>46964.874546830135</v>
      </c>
      <c r="H15" s="3">
        <f t="shared" si="3"/>
        <v>103663.00078948465</v>
      </c>
      <c r="I15" s="3">
        <f t="shared" si="7"/>
        <v>4278521.0626955116</v>
      </c>
    </row>
    <row r="16" spans="2:15" x14ac:dyDescent="0.2">
      <c r="E16">
        <f t="shared" si="4"/>
        <v>6</v>
      </c>
      <c r="F16" s="3">
        <f t="shared" si="5"/>
        <v>57312.355943616603</v>
      </c>
      <c r="G16" s="3">
        <f t="shared" si="6"/>
        <v>46350.644845868046</v>
      </c>
      <c r="H16" s="3">
        <f t="shared" si="3"/>
        <v>103663.00078948465</v>
      </c>
      <c r="I16" s="3">
        <f t="shared" si="7"/>
        <v>4221208.7067518951</v>
      </c>
    </row>
    <row r="17" spans="5:11" x14ac:dyDescent="0.2">
      <c r="E17">
        <f t="shared" si="4"/>
        <v>7</v>
      </c>
      <c r="F17" s="3">
        <f t="shared" si="5"/>
        <v>57933.239799672454</v>
      </c>
      <c r="G17" s="3">
        <f t="shared" si="6"/>
        <v>45729.760989812195</v>
      </c>
      <c r="H17" s="3">
        <f t="shared" si="3"/>
        <v>103663.00078948465</v>
      </c>
      <c r="I17" s="3">
        <f t="shared" si="7"/>
        <v>4163275.4669522229</v>
      </c>
    </row>
    <row r="18" spans="5:11" x14ac:dyDescent="0.2">
      <c r="E18">
        <f t="shared" si="4"/>
        <v>8</v>
      </c>
      <c r="F18" s="3">
        <f t="shared" si="5"/>
        <v>58560.84989750223</v>
      </c>
      <c r="G18" s="3">
        <f t="shared" si="6"/>
        <v>45102.150891982419</v>
      </c>
      <c r="H18" s="3">
        <f t="shared" si="3"/>
        <v>103663.00078948465</v>
      </c>
      <c r="I18" s="3">
        <f t="shared" si="7"/>
        <v>4104714.6170547204</v>
      </c>
    </row>
    <row r="19" spans="5:11" x14ac:dyDescent="0.2">
      <c r="E19">
        <f t="shared" si="4"/>
        <v>9</v>
      </c>
      <c r="F19" s="3">
        <f t="shared" si="5"/>
        <v>59195.259104725177</v>
      </c>
      <c r="G19" s="3">
        <f t="shared" si="6"/>
        <v>44467.741684759472</v>
      </c>
      <c r="H19" s="3">
        <f t="shared" si="3"/>
        <v>103663.00078948465</v>
      </c>
      <c r="I19" s="3">
        <f t="shared" si="7"/>
        <v>4045519.3579499954</v>
      </c>
    </row>
    <row r="20" spans="5:11" x14ac:dyDescent="0.2">
      <c r="E20">
        <f t="shared" si="4"/>
        <v>10</v>
      </c>
      <c r="F20" s="3">
        <f t="shared" si="5"/>
        <v>59836.541078359696</v>
      </c>
      <c r="G20" s="3">
        <f t="shared" si="6"/>
        <v>43826.459711124953</v>
      </c>
      <c r="H20" s="3">
        <f t="shared" si="3"/>
        <v>103663.00078948465</v>
      </c>
      <c r="I20" s="3">
        <f t="shared" si="7"/>
        <v>3985682.8168716356</v>
      </c>
    </row>
    <row r="21" spans="5:11" x14ac:dyDescent="0.2">
      <c r="E21">
        <f t="shared" si="4"/>
        <v>11</v>
      </c>
      <c r="F21" s="3">
        <f t="shared" si="5"/>
        <v>60484.770273375259</v>
      </c>
      <c r="G21" s="3">
        <f t="shared" si="6"/>
        <v>43178.23051610939</v>
      </c>
      <c r="H21" s="3">
        <f t="shared" si="3"/>
        <v>103663.00078948465</v>
      </c>
      <c r="I21" s="3">
        <f t="shared" si="7"/>
        <v>3925198.0465982603</v>
      </c>
    </row>
    <row r="22" spans="5:11" x14ac:dyDescent="0.2">
      <c r="E22" s="64">
        <f t="shared" si="4"/>
        <v>12</v>
      </c>
      <c r="F22" s="65">
        <f t="shared" si="5"/>
        <v>61140.021951336828</v>
      </c>
      <c r="G22" s="65">
        <f t="shared" si="6"/>
        <v>42522.978838147821</v>
      </c>
      <c r="H22" s="65">
        <f t="shared" si="3"/>
        <v>103663.00078948465</v>
      </c>
      <c r="I22" s="65">
        <f t="shared" si="7"/>
        <v>3864058.0246469234</v>
      </c>
      <c r="J22" s="66">
        <f>+SUM(F11:F22)</f>
        <v>691941.97535307682</v>
      </c>
      <c r="K22" s="66">
        <f>+SUM(G11:G22)</f>
        <v>552014.03412073886</v>
      </c>
    </row>
    <row r="23" spans="5:11" x14ac:dyDescent="0.2">
      <c r="E23">
        <f t="shared" si="4"/>
        <v>13</v>
      </c>
      <c r="F23" s="3">
        <f t="shared" si="5"/>
        <v>61802.372189142974</v>
      </c>
      <c r="G23" s="3">
        <f t="shared" si="6"/>
        <v>41860.628600341675</v>
      </c>
      <c r="H23" s="3">
        <f t="shared" si="3"/>
        <v>103663.00078948465</v>
      </c>
      <c r="I23" s="3">
        <f t="shared" si="7"/>
        <v>3802255.6524577802</v>
      </c>
    </row>
    <row r="24" spans="5:11" x14ac:dyDescent="0.2">
      <c r="E24">
        <f t="shared" si="4"/>
        <v>14</v>
      </c>
      <c r="F24" s="3">
        <f t="shared" si="5"/>
        <v>62471.897887858693</v>
      </c>
      <c r="G24" s="3">
        <f t="shared" si="6"/>
        <v>41191.102901625956</v>
      </c>
      <c r="H24" s="3">
        <f t="shared" si="3"/>
        <v>103663.00078948465</v>
      </c>
      <c r="I24" s="3">
        <f t="shared" si="7"/>
        <v>3739783.7545699216</v>
      </c>
    </row>
    <row r="25" spans="5:11" x14ac:dyDescent="0.2">
      <c r="E25">
        <f t="shared" si="4"/>
        <v>15</v>
      </c>
      <c r="F25" s="3">
        <f t="shared" si="5"/>
        <v>63148.67678164383</v>
      </c>
      <c r="G25" s="3">
        <f t="shared" si="6"/>
        <v>40514.32400784082</v>
      </c>
      <c r="H25" s="3">
        <f t="shared" si="3"/>
        <v>103663.00078948465</v>
      </c>
      <c r="I25" s="3">
        <f t="shared" si="7"/>
        <v>3676635.077788278</v>
      </c>
    </row>
    <row r="26" spans="5:11" x14ac:dyDescent="0.2">
      <c r="E26">
        <f t="shared" si="4"/>
        <v>16</v>
      </c>
      <c r="F26" s="3">
        <f t="shared" si="5"/>
        <v>63832.787446778304</v>
      </c>
      <c r="G26" s="3">
        <f t="shared" si="6"/>
        <v>39830.213342706345</v>
      </c>
      <c r="H26" s="3">
        <f t="shared" si="3"/>
        <v>103663.00078948465</v>
      </c>
      <c r="I26" s="3">
        <f t="shared" si="7"/>
        <v>3612802.2903414997</v>
      </c>
    </row>
    <row r="27" spans="5:11" x14ac:dyDescent="0.2">
      <c r="E27">
        <f t="shared" si="4"/>
        <v>17</v>
      </c>
      <c r="F27" s="3">
        <f t="shared" si="5"/>
        <v>64524.309310785065</v>
      </c>
      <c r="G27" s="3">
        <f t="shared" si="6"/>
        <v>39138.691478699584</v>
      </c>
      <c r="H27" s="3">
        <f t="shared" si="3"/>
        <v>103663.00078948465</v>
      </c>
      <c r="I27" s="3">
        <f t="shared" si="7"/>
        <v>3548277.9810307147</v>
      </c>
    </row>
    <row r="28" spans="5:11" x14ac:dyDescent="0.2">
      <c r="E28">
        <f t="shared" si="4"/>
        <v>18</v>
      </c>
      <c r="F28" s="3">
        <f t="shared" si="5"/>
        <v>65223.322661651902</v>
      </c>
      <c r="G28" s="3">
        <f t="shared" si="6"/>
        <v>38439.678127832747</v>
      </c>
      <c r="H28" s="3">
        <f t="shared" si="3"/>
        <v>103663.00078948465</v>
      </c>
      <c r="I28" s="3">
        <f t="shared" si="7"/>
        <v>3483054.6583690629</v>
      </c>
    </row>
    <row r="29" spans="5:11" x14ac:dyDescent="0.2">
      <c r="E29">
        <f t="shared" si="4"/>
        <v>19</v>
      </c>
      <c r="F29" s="3">
        <f t="shared" si="5"/>
        <v>65929.908657153137</v>
      </c>
      <c r="G29" s="3">
        <f t="shared" si="6"/>
        <v>37733.09213233152</v>
      </c>
      <c r="H29" s="3">
        <f t="shared" si="3"/>
        <v>103663.00078948465</v>
      </c>
      <c r="I29" s="3">
        <f t="shared" si="7"/>
        <v>3417124.7497119098</v>
      </c>
    </row>
    <row r="30" spans="5:11" x14ac:dyDescent="0.2">
      <c r="E30">
        <f t="shared" si="4"/>
        <v>20</v>
      </c>
      <c r="F30" s="3">
        <f t="shared" si="5"/>
        <v>66644.149334272282</v>
      </c>
      <c r="G30" s="3">
        <f t="shared" si="6"/>
        <v>37018.85145521236</v>
      </c>
      <c r="H30" s="3">
        <f t="shared" si="3"/>
        <v>103663.00078948465</v>
      </c>
      <c r="I30" s="3">
        <f t="shared" si="7"/>
        <v>3350480.6003776374</v>
      </c>
    </row>
    <row r="31" spans="5:11" x14ac:dyDescent="0.2">
      <c r="E31">
        <f t="shared" si="4"/>
        <v>21</v>
      </c>
      <c r="F31" s="3">
        <f t="shared" si="5"/>
        <v>67366.12761872691</v>
      </c>
      <c r="G31" s="3">
        <f t="shared" si="6"/>
        <v>36296.873170757739</v>
      </c>
      <c r="H31" s="3">
        <f t="shared" si="3"/>
        <v>103663.00078948465</v>
      </c>
      <c r="I31" s="3">
        <f t="shared" si="7"/>
        <v>3283114.4727589106</v>
      </c>
    </row>
    <row r="32" spans="5:11" x14ac:dyDescent="0.2">
      <c r="E32">
        <f t="shared" si="4"/>
        <v>22</v>
      </c>
      <c r="F32" s="3">
        <f t="shared" si="5"/>
        <v>68095.927334596447</v>
      </c>
      <c r="G32" s="3">
        <f t="shared" si="6"/>
        <v>35567.073454888203</v>
      </c>
      <c r="H32" s="3">
        <f t="shared" si="3"/>
        <v>103663.00078948465</v>
      </c>
      <c r="I32" s="3">
        <f t="shared" si="7"/>
        <v>3215018.5454243142</v>
      </c>
    </row>
    <row r="33" spans="5:11" x14ac:dyDescent="0.2">
      <c r="E33">
        <f t="shared" si="4"/>
        <v>23</v>
      </c>
      <c r="F33" s="3">
        <f t="shared" si="5"/>
        <v>68833.633214054571</v>
      </c>
      <c r="G33" s="3">
        <f t="shared" si="6"/>
        <v>34829.367575430071</v>
      </c>
      <c r="H33" s="3">
        <f t="shared" si="3"/>
        <v>103663.00078948465</v>
      </c>
      <c r="I33" s="3">
        <f t="shared" si="7"/>
        <v>3146184.9122102596</v>
      </c>
    </row>
    <row r="34" spans="5:11" x14ac:dyDescent="0.2">
      <c r="E34" s="64">
        <f t="shared" si="4"/>
        <v>24</v>
      </c>
      <c r="F34" s="65">
        <f t="shared" si="5"/>
        <v>69579.330907206837</v>
      </c>
      <c r="G34" s="65">
        <f t="shared" si="6"/>
        <v>34083.669882277813</v>
      </c>
      <c r="H34" s="65">
        <f t="shared" si="3"/>
        <v>103663.00078948465</v>
      </c>
      <c r="I34" s="65">
        <f t="shared" si="7"/>
        <v>3076605.5813030526</v>
      </c>
      <c r="J34" s="66">
        <f>+SUM(F23:F34)</f>
        <v>787452.44334387092</v>
      </c>
      <c r="K34" s="66">
        <f>+SUM(G23:G34)</f>
        <v>456503.56612994475</v>
      </c>
    </row>
    <row r="35" spans="5:11" x14ac:dyDescent="0.2">
      <c r="E35">
        <f t="shared" si="4"/>
        <v>25</v>
      </c>
      <c r="F35" s="3">
        <f t="shared" si="5"/>
        <v>70333.106992034911</v>
      </c>
      <c r="G35" s="3">
        <f t="shared" si="6"/>
        <v>33329.893797449738</v>
      </c>
      <c r="H35" s="3">
        <f t="shared" si="3"/>
        <v>103663.00078948465</v>
      </c>
      <c r="I35" s="3">
        <f t="shared" si="7"/>
        <v>3006272.4743110179</v>
      </c>
    </row>
    <row r="36" spans="5:11" x14ac:dyDescent="0.2">
      <c r="E36">
        <f t="shared" si="4"/>
        <v>26</v>
      </c>
      <c r="F36" s="3">
        <f t="shared" si="5"/>
        <v>71095.048984448629</v>
      </c>
      <c r="G36" s="3">
        <f t="shared" si="6"/>
        <v>32567.951805036028</v>
      </c>
      <c r="H36" s="3">
        <f t="shared" si="3"/>
        <v>103663.00078948465</v>
      </c>
      <c r="I36" s="3">
        <f t="shared" si="7"/>
        <v>2935177.4253265695</v>
      </c>
    </row>
    <row r="37" spans="5:11" x14ac:dyDescent="0.2">
      <c r="E37">
        <f t="shared" si="4"/>
        <v>27</v>
      </c>
      <c r="F37" s="3">
        <f t="shared" si="5"/>
        <v>71865.245348446813</v>
      </c>
      <c r="G37" s="3">
        <f t="shared" si="6"/>
        <v>31797.755441037836</v>
      </c>
      <c r="H37" s="3">
        <f t="shared" si="3"/>
        <v>103663.00078948465</v>
      </c>
      <c r="I37" s="3">
        <f t="shared" si="7"/>
        <v>2863312.1799781225</v>
      </c>
    </row>
    <row r="38" spans="5:11" x14ac:dyDescent="0.2">
      <c r="E38">
        <f t="shared" si="4"/>
        <v>28</v>
      </c>
      <c r="F38" s="3">
        <f t="shared" si="5"/>
        <v>72643.785506388318</v>
      </c>
      <c r="G38" s="3">
        <f t="shared" si="6"/>
        <v>31019.215283096328</v>
      </c>
      <c r="H38" s="3">
        <f t="shared" si="3"/>
        <v>103663.00078948465</v>
      </c>
      <c r="I38" s="3">
        <f t="shared" si="7"/>
        <v>2790668.3944717343</v>
      </c>
    </row>
    <row r="39" spans="5:11" x14ac:dyDescent="0.2">
      <c r="E39">
        <f t="shared" si="4"/>
        <v>29</v>
      </c>
      <c r="F39" s="3">
        <f t="shared" si="5"/>
        <v>73430.759849374197</v>
      </c>
      <c r="G39" s="3">
        <f t="shared" si="6"/>
        <v>30232.240940110456</v>
      </c>
      <c r="H39" s="3">
        <f t="shared" si="3"/>
        <v>103663.00078948465</v>
      </c>
      <c r="I39" s="3">
        <f t="shared" si="7"/>
        <v>2717237.6346223601</v>
      </c>
    </row>
    <row r="40" spans="5:11" x14ac:dyDescent="0.2">
      <c r="E40">
        <f t="shared" si="4"/>
        <v>30</v>
      </c>
      <c r="F40" s="3">
        <f t="shared" si="5"/>
        <v>74226.259747742413</v>
      </c>
      <c r="G40" s="3">
        <f t="shared" si="6"/>
        <v>29436.741041742236</v>
      </c>
      <c r="H40" s="3">
        <f t="shared" si="3"/>
        <v>103663.00078948465</v>
      </c>
      <c r="I40" s="3">
        <f t="shared" si="7"/>
        <v>2643011.3748746179</v>
      </c>
    </row>
    <row r="41" spans="5:11" x14ac:dyDescent="0.2">
      <c r="E41">
        <f t="shared" si="4"/>
        <v>31</v>
      </c>
      <c r="F41" s="3">
        <f t="shared" si="5"/>
        <v>75030.377561676287</v>
      </c>
      <c r="G41" s="3">
        <f t="shared" si="6"/>
        <v>28632.623227808363</v>
      </c>
      <c r="H41" s="3">
        <f t="shared" si="3"/>
        <v>103663.00078948465</v>
      </c>
      <c r="I41" s="3">
        <f t="shared" si="7"/>
        <v>2567980.9973129416</v>
      </c>
    </row>
    <row r="42" spans="5:11" x14ac:dyDescent="0.2">
      <c r="E42">
        <f t="shared" si="4"/>
        <v>32</v>
      </c>
      <c r="F42" s="3">
        <f t="shared" si="5"/>
        <v>75843.206651927787</v>
      </c>
      <c r="G42" s="3">
        <f t="shared" si="6"/>
        <v>27819.79413755687</v>
      </c>
      <c r="H42" s="3">
        <f t="shared" si="3"/>
        <v>103663.00078948465</v>
      </c>
      <c r="I42" s="3">
        <f t="shared" si="7"/>
        <v>2492137.7906610137</v>
      </c>
    </row>
    <row r="43" spans="5:11" x14ac:dyDescent="0.2">
      <c r="E43">
        <f t="shared" si="4"/>
        <v>33</v>
      </c>
      <c r="F43" s="3">
        <f t="shared" si="5"/>
        <v>76664.841390657006</v>
      </c>
      <c r="G43" s="3">
        <f t="shared" si="6"/>
        <v>26998.159398827651</v>
      </c>
      <c r="H43" s="3">
        <f t="shared" si="3"/>
        <v>103663.00078948465</v>
      </c>
      <c r="I43" s="3">
        <f t="shared" si="7"/>
        <v>2415472.9492703564</v>
      </c>
    </row>
    <row r="44" spans="5:11" x14ac:dyDescent="0.2">
      <c r="E44">
        <f t="shared" si="4"/>
        <v>34</v>
      </c>
      <c r="F44" s="3">
        <f t="shared" si="5"/>
        <v>77495.377172389126</v>
      </c>
      <c r="G44" s="3">
        <f t="shared" si="6"/>
        <v>26167.623617095531</v>
      </c>
      <c r="H44" s="3">
        <f t="shared" si="3"/>
        <v>103663.00078948465</v>
      </c>
      <c r="I44" s="3">
        <f t="shared" si="7"/>
        <v>2337977.5720979674</v>
      </c>
    </row>
    <row r="45" spans="5:11" x14ac:dyDescent="0.2">
      <c r="E45">
        <f t="shared" si="4"/>
        <v>35</v>
      </c>
      <c r="F45" s="3">
        <f t="shared" si="5"/>
        <v>78334.910425089998</v>
      </c>
      <c r="G45" s="3">
        <f t="shared" si="6"/>
        <v>25328.090364394648</v>
      </c>
      <c r="H45" s="3">
        <f t="shared" si="3"/>
        <v>103663.00078948465</v>
      </c>
      <c r="I45" s="3">
        <f t="shared" si="7"/>
        <v>2259642.6616728771</v>
      </c>
    </row>
    <row r="46" spans="5:11" x14ac:dyDescent="0.2">
      <c r="E46" s="64">
        <f t="shared" si="4"/>
        <v>36</v>
      </c>
      <c r="F46" s="65">
        <f t="shared" si="5"/>
        <v>79183.538621361804</v>
      </c>
      <c r="G46" s="65">
        <f t="shared" si="6"/>
        <v>24479.462168122838</v>
      </c>
      <c r="H46" s="65">
        <f t="shared" si="3"/>
        <v>103663.00078948465</v>
      </c>
      <c r="I46" s="65">
        <f t="shared" si="7"/>
        <v>2180459.1230515153</v>
      </c>
      <c r="J46" s="66">
        <f>+SUM(F35:F46)</f>
        <v>896146.45825153729</v>
      </c>
      <c r="K46" s="66">
        <f>+SUM(G35:G46)</f>
        <v>347809.5512222785</v>
      </c>
    </row>
    <row r="47" spans="5:11" x14ac:dyDescent="0.2">
      <c r="E47">
        <f t="shared" si="4"/>
        <v>37</v>
      </c>
      <c r="F47" s="3">
        <f t="shared" si="5"/>
        <v>80041.360289759905</v>
      </c>
      <c r="G47" s="3">
        <f t="shared" si="6"/>
        <v>23621.640499724752</v>
      </c>
      <c r="H47" s="3">
        <f t="shared" si="3"/>
        <v>103663.00078948465</v>
      </c>
      <c r="I47" s="3">
        <f t="shared" si="7"/>
        <v>2100417.7627617554</v>
      </c>
    </row>
    <row r="48" spans="5:11" x14ac:dyDescent="0.2">
      <c r="E48">
        <f t="shared" si="4"/>
        <v>38</v>
      </c>
      <c r="F48" s="3">
        <f t="shared" si="5"/>
        <v>80908.475026232307</v>
      </c>
      <c r="G48" s="3">
        <f t="shared" si="6"/>
        <v>22754.52576325235</v>
      </c>
      <c r="H48" s="3">
        <f t="shared" si="3"/>
        <v>103663.00078948465</v>
      </c>
      <c r="I48" s="3">
        <f t="shared" si="7"/>
        <v>2019509.2877355232</v>
      </c>
    </row>
    <row r="49" spans="5:11" x14ac:dyDescent="0.2">
      <c r="E49">
        <f t="shared" si="4"/>
        <v>39</v>
      </c>
      <c r="F49" s="3">
        <f t="shared" si="5"/>
        <v>81784.983505683151</v>
      </c>
      <c r="G49" s="3">
        <f t="shared" si="6"/>
        <v>21878.017283801502</v>
      </c>
      <c r="H49" s="3">
        <f t="shared" si="3"/>
        <v>103663.00078948465</v>
      </c>
      <c r="I49" s="3">
        <f t="shared" si="7"/>
        <v>1937724.3042298399</v>
      </c>
    </row>
    <row r="50" spans="5:11" x14ac:dyDescent="0.2">
      <c r="E50">
        <f t="shared" si="4"/>
        <v>40</v>
      </c>
      <c r="F50" s="3">
        <f t="shared" si="5"/>
        <v>82670.987493661378</v>
      </c>
      <c r="G50" s="3">
        <f t="shared" si="6"/>
        <v>20992.013295823268</v>
      </c>
      <c r="H50" s="3">
        <f t="shared" si="3"/>
        <v>103663.00078948465</v>
      </c>
      <c r="I50" s="3">
        <f t="shared" si="7"/>
        <v>1855053.3167361785</v>
      </c>
    </row>
    <row r="51" spans="5:11" x14ac:dyDescent="0.2">
      <c r="E51">
        <f t="shared" si="4"/>
        <v>41</v>
      </c>
      <c r="F51" s="3">
        <f t="shared" si="5"/>
        <v>83566.589858176041</v>
      </c>
      <c r="G51" s="3">
        <f t="shared" si="6"/>
        <v>20096.410931308601</v>
      </c>
      <c r="H51" s="3">
        <f t="shared" si="3"/>
        <v>103663.00078948465</v>
      </c>
      <c r="I51" s="3">
        <f t="shared" si="7"/>
        <v>1771486.7268780025</v>
      </c>
    </row>
    <row r="52" spans="5:11" x14ac:dyDescent="0.2">
      <c r="E52">
        <f t="shared" si="4"/>
        <v>42</v>
      </c>
      <c r="F52" s="3">
        <f t="shared" si="5"/>
        <v>84471.894581639615</v>
      </c>
      <c r="G52" s="3">
        <f t="shared" si="6"/>
        <v>19191.106207845027</v>
      </c>
      <c r="H52" s="3">
        <f t="shared" si="3"/>
        <v>103663.00078948465</v>
      </c>
      <c r="I52" s="3">
        <f t="shared" si="7"/>
        <v>1687014.8322963628</v>
      </c>
    </row>
    <row r="53" spans="5:11" x14ac:dyDescent="0.2">
      <c r="E53">
        <f t="shared" si="4"/>
        <v>43</v>
      </c>
      <c r="F53" s="3">
        <f t="shared" si="5"/>
        <v>85387.006772940716</v>
      </c>
      <c r="G53" s="3">
        <f t="shared" si="6"/>
        <v>18275.994016543933</v>
      </c>
      <c r="H53" s="3">
        <f t="shared" si="3"/>
        <v>103663.00078948465</v>
      </c>
      <c r="I53" s="3">
        <f t="shared" si="7"/>
        <v>1601627.8255234221</v>
      </c>
    </row>
    <row r="54" spans="5:11" x14ac:dyDescent="0.2">
      <c r="E54">
        <f t="shared" si="4"/>
        <v>44</v>
      </c>
      <c r="F54" s="3">
        <f t="shared" si="5"/>
        <v>86312.032679647571</v>
      </c>
      <c r="G54" s="3">
        <f t="shared" si="6"/>
        <v>17350.968109837075</v>
      </c>
      <c r="H54" s="3">
        <f t="shared" si="3"/>
        <v>103663.00078948465</v>
      </c>
      <c r="I54" s="3">
        <f t="shared" si="7"/>
        <v>1515315.7928437744</v>
      </c>
    </row>
    <row r="55" spans="5:11" x14ac:dyDescent="0.2">
      <c r="E55">
        <f t="shared" si="4"/>
        <v>45</v>
      </c>
      <c r="F55" s="3">
        <f t="shared" si="5"/>
        <v>87247.079700343762</v>
      </c>
      <c r="G55" s="3">
        <f t="shared" si="6"/>
        <v>16415.921089140891</v>
      </c>
      <c r="H55" s="3">
        <f t="shared" si="3"/>
        <v>103663.00078948465</v>
      </c>
      <c r="I55" s="3">
        <f t="shared" si="7"/>
        <v>1428068.7131434307</v>
      </c>
    </row>
    <row r="56" spans="5:11" x14ac:dyDescent="0.2">
      <c r="E56">
        <f t="shared" si="4"/>
        <v>46</v>
      </c>
      <c r="F56" s="3">
        <f t="shared" si="5"/>
        <v>88192.256397097488</v>
      </c>
      <c r="G56" s="3">
        <f t="shared" si="6"/>
        <v>15470.744392387165</v>
      </c>
      <c r="H56" s="3">
        <f t="shared" si="3"/>
        <v>103663.00078948465</v>
      </c>
      <c r="I56" s="3">
        <f t="shared" si="7"/>
        <v>1339876.4567463333</v>
      </c>
    </row>
    <row r="57" spans="5:11" x14ac:dyDescent="0.2">
      <c r="E57">
        <f t="shared" si="4"/>
        <v>47</v>
      </c>
      <c r="F57" s="3">
        <f t="shared" si="5"/>
        <v>89147.67250806604</v>
      </c>
      <c r="G57" s="3">
        <f t="shared" si="6"/>
        <v>14515.328281418611</v>
      </c>
      <c r="H57" s="3">
        <f t="shared" si="3"/>
        <v>103663.00078948465</v>
      </c>
      <c r="I57" s="3">
        <f t="shared" si="7"/>
        <v>1250728.7842382672</v>
      </c>
    </row>
    <row r="58" spans="5:11" x14ac:dyDescent="0.2">
      <c r="E58" s="64">
        <f t="shared" si="4"/>
        <v>48</v>
      </c>
      <c r="F58" s="65">
        <f t="shared" si="5"/>
        <v>90113.438960236759</v>
      </c>
      <c r="G58" s="65">
        <f t="shared" si="6"/>
        <v>13549.561829247896</v>
      </c>
      <c r="H58" s="65">
        <f t="shared" si="3"/>
        <v>103663.00078948465</v>
      </c>
      <c r="I58" s="65">
        <f t="shared" si="7"/>
        <v>1160615.3452780305</v>
      </c>
      <c r="J58" s="66">
        <f>+SUM(F47:F58)</f>
        <v>1019843.7777734847</v>
      </c>
      <c r="K58" s="66">
        <f>+SUM(G47:G58)</f>
        <v>224112.23170033109</v>
      </c>
    </row>
    <row r="59" spans="5:11" x14ac:dyDescent="0.2">
      <c r="E59">
        <f t="shared" si="4"/>
        <v>49</v>
      </c>
      <c r="F59" s="3">
        <f t="shared" si="5"/>
        <v>91089.667882305977</v>
      </c>
      <c r="G59" s="3">
        <f t="shared" si="6"/>
        <v>12573.332907178665</v>
      </c>
      <c r="H59" s="3">
        <f t="shared" si="3"/>
        <v>103663.00078948465</v>
      </c>
      <c r="I59" s="3">
        <f t="shared" si="7"/>
        <v>1069525.6773957245</v>
      </c>
    </row>
    <row r="60" spans="5:11" x14ac:dyDescent="0.2">
      <c r="E60">
        <f t="shared" si="4"/>
        <v>50</v>
      </c>
      <c r="F60" s="3">
        <f t="shared" si="5"/>
        <v>92076.47261769764</v>
      </c>
      <c r="G60" s="3">
        <f t="shared" si="6"/>
        <v>11586.528171787015</v>
      </c>
      <c r="H60" s="3">
        <f t="shared" si="3"/>
        <v>103663.00078948465</v>
      </c>
      <c r="I60" s="3">
        <f t="shared" si="7"/>
        <v>977449.20477802679</v>
      </c>
    </row>
    <row r="61" spans="5:11" x14ac:dyDescent="0.2">
      <c r="E61">
        <f t="shared" si="4"/>
        <v>51</v>
      </c>
      <c r="F61" s="3">
        <f t="shared" si="5"/>
        <v>93073.967737722691</v>
      </c>
      <c r="G61" s="3">
        <f t="shared" si="6"/>
        <v>10589.033051761957</v>
      </c>
      <c r="H61" s="3">
        <f t="shared" si="3"/>
        <v>103663.00078948465</v>
      </c>
      <c r="I61" s="3">
        <f t="shared" si="7"/>
        <v>884375.23704030411</v>
      </c>
    </row>
    <row r="62" spans="5:11" x14ac:dyDescent="0.2">
      <c r="E62">
        <f t="shared" si="4"/>
        <v>52</v>
      </c>
      <c r="F62" s="3">
        <f t="shared" si="5"/>
        <v>94082.269054881355</v>
      </c>
      <c r="G62" s="3">
        <f t="shared" si="6"/>
        <v>9580.7317346032942</v>
      </c>
      <c r="H62" s="3">
        <f t="shared" si="3"/>
        <v>103663.00078948465</v>
      </c>
      <c r="I62" s="3">
        <f t="shared" si="7"/>
        <v>790292.96798542282</v>
      </c>
    </row>
    <row r="63" spans="5:11" x14ac:dyDescent="0.2">
      <c r="E63">
        <f t="shared" si="4"/>
        <v>53</v>
      </c>
      <c r="F63" s="3">
        <f t="shared" si="5"/>
        <v>95101.493636309227</v>
      </c>
      <c r="G63" s="3">
        <f t="shared" si="6"/>
        <v>8561.5071531754147</v>
      </c>
      <c r="H63" s="3">
        <f t="shared" si="3"/>
        <v>103663.00078948465</v>
      </c>
      <c r="I63" s="3">
        <f t="shared" si="7"/>
        <v>695191.47434911365</v>
      </c>
    </row>
    <row r="64" spans="5:11" x14ac:dyDescent="0.2">
      <c r="E64">
        <f t="shared" si="4"/>
        <v>54</v>
      </c>
      <c r="F64" s="3">
        <f t="shared" si="5"/>
        <v>96131.759817369253</v>
      </c>
      <c r="G64" s="3">
        <f t="shared" si="6"/>
        <v>7531.2409721153981</v>
      </c>
      <c r="H64" s="3">
        <f t="shared" si="3"/>
        <v>103663.00078948465</v>
      </c>
      <c r="I64" s="3">
        <f t="shared" si="7"/>
        <v>599059.71453174436</v>
      </c>
    </row>
    <row r="65" spans="5:11" x14ac:dyDescent="0.2">
      <c r="E65">
        <f t="shared" si="4"/>
        <v>55</v>
      </c>
      <c r="F65" s="3">
        <f t="shared" si="5"/>
        <v>97173.187215390746</v>
      </c>
      <c r="G65" s="3">
        <f t="shared" si="6"/>
        <v>6489.8135740938978</v>
      </c>
      <c r="H65" s="3">
        <f t="shared" si="3"/>
        <v>103663.00078948465</v>
      </c>
      <c r="I65" s="3">
        <f t="shared" si="7"/>
        <v>501886.52731635363</v>
      </c>
    </row>
    <row r="66" spans="5:11" x14ac:dyDescent="0.2">
      <c r="E66">
        <f t="shared" si="4"/>
        <v>56</v>
      </c>
      <c r="F66" s="3">
        <f t="shared" si="5"/>
        <v>98225.896743557489</v>
      </c>
      <c r="G66" s="3">
        <f t="shared" si="6"/>
        <v>5437.1040459271644</v>
      </c>
      <c r="H66" s="3">
        <f t="shared" si="3"/>
        <v>103663.00078948465</v>
      </c>
      <c r="I66" s="3">
        <f t="shared" si="7"/>
        <v>403660.63057279616</v>
      </c>
    </row>
    <row r="67" spans="5:11" x14ac:dyDescent="0.2">
      <c r="E67">
        <f t="shared" si="4"/>
        <v>57</v>
      </c>
      <c r="F67" s="3">
        <f t="shared" si="5"/>
        <v>99290.010624946022</v>
      </c>
      <c r="G67" s="3">
        <f t="shared" si="6"/>
        <v>4372.9901645386253</v>
      </c>
      <c r="H67" s="3">
        <f t="shared" si="3"/>
        <v>103663.00078948465</v>
      </c>
      <c r="I67" s="3">
        <f t="shared" si="7"/>
        <v>304370.61994785012</v>
      </c>
    </row>
    <row r="68" spans="5:11" x14ac:dyDescent="0.2">
      <c r="E68">
        <f t="shared" si="4"/>
        <v>58</v>
      </c>
      <c r="F68" s="3">
        <f t="shared" si="5"/>
        <v>100365.65240671627</v>
      </c>
      <c r="G68" s="3">
        <f t="shared" si="6"/>
        <v>3297.3483827683763</v>
      </c>
      <c r="H68" s="3">
        <f t="shared" si="3"/>
        <v>103663.00078948465</v>
      </c>
      <c r="I68" s="3">
        <f t="shared" si="7"/>
        <v>204004.96754113387</v>
      </c>
    </row>
    <row r="69" spans="5:11" x14ac:dyDescent="0.2">
      <c r="E69">
        <f t="shared" si="4"/>
        <v>59</v>
      </c>
      <c r="F69" s="3">
        <f t="shared" si="5"/>
        <v>101452.9469744557</v>
      </c>
      <c r="G69" s="3">
        <f t="shared" si="6"/>
        <v>2210.0538150289503</v>
      </c>
      <c r="H69" s="3">
        <f t="shared" si="3"/>
        <v>103663.00078948465</v>
      </c>
      <c r="I69" s="3">
        <f t="shared" si="7"/>
        <v>102552.02056667817</v>
      </c>
    </row>
    <row r="70" spans="5:11" x14ac:dyDescent="0.2">
      <c r="E70" s="64">
        <f t="shared" si="4"/>
        <v>60</v>
      </c>
      <c r="F70" s="65">
        <f t="shared" si="5"/>
        <v>102552.02056667897</v>
      </c>
      <c r="G70" s="65">
        <f t="shared" si="6"/>
        <v>1110.9802228056801</v>
      </c>
      <c r="H70" s="65">
        <f t="shared" si="3"/>
        <v>103663.00078948465</v>
      </c>
      <c r="I70" s="65">
        <f t="shared" si="7"/>
        <v>-8.0035533756017685E-10</v>
      </c>
      <c r="J70" s="66">
        <f>+SUM(F59:F70)</f>
        <v>1160615.3452780314</v>
      </c>
      <c r="K70" s="66">
        <f>+SUM(G59:G70)</f>
        <v>83340.66419578444</v>
      </c>
    </row>
  </sheetData>
  <mergeCells count="1">
    <mergeCell ref="B3:C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33FF"/>
  </sheetPr>
  <dimension ref="B2:R36"/>
  <sheetViews>
    <sheetView showGridLines="0" topLeftCell="A7" zoomScaleNormal="100" workbookViewId="0">
      <selection activeCell="J4" sqref="J4"/>
    </sheetView>
  </sheetViews>
  <sheetFormatPr defaultColWidth="10.76171875" defaultRowHeight="15" x14ac:dyDescent="0.2"/>
  <cols>
    <col min="1" max="1" width="2.41796875" customWidth="1"/>
    <col min="2" max="2" width="45.87109375" customWidth="1"/>
    <col min="3" max="8" width="17.484375" customWidth="1"/>
    <col min="9" max="9" width="3.09375" customWidth="1"/>
  </cols>
  <sheetData>
    <row r="2" spans="2:18" ht="18.75" x14ac:dyDescent="0.2">
      <c r="B2" s="154" t="s">
        <v>134</v>
      </c>
      <c r="C2" s="155">
        <f>+INDICADORES!L8</f>
        <v>440</v>
      </c>
      <c r="D2" s="41"/>
    </row>
    <row r="4" spans="2:18" ht="18.75" x14ac:dyDescent="0.25">
      <c r="B4" s="75" t="s">
        <v>8</v>
      </c>
      <c r="C4" s="75" t="s">
        <v>65</v>
      </c>
      <c r="D4" s="75" t="s">
        <v>0</v>
      </c>
      <c r="E4" s="75" t="s">
        <v>1</v>
      </c>
      <c r="F4" s="75" t="s">
        <v>2</v>
      </c>
      <c r="G4" s="75" t="s">
        <v>3</v>
      </c>
      <c r="H4" s="75" t="s">
        <v>4</v>
      </c>
      <c r="M4" s="75" t="s">
        <v>65</v>
      </c>
      <c r="N4" s="75" t="s">
        <v>0</v>
      </c>
      <c r="O4" s="75" t="s">
        <v>1</v>
      </c>
      <c r="P4" s="75" t="s">
        <v>2</v>
      </c>
      <c r="Q4" s="75" t="s">
        <v>3</v>
      </c>
      <c r="R4" s="75" t="s">
        <v>4</v>
      </c>
    </row>
    <row r="6" spans="2:18" x14ac:dyDescent="0.2">
      <c r="B6" s="44" t="s">
        <v>56</v>
      </c>
      <c r="C6" s="44"/>
      <c r="D6" s="121">
        <f>+INGRESOS!C9</f>
        <v>5432</v>
      </c>
      <c r="E6" s="121">
        <f>+INGRESOS!D9</f>
        <v>6464.08</v>
      </c>
      <c r="F6" s="121">
        <f>+INGRESOS!E9</f>
        <v>7692.2551999999996</v>
      </c>
      <c r="G6" s="121">
        <f>+INGRESOS!F9</f>
        <v>9153.7836879999995</v>
      </c>
      <c r="H6" s="121">
        <f>+INGRESOS!G9</f>
        <v>10893.002588719999</v>
      </c>
    </row>
    <row r="8" spans="2:18" x14ac:dyDescent="0.2">
      <c r="B8" s="45" t="s">
        <v>66</v>
      </c>
      <c r="C8" s="46"/>
      <c r="D8" s="47">
        <f>+INGRESOS!C11</f>
        <v>2390080</v>
      </c>
      <c r="E8" s="47">
        <f>+INGRESOS!D11</f>
        <v>2844195.2</v>
      </c>
      <c r="F8" s="47">
        <f>+INGRESOS!E11</f>
        <v>3384592.2879999997</v>
      </c>
      <c r="G8" s="47">
        <f>+INGRESOS!F11</f>
        <v>4027664.8227199996</v>
      </c>
      <c r="H8" s="47">
        <f>+INGRESOS!G11</f>
        <v>4792921.1390367998</v>
      </c>
    </row>
    <row r="9" spans="2:18" x14ac:dyDescent="0.2">
      <c r="L9" s="63" t="s">
        <v>173</v>
      </c>
      <c r="M9" s="63">
        <v>0</v>
      </c>
      <c r="N9" s="41">
        <f>+D8/N10</f>
        <v>5432</v>
      </c>
      <c r="O9" s="41">
        <f>+E8/O10</f>
        <v>6464.0800000000008</v>
      </c>
      <c r="P9" s="41">
        <f>+F8/P10</f>
        <v>7692.2551999999996</v>
      </c>
      <c r="Q9" s="41">
        <f>+G8/Q10</f>
        <v>9153.7836879999995</v>
      </c>
      <c r="R9" s="41">
        <f>+H8/R10</f>
        <v>10893.002588719999</v>
      </c>
    </row>
    <row r="10" spans="2:18" ht="18.75" x14ac:dyDescent="0.25">
      <c r="B10" s="48" t="s">
        <v>86</v>
      </c>
      <c r="C10" s="48"/>
      <c r="D10" s="48"/>
      <c r="E10" s="48"/>
      <c r="F10" s="48"/>
      <c r="G10" s="48"/>
      <c r="H10" s="48"/>
      <c r="L10" s="63" t="s">
        <v>165</v>
      </c>
      <c r="M10" s="41">
        <f>+N10</f>
        <v>440</v>
      </c>
      <c r="N10" s="41">
        <f>+D8/D6</f>
        <v>440</v>
      </c>
      <c r="O10" s="41">
        <f>+N10</f>
        <v>440</v>
      </c>
      <c r="P10" s="41">
        <f t="shared" ref="P10:R10" si="0">+O10</f>
        <v>440</v>
      </c>
      <c r="Q10" s="41">
        <f t="shared" si="0"/>
        <v>440</v>
      </c>
      <c r="R10" s="41">
        <f t="shared" si="0"/>
        <v>440</v>
      </c>
    </row>
    <row r="11" spans="2:18" ht="18.75" x14ac:dyDescent="0.25">
      <c r="B11" s="94" t="s">
        <v>73</v>
      </c>
      <c r="C11" s="51"/>
      <c r="D11" s="51"/>
      <c r="E11" s="51"/>
      <c r="F11" s="51"/>
      <c r="G11" s="51"/>
      <c r="H11" s="51"/>
    </row>
    <row r="12" spans="2:18" x14ac:dyDescent="0.2">
      <c r="B12" s="49" t="s">
        <v>68</v>
      </c>
      <c r="D12" s="3">
        <f>-'MATERIA PRIMA'!C19</f>
        <v>-524731.19999999995</v>
      </c>
      <c r="E12" s="3">
        <f>-'MATERIA PRIMA'!D19</f>
        <v>-624430.12799999991</v>
      </c>
      <c r="F12" s="3">
        <f>-'MATERIA PRIMA'!E19</f>
        <v>-743071.85231999995</v>
      </c>
      <c r="G12" s="3">
        <f>-'MATERIA PRIMA'!F19</f>
        <v>-884255.50426079985</v>
      </c>
      <c r="H12" s="3">
        <f>-'MATERIA PRIMA'!G19</f>
        <v>-1052264.0500703519</v>
      </c>
      <c r="L12" s="63" t="s">
        <v>166</v>
      </c>
      <c r="M12" s="63">
        <v>0</v>
      </c>
      <c r="N12" s="41">
        <f>+D12</f>
        <v>-524731.19999999995</v>
      </c>
      <c r="O12" s="41">
        <f>+E12</f>
        <v>-624430.12799999991</v>
      </c>
      <c r="P12" s="41">
        <f>+F12</f>
        <v>-743071.85231999995</v>
      </c>
      <c r="Q12" s="41">
        <f>+G12</f>
        <v>-884255.50426079985</v>
      </c>
      <c r="R12" s="41">
        <f>+H12</f>
        <v>-1052264.0500703519</v>
      </c>
    </row>
    <row r="13" spans="2:18" x14ac:dyDescent="0.2">
      <c r="B13" s="49" t="s">
        <v>67</v>
      </c>
      <c r="D13" s="3"/>
      <c r="E13" s="3"/>
      <c r="F13" s="3"/>
      <c r="G13" s="3"/>
      <c r="H13" s="3"/>
      <c r="L13" s="63" t="s">
        <v>167</v>
      </c>
      <c r="M13" s="63">
        <v>0</v>
      </c>
      <c r="N13" s="41">
        <f>+D14</f>
        <v>-430170.144768</v>
      </c>
      <c r="O13" s="41">
        <f>+E14</f>
        <v>-511902.47227391996</v>
      </c>
      <c r="P13" s="41">
        <f>+F14</f>
        <v>-609163.94200596469</v>
      </c>
      <c r="Q13" s="41">
        <f>+G14</f>
        <v>-724905.09098709794</v>
      </c>
      <c r="R13" s="41">
        <f>+H14</f>
        <v>-862637.05827464652</v>
      </c>
    </row>
    <row r="14" spans="2:18" x14ac:dyDescent="0.2">
      <c r="B14" s="50" t="s">
        <v>69</v>
      </c>
      <c r="D14" s="3">
        <f>-'MANO DE OBRA'!D27</f>
        <v>-430170.144768</v>
      </c>
      <c r="E14" s="3">
        <f>-'MANO DE OBRA'!E27</f>
        <v>-511902.47227391996</v>
      </c>
      <c r="F14" s="3">
        <f>-'MANO DE OBRA'!F27</f>
        <v>-609163.94200596469</v>
      </c>
      <c r="G14" s="3">
        <f>-'MANO DE OBRA'!G27</f>
        <v>-724905.09098709794</v>
      </c>
      <c r="H14" s="3">
        <f>-'MANO DE OBRA'!H27</f>
        <v>-862637.05827464652</v>
      </c>
      <c r="L14" s="63" t="s">
        <v>174</v>
      </c>
      <c r="M14" s="63">
        <v>0</v>
      </c>
      <c r="N14" s="41">
        <f>+D18</f>
        <v>-388700</v>
      </c>
      <c r="O14" s="41">
        <f t="shared" ref="O14:R14" si="1">+E18</f>
        <v>-388700</v>
      </c>
      <c r="P14" s="41">
        <f t="shared" si="1"/>
        <v>-388700</v>
      </c>
      <c r="Q14" s="41">
        <f t="shared" si="1"/>
        <v>-388700</v>
      </c>
      <c r="R14" s="41">
        <f t="shared" si="1"/>
        <v>-388700</v>
      </c>
    </row>
    <row r="15" spans="2:18" x14ac:dyDescent="0.2">
      <c r="B15" s="50" t="s">
        <v>70</v>
      </c>
      <c r="D15" s="3">
        <f>-'MANO DE OBRA'!D24</f>
        <v>-614727.36</v>
      </c>
      <c r="E15" s="3">
        <f>-'MANO DE OBRA'!E24</f>
        <v>-614727.36</v>
      </c>
      <c r="F15" s="3">
        <f>-'MANO DE OBRA'!F24</f>
        <v>-614727.36</v>
      </c>
      <c r="G15" s="3">
        <f>-'MANO DE OBRA'!G24</f>
        <v>-614727.36</v>
      </c>
      <c r="H15" s="3">
        <f>-'MANO DE OBRA'!H24</f>
        <v>-614727.36</v>
      </c>
      <c r="L15" s="63" t="s">
        <v>168</v>
      </c>
      <c r="M15" s="125">
        <f>+N15</f>
        <v>-858991.36</v>
      </c>
      <c r="N15" s="41">
        <f>+D15+D16+D19</f>
        <v>-858991.36</v>
      </c>
      <c r="O15" s="41">
        <f>+E15+E16+E19</f>
        <v>-858991.36</v>
      </c>
      <c r="P15" s="41">
        <f>+F15+F16+F19</f>
        <v>-858991.36</v>
      </c>
      <c r="Q15" s="41">
        <f>+G15+G16+G19</f>
        <v>-858991.36</v>
      </c>
      <c r="R15" s="41">
        <f>+H15+H16+H19</f>
        <v>-858991.36</v>
      </c>
    </row>
    <row r="16" spans="2:18" x14ac:dyDescent="0.2">
      <c r="B16" s="49" t="s">
        <v>71</v>
      </c>
      <c r="D16" s="3">
        <f>-'COSTOS FIJOS'!C20</f>
        <v>-194064</v>
      </c>
      <c r="E16" s="3">
        <f>-'COSTOS FIJOS'!D20</f>
        <v>-194064</v>
      </c>
      <c r="F16" s="3">
        <f>-'COSTOS FIJOS'!E20</f>
        <v>-194064</v>
      </c>
      <c r="G16" s="3">
        <f>-'COSTOS FIJOS'!F20</f>
        <v>-194064</v>
      </c>
      <c r="H16" s="3">
        <f>-'COSTOS FIJOS'!G20</f>
        <v>-194064</v>
      </c>
      <c r="L16" s="63" t="s">
        <v>169</v>
      </c>
      <c r="M16" s="63"/>
      <c r="N16" s="41">
        <f>+SUM(N12:N15)/D6</f>
        <v>-405.48466582621495</v>
      </c>
      <c r="O16" s="41">
        <f>+SUM(O12:O15)/E6</f>
        <v>-368.81102342079919</v>
      </c>
      <c r="P16" s="41">
        <f>+SUM(P12:P15)/F6</f>
        <v>-337.99283652549184</v>
      </c>
      <c r="Q16" s="41">
        <f>+SUM(Q12:Q15)/G6</f>
        <v>-312.09520047901503</v>
      </c>
      <c r="R16" s="41">
        <f>+SUM(R12:R15)/H6</f>
        <v>-290.33248111222787</v>
      </c>
    </row>
    <row r="17" spans="2:18" x14ac:dyDescent="0.2">
      <c r="B17" s="49" t="s">
        <v>72</v>
      </c>
      <c r="D17" s="69">
        <f>-FINANCIAMIENTO!K5</f>
        <v>-552014.03412073886</v>
      </c>
      <c r="E17" s="69">
        <f>-FINANCIAMIENTO!L5</f>
        <v>-456503.56612994475</v>
      </c>
      <c r="F17" s="69">
        <f>-FINANCIAMIENTO!M5</f>
        <v>-347809.5512222785</v>
      </c>
      <c r="G17" s="69">
        <f>-FINANCIAMIENTO!N5</f>
        <v>-224112.23170033109</v>
      </c>
      <c r="H17" s="69">
        <f>-FINANCIAMIENTO!O5</f>
        <v>-83340.66419578444</v>
      </c>
      <c r="L17" s="63"/>
      <c r="M17" s="63"/>
    </row>
    <row r="18" spans="2:18" x14ac:dyDescent="0.2">
      <c r="B18" s="49" t="s">
        <v>92</v>
      </c>
      <c r="D18" s="70">
        <f>-'INVERSIONES - ACTIVOS'!K18</f>
        <v>-388700</v>
      </c>
      <c r="E18" s="70">
        <f>-'INVERSIONES - ACTIVOS'!L18</f>
        <v>-388700</v>
      </c>
      <c r="F18" s="70">
        <f>-'INVERSIONES - ACTIVOS'!M18</f>
        <v>-388700</v>
      </c>
      <c r="G18" s="70">
        <f>-'INVERSIONES - ACTIVOS'!N18</f>
        <v>-388700</v>
      </c>
      <c r="H18" s="70">
        <f>-'INVERSIONES - ACTIVOS'!O18</f>
        <v>-388700</v>
      </c>
      <c r="L18" s="63" t="s">
        <v>170</v>
      </c>
      <c r="M18" s="63"/>
      <c r="N18" s="41">
        <f>+N10+N16</f>
        <v>34.51533417378505</v>
      </c>
      <c r="O18" s="41">
        <f>+O10+O16</f>
        <v>71.188976579200812</v>
      </c>
      <c r="P18" s="41">
        <f>+P10+P16</f>
        <v>102.00716347450816</v>
      </c>
      <c r="Q18" s="41">
        <f>+Q10+Q16</f>
        <v>127.90479952098497</v>
      </c>
      <c r="R18" s="41">
        <f>+R10+R16</f>
        <v>149.66751888777213</v>
      </c>
    </row>
    <row r="19" spans="2:18" x14ac:dyDescent="0.2">
      <c r="B19" s="49" t="s">
        <v>93</v>
      </c>
      <c r="D19" s="70">
        <f>-'INVERSIONES - ACTIVOS'!K28</f>
        <v>-50200</v>
      </c>
      <c r="E19" s="70">
        <f>-'INVERSIONES - ACTIVOS'!L28</f>
        <v>-50200</v>
      </c>
      <c r="F19" s="70">
        <f>-'INVERSIONES - ACTIVOS'!M28</f>
        <v>-50200</v>
      </c>
      <c r="G19" s="70">
        <f>-'INVERSIONES - ACTIVOS'!N28</f>
        <v>-50200</v>
      </c>
      <c r="H19" s="70">
        <f>-'INVERSIONES - ACTIVOS'!O28</f>
        <v>-50200</v>
      </c>
      <c r="L19" s="63" t="s">
        <v>171</v>
      </c>
      <c r="M19" s="63"/>
      <c r="N19" s="80">
        <f>+N18/N16*-1</f>
        <v>8.5121182334865014E-2</v>
      </c>
      <c r="O19" s="80">
        <f>+O18/O16*-1</f>
        <v>0.19302290891120391</v>
      </c>
      <c r="P19" s="80">
        <f>+P18/P16*-1</f>
        <v>0.30180273796073381</v>
      </c>
      <c r="Q19" s="80">
        <f>+Q18/Q16*-1</f>
        <v>0.40982623034468985</v>
      </c>
      <c r="R19" s="80">
        <f>+R18/R16*-1</f>
        <v>0.51550387443531764</v>
      </c>
    </row>
    <row r="20" spans="2:18" x14ac:dyDescent="0.2">
      <c r="L20" s="63"/>
      <c r="M20" s="63"/>
    </row>
    <row r="21" spans="2:18" ht="15.75" thickBot="1" x14ac:dyDescent="0.25">
      <c r="B21" s="57" t="s">
        <v>90</v>
      </c>
      <c r="D21" s="41">
        <f>+SUM(D8:D20)</f>
        <v>-364526.73888873868</v>
      </c>
      <c r="E21" s="41">
        <f t="shared" ref="E21:H21" si="2">+SUM(E8:E20)</f>
        <v>3667.6735961353406</v>
      </c>
      <c r="F21" s="41">
        <f t="shared" si="2"/>
        <v>436855.58245175635</v>
      </c>
      <c r="G21" s="41">
        <f t="shared" si="2"/>
        <v>946700.63577177096</v>
      </c>
      <c r="H21" s="41">
        <f t="shared" si="2"/>
        <v>1546988.0064960173</v>
      </c>
      <c r="L21" s="63" t="s">
        <v>172</v>
      </c>
      <c r="M21" s="63"/>
      <c r="N21" s="41">
        <f>+N18*N10</f>
        <v>15186.747036465422</v>
      </c>
      <c r="O21" s="41">
        <f>+O18*O10</f>
        <v>31323.149694848358</v>
      </c>
      <c r="P21" s="41">
        <f>+P18*P10</f>
        <v>44883.151928783591</v>
      </c>
      <c r="Q21" s="41">
        <f>+Q18*Q10</f>
        <v>56278.111789233386</v>
      </c>
      <c r="R21" s="41">
        <f>+R18*R10</f>
        <v>65853.708310619739</v>
      </c>
    </row>
    <row r="22" spans="2:18" ht="15.75" thickBot="1" x14ac:dyDescent="0.25">
      <c r="B22" s="57" t="s">
        <v>91</v>
      </c>
      <c r="C22" s="115">
        <f>+INDICADORES!L14</f>
        <v>0.35</v>
      </c>
      <c r="D22" s="3">
        <f>-IF(D21&gt;0,D21*$C$22,0)</f>
        <v>0</v>
      </c>
      <c r="E22" s="3">
        <f>-IF(E21&gt;0,E21*$C$22,0)</f>
        <v>-1283.6857586473691</v>
      </c>
      <c r="F22" s="3">
        <f t="shared" ref="F22:G22" si="3">-IF(F21&gt;0,F21*$C$22,0)</f>
        <v>-152899.45385811472</v>
      </c>
      <c r="G22" s="3">
        <f t="shared" si="3"/>
        <v>-331345.2225201198</v>
      </c>
      <c r="H22" s="3">
        <f>-IF(H21&gt;0,H21*$C$22,0)</f>
        <v>-541445.80227360607</v>
      </c>
      <c r="L22" s="63" t="s">
        <v>172</v>
      </c>
      <c r="M22" s="63"/>
      <c r="N22" s="123">
        <f>+SUM(N21:R21)</f>
        <v>213524.86875995051</v>
      </c>
    </row>
    <row r="23" spans="2:18" x14ac:dyDescent="0.2">
      <c r="L23" s="63"/>
      <c r="M23" s="63"/>
    </row>
    <row r="24" spans="2:18" ht="18.75" x14ac:dyDescent="0.25">
      <c r="B24" s="58" t="s">
        <v>94</v>
      </c>
      <c r="C24" s="59"/>
      <c r="D24" s="60">
        <f>+SUM(D21:D23)</f>
        <v>-364526.73888873868</v>
      </c>
      <c r="E24" s="60">
        <f t="shared" ref="E24:H24" si="4">+SUM(E21:E23)</f>
        <v>2383.9878374879718</v>
      </c>
      <c r="F24" s="60">
        <f t="shared" si="4"/>
        <v>283956.12859364162</v>
      </c>
      <c r="G24" s="60">
        <f t="shared" si="4"/>
        <v>615355.41325165122</v>
      </c>
      <c r="H24" s="61">
        <f t="shared" si="4"/>
        <v>1005542.2042224113</v>
      </c>
      <c r="L24" s="63"/>
      <c r="M24" s="63"/>
      <c r="N24" s="80">
        <f>+SUM(N12:N14)/SUM(N12:N15)</f>
        <v>0.61000898707213425</v>
      </c>
    </row>
    <row r="25" spans="2:18" x14ac:dyDescent="0.2">
      <c r="L25" s="63"/>
      <c r="M25" s="63"/>
    </row>
    <row r="26" spans="2:18" x14ac:dyDescent="0.2">
      <c r="B26" s="49" t="s">
        <v>92</v>
      </c>
      <c r="D26" s="41">
        <f>-D18</f>
        <v>388700</v>
      </c>
      <c r="E26" s="41">
        <f t="shared" ref="E26:H26" si="5">-E18</f>
        <v>388700</v>
      </c>
      <c r="F26" s="41">
        <f t="shared" si="5"/>
        <v>388700</v>
      </c>
      <c r="G26" s="41">
        <f t="shared" si="5"/>
        <v>388700</v>
      </c>
      <c r="H26" s="41">
        <f t="shared" si="5"/>
        <v>388700</v>
      </c>
      <c r="L26" s="63" t="s">
        <v>175</v>
      </c>
      <c r="M26" s="41">
        <f>+SUM(M12:M15)</f>
        <v>-858991.36</v>
      </c>
      <c r="N26" s="41">
        <f>+SUM(N12:N15)</f>
        <v>-2202592.7047679997</v>
      </c>
      <c r="O26" s="41">
        <f t="shared" ref="O26:R26" si="6">+SUM(O12:O15)</f>
        <v>-2384023.9602739196</v>
      </c>
      <c r="P26" s="41">
        <f t="shared" si="6"/>
        <v>-2599927.1543259644</v>
      </c>
      <c r="Q26" s="41">
        <f t="shared" si="6"/>
        <v>-2856851.9552478977</v>
      </c>
      <c r="R26" s="41">
        <f t="shared" si="6"/>
        <v>-3162592.4683449981</v>
      </c>
    </row>
    <row r="27" spans="2:18" x14ac:dyDescent="0.2">
      <c r="B27" s="49" t="s">
        <v>93</v>
      </c>
      <c r="D27" s="41">
        <f>-D19</f>
        <v>50200</v>
      </c>
      <c r="E27" s="41">
        <f t="shared" ref="E27:H27" si="7">-E19</f>
        <v>50200</v>
      </c>
      <c r="F27" s="41">
        <f t="shared" si="7"/>
        <v>50200</v>
      </c>
      <c r="G27" s="41">
        <f t="shared" si="7"/>
        <v>50200</v>
      </c>
      <c r="H27" s="41">
        <f t="shared" si="7"/>
        <v>50200</v>
      </c>
      <c r="L27" s="63"/>
      <c r="M27" s="63"/>
    </row>
    <row r="28" spans="2:18" x14ac:dyDescent="0.2">
      <c r="B28" s="49" t="s">
        <v>74</v>
      </c>
      <c r="C28" s="3">
        <f>-'INVERSIONES - ACTIVOS'!C17</f>
        <v>-3455000</v>
      </c>
      <c r="L28" s="63"/>
      <c r="M28" s="63"/>
    </row>
    <row r="29" spans="2:18" x14ac:dyDescent="0.2">
      <c r="B29" s="49" t="s">
        <v>75</v>
      </c>
      <c r="C29" s="3">
        <f>-'INVERSIONES - ACTIVOS'!C28</f>
        <v>-251000</v>
      </c>
      <c r="L29" s="63"/>
      <c r="M29" s="63"/>
    </row>
    <row r="30" spans="2:18" x14ac:dyDescent="0.2">
      <c r="B30" s="49" t="s">
        <v>118</v>
      </c>
      <c r="C30" s="3">
        <f>+FINANCIAMIENTO!C4</f>
        <v>4556000</v>
      </c>
      <c r="L30" s="63"/>
      <c r="M30" s="63"/>
    </row>
    <row r="31" spans="2:18" x14ac:dyDescent="0.2">
      <c r="B31" s="49" t="s">
        <v>119</v>
      </c>
      <c r="D31" s="3">
        <f>-FINANCIAMIENTO!K4</f>
        <v>-691941.97535307682</v>
      </c>
      <c r="E31" s="3">
        <f>-FINANCIAMIENTO!L4</f>
        <v>-787452.44334387092</v>
      </c>
      <c r="F31" s="3">
        <f>-FINANCIAMIENTO!M4</f>
        <v>-896146.45825153729</v>
      </c>
      <c r="G31" s="3">
        <f>-FINANCIAMIENTO!N4</f>
        <v>-1019843.7777734847</v>
      </c>
      <c r="H31" s="3">
        <f>-FINANCIAMIENTO!O4</f>
        <v>-1160615.3452780314</v>
      </c>
      <c r="L31" s="63"/>
      <c r="M31" s="63"/>
    </row>
    <row r="32" spans="2:18" x14ac:dyDescent="0.2">
      <c r="B32" s="49" t="s">
        <v>76</v>
      </c>
      <c r="C32" s="3">
        <f>-'INVERSIONES - ACTIVOS'!C38</f>
        <v>-850000</v>
      </c>
      <c r="H32" s="41">
        <f>-C32</f>
        <v>850000</v>
      </c>
      <c r="L32" s="63"/>
      <c r="M32" s="63"/>
    </row>
    <row r="33" spans="2:13" x14ac:dyDescent="0.2">
      <c r="B33" s="49" t="s">
        <v>121</v>
      </c>
      <c r="H33" s="41">
        <f>+'INVERSIONES - ACTIVOS'!H17</f>
        <v>1511500</v>
      </c>
      <c r="L33" s="63"/>
      <c r="M33" s="63"/>
    </row>
    <row r="34" spans="2:13" x14ac:dyDescent="0.2">
      <c r="B34" s="49" t="s">
        <v>122</v>
      </c>
      <c r="D34" s="41"/>
      <c r="E34" s="41"/>
      <c r="F34" s="41"/>
      <c r="G34" s="41"/>
      <c r="H34" s="41">
        <f>+'INVERSIONES - ACTIVOS'!H28</f>
        <v>0</v>
      </c>
    </row>
    <row r="36" spans="2:13" ht="18.75" x14ac:dyDescent="0.25">
      <c r="B36" s="58" t="s">
        <v>123</v>
      </c>
      <c r="C36" s="74">
        <f>+SUM(C24:C35)</f>
        <v>0</v>
      </c>
      <c r="D36" s="74">
        <f>+SUM(D24:D35)</f>
        <v>-617568.7142418155</v>
      </c>
      <c r="E36" s="74">
        <f t="shared" ref="D36:H36" si="8">+SUM(E24:E35)</f>
        <v>-346168.45550638298</v>
      </c>
      <c r="F36" s="74">
        <f>+SUM(F24:F35)</f>
        <v>-173290.32965789572</v>
      </c>
      <c r="G36" s="74">
        <f t="shared" si="8"/>
        <v>34411.635478166514</v>
      </c>
      <c r="H36" s="74">
        <f t="shared" si="8"/>
        <v>2645326.8589443797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Y28"/>
  <sheetViews>
    <sheetView showGridLines="0" tabSelected="1" zoomScale="80" zoomScaleNormal="80" workbookViewId="0">
      <selection activeCell="K31" sqref="K31"/>
    </sheetView>
  </sheetViews>
  <sheetFormatPr defaultColWidth="10.76171875" defaultRowHeight="15" x14ac:dyDescent="0.2"/>
  <cols>
    <col min="2" max="2" width="32.28515625" customWidth="1"/>
    <col min="3" max="8" width="17.75390625" customWidth="1"/>
    <col min="9" max="10" width="3.09375" customWidth="1"/>
    <col min="11" max="11" width="37.26171875" customWidth="1"/>
    <col min="12" max="12" width="13.85546875" style="3" bestFit="1" customWidth="1"/>
    <col min="13" max="13" width="1.74609375" customWidth="1"/>
    <col min="14" max="14" width="9.55078125" customWidth="1"/>
    <col min="15" max="15" width="26.6328125" customWidth="1"/>
    <col min="17" max="17" width="12.5078125" bestFit="1" customWidth="1"/>
  </cols>
  <sheetData>
    <row r="1" spans="2:17" ht="4.5" customHeight="1" x14ac:dyDescent="0.2">
      <c r="O1" s="167" t="s">
        <v>162</v>
      </c>
    </row>
    <row r="2" spans="2:17" ht="4.5" customHeight="1" x14ac:dyDescent="0.2">
      <c r="O2" s="167"/>
    </row>
    <row r="3" spans="2:17" ht="18.75" x14ac:dyDescent="0.25">
      <c r="B3" s="78" t="s">
        <v>124</v>
      </c>
      <c r="C3" s="81">
        <v>0.09</v>
      </c>
      <c r="K3" s="160" t="s">
        <v>131</v>
      </c>
      <c r="L3" s="160"/>
      <c r="O3" s="167"/>
    </row>
    <row r="4" spans="2:17" ht="6" customHeight="1" thickBot="1" x14ac:dyDescent="0.25">
      <c r="D4" s="88">
        <v>1</v>
      </c>
      <c r="E4" s="88">
        <v>2</v>
      </c>
      <c r="F4" s="88">
        <v>3</v>
      </c>
      <c r="G4" s="88">
        <v>4</v>
      </c>
      <c r="H4" s="88">
        <v>5</v>
      </c>
      <c r="O4" s="167"/>
    </row>
    <row r="5" spans="2:17" ht="19.5" thickBot="1" x14ac:dyDescent="0.3">
      <c r="B5" s="93" t="s">
        <v>8</v>
      </c>
      <c r="C5" s="93" t="s">
        <v>65</v>
      </c>
      <c r="D5" s="93" t="s">
        <v>0</v>
      </c>
      <c r="E5" s="93" t="s">
        <v>1</v>
      </c>
      <c r="F5" s="93" t="s">
        <v>2</v>
      </c>
      <c r="G5" s="93" t="s">
        <v>3</v>
      </c>
      <c r="H5" s="93" t="s">
        <v>4</v>
      </c>
      <c r="K5" s="82" t="s">
        <v>160</v>
      </c>
      <c r="L5" s="114">
        <v>0.04</v>
      </c>
      <c r="O5" s="157">
        <f>+'MATERIA PRIMA'!G23/'OFERTA Y DEMANDA'!F4</f>
        <v>8.021356839999999E-2</v>
      </c>
      <c r="Q5" s="80">
        <v>4.4999999999999998E-2</v>
      </c>
    </row>
    <row r="6" spans="2:17" ht="19.5" thickBot="1" x14ac:dyDescent="0.3">
      <c r="B6" s="58" t="s">
        <v>123</v>
      </c>
      <c r="C6" s="74">
        <f>+'FLUJO DE FONDOS'!C36</f>
        <v>0</v>
      </c>
      <c r="D6" s="74">
        <f>+'FLUJO DE FONDOS'!D36</f>
        <v>-617568.7142418155</v>
      </c>
      <c r="E6" s="74">
        <f>+'FLUJO DE FONDOS'!E36</f>
        <v>-346168.45550638298</v>
      </c>
      <c r="F6" s="74">
        <f>+'FLUJO DE FONDOS'!F36</f>
        <v>-173290.32965789572</v>
      </c>
      <c r="G6" s="74">
        <f>+'FLUJO DE FONDOS'!G36</f>
        <v>34411.635478166514</v>
      </c>
      <c r="H6" s="74">
        <f>+'FLUJO DE FONDOS'!H36</f>
        <v>2645326.8589443797</v>
      </c>
      <c r="K6" s="82" t="s">
        <v>132</v>
      </c>
      <c r="L6" s="84">
        <f>+'OFERTA Y DEMANDA'!F4*L5</f>
        <v>5432</v>
      </c>
      <c r="Q6" s="2">
        <v>6111</v>
      </c>
    </row>
    <row r="7" spans="2:17" ht="19.5" thickBot="1" x14ac:dyDescent="0.3">
      <c r="B7" s="58" t="s">
        <v>130</v>
      </c>
      <c r="C7" s="74">
        <f>+C6</f>
        <v>0</v>
      </c>
      <c r="D7" s="74">
        <f>+C7+D6</f>
        <v>-617568.7142418155</v>
      </c>
      <c r="E7" s="74">
        <f t="shared" ref="E7:H7" si="0">+D7+E6</f>
        <v>-963737.16974819847</v>
      </c>
      <c r="F7" s="74">
        <f t="shared" si="0"/>
        <v>-1137027.4994060942</v>
      </c>
      <c r="G7" s="74">
        <f t="shared" si="0"/>
        <v>-1102615.8639279278</v>
      </c>
      <c r="H7" s="74">
        <f t="shared" si="0"/>
        <v>1542710.9950164519</v>
      </c>
      <c r="K7" s="82" t="s">
        <v>133</v>
      </c>
      <c r="L7" s="105">
        <v>0.19</v>
      </c>
      <c r="Q7" s="80">
        <v>0.19</v>
      </c>
    </row>
    <row r="8" spans="2:17" ht="19.5" thickBot="1" x14ac:dyDescent="0.25">
      <c r="K8" s="82" t="s">
        <v>134</v>
      </c>
      <c r="L8" s="86">
        <v>440</v>
      </c>
      <c r="O8" s="80">
        <f>+L8/440-1</f>
        <v>0</v>
      </c>
      <c r="Q8" s="2">
        <v>440</v>
      </c>
    </row>
    <row r="9" spans="2:17" x14ac:dyDescent="0.2">
      <c r="B9" s="109" t="s">
        <v>126</v>
      </c>
      <c r="C9" s="110"/>
      <c r="D9" s="111">
        <f>+D6/POWER(1+$C$3,D4)</f>
        <v>-566576.8020567114</v>
      </c>
      <c r="E9" s="116">
        <f>+E6/POWER(1+$C$3,E4)</f>
        <v>-291363.06329970789</v>
      </c>
      <c r="F9" s="118">
        <f t="shared" ref="F9:G9" si="1">+F6/POWER(1+$C$3,F4)</f>
        <v>-133811.92981616294</v>
      </c>
      <c r="G9" s="117">
        <f t="shared" si="1"/>
        <v>24378.070126718714</v>
      </c>
      <c r="H9" s="111">
        <f>+H6/POWER(1+$C$3,H4)</f>
        <v>1719280.9526459679</v>
      </c>
      <c r="Q9" s="2">
        <v>0</v>
      </c>
    </row>
    <row r="10" spans="2:17" ht="18.75" x14ac:dyDescent="0.2">
      <c r="F10" s="119"/>
      <c r="K10" s="168" t="s">
        <v>135</v>
      </c>
      <c r="L10" s="168"/>
      <c r="Q10" s="2">
        <v>0</v>
      </c>
    </row>
    <row r="11" spans="2:17" ht="19.5" thickBot="1" x14ac:dyDescent="0.3">
      <c r="B11" s="78" t="s">
        <v>125</v>
      </c>
      <c r="C11" s="79">
        <f>+SUM(D9:H9)+C6</f>
        <v>751907.22760010452</v>
      </c>
      <c r="D11" s="15" t="s">
        <v>127</v>
      </c>
      <c r="F11" s="119"/>
      <c r="H11" s="111">
        <f>+H7/POWER(1+$C$3,H4)</f>
        <v>1002656.2956487422</v>
      </c>
      <c r="K11" s="82" t="s">
        <v>95</v>
      </c>
      <c r="L11" s="84">
        <v>4556000</v>
      </c>
      <c r="Q11" s="2">
        <v>3256000</v>
      </c>
    </row>
    <row r="12" spans="2:17" ht="19.5" thickBot="1" x14ac:dyDescent="0.3">
      <c r="B12" s="78"/>
      <c r="C12" s="76"/>
      <c r="D12" s="15"/>
      <c r="F12" s="119"/>
      <c r="K12" s="82" t="s">
        <v>96</v>
      </c>
      <c r="L12" s="85">
        <v>0.13</v>
      </c>
      <c r="Q12" s="80">
        <v>0.3</v>
      </c>
    </row>
    <row r="13" spans="2:17" ht="19.5" thickBot="1" x14ac:dyDescent="0.3">
      <c r="B13" s="78" t="s">
        <v>125</v>
      </c>
      <c r="C13" s="79">
        <f>NPV(C3,D6:H6)+C6</f>
        <v>751907.22760010452</v>
      </c>
      <c r="D13" s="15" t="s">
        <v>128</v>
      </c>
      <c r="F13" s="120"/>
      <c r="H13" s="41"/>
      <c r="K13" s="82" t="s">
        <v>98</v>
      </c>
      <c r="L13" s="86">
        <v>60</v>
      </c>
      <c r="Q13" s="2">
        <v>60</v>
      </c>
    </row>
    <row r="14" spans="2:17" ht="19.5" thickBot="1" x14ac:dyDescent="0.25">
      <c r="K14" s="82" t="s">
        <v>161</v>
      </c>
      <c r="L14" s="85">
        <v>0.35</v>
      </c>
      <c r="Q14" s="2">
        <v>0.35</v>
      </c>
    </row>
    <row r="15" spans="2:17" ht="18.75" x14ac:dyDescent="0.25">
      <c r="B15" s="78" t="s">
        <v>129</v>
      </c>
      <c r="C15" s="77">
        <f>IRR(C6:H6)</f>
        <v>0.28296887289997397</v>
      </c>
      <c r="F15" s="3"/>
      <c r="H15" s="124"/>
      <c r="L15"/>
      <c r="Q15" s="2">
        <v>0</v>
      </c>
    </row>
    <row r="16" spans="2:17" ht="19.5" thickBot="1" x14ac:dyDescent="0.25">
      <c r="K16" s="168" t="s">
        <v>136</v>
      </c>
      <c r="L16" s="168"/>
      <c r="Q16" s="2">
        <v>0</v>
      </c>
    </row>
    <row r="17" spans="4:25" ht="19.5" thickBot="1" x14ac:dyDescent="0.25">
      <c r="K17" s="82" t="s">
        <v>137</v>
      </c>
      <c r="L17" s="103">
        <f t="shared" ref="L17:L24" si="2">+Y17/$Y$26</f>
        <v>0.23823342321260896</v>
      </c>
      <c r="N17" s="164">
        <f>+SUM(L17:L19)</f>
        <v>0.61000898707213425</v>
      </c>
      <c r="Q17" s="80">
        <v>0.25812770468682023</v>
      </c>
      <c r="Y17" s="95">
        <f>+'FLUJO DE FONDOS'!D12</f>
        <v>-524731.19999999995</v>
      </c>
    </row>
    <row r="18" spans="4:25" ht="19.5" thickBot="1" x14ac:dyDescent="0.25">
      <c r="D18" s="62"/>
      <c r="K18" s="82" t="s">
        <v>138</v>
      </c>
      <c r="L18" s="103">
        <f t="shared" si="2"/>
        <v>0.19530172048459138</v>
      </c>
      <c r="N18" s="165"/>
      <c r="Q18" s="80">
        <v>0.1880985618605166</v>
      </c>
      <c r="Y18" s="95">
        <f>+'FLUJO DE FONDOS'!D14</f>
        <v>-430170.144768</v>
      </c>
    </row>
    <row r="19" spans="4:25" ht="19.5" thickBot="1" x14ac:dyDescent="0.25">
      <c r="K19" s="82" t="s">
        <v>140</v>
      </c>
      <c r="L19" s="104">
        <f t="shared" si="2"/>
        <v>0.17647384337493391</v>
      </c>
      <c r="N19" s="166"/>
      <c r="Q19" s="80">
        <v>0.15422354055738588</v>
      </c>
      <c r="Y19" s="95">
        <f>+'FLUJO DE FONDOS'!D18</f>
        <v>-388700</v>
      </c>
    </row>
    <row r="20" spans="4:25" ht="19.5" thickBot="1" x14ac:dyDescent="0.25">
      <c r="K20" s="97" t="s">
        <v>139</v>
      </c>
      <c r="L20" s="104">
        <f t="shared" si="2"/>
        <v>8.8107074712408473E-2</v>
      </c>
      <c r="N20" s="164">
        <f>+SUM(L20:L22)</f>
        <v>0.38999101292786587</v>
      </c>
      <c r="Q20" s="80">
        <v>8.4857491280772718E-2</v>
      </c>
      <c r="Y20" s="95">
        <f>+'FLUJO DE FONDOS'!D16</f>
        <v>-194064</v>
      </c>
    </row>
    <row r="21" spans="4:25" ht="19.5" thickBot="1" x14ac:dyDescent="0.25">
      <c r="K21" s="82" t="s">
        <v>70</v>
      </c>
      <c r="L21" s="104">
        <f t="shared" si="2"/>
        <v>0.27909261601987806</v>
      </c>
      <c r="N21" s="165"/>
      <c r="Q21" s="80">
        <v>0.29274197369848309</v>
      </c>
      <c r="Y21" s="95">
        <f>+'FLUJO DE FONDOS'!D15</f>
        <v>-614727.36</v>
      </c>
    </row>
    <row r="22" spans="4:25" ht="19.5" thickBot="1" x14ac:dyDescent="0.25">
      <c r="K22" s="98" t="s">
        <v>141</v>
      </c>
      <c r="L22" s="104">
        <f t="shared" si="2"/>
        <v>2.2791322195579319E-2</v>
      </c>
      <c r="N22" s="166"/>
      <c r="Q22" s="80">
        <v>2.1950727916021467E-2</v>
      </c>
      <c r="Y22" s="95">
        <f>+'FLUJO DE FONDOS'!D19</f>
        <v>-50200</v>
      </c>
    </row>
    <row r="23" spans="4:25" ht="19.5" thickBot="1" x14ac:dyDescent="0.25">
      <c r="K23" s="82" t="s">
        <v>142</v>
      </c>
      <c r="L23" s="104">
        <f t="shared" si="2"/>
        <v>0</v>
      </c>
      <c r="Q23" s="2">
        <v>0</v>
      </c>
      <c r="Y23" s="95"/>
    </row>
    <row r="24" spans="4:25" ht="18.75" x14ac:dyDescent="0.2">
      <c r="K24" s="82" t="s">
        <v>143</v>
      </c>
      <c r="L24" s="104">
        <f t="shared" si="2"/>
        <v>0</v>
      </c>
      <c r="Q24" s="2">
        <f t="shared" ref="Q24" si="3">+L24</f>
        <v>0</v>
      </c>
      <c r="Y24" s="95"/>
    </row>
    <row r="25" spans="4:25" ht="15.75" thickBot="1" x14ac:dyDescent="0.25"/>
    <row r="26" spans="4:25" ht="18.75" x14ac:dyDescent="0.2">
      <c r="K26" s="82" t="s">
        <v>163</v>
      </c>
      <c r="L26" s="122" t="s">
        <v>164</v>
      </c>
      <c r="Y26" s="96">
        <f>+SUM(Y17:Y24)</f>
        <v>-2202592.7047679997</v>
      </c>
    </row>
    <row r="28" spans="4:25" x14ac:dyDescent="0.2">
      <c r="Y28" s="41">
        <f>+Y26/L6</f>
        <v>-405.48466582621495</v>
      </c>
    </row>
  </sheetData>
  <mergeCells count="6">
    <mergeCell ref="N20:N22"/>
    <mergeCell ref="O1:O4"/>
    <mergeCell ref="K3:L3"/>
    <mergeCell ref="K10:L10"/>
    <mergeCell ref="K16:L16"/>
    <mergeCell ref="N17:N19"/>
  </mergeCells>
  <conditionalFormatting sqref="D7:H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:N2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dataValidations count="2">
    <dataValidation type="list" allowBlank="1" showInputMessage="1" showErrorMessage="1" sqref="L13" xr:uid="{00000000-0002-0000-0800-000000000000}">
      <formula1>"12,24,36,48,60"</formula1>
    </dataValidation>
    <dataValidation type="list" allowBlank="1" showInputMessage="1" showErrorMessage="1" sqref="L26" xr:uid="{00000000-0002-0000-0800-000001000000}">
      <formula1>"SI,NO"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OFERTA Y DEMANDA</vt:lpstr>
      <vt:lpstr>MATERIA PRIMA</vt:lpstr>
      <vt:lpstr>MANO DE OBRA</vt:lpstr>
      <vt:lpstr>COSTOS FIJOS</vt:lpstr>
      <vt:lpstr>INVERSIONES - ACTIVOS</vt:lpstr>
      <vt:lpstr>FINANCIAMIENTO</vt:lpstr>
      <vt:lpstr>FLUJO DE FONDOS</vt:lpstr>
      <vt:lpstr>INDICADORES</vt:lpstr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2025-10-31T23:49:10Z</dcterms:modified>
</cp:coreProperties>
</file>