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xr:revisionPtr revIDLastSave="0" documentId="8_{40078323-C5E8-48A4-931A-433A53139B20}" xr6:coauthVersionLast="47" xr6:coauthVersionMax="47" xr10:uidLastSave="{00000000-0000-0000-0000-000000000000}"/>
  <bookViews>
    <workbookView xWindow="-108" yWindow="-108" windowWidth="23256" windowHeight="12576"/>
  </bookViews>
  <sheets>
    <sheet name="LBOSHELL" sheetId="1" r:id="rId1"/>
  </sheets>
  <definedNames>
    <definedName name="__123Graph_A" localSheetId="0" hidden="1">LBOSHELL!$I$310:$S$310</definedName>
    <definedName name="__123Graph_ATERMLOAN" localSheetId="0" hidden="1">LBOSHELL!$I$310:$S$310</definedName>
    <definedName name="__123Graph_B" localSheetId="0" hidden="1">LBOSHELL!$I$312:$S$312</definedName>
    <definedName name="__123Graph_C" localSheetId="0" hidden="1">LBOSHELL!$I$311:$S$311</definedName>
    <definedName name="__123Graph_X" localSheetId="0" hidden="1">LBOSHELL!$I$270:$S$270</definedName>
    <definedName name="_Table2_In1" localSheetId="0" hidden="1">LBOSHELL!$H$930</definedName>
    <definedName name="_Table2_In2" localSheetId="0" hidden="1">LBOSHELL!$G$919</definedName>
    <definedName name="_Table2_Out" localSheetId="0" hidden="1">LBOSHELL!$O$1210:$S$1215</definedName>
    <definedName name="A">LBOSHELL!$D$92</definedName>
    <definedName name="ACCRETE">LBOSHELL!#REF!</definedName>
    <definedName name="ACRS">LBOSHELL!$C$784:$T$910</definedName>
    <definedName name="AFEE">LBOSHELL!$G$45</definedName>
    <definedName name="amort">LBOSHELL!$H$1378</definedName>
    <definedName name="_xlnm.Print_Area" localSheetId="0">LBOSHELL!$D$33:$S$487,LBOSHELL!$D$910:$S$1362</definedName>
    <definedName name="ass">LBOSHELL!$D$1365</definedName>
    <definedName name="backup">LBOSHELL!$D$488:$S$910</definedName>
    <definedName name="bdep">LBOSHELL!$D$114</definedName>
    <definedName name="BS">LBOSHELL!$D$268</definedName>
    <definedName name="Capex">LBOSHELL!$D$1535</definedName>
    <definedName name="capnumber">LBOSHELL!$G$1383</definedName>
    <definedName name="capx">LBOSHELL!$D$117</definedName>
    <definedName name="case">LBOSHELL!$D$1381</definedName>
    <definedName name="casenumber">LBOSHELL!$G$1382</definedName>
    <definedName name="CBS">LBOSHELL!$C$178:$T$221</definedName>
    <definedName name="ccase">LBOSHELL!$G$1383</definedName>
    <definedName name="CF">LBOSHELL!$D$330</definedName>
    <definedName name="CLOSBS">LBOSHELL!$D$177</definedName>
    <definedName name="CN">LBOSHELL!$G$1383</definedName>
    <definedName name="cogs">LBOSHELL!$D$100</definedName>
    <definedName name="cov">LBOSHELL!$F$36</definedName>
    <definedName name="debt">LBOSHELL!$D$1404</definedName>
    <definedName name="Debt_5..........................................................................................................................">LBOSHELL!$D$391</definedName>
    <definedName name="Debt_Space">LBOSHELL!$K$1404</definedName>
    <definedName name="debtamort">LBOSHELL!$D$1439</definedName>
    <definedName name="debtrig">LBOSHELL!$D$1402</definedName>
    <definedName name="DEP">LBOSHELL!$D$677</definedName>
    <definedName name="depr">LBOSHELL!$D$1391</definedName>
    <definedName name="depr._override">LBOSHELL!$G$1392</definedName>
    <definedName name="ds">LBOSHELL!$D$572</definedName>
    <definedName name="dsched">LBOSHELL!$D$1534</definedName>
    <definedName name="ebdait">LBOSHELL!$D$109</definedName>
    <definedName name="EQ_COM">LBOSHELL!$G$919</definedName>
    <definedName name="EQ_EX">LBOSHELL!$G$922</definedName>
    <definedName name="EQ_JSD">LBOSHELL!$G$921</definedName>
    <definedName name="EQ_PREF">LBOSHELL!$G$923</definedName>
    <definedName name="EQ_PRFD">LBOSHELL!$G$923</definedName>
    <definedName name="EQ_SSN">LBOSHELL!$G$920</definedName>
    <definedName name="eqb">LBOSHELL!$F$939</definedName>
    <definedName name="equity">LBOSHELL!$J$55</definedName>
    <definedName name="evergreen_ar">LBOSHELL!$P$1411</definedName>
    <definedName name="evergreen_inv">LBOSHELL!$Q$1411</definedName>
    <definedName name="EXPP">LBOSHELL!$D$939:$L$963</definedName>
    <definedName name="fedtax">LBOSHELL!$G$1436</definedName>
    <definedName name="FEE">LBOSHELL!$F$45</definedName>
    <definedName name="fye">LBOSHELL!$H$1372</definedName>
    <definedName name="G.Assumptions">LBOSHELL!$D$92</definedName>
    <definedName name="G.BalanceSheet">LBOSHELL!$D$268</definedName>
    <definedName name="G.BookDeprec">LBOSHELL!$D$677</definedName>
    <definedName name="G.CashFlow">LBOSHELL!$D$330</definedName>
    <definedName name="G.CloseBalSheet">LBOSHELL!$D$177</definedName>
    <definedName name="G.ControlPanel">LBOSHELL!$D$1</definedName>
    <definedName name="G.Debt">LBOSHELL!$D$572</definedName>
    <definedName name="G.DebtTables">LBOSHELL!$D$572</definedName>
    <definedName name="G.EquitySplit">LBOSHELL!$D$910</definedName>
    <definedName name="G.IncomeStmt">LBOSHELL!$D$222</definedName>
    <definedName name="G.Inputs">LBOSHELL!$D$1365</definedName>
    <definedName name="G.IntRates">LBOSHELL!$D$138</definedName>
    <definedName name="G.TaxDeprec">LBOSHELL!$D$784</definedName>
    <definedName name="G.Triggers">LBOSHELL!$D$1381</definedName>
    <definedName name="grossp">LBOSHELL!$D$103</definedName>
    <definedName name="gw">LBOSHELL!$D$207</definedName>
    <definedName name="INCOME">LBOSHELL!$D$222</definedName>
    <definedName name="int.switch">LBOSHELL!$G$1389</definedName>
    <definedName name="irass">LBOSHELL!$D$138</definedName>
    <definedName name="is">LBOSHELL!$D$222</definedName>
    <definedName name="lastdebt">LBOSHELL!$D$1416</definedName>
    <definedName name="lastpref">LBOSHELL!$D$1418</definedName>
    <definedName name="look">LBOSHELL!$D$1449</definedName>
    <definedName name="lookup">LBOSHELL!$J$1451</definedName>
    <definedName name="mult">LBOSHELL!$H$1375</definedName>
    <definedName name="notes">LBOSHELL!$U$1</definedName>
    <definedName name="ocase">LBOSHELL!$G$1382</definedName>
    <definedName name="ON">LBOSHELL!$G$1382</definedName>
    <definedName name="owner">LBOSHELL!$D$1393</definedName>
    <definedName name="P.Assumptions">LBOSHELL!$D$92:$S$137</definedName>
    <definedName name="P.Backup">LBOSHELL!$D$488:$S$909</definedName>
    <definedName name="P.BalanceSheet">LBOSHELL!$D$268:$S$329</definedName>
    <definedName name="P.Base">LBOSHELL!$D$33:$S$487</definedName>
    <definedName name="P.CashFlow">LBOSHELL!$D$330:$S$396</definedName>
    <definedName name="P.CloseBalSheet">LBOSHELL!$D$177:$S$221</definedName>
    <definedName name="P.ControlPanel">LBOSHELL!$D$1:$S$27</definedName>
    <definedName name="P.Cover">LBOSHELL!$D$33:$S$90</definedName>
    <definedName name="P.Debt">LBOSHELL!$D$572:$S$676</definedName>
    <definedName name="P.IncomeStmt">LBOSHELL!$D$222:$S$267</definedName>
    <definedName name="P.Inputs">LBOSHELL!$D$1365:$S$1579</definedName>
    <definedName name="P.IntRates">LBOSHELL!$D$139:$S$176</definedName>
    <definedName name="p.ratio">LBOSHELL!$D$397:$S$444</definedName>
    <definedName name="P.Returns">LBOSHELL!$D$910:$S$1362</definedName>
    <definedName name="paige">LBOSHELL!$A$879</definedName>
    <definedName name="part">LBOSHELL!$D$33:$S$487</definedName>
    <definedName name="Pref_Space">LBOSHELL!$K$1405</definedName>
    <definedName name="project">LBOSHELL!$H$1366</definedName>
    <definedName name="PROMOTE">LBOSHELL!$H$934</definedName>
    <definedName name="rate">LBOSHELL!$D$397</definedName>
    <definedName name="rateinput">LBOSHELL!$D$1419</definedName>
    <definedName name="Ratio">LBOSHELL!$D$397</definedName>
    <definedName name="REPAY">LBOSHELL!$D$572</definedName>
    <definedName name="RETDT">LBOSHELL!$D$1180</definedName>
    <definedName name="RETURN">LBOSHELL!$D$910</definedName>
    <definedName name="RETURNS">LBOSHELL!$C$911:$T$1362</definedName>
    <definedName name="sales">LBOSHELL!$D$97</definedName>
    <definedName name="scenario.1">LBOSHELL!$G$1382</definedName>
    <definedName name="scenario.2">LBOSHELL!$G$1383</definedName>
    <definedName name="scenario.3">LBOSHELL!$G$1384</definedName>
    <definedName name="scenario.4">LBOSHELL!$G$1385</definedName>
    <definedName name="sga">LBOSHELL!$D$106</definedName>
    <definedName name="sponsor">LBOSHELL!$H$1370</definedName>
    <definedName name="step">LBOSHELL!$H$1376</definedName>
    <definedName name="step2">LBOSHELL!$H$1377</definedName>
    <definedName name="stub">LBOSHELL!$H$1374</definedName>
    <definedName name="su">LBOSHELL!$D$1489</definedName>
    <definedName name="_TAB1">LBOSHELL!$G$1203:$K$1208</definedName>
    <definedName name="_TAB2">LBOSHELL!$G$1220:$J$1224</definedName>
    <definedName name="_TAB3">LBOSHELL!$G$1311:$J$1361</definedName>
    <definedName name="_TAB4">LBOSHELL!$P$1211:$S$1215</definedName>
    <definedName name="_TAB5">LBOSHELL!$P$1227:$S$1306</definedName>
    <definedName name="TABL_COM">LBOSHELL!$O$1210:$S$1215</definedName>
    <definedName name="TABL_EX">LBOSHELL!$F$1310:$J$1361</definedName>
    <definedName name="TABL_JSD">LBOSHELL!$F$1219:$J$1224</definedName>
    <definedName name="TABL_PRFD">LBOSHELL!$O$1226:$S$1306</definedName>
    <definedName name="TABL_SSN">LBOSHELL!$F$1202:$K$1208</definedName>
    <definedName name="TAX">LBOSHELL!$D$488</definedName>
    <definedName name="taxdep">LBOSHELL!$H$784</definedName>
    <definedName name="tcase">LBOSHELL!$G$1384</definedName>
    <definedName name="tdep">LBOSHELL!$D$115</definedName>
    <definedName name="term_cf">LBOSHELL!$N$941</definedName>
    <definedName name="term_eq">LBOSHELL!$N$955</definedName>
    <definedName name="top">LBOSHELL!$D$33</definedName>
    <definedName name="tp">LBOSHELL!$G$1581</definedName>
    <definedName name="trig1">LBOSHELL!$G$1384</definedName>
    <definedName name="trig2">LBOSHELL!$G$1385</definedName>
    <definedName name="trig3">LBOSHELL!$G$1386</definedName>
    <definedName name="trig4">LBOSHELL!$G$1387</definedName>
    <definedName name="trig5">LBOSHELL!$G$1388</definedName>
    <definedName name="ttcase">LBOSHELL!$G$1385</definedName>
    <definedName name="wcint">LBOSHELL!$G$1390</definedName>
    <definedName name="year">LBOSHELL!$H$1371</definedName>
  </definedNames>
  <calcPr calcId="0"/>
</workbook>
</file>

<file path=xl/calcChain.xml><?xml version="1.0" encoding="utf-8"?>
<calcChain xmlns="http://schemas.openxmlformats.org/spreadsheetml/2006/main">
  <c r="K4" i="1" l="1"/>
  <c r="K5" i="1"/>
  <c r="M5" i="1"/>
  <c r="O5" i="1"/>
  <c r="P5" i="1"/>
  <c r="Q5" i="1"/>
  <c r="M6" i="1"/>
  <c r="O6" i="1"/>
  <c r="P6" i="1"/>
  <c r="Q6" i="1"/>
  <c r="M7" i="1"/>
  <c r="O7" i="1"/>
  <c r="P7" i="1"/>
  <c r="Q7" i="1"/>
  <c r="B8" i="1"/>
  <c r="I8" i="1"/>
  <c r="M8" i="1"/>
  <c r="O8" i="1"/>
  <c r="P8" i="1"/>
  <c r="Q8" i="1"/>
  <c r="I9" i="1"/>
  <c r="M9" i="1"/>
  <c r="O9" i="1"/>
  <c r="P9" i="1"/>
  <c r="Q9" i="1"/>
  <c r="M10" i="1"/>
  <c r="O10" i="1"/>
  <c r="P10" i="1"/>
  <c r="Q10" i="1"/>
  <c r="R10" i="1"/>
  <c r="S10" i="1"/>
  <c r="F11" i="1"/>
  <c r="G11" i="1"/>
  <c r="K12" i="1"/>
  <c r="M12" i="1"/>
  <c r="O12" i="1"/>
  <c r="P12" i="1"/>
  <c r="Q12" i="1"/>
  <c r="R12" i="1"/>
  <c r="S12" i="1"/>
  <c r="K13" i="1"/>
  <c r="M13" i="1"/>
  <c r="O13" i="1"/>
  <c r="P13" i="1"/>
  <c r="Q13" i="1"/>
  <c r="R13" i="1"/>
  <c r="S13" i="1"/>
  <c r="K14" i="1"/>
  <c r="M14" i="1"/>
  <c r="O14" i="1"/>
  <c r="P14" i="1"/>
  <c r="Q14" i="1"/>
  <c r="R14" i="1"/>
  <c r="S14" i="1"/>
  <c r="K15" i="1"/>
  <c r="M15" i="1"/>
  <c r="O15" i="1"/>
  <c r="P15" i="1"/>
  <c r="Q15" i="1"/>
  <c r="R15" i="1"/>
  <c r="S15" i="1"/>
  <c r="K16" i="1"/>
  <c r="M16" i="1"/>
  <c r="O16" i="1"/>
  <c r="P16" i="1"/>
  <c r="Q16" i="1"/>
  <c r="R16" i="1"/>
  <c r="S16" i="1"/>
  <c r="K17" i="1"/>
  <c r="M17" i="1"/>
  <c r="O17" i="1"/>
  <c r="P17" i="1"/>
  <c r="Q17" i="1"/>
  <c r="R17" i="1"/>
  <c r="S17" i="1"/>
  <c r="K18" i="1"/>
  <c r="M18" i="1"/>
  <c r="O18" i="1"/>
  <c r="P18" i="1"/>
  <c r="Q18" i="1"/>
  <c r="E33" i="1"/>
  <c r="H34" i="1"/>
  <c r="B36" i="1"/>
  <c r="B37" i="1"/>
  <c r="D37" i="1"/>
  <c r="E37" i="1"/>
  <c r="B38" i="1"/>
  <c r="D38" i="1"/>
  <c r="E38" i="1"/>
  <c r="B39" i="1"/>
  <c r="D39" i="1"/>
  <c r="E39" i="1"/>
  <c r="D40" i="1"/>
  <c r="E40" i="1"/>
  <c r="D41" i="1"/>
  <c r="E41" i="1"/>
  <c r="D42" i="1"/>
  <c r="D44" i="1"/>
  <c r="Q44" i="1"/>
  <c r="D45" i="1"/>
  <c r="H45" i="1"/>
  <c r="Q45" i="1"/>
  <c r="H46" i="1"/>
  <c r="Q46" i="1"/>
  <c r="D47" i="1"/>
  <c r="H47" i="1"/>
  <c r="C48" i="1"/>
  <c r="C48" i="1" a="1"/>
  <c r="H48" i="1"/>
  <c r="L48" i="1"/>
  <c r="N48" i="1"/>
  <c r="B49" i="1"/>
  <c r="C49" i="1"/>
  <c r="C49" i="1" a="1"/>
  <c r="D49" i="1"/>
  <c r="H49" i="1"/>
  <c r="L49" i="1"/>
  <c r="N49" i="1"/>
  <c r="Q49" i="1"/>
  <c r="C50" i="1"/>
  <c r="C50" i="1" a="1"/>
  <c r="D50" i="1"/>
  <c r="H50" i="1"/>
  <c r="L50" i="1"/>
  <c r="N50" i="1"/>
  <c r="Q50" i="1"/>
  <c r="C51" i="1"/>
  <c r="C51" i="1" a="1"/>
  <c r="D51" i="1"/>
  <c r="H51" i="1"/>
  <c r="L51" i="1"/>
  <c r="N51" i="1"/>
  <c r="B52" i="1"/>
  <c r="C52" i="1"/>
  <c r="C52" i="1" a="1"/>
  <c r="D52" i="1"/>
  <c r="H52" i="1"/>
  <c r="L52" i="1"/>
  <c r="N52" i="1"/>
  <c r="C53" i="1"/>
  <c r="C53" i="1" a="1"/>
  <c r="D53" i="1"/>
  <c r="H53" i="1"/>
  <c r="L53" i="1"/>
  <c r="N53" i="1"/>
  <c r="C54" i="1"/>
  <c r="C54" i="1" a="1"/>
  <c r="H54" i="1"/>
  <c r="L54" i="1"/>
  <c r="N54" i="1"/>
  <c r="S54" i="1"/>
  <c r="D55" i="1"/>
  <c r="H55" i="1"/>
  <c r="L55" i="1"/>
  <c r="S55" i="1"/>
  <c r="L57" i="1"/>
  <c r="Q57" i="1"/>
  <c r="S57" i="1"/>
  <c r="Q58" i="1"/>
  <c r="S58" i="1"/>
  <c r="Q59" i="1"/>
  <c r="S59" i="1"/>
  <c r="S60" i="1"/>
  <c r="G64" i="1"/>
  <c r="N64" i="1"/>
  <c r="Q64" i="1"/>
  <c r="F65" i="1"/>
  <c r="G65" i="1"/>
  <c r="H65" i="1"/>
  <c r="I65" i="1"/>
  <c r="J65" i="1"/>
  <c r="K65" i="1"/>
  <c r="N66" i="1"/>
  <c r="O66" i="1"/>
  <c r="Q66" i="1"/>
  <c r="R66" i="1"/>
  <c r="S66" i="1"/>
  <c r="D67" i="1"/>
  <c r="D68" i="1"/>
  <c r="M68" i="1"/>
  <c r="Q68" i="1"/>
  <c r="R68" i="1"/>
  <c r="S68" i="1"/>
  <c r="D69" i="1"/>
  <c r="M69" i="1"/>
  <c r="Q69" i="1"/>
  <c r="R69" i="1"/>
  <c r="S69" i="1"/>
  <c r="M70" i="1"/>
  <c r="Q70" i="1"/>
  <c r="R70" i="1"/>
  <c r="S70" i="1"/>
  <c r="M71" i="1"/>
  <c r="Q71" i="1"/>
  <c r="R71" i="1"/>
  <c r="S71" i="1"/>
  <c r="D72" i="1"/>
  <c r="M72" i="1"/>
  <c r="Q72" i="1"/>
  <c r="R72" i="1"/>
  <c r="S72" i="1"/>
  <c r="D73" i="1"/>
  <c r="D74" i="1"/>
  <c r="O76" i="1"/>
  <c r="N77" i="1"/>
  <c r="O77" i="1"/>
  <c r="P77" i="1"/>
  <c r="Q77" i="1"/>
  <c r="R77" i="1"/>
  <c r="S77" i="1"/>
  <c r="N78" i="1"/>
  <c r="N79" i="1"/>
  <c r="G80" i="1"/>
  <c r="H80" i="1"/>
  <c r="I80" i="1"/>
  <c r="J80" i="1"/>
  <c r="K80" i="1"/>
  <c r="N81" i="1"/>
  <c r="N82" i="1"/>
  <c r="G84" i="1"/>
  <c r="H84" i="1"/>
  <c r="I84" i="1"/>
  <c r="J84" i="1"/>
  <c r="K84" i="1"/>
  <c r="N84" i="1"/>
  <c r="N85" i="1"/>
  <c r="N86" i="1"/>
  <c r="B88" i="1"/>
  <c r="N89" i="1"/>
  <c r="O89" i="1"/>
  <c r="P89" i="1"/>
  <c r="Q89" i="1"/>
  <c r="R89" i="1"/>
  <c r="S89" i="1"/>
  <c r="N90" i="1"/>
  <c r="O90" i="1"/>
  <c r="P90" i="1"/>
  <c r="Q90" i="1"/>
  <c r="R90" i="1"/>
  <c r="S90" i="1"/>
  <c r="E93" i="1"/>
  <c r="J93" i="1"/>
  <c r="L93" i="1"/>
  <c r="E94" i="1"/>
  <c r="F94" i="1"/>
  <c r="G94" i="1"/>
  <c r="H94" i="1"/>
  <c r="I94" i="1"/>
  <c r="J94" i="1"/>
  <c r="K94" i="1"/>
  <c r="L94" i="1"/>
  <c r="M94" i="1"/>
  <c r="N94" i="1"/>
  <c r="O94" i="1"/>
  <c r="P94" i="1"/>
  <c r="Q94" i="1"/>
  <c r="R94" i="1"/>
  <c r="S94" i="1"/>
  <c r="F98" i="1"/>
  <c r="G98" i="1"/>
  <c r="H98" i="1"/>
  <c r="I98" i="1"/>
  <c r="E101" i="1"/>
  <c r="F101" i="1"/>
  <c r="G101" i="1"/>
  <c r="H101" i="1"/>
  <c r="I101" i="1"/>
  <c r="E103" i="1"/>
  <c r="F103" i="1"/>
  <c r="G103" i="1"/>
  <c r="H103" i="1"/>
  <c r="I103" i="1"/>
  <c r="E104" i="1"/>
  <c r="F104" i="1"/>
  <c r="G104" i="1"/>
  <c r="H104" i="1"/>
  <c r="I104" i="1"/>
  <c r="E107" i="1"/>
  <c r="F107" i="1"/>
  <c r="G107" i="1"/>
  <c r="H107" i="1"/>
  <c r="I107" i="1"/>
  <c r="E109" i="1"/>
  <c r="F109" i="1"/>
  <c r="G109" i="1"/>
  <c r="H109" i="1"/>
  <c r="I109" i="1"/>
  <c r="E110" i="1"/>
  <c r="F110" i="1"/>
  <c r="G110" i="1"/>
  <c r="H110" i="1"/>
  <c r="I110" i="1"/>
  <c r="F111" i="1"/>
  <c r="G111" i="1"/>
  <c r="H111" i="1"/>
  <c r="I111" i="1"/>
  <c r="J114" i="1"/>
  <c r="K114" i="1"/>
  <c r="L114" i="1"/>
  <c r="M114" i="1"/>
  <c r="N114" i="1"/>
  <c r="O114" i="1"/>
  <c r="P114" i="1"/>
  <c r="Q114" i="1"/>
  <c r="R114" i="1"/>
  <c r="S114" i="1"/>
  <c r="J115" i="1"/>
  <c r="K115" i="1"/>
  <c r="L115" i="1"/>
  <c r="M115" i="1"/>
  <c r="N115" i="1"/>
  <c r="O115" i="1"/>
  <c r="P115" i="1"/>
  <c r="Q115" i="1"/>
  <c r="R115" i="1"/>
  <c r="S115" i="1"/>
  <c r="J117" i="1"/>
  <c r="K117" i="1"/>
  <c r="L117" i="1"/>
  <c r="M117" i="1"/>
  <c r="N117" i="1"/>
  <c r="O117" i="1"/>
  <c r="P117" i="1"/>
  <c r="Q117" i="1"/>
  <c r="R117" i="1"/>
  <c r="S117" i="1"/>
  <c r="J118" i="1"/>
  <c r="K118" i="1"/>
  <c r="L118" i="1"/>
  <c r="M118" i="1"/>
  <c r="N118" i="1"/>
  <c r="O118" i="1"/>
  <c r="P118" i="1"/>
  <c r="Q118" i="1"/>
  <c r="R118" i="1"/>
  <c r="S118" i="1"/>
  <c r="J122" i="1"/>
  <c r="D123" i="1"/>
  <c r="I123" i="1"/>
  <c r="J123" i="1"/>
  <c r="K123" i="1"/>
  <c r="L123" i="1"/>
  <c r="M123" i="1"/>
  <c r="N123" i="1"/>
  <c r="O123" i="1"/>
  <c r="P123" i="1"/>
  <c r="Q123" i="1"/>
  <c r="R123" i="1"/>
  <c r="S123" i="1"/>
  <c r="I124" i="1"/>
  <c r="D125" i="1"/>
  <c r="I125" i="1"/>
  <c r="J125" i="1"/>
  <c r="K125" i="1"/>
  <c r="L125" i="1"/>
  <c r="M125" i="1"/>
  <c r="N125" i="1"/>
  <c r="O125" i="1"/>
  <c r="P125" i="1"/>
  <c r="Q125" i="1"/>
  <c r="R125" i="1"/>
  <c r="S125" i="1"/>
  <c r="I126" i="1"/>
  <c r="D127" i="1"/>
  <c r="I127" i="1"/>
  <c r="J127" i="1"/>
  <c r="K127" i="1"/>
  <c r="L127" i="1"/>
  <c r="M127" i="1"/>
  <c r="N127" i="1"/>
  <c r="O127" i="1"/>
  <c r="P127" i="1"/>
  <c r="Q127" i="1"/>
  <c r="R127" i="1"/>
  <c r="S127" i="1"/>
  <c r="D129" i="1"/>
  <c r="I129" i="1"/>
  <c r="J129" i="1"/>
  <c r="K129" i="1"/>
  <c r="L129" i="1"/>
  <c r="M129" i="1"/>
  <c r="N129" i="1"/>
  <c r="O129" i="1"/>
  <c r="P129" i="1"/>
  <c r="Q129" i="1"/>
  <c r="R129" i="1"/>
  <c r="S129" i="1"/>
  <c r="I130" i="1"/>
  <c r="D131" i="1"/>
  <c r="I131" i="1"/>
  <c r="J131" i="1"/>
  <c r="K131" i="1"/>
  <c r="L131" i="1"/>
  <c r="M131" i="1"/>
  <c r="N131" i="1"/>
  <c r="O131" i="1"/>
  <c r="P131" i="1"/>
  <c r="Q131" i="1"/>
  <c r="R131" i="1"/>
  <c r="S131" i="1"/>
  <c r="D132" i="1"/>
  <c r="I132" i="1"/>
  <c r="J132" i="1"/>
  <c r="K132" i="1"/>
  <c r="L132" i="1"/>
  <c r="M132" i="1"/>
  <c r="N132" i="1"/>
  <c r="O132" i="1"/>
  <c r="P132" i="1"/>
  <c r="Q132" i="1"/>
  <c r="R132" i="1"/>
  <c r="S132" i="1"/>
  <c r="D133" i="1"/>
  <c r="D134" i="1"/>
  <c r="I134" i="1"/>
  <c r="J134" i="1"/>
  <c r="K134" i="1"/>
  <c r="L134" i="1"/>
  <c r="M134" i="1"/>
  <c r="N134" i="1"/>
  <c r="O134" i="1"/>
  <c r="P134" i="1"/>
  <c r="Q134" i="1"/>
  <c r="R134" i="1"/>
  <c r="S134" i="1"/>
  <c r="J139" i="1"/>
  <c r="J140" i="1"/>
  <c r="K140" i="1"/>
  <c r="L140" i="1"/>
  <c r="M140" i="1"/>
  <c r="N140" i="1"/>
  <c r="O140" i="1"/>
  <c r="P140" i="1"/>
  <c r="Q140" i="1"/>
  <c r="R140" i="1"/>
  <c r="S140" i="1"/>
  <c r="J144" i="1"/>
  <c r="K144" i="1"/>
  <c r="L144" i="1"/>
  <c r="M144" i="1"/>
  <c r="N144" i="1"/>
  <c r="O144" i="1"/>
  <c r="P144" i="1"/>
  <c r="Q144" i="1"/>
  <c r="R144" i="1"/>
  <c r="S144" i="1"/>
  <c r="J145" i="1"/>
  <c r="K145" i="1"/>
  <c r="L145" i="1"/>
  <c r="M145" i="1"/>
  <c r="N145" i="1"/>
  <c r="O145" i="1"/>
  <c r="P145" i="1"/>
  <c r="Q145" i="1"/>
  <c r="R145" i="1"/>
  <c r="S145" i="1"/>
  <c r="D147" i="1"/>
  <c r="G147" i="1"/>
  <c r="H147" i="1"/>
  <c r="J147" i="1"/>
  <c r="K147" i="1"/>
  <c r="L147" i="1"/>
  <c r="M147" i="1"/>
  <c r="N147" i="1"/>
  <c r="O147" i="1"/>
  <c r="P147" i="1"/>
  <c r="Q147" i="1"/>
  <c r="R147" i="1"/>
  <c r="S147" i="1"/>
  <c r="D148" i="1"/>
  <c r="G148" i="1"/>
  <c r="H148" i="1"/>
  <c r="J148" i="1"/>
  <c r="K148" i="1"/>
  <c r="L148" i="1"/>
  <c r="M148" i="1"/>
  <c r="N148" i="1"/>
  <c r="O148" i="1"/>
  <c r="P148" i="1"/>
  <c r="Q148" i="1"/>
  <c r="R148" i="1"/>
  <c r="S148" i="1"/>
  <c r="D149" i="1"/>
  <c r="G149" i="1"/>
  <c r="H149" i="1"/>
  <c r="J149" i="1"/>
  <c r="K149" i="1"/>
  <c r="L149" i="1"/>
  <c r="M149" i="1"/>
  <c r="N149" i="1"/>
  <c r="O149" i="1"/>
  <c r="P149" i="1"/>
  <c r="Q149" i="1"/>
  <c r="R149" i="1"/>
  <c r="S149" i="1"/>
  <c r="D150" i="1"/>
  <c r="D151" i="1"/>
  <c r="J153" i="1"/>
  <c r="K153" i="1"/>
  <c r="L153" i="1"/>
  <c r="M153" i="1"/>
  <c r="N153" i="1"/>
  <c r="O153" i="1"/>
  <c r="P153" i="1"/>
  <c r="Q153" i="1"/>
  <c r="R153" i="1"/>
  <c r="S153" i="1"/>
  <c r="D154" i="1"/>
  <c r="G154" i="1"/>
  <c r="J154" i="1"/>
  <c r="K154" i="1"/>
  <c r="L154" i="1"/>
  <c r="M154" i="1"/>
  <c r="N154" i="1"/>
  <c r="O154" i="1"/>
  <c r="P154" i="1"/>
  <c r="Q154" i="1"/>
  <c r="R154" i="1"/>
  <c r="S154" i="1"/>
  <c r="D156" i="1"/>
  <c r="G156" i="1"/>
  <c r="J156" i="1"/>
  <c r="K156" i="1"/>
  <c r="L156" i="1"/>
  <c r="M156" i="1"/>
  <c r="N156" i="1"/>
  <c r="O156" i="1"/>
  <c r="P156" i="1"/>
  <c r="Q156" i="1"/>
  <c r="R156" i="1"/>
  <c r="S156" i="1"/>
  <c r="D158" i="1"/>
  <c r="G158" i="1"/>
  <c r="J158" i="1"/>
  <c r="K158" i="1"/>
  <c r="L158" i="1"/>
  <c r="M158" i="1"/>
  <c r="N158" i="1"/>
  <c r="O158" i="1"/>
  <c r="P158" i="1"/>
  <c r="Q158" i="1"/>
  <c r="R158" i="1"/>
  <c r="S158" i="1"/>
  <c r="D160" i="1"/>
  <c r="G160" i="1"/>
  <c r="J160" i="1"/>
  <c r="K160" i="1"/>
  <c r="L160" i="1"/>
  <c r="M160" i="1"/>
  <c r="N160" i="1"/>
  <c r="O160" i="1"/>
  <c r="P160" i="1"/>
  <c r="Q160" i="1"/>
  <c r="R160" i="1"/>
  <c r="S160" i="1"/>
  <c r="D162" i="1"/>
  <c r="G162" i="1"/>
  <c r="J162" i="1"/>
  <c r="K162" i="1"/>
  <c r="L162" i="1"/>
  <c r="M162" i="1"/>
  <c r="N162" i="1"/>
  <c r="O162" i="1"/>
  <c r="P162" i="1"/>
  <c r="Q162" i="1"/>
  <c r="R162" i="1"/>
  <c r="S162" i="1"/>
  <c r="D164" i="1"/>
  <c r="G164" i="1"/>
  <c r="J164" i="1"/>
  <c r="K164" i="1"/>
  <c r="L164" i="1"/>
  <c r="M164" i="1"/>
  <c r="N164" i="1"/>
  <c r="O164" i="1"/>
  <c r="P164" i="1"/>
  <c r="Q164" i="1"/>
  <c r="R164" i="1"/>
  <c r="S164" i="1"/>
  <c r="D166" i="1"/>
  <c r="G166" i="1"/>
  <c r="J166" i="1"/>
  <c r="K166" i="1"/>
  <c r="L166" i="1"/>
  <c r="M166" i="1"/>
  <c r="N166" i="1"/>
  <c r="O166" i="1"/>
  <c r="P166" i="1"/>
  <c r="Q166" i="1"/>
  <c r="R166" i="1"/>
  <c r="S166" i="1"/>
  <c r="J168" i="1"/>
  <c r="K168" i="1"/>
  <c r="L168" i="1"/>
  <c r="M168" i="1"/>
  <c r="N168" i="1"/>
  <c r="O168" i="1"/>
  <c r="P168" i="1"/>
  <c r="Q168" i="1"/>
  <c r="R168" i="1"/>
  <c r="S168" i="1"/>
  <c r="J170" i="1"/>
  <c r="K170" i="1"/>
  <c r="L170" i="1"/>
  <c r="M170" i="1"/>
  <c r="N170" i="1"/>
  <c r="O170" i="1"/>
  <c r="P170" i="1"/>
  <c r="Q170" i="1"/>
  <c r="R170" i="1"/>
  <c r="S170" i="1"/>
  <c r="J171" i="1"/>
  <c r="K171" i="1"/>
  <c r="L171" i="1"/>
  <c r="M171" i="1"/>
  <c r="N171" i="1"/>
  <c r="O171" i="1"/>
  <c r="P171" i="1"/>
  <c r="Q171" i="1"/>
  <c r="R171" i="1"/>
  <c r="S171" i="1"/>
  <c r="J173" i="1"/>
  <c r="K173" i="1"/>
  <c r="L173" i="1"/>
  <c r="M173" i="1"/>
  <c r="N173" i="1"/>
  <c r="O173" i="1"/>
  <c r="P173" i="1"/>
  <c r="Q173" i="1"/>
  <c r="R173" i="1"/>
  <c r="S173" i="1"/>
  <c r="F180" i="1"/>
  <c r="P180" i="1"/>
  <c r="M182" i="1"/>
  <c r="S183" i="1"/>
  <c r="I184" i="1"/>
  <c r="S184" i="1"/>
  <c r="I185" i="1"/>
  <c r="S185" i="1"/>
  <c r="I186" i="1"/>
  <c r="S186" i="1"/>
  <c r="S187" i="1"/>
  <c r="F188" i="1"/>
  <c r="P189" i="1"/>
  <c r="R189" i="1"/>
  <c r="G191" i="1"/>
  <c r="I191" i="1"/>
  <c r="I192" i="1"/>
  <c r="M192" i="1"/>
  <c r="M193" i="1"/>
  <c r="F194" i="1"/>
  <c r="G194" i="1"/>
  <c r="H194" i="1"/>
  <c r="I194" i="1"/>
  <c r="M194" i="1"/>
  <c r="M195" i="1"/>
  <c r="M196" i="1"/>
  <c r="I197" i="1"/>
  <c r="M197" i="1"/>
  <c r="I198" i="1"/>
  <c r="M198" i="1"/>
  <c r="M199" i="1"/>
  <c r="M200" i="1"/>
  <c r="P202" i="1"/>
  <c r="F203" i="1"/>
  <c r="S204" i="1"/>
  <c r="S205" i="1"/>
  <c r="S206" i="1"/>
  <c r="P208" i="1"/>
  <c r="M210" i="1"/>
  <c r="J211" i="1"/>
  <c r="M211" i="1"/>
  <c r="Q211" i="1"/>
  <c r="P214" i="1"/>
  <c r="F216" i="1"/>
  <c r="P216" i="1"/>
  <c r="P217" i="1"/>
  <c r="J223" i="1"/>
  <c r="L223" i="1"/>
  <c r="I224" i="1"/>
  <c r="J224" i="1"/>
  <c r="K224" i="1"/>
  <c r="L224" i="1"/>
  <c r="M224" i="1"/>
  <c r="N224" i="1"/>
  <c r="O224" i="1"/>
  <c r="P224" i="1"/>
  <c r="Q224" i="1"/>
  <c r="R224" i="1"/>
  <c r="S224" i="1"/>
  <c r="I226" i="1"/>
  <c r="I228" i="1"/>
  <c r="I230" i="1"/>
  <c r="D232" i="1"/>
  <c r="I232" i="1"/>
  <c r="I234" i="1"/>
  <c r="J236" i="1"/>
  <c r="K236" i="1"/>
  <c r="L236" i="1"/>
  <c r="M236" i="1"/>
  <c r="N236" i="1"/>
  <c r="O236" i="1"/>
  <c r="P236" i="1"/>
  <c r="Q236" i="1"/>
  <c r="R236" i="1"/>
  <c r="S236" i="1"/>
  <c r="B237" i="1"/>
  <c r="D237" i="1"/>
  <c r="B238" i="1"/>
  <c r="D238" i="1"/>
  <c r="Q238" i="1"/>
  <c r="R238" i="1"/>
  <c r="S238" i="1"/>
  <c r="C242" i="1"/>
  <c r="D242" i="1"/>
  <c r="C243" i="1"/>
  <c r="D243" i="1"/>
  <c r="C244" i="1"/>
  <c r="D244" i="1"/>
  <c r="C245" i="1"/>
  <c r="D245" i="1"/>
  <c r="C246" i="1"/>
  <c r="D246" i="1"/>
  <c r="C247" i="1"/>
  <c r="D247" i="1"/>
  <c r="C248" i="1"/>
  <c r="D248" i="1"/>
  <c r="C249" i="1"/>
  <c r="D249" i="1"/>
  <c r="C250" i="1"/>
  <c r="D250" i="1"/>
  <c r="A251" i="1"/>
  <c r="C251" i="1"/>
  <c r="D251" i="1"/>
  <c r="D263" i="1"/>
  <c r="A264" i="1"/>
  <c r="D264" i="1"/>
  <c r="J269" i="1"/>
  <c r="I270" i="1"/>
  <c r="J270" i="1"/>
  <c r="K270" i="1"/>
  <c r="L270" i="1"/>
  <c r="M270" i="1"/>
  <c r="N270" i="1"/>
  <c r="O270" i="1"/>
  <c r="P270" i="1"/>
  <c r="Q270" i="1"/>
  <c r="R270" i="1"/>
  <c r="S270" i="1"/>
  <c r="D271" i="1"/>
  <c r="D272" i="1"/>
  <c r="D273" i="1"/>
  <c r="D274" i="1"/>
  <c r="I274" i="1"/>
  <c r="D275" i="1"/>
  <c r="I275" i="1"/>
  <c r="D276" i="1"/>
  <c r="I276" i="1"/>
  <c r="D278" i="1"/>
  <c r="D280" i="1"/>
  <c r="I280" i="1"/>
  <c r="J280" i="1"/>
  <c r="K280" i="1"/>
  <c r="L280" i="1"/>
  <c r="M280" i="1"/>
  <c r="N280" i="1"/>
  <c r="O280" i="1"/>
  <c r="P280" i="1"/>
  <c r="Q280" i="1"/>
  <c r="R280" i="1"/>
  <c r="S280" i="1"/>
  <c r="D281" i="1"/>
  <c r="I281" i="1"/>
  <c r="J281" i="1"/>
  <c r="K281" i="1"/>
  <c r="L281" i="1"/>
  <c r="M281" i="1"/>
  <c r="N281" i="1"/>
  <c r="O281" i="1"/>
  <c r="P281" i="1"/>
  <c r="Q281" i="1"/>
  <c r="R281" i="1"/>
  <c r="S281" i="1"/>
  <c r="D283" i="1"/>
  <c r="I283" i="1"/>
  <c r="J283" i="1"/>
  <c r="K283" i="1"/>
  <c r="L283" i="1"/>
  <c r="M283" i="1"/>
  <c r="N283" i="1"/>
  <c r="O283" i="1"/>
  <c r="P283" i="1"/>
  <c r="Q283" i="1"/>
  <c r="R283" i="1"/>
  <c r="S283" i="1"/>
  <c r="D284" i="1"/>
  <c r="D285" i="1"/>
  <c r="I285" i="1"/>
  <c r="J285" i="1"/>
  <c r="K285" i="1"/>
  <c r="L285" i="1"/>
  <c r="M285" i="1"/>
  <c r="N285" i="1"/>
  <c r="O285" i="1"/>
  <c r="P285" i="1"/>
  <c r="Q285" i="1"/>
  <c r="R285" i="1"/>
  <c r="S285" i="1"/>
  <c r="D286" i="1"/>
  <c r="I286" i="1"/>
  <c r="J286" i="1"/>
  <c r="K286" i="1"/>
  <c r="L286" i="1"/>
  <c r="M286" i="1"/>
  <c r="N286" i="1"/>
  <c r="O286" i="1"/>
  <c r="P286" i="1"/>
  <c r="Q286" i="1"/>
  <c r="R286" i="1"/>
  <c r="S286" i="1"/>
  <c r="D288" i="1"/>
  <c r="D289" i="1"/>
  <c r="D291" i="1"/>
  <c r="D294" i="1"/>
  <c r="D295" i="1"/>
  <c r="D296" i="1"/>
  <c r="I296" i="1"/>
  <c r="D297" i="1"/>
  <c r="I297" i="1"/>
  <c r="D298" i="1"/>
  <c r="I298" i="1"/>
  <c r="D299" i="1"/>
  <c r="I299" i="1"/>
  <c r="D300" i="1"/>
  <c r="I300" i="1"/>
  <c r="D302" i="1"/>
  <c r="D304" i="1"/>
  <c r="D305" i="1"/>
  <c r="D306" i="1"/>
  <c r="D307" i="1"/>
  <c r="D308" i="1"/>
  <c r="D309" i="1"/>
  <c r="D310" i="1"/>
  <c r="D311" i="1"/>
  <c r="C312" i="1"/>
  <c r="D312" i="1"/>
  <c r="D314" i="1"/>
  <c r="D316" i="1"/>
  <c r="I316" i="1"/>
  <c r="J316" i="1"/>
  <c r="K316" i="1"/>
  <c r="L316" i="1"/>
  <c r="M316" i="1"/>
  <c r="N316" i="1"/>
  <c r="O316" i="1"/>
  <c r="P316" i="1"/>
  <c r="Q316" i="1"/>
  <c r="R316" i="1"/>
  <c r="S316" i="1"/>
  <c r="D317" i="1"/>
  <c r="I317" i="1"/>
  <c r="J317" i="1"/>
  <c r="K317" i="1"/>
  <c r="L317" i="1"/>
  <c r="M317" i="1"/>
  <c r="N317" i="1"/>
  <c r="O317" i="1"/>
  <c r="P317" i="1"/>
  <c r="Q317" i="1"/>
  <c r="R317" i="1"/>
  <c r="S317" i="1"/>
  <c r="D318" i="1"/>
  <c r="I318" i="1"/>
  <c r="D320" i="1"/>
  <c r="C321" i="1"/>
  <c r="D321" i="1"/>
  <c r="D322" i="1"/>
  <c r="D324" i="1"/>
  <c r="D326" i="1"/>
  <c r="J331" i="1"/>
  <c r="L331" i="1"/>
  <c r="J332" i="1"/>
  <c r="K332" i="1"/>
  <c r="L332" i="1"/>
  <c r="M332" i="1"/>
  <c r="N332" i="1"/>
  <c r="O332" i="1"/>
  <c r="P332" i="1"/>
  <c r="Q332" i="1"/>
  <c r="R332" i="1"/>
  <c r="S332" i="1"/>
  <c r="J336" i="1"/>
  <c r="K336" i="1"/>
  <c r="L336" i="1"/>
  <c r="M336" i="1"/>
  <c r="N336" i="1"/>
  <c r="O336" i="1"/>
  <c r="P336" i="1"/>
  <c r="Q336" i="1"/>
  <c r="R336" i="1"/>
  <c r="S336" i="1"/>
  <c r="D338" i="1"/>
  <c r="J338" i="1"/>
  <c r="K338" i="1"/>
  <c r="L338" i="1"/>
  <c r="M338" i="1"/>
  <c r="N338" i="1"/>
  <c r="O338" i="1"/>
  <c r="P338" i="1"/>
  <c r="Q338" i="1"/>
  <c r="R338" i="1"/>
  <c r="S338" i="1"/>
  <c r="D339" i="1"/>
  <c r="J339" i="1"/>
  <c r="K339" i="1"/>
  <c r="L339" i="1"/>
  <c r="M339" i="1"/>
  <c r="N339" i="1"/>
  <c r="O339" i="1"/>
  <c r="P339" i="1"/>
  <c r="Q339" i="1"/>
  <c r="R339" i="1"/>
  <c r="S339" i="1"/>
  <c r="D340" i="1"/>
  <c r="J340" i="1"/>
  <c r="K340" i="1"/>
  <c r="L340" i="1"/>
  <c r="M340" i="1"/>
  <c r="N340" i="1"/>
  <c r="O340" i="1"/>
  <c r="P340" i="1"/>
  <c r="Q340" i="1"/>
  <c r="R340" i="1"/>
  <c r="S340" i="1"/>
  <c r="D341" i="1"/>
  <c r="J341" i="1"/>
  <c r="K341" i="1"/>
  <c r="L341" i="1"/>
  <c r="M341" i="1"/>
  <c r="N341" i="1"/>
  <c r="O341" i="1"/>
  <c r="P341" i="1"/>
  <c r="Q341" i="1"/>
  <c r="R341" i="1"/>
  <c r="S341" i="1"/>
  <c r="C342" i="1"/>
  <c r="D342" i="1"/>
  <c r="D343" i="1"/>
  <c r="J343" i="1"/>
  <c r="K343" i="1"/>
  <c r="L343" i="1"/>
  <c r="M343" i="1"/>
  <c r="N343" i="1"/>
  <c r="O343" i="1"/>
  <c r="P343" i="1"/>
  <c r="Q343" i="1"/>
  <c r="R343" i="1"/>
  <c r="S343" i="1"/>
  <c r="C344" i="1"/>
  <c r="D344" i="1"/>
  <c r="D346" i="1"/>
  <c r="D347" i="1"/>
  <c r="Q347" i="1"/>
  <c r="R347" i="1"/>
  <c r="S347" i="1"/>
  <c r="B349" i="1"/>
  <c r="D350" i="1"/>
  <c r="D351" i="1"/>
  <c r="D352" i="1"/>
  <c r="D353" i="1"/>
  <c r="D354" i="1"/>
  <c r="D355" i="1"/>
  <c r="D356" i="1"/>
  <c r="D357" i="1"/>
  <c r="J363" i="1"/>
  <c r="K363" i="1"/>
  <c r="L363" i="1"/>
  <c r="M363" i="1"/>
  <c r="N363" i="1"/>
  <c r="O363" i="1"/>
  <c r="P363" i="1"/>
  <c r="Q363" i="1"/>
  <c r="R363" i="1"/>
  <c r="S363" i="1"/>
  <c r="D370" i="1"/>
  <c r="J370" i="1"/>
  <c r="K370" i="1"/>
  <c r="L370" i="1"/>
  <c r="M370" i="1"/>
  <c r="N370" i="1"/>
  <c r="O370" i="1"/>
  <c r="P370" i="1"/>
  <c r="Q370" i="1"/>
  <c r="R370" i="1"/>
  <c r="S370" i="1"/>
  <c r="D371" i="1"/>
  <c r="D372" i="1"/>
  <c r="D373" i="1"/>
  <c r="D374" i="1"/>
  <c r="D375" i="1"/>
  <c r="D376" i="1"/>
  <c r="C377" i="1"/>
  <c r="D377" i="1"/>
  <c r="D378" i="1"/>
  <c r="C379" i="1"/>
  <c r="D379" i="1"/>
  <c r="D384" i="1"/>
  <c r="J384" i="1"/>
  <c r="K384" i="1"/>
  <c r="L384" i="1"/>
  <c r="M384" i="1"/>
  <c r="N384" i="1"/>
  <c r="O384" i="1"/>
  <c r="P384" i="1"/>
  <c r="Q384" i="1"/>
  <c r="R384" i="1"/>
  <c r="S384" i="1"/>
  <c r="D385" i="1"/>
  <c r="D386" i="1"/>
  <c r="D387" i="1"/>
  <c r="D388" i="1"/>
  <c r="D389" i="1"/>
  <c r="D390" i="1"/>
  <c r="C391" i="1"/>
  <c r="D391" i="1"/>
  <c r="J398" i="1"/>
  <c r="I399" i="1"/>
  <c r="J399" i="1"/>
  <c r="K399" i="1"/>
  <c r="L399" i="1"/>
  <c r="M399" i="1"/>
  <c r="N399" i="1"/>
  <c r="O399" i="1"/>
  <c r="P399" i="1"/>
  <c r="Q399" i="1"/>
  <c r="R399" i="1"/>
  <c r="S399" i="1"/>
  <c r="I401" i="1"/>
  <c r="I403" i="1"/>
  <c r="D443" i="1"/>
  <c r="J447" i="1"/>
  <c r="I448" i="1"/>
  <c r="J448" i="1"/>
  <c r="K448" i="1"/>
  <c r="L448" i="1"/>
  <c r="M448" i="1"/>
  <c r="N448" i="1"/>
  <c r="O448" i="1"/>
  <c r="P448" i="1"/>
  <c r="Q448" i="1"/>
  <c r="R448" i="1"/>
  <c r="S448" i="1"/>
  <c r="D458" i="1"/>
  <c r="J489" i="1"/>
  <c r="J490" i="1"/>
  <c r="K490" i="1"/>
  <c r="L490" i="1"/>
  <c r="M490" i="1"/>
  <c r="N490" i="1"/>
  <c r="O490" i="1"/>
  <c r="P490" i="1"/>
  <c r="Q490" i="1"/>
  <c r="R490" i="1"/>
  <c r="S490" i="1"/>
  <c r="J523" i="1"/>
  <c r="J524" i="1"/>
  <c r="K524" i="1"/>
  <c r="L524" i="1"/>
  <c r="M524" i="1"/>
  <c r="N524" i="1"/>
  <c r="O524" i="1"/>
  <c r="P524" i="1"/>
  <c r="Q524" i="1"/>
  <c r="R524" i="1"/>
  <c r="S524" i="1"/>
  <c r="Q530" i="1"/>
  <c r="R530" i="1"/>
  <c r="S530" i="1"/>
  <c r="J535" i="1"/>
  <c r="K535" i="1"/>
  <c r="L535" i="1"/>
  <c r="M535" i="1"/>
  <c r="N535" i="1"/>
  <c r="O535" i="1"/>
  <c r="P535" i="1"/>
  <c r="Q535" i="1"/>
  <c r="R535" i="1"/>
  <c r="S535" i="1"/>
  <c r="J536" i="1"/>
  <c r="K536" i="1"/>
  <c r="L536" i="1"/>
  <c r="M536" i="1"/>
  <c r="N536" i="1"/>
  <c r="O536" i="1"/>
  <c r="P536" i="1"/>
  <c r="Q536" i="1"/>
  <c r="R536" i="1"/>
  <c r="S536" i="1"/>
  <c r="J538" i="1"/>
  <c r="K538" i="1"/>
  <c r="L538" i="1"/>
  <c r="M538" i="1"/>
  <c r="N538" i="1"/>
  <c r="O538" i="1"/>
  <c r="P538" i="1"/>
  <c r="Q538" i="1"/>
  <c r="R538" i="1"/>
  <c r="S538" i="1"/>
  <c r="J559" i="1"/>
  <c r="K559" i="1"/>
  <c r="L559" i="1"/>
  <c r="M559" i="1"/>
  <c r="N559" i="1"/>
  <c r="O559" i="1"/>
  <c r="P559" i="1"/>
  <c r="Q559" i="1"/>
  <c r="R559" i="1"/>
  <c r="S559" i="1"/>
  <c r="J560" i="1"/>
  <c r="J566" i="1"/>
  <c r="K566" i="1"/>
  <c r="L566" i="1"/>
  <c r="M566" i="1"/>
  <c r="N566" i="1"/>
  <c r="O566" i="1"/>
  <c r="P566" i="1"/>
  <c r="Q566" i="1"/>
  <c r="R566" i="1"/>
  <c r="S566" i="1"/>
  <c r="J573" i="1"/>
  <c r="K573" i="1"/>
  <c r="L573" i="1"/>
  <c r="M573" i="1"/>
  <c r="N573" i="1"/>
  <c r="O573" i="1"/>
  <c r="P573" i="1"/>
  <c r="Q573" i="1"/>
  <c r="R573" i="1"/>
  <c r="S573" i="1"/>
  <c r="D576" i="1"/>
  <c r="H578" i="1"/>
  <c r="D583" i="1"/>
  <c r="H585" i="1"/>
  <c r="D590" i="1"/>
  <c r="H592" i="1"/>
  <c r="D597" i="1"/>
  <c r="H599" i="1"/>
  <c r="D604" i="1"/>
  <c r="H606" i="1"/>
  <c r="D611" i="1"/>
  <c r="E613" i="1"/>
  <c r="H613" i="1"/>
  <c r="J614" i="1"/>
  <c r="K614" i="1"/>
  <c r="L614" i="1"/>
  <c r="M614" i="1"/>
  <c r="N614" i="1"/>
  <c r="O614" i="1"/>
  <c r="P614" i="1"/>
  <c r="Q614" i="1"/>
  <c r="R614" i="1"/>
  <c r="S614" i="1"/>
  <c r="D619" i="1"/>
  <c r="E621" i="1"/>
  <c r="H621" i="1"/>
  <c r="J622" i="1"/>
  <c r="K622" i="1"/>
  <c r="L622" i="1"/>
  <c r="M622" i="1"/>
  <c r="N622" i="1"/>
  <c r="O622" i="1"/>
  <c r="P622" i="1"/>
  <c r="Q622" i="1"/>
  <c r="R622" i="1"/>
  <c r="S622" i="1"/>
  <c r="J629" i="1"/>
  <c r="K629" i="1"/>
  <c r="L629" i="1"/>
  <c r="M629" i="1"/>
  <c r="N629" i="1"/>
  <c r="O629" i="1"/>
  <c r="P629" i="1"/>
  <c r="Q629" i="1"/>
  <c r="R629" i="1"/>
  <c r="S629" i="1"/>
  <c r="D633" i="1"/>
  <c r="E635" i="1"/>
  <c r="H635" i="1"/>
  <c r="J636" i="1"/>
  <c r="K636" i="1"/>
  <c r="L636" i="1"/>
  <c r="M636" i="1"/>
  <c r="N636" i="1"/>
  <c r="O636" i="1"/>
  <c r="P636" i="1"/>
  <c r="Q636" i="1"/>
  <c r="R636" i="1"/>
  <c r="S636" i="1"/>
  <c r="D641" i="1"/>
  <c r="E643" i="1"/>
  <c r="H643" i="1"/>
  <c r="J644" i="1"/>
  <c r="K644" i="1"/>
  <c r="L644" i="1"/>
  <c r="M644" i="1"/>
  <c r="N644" i="1"/>
  <c r="O644" i="1"/>
  <c r="P644" i="1"/>
  <c r="Q644" i="1"/>
  <c r="R644" i="1"/>
  <c r="S644" i="1"/>
  <c r="C649" i="1"/>
  <c r="D649" i="1"/>
  <c r="E651" i="1"/>
  <c r="H651" i="1"/>
  <c r="J652" i="1"/>
  <c r="J342" i="1" s="1"/>
  <c r="K652" i="1"/>
  <c r="K342" i="1" s="1"/>
  <c r="L652" i="1"/>
  <c r="L342" i="1" s="1"/>
  <c r="M652" i="1"/>
  <c r="M342" i="1" s="1"/>
  <c r="N652" i="1"/>
  <c r="N342" i="1" s="1"/>
  <c r="O652" i="1"/>
  <c r="O342" i="1" s="1"/>
  <c r="P652" i="1"/>
  <c r="P342" i="1" s="1"/>
  <c r="Q652" i="1"/>
  <c r="Q342" i="1" s="1"/>
  <c r="R652" i="1"/>
  <c r="R342" i="1" s="1"/>
  <c r="S652" i="1"/>
  <c r="S342" i="1" s="1"/>
  <c r="D657" i="1"/>
  <c r="E659" i="1"/>
  <c r="J660" i="1"/>
  <c r="K660" i="1"/>
  <c r="L660" i="1"/>
  <c r="M660" i="1"/>
  <c r="N660" i="1"/>
  <c r="O660" i="1"/>
  <c r="P660" i="1"/>
  <c r="Q660" i="1"/>
  <c r="R660" i="1"/>
  <c r="S660" i="1"/>
  <c r="C664" i="1"/>
  <c r="D664" i="1"/>
  <c r="E666" i="1"/>
  <c r="J667" i="1"/>
  <c r="J344" i="1" s="1"/>
  <c r="K667" i="1"/>
  <c r="K344" i="1" s="1"/>
  <c r="L667" i="1"/>
  <c r="L344" i="1" s="1"/>
  <c r="M667" i="1"/>
  <c r="M344" i="1" s="1"/>
  <c r="N667" i="1"/>
  <c r="N344" i="1" s="1"/>
  <c r="O667" i="1"/>
  <c r="O344" i="1" s="1"/>
  <c r="P667" i="1"/>
  <c r="P344" i="1" s="1"/>
  <c r="Q667" i="1"/>
  <c r="Q344" i="1" s="1"/>
  <c r="R667" i="1"/>
  <c r="R344" i="1" s="1"/>
  <c r="S667" i="1"/>
  <c r="S344" i="1" s="1"/>
  <c r="J678" i="1"/>
  <c r="J679" i="1"/>
  <c r="K679" i="1"/>
  <c r="L679" i="1"/>
  <c r="M679" i="1"/>
  <c r="N679" i="1"/>
  <c r="O679" i="1"/>
  <c r="P679" i="1"/>
  <c r="Q679" i="1"/>
  <c r="R679" i="1"/>
  <c r="S679" i="1"/>
  <c r="J681" i="1"/>
  <c r="K681" i="1"/>
  <c r="L681" i="1"/>
  <c r="M681" i="1"/>
  <c r="N681" i="1"/>
  <c r="O681" i="1"/>
  <c r="P681" i="1"/>
  <c r="Q681" i="1"/>
  <c r="R681" i="1"/>
  <c r="S681" i="1"/>
  <c r="H683" i="1"/>
  <c r="J683" i="1"/>
  <c r="K683" i="1"/>
  <c r="L683" i="1"/>
  <c r="M683" i="1"/>
  <c r="N683" i="1"/>
  <c r="O683" i="1"/>
  <c r="P683" i="1"/>
  <c r="Q683" i="1"/>
  <c r="R683" i="1"/>
  <c r="S683" i="1"/>
  <c r="H684" i="1"/>
  <c r="J684" i="1"/>
  <c r="K684" i="1"/>
  <c r="L684" i="1"/>
  <c r="M684" i="1"/>
  <c r="N684" i="1"/>
  <c r="O684" i="1"/>
  <c r="P684" i="1"/>
  <c r="Q684" i="1"/>
  <c r="R684" i="1"/>
  <c r="S684" i="1"/>
  <c r="H685" i="1"/>
  <c r="J685" i="1"/>
  <c r="K685" i="1"/>
  <c r="L685" i="1"/>
  <c r="M685" i="1"/>
  <c r="N685" i="1"/>
  <c r="O685" i="1"/>
  <c r="P685" i="1"/>
  <c r="Q685" i="1"/>
  <c r="R685" i="1"/>
  <c r="S685" i="1"/>
  <c r="H686" i="1"/>
  <c r="J686" i="1"/>
  <c r="K686" i="1"/>
  <c r="L686" i="1"/>
  <c r="M686" i="1"/>
  <c r="N686" i="1"/>
  <c r="O686" i="1"/>
  <c r="P686" i="1"/>
  <c r="Q686" i="1"/>
  <c r="R686" i="1"/>
  <c r="S686" i="1"/>
  <c r="J687" i="1"/>
  <c r="K687" i="1"/>
  <c r="L687" i="1"/>
  <c r="M687" i="1"/>
  <c r="N687" i="1"/>
  <c r="O687" i="1"/>
  <c r="P687" i="1"/>
  <c r="Q687" i="1"/>
  <c r="R687" i="1"/>
  <c r="S687" i="1"/>
  <c r="D689" i="1"/>
  <c r="J689" i="1"/>
  <c r="J690" i="1"/>
  <c r="K690" i="1"/>
  <c r="L690" i="1"/>
  <c r="M690" i="1"/>
  <c r="N690" i="1"/>
  <c r="O690" i="1"/>
  <c r="P690" i="1"/>
  <c r="Q690" i="1"/>
  <c r="R690" i="1"/>
  <c r="S690" i="1"/>
  <c r="I691" i="1"/>
  <c r="J691" i="1"/>
  <c r="K691" i="1"/>
  <c r="L691" i="1"/>
  <c r="M691" i="1"/>
  <c r="N691" i="1"/>
  <c r="O691" i="1"/>
  <c r="P691" i="1"/>
  <c r="Q691" i="1"/>
  <c r="R691" i="1"/>
  <c r="S691" i="1"/>
  <c r="H692" i="1"/>
  <c r="I692" i="1"/>
  <c r="K692" i="1"/>
  <c r="L692" i="1"/>
  <c r="M692" i="1"/>
  <c r="N692" i="1"/>
  <c r="O692" i="1"/>
  <c r="P692" i="1"/>
  <c r="Q692" i="1"/>
  <c r="R692" i="1"/>
  <c r="S692" i="1"/>
  <c r="H693" i="1"/>
  <c r="I693" i="1"/>
  <c r="L693" i="1"/>
  <c r="M693" i="1"/>
  <c r="N693" i="1"/>
  <c r="O693" i="1"/>
  <c r="P693" i="1"/>
  <c r="Q693" i="1"/>
  <c r="R693" i="1"/>
  <c r="S693" i="1"/>
  <c r="H694" i="1"/>
  <c r="I694" i="1"/>
  <c r="M694" i="1"/>
  <c r="N694" i="1"/>
  <c r="O694" i="1"/>
  <c r="P694" i="1"/>
  <c r="Q694" i="1"/>
  <c r="R694" i="1"/>
  <c r="S694" i="1"/>
  <c r="H695" i="1"/>
  <c r="I695" i="1"/>
  <c r="N695" i="1"/>
  <c r="O695" i="1"/>
  <c r="P695" i="1"/>
  <c r="Q695" i="1"/>
  <c r="R695" i="1"/>
  <c r="S695" i="1"/>
  <c r="H696" i="1"/>
  <c r="I696" i="1"/>
  <c r="O696" i="1"/>
  <c r="P696" i="1"/>
  <c r="Q696" i="1"/>
  <c r="R696" i="1"/>
  <c r="S696" i="1"/>
  <c r="H697" i="1"/>
  <c r="I697" i="1"/>
  <c r="P697" i="1"/>
  <c r="Q697" i="1"/>
  <c r="R697" i="1"/>
  <c r="S697" i="1"/>
  <c r="H698" i="1"/>
  <c r="I698" i="1"/>
  <c r="Q698" i="1"/>
  <c r="R698" i="1"/>
  <c r="S698" i="1"/>
  <c r="H699" i="1"/>
  <c r="I699" i="1"/>
  <c r="R699" i="1"/>
  <c r="S699" i="1"/>
  <c r="H700" i="1"/>
  <c r="I700" i="1"/>
  <c r="S700" i="1"/>
  <c r="J702" i="1"/>
  <c r="K702" i="1"/>
  <c r="L702" i="1"/>
  <c r="M702" i="1"/>
  <c r="N702" i="1"/>
  <c r="O702" i="1"/>
  <c r="P702" i="1"/>
  <c r="Q702" i="1"/>
  <c r="R702" i="1"/>
  <c r="S702" i="1"/>
  <c r="D704" i="1"/>
  <c r="J704" i="1"/>
  <c r="J705" i="1"/>
  <c r="K705" i="1"/>
  <c r="L705" i="1"/>
  <c r="M705" i="1"/>
  <c r="N705" i="1"/>
  <c r="O705" i="1"/>
  <c r="P705" i="1"/>
  <c r="Q705" i="1"/>
  <c r="R705" i="1"/>
  <c r="S705" i="1"/>
  <c r="I706" i="1"/>
  <c r="J706" i="1"/>
  <c r="K706" i="1"/>
  <c r="L706" i="1"/>
  <c r="M706" i="1"/>
  <c r="N706" i="1"/>
  <c r="O706" i="1"/>
  <c r="P706" i="1"/>
  <c r="Q706" i="1"/>
  <c r="R706" i="1"/>
  <c r="S706" i="1"/>
  <c r="H707" i="1"/>
  <c r="I707" i="1"/>
  <c r="K707" i="1"/>
  <c r="L707" i="1"/>
  <c r="M707" i="1"/>
  <c r="N707" i="1"/>
  <c r="O707" i="1"/>
  <c r="P707" i="1"/>
  <c r="Q707" i="1"/>
  <c r="R707" i="1"/>
  <c r="S707" i="1"/>
  <c r="H708" i="1"/>
  <c r="I708" i="1"/>
  <c r="L708" i="1"/>
  <c r="M708" i="1"/>
  <c r="N708" i="1"/>
  <c r="O708" i="1"/>
  <c r="P708" i="1"/>
  <c r="Q708" i="1"/>
  <c r="R708" i="1"/>
  <c r="S708" i="1"/>
  <c r="H709" i="1"/>
  <c r="I709" i="1"/>
  <c r="M709" i="1"/>
  <c r="N709" i="1"/>
  <c r="O709" i="1"/>
  <c r="P709" i="1"/>
  <c r="Q709" i="1"/>
  <c r="R709" i="1"/>
  <c r="S709" i="1"/>
  <c r="H710" i="1"/>
  <c r="I710" i="1"/>
  <c r="N710" i="1"/>
  <c r="O710" i="1"/>
  <c r="P710" i="1"/>
  <c r="Q710" i="1"/>
  <c r="R710" i="1"/>
  <c r="S710" i="1"/>
  <c r="H711" i="1"/>
  <c r="I711" i="1"/>
  <c r="O711" i="1"/>
  <c r="P711" i="1"/>
  <c r="Q711" i="1"/>
  <c r="R711" i="1"/>
  <c r="S711" i="1"/>
  <c r="H712" i="1"/>
  <c r="I712" i="1"/>
  <c r="P712" i="1"/>
  <c r="Q712" i="1"/>
  <c r="R712" i="1"/>
  <c r="S712" i="1"/>
  <c r="H713" i="1"/>
  <c r="I713" i="1"/>
  <c r="Q713" i="1"/>
  <c r="R713" i="1"/>
  <c r="S713" i="1"/>
  <c r="H714" i="1"/>
  <c r="I714" i="1"/>
  <c r="R714" i="1"/>
  <c r="S714" i="1"/>
  <c r="H715" i="1"/>
  <c r="I715" i="1"/>
  <c r="S715" i="1"/>
  <c r="J717" i="1"/>
  <c r="K717" i="1"/>
  <c r="L717" i="1"/>
  <c r="M717" i="1"/>
  <c r="N717" i="1"/>
  <c r="O717" i="1"/>
  <c r="P717" i="1"/>
  <c r="Q717" i="1"/>
  <c r="R717" i="1"/>
  <c r="S717" i="1"/>
  <c r="D719" i="1"/>
  <c r="J719" i="1"/>
  <c r="J720" i="1"/>
  <c r="K720" i="1"/>
  <c r="L720" i="1"/>
  <c r="M720" i="1"/>
  <c r="N720" i="1"/>
  <c r="O720" i="1"/>
  <c r="P720" i="1"/>
  <c r="Q720" i="1"/>
  <c r="R720" i="1"/>
  <c r="S720" i="1"/>
  <c r="I721" i="1"/>
  <c r="J721" i="1"/>
  <c r="K721" i="1"/>
  <c r="L721" i="1"/>
  <c r="M721" i="1"/>
  <c r="N721" i="1"/>
  <c r="O721" i="1"/>
  <c r="P721" i="1"/>
  <c r="Q721" i="1"/>
  <c r="R721" i="1"/>
  <c r="S721" i="1"/>
  <c r="H722" i="1"/>
  <c r="I722" i="1"/>
  <c r="K722" i="1"/>
  <c r="L722" i="1"/>
  <c r="M722" i="1"/>
  <c r="N722" i="1"/>
  <c r="O722" i="1"/>
  <c r="P722" i="1"/>
  <c r="Q722" i="1"/>
  <c r="R722" i="1"/>
  <c r="S722" i="1"/>
  <c r="H723" i="1"/>
  <c r="I723" i="1"/>
  <c r="L723" i="1"/>
  <c r="M723" i="1"/>
  <c r="N723" i="1"/>
  <c r="O723" i="1"/>
  <c r="P723" i="1"/>
  <c r="Q723" i="1"/>
  <c r="R723" i="1"/>
  <c r="S723" i="1"/>
  <c r="H724" i="1"/>
  <c r="I724" i="1"/>
  <c r="M724" i="1"/>
  <c r="N724" i="1"/>
  <c r="O724" i="1"/>
  <c r="P724" i="1"/>
  <c r="Q724" i="1"/>
  <c r="R724" i="1"/>
  <c r="S724" i="1"/>
  <c r="H725" i="1"/>
  <c r="I725" i="1"/>
  <c r="N725" i="1"/>
  <c r="O725" i="1"/>
  <c r="P725" i="1"/>
  <c r="Q725" i="1"/>
  <c r="R725" i="1"/>
  <c r="S725" i="1"/>
  <c r="H726" i="1"/>
  <c r="I726" i="1"/>
  <c r="O726" i="1"/>
  <c r="P726" i="1"/>
  <c r="Q726" i="1"/>
  <c r="R726" i="1"/>
  <c r="S726" i="1"/>
  <c r="H727" i="1"/>
  <c r="I727" i="1"/>
  <c r="P727" i="1"/>
  <c r="Q727" i="1"/>
  <c r="R727" i="1"/>
  <c r="S727" i="1"/>
  <c r="H728" i="1"/>
  <c r="I728" i="1"/>
  <c r="Q728" i="1"/>
  <c r="R728" i="1"/>
  <c r="S728" i="1"/>
  <c r="H729" i="1"/>
  <c r="I729" i="1"/>
  <c r="R729" i="1"/>
  <c r="S729" i="1"/>
  <c r="H730" i="1"/>
  <c r="I730" i="1"/>
  <c r="S730" i="1"/>
  <c r="J732" i="1"/>
  <c r="K732" i="1"/>
  <c r="L732" i="1"/>
  <c r="M732" i="1"/>
  <c r="N732" i="1"/>
  <c r="O732" i="1"/>
  <c r="P732" i="1"/>
  <c r="Q732" i="1"/>
  <c r="R732" i="1"/>
  <c r="S732" i="1"/>
  <c r="D736" i="1"/>
  <c r="J736" i="1"/>
  <c r="J737" i="1"/>
  <c r="K737" i="1"/>
  <c r="L737" i="1"/>
  <c r="M737" i="1"/>
  <c r="N737" i="1"/>
  <c r="O737" i="1"/>
  <c r="P737" i="1"/>
  <c r="Q737" i="1"/>
  <c r="R737" i="1"/>
  <c r="S737" i="1"/>
  <c r="I738" i="1"/>
  <c r="J738" i="1"/>
  <c r="K738" i="1"/>
  <c r="L738" i="1"/>
  <c r="M738" i="1"/>
  <c r="N738" i="1"/>
  <c r="O738" i="1"/>
  <c r="P738" i="1"/>
  <c r="Q738" i="1"/>
  <c r="R738" i="1"/>
  <c r="S738" i="1"/>
  <c r="H739" i="1"/>
  <c r="I739" i="1"/>
  <c r="K739" i="1"/>
  <c r="L739" i="1"/>
  <c r="M739" i="1"/>
  <c r="N739" i="1"/>
  <c r="O739" i="1"/>
  <c r="P739" i="1"/>
  <c r="Q739" i="1"/>
  <c r="R739" i="1"/>
  <c r="S739" i="1"/>
  <c r="H740" i="1"/>
  <c r="I740" i="1"/>
  <c r="L740" i="1"/>
  <c r="M740" i="1"/>
  <c r="N740" i="1"/>
  <c r="O740" i="1"/>
  <c r="P740" i="1"/>
  <c r="Q740" i="1"/>
  <c r="R740" i="1"/>
  <c r="S740" i="1"/>
  <c r="H741" i="1"/>
  <c r="I741" i="1"/>
  <c r="M741" i="1"/>
  <c r="N741" i="1"/>
  <c r="O741" i="1"/>
  <c r="P741" i="1"/>
  <c r="Q741" i="1"/>
  <c r="R741" i="1"/>
  <c r="S741" i="1"/>
  <c r="H742" i="1"/>
  <c r="I742" i="1"/>
  <c r="N742" i="1"/>
  <c r="O742" i="1"/>
  <c r="P742" i="1"/>
  <c r="Q742" i="1"/>
  <c r="R742" i="1"/>
  <c r="S742" i="1"/>
  <c r="H743" i="1"/>
  <c r="I743" i="1"/>
  <c r="O743" i="1"/>
  <c r="P743" i="1"/>
  <c r="Q743" i="1"/>
  <c r="R743" i="1"/>
  <c r="S743" i="1"/>
  <c r="H744" i="1"/>
  <c r="I744" i="1"/>
  <c r="P744" i="1"/>
  <c r="Q744" i="1"/>
  <c r="R744" i="1"/>
  <c r="S744" i="1"/>
  <c r="H745" i="1"/>
  <c r="I745" i="1"/>
  <c r="Q745" i="1"/>
  <c r="R745" i="1"/>
  <c r="S745" i="1"/>
  <c r="H746" i="1"/>
  <c r="I746" i="1"/>
  <c r="R746" i="1"/>
  <c r="S746" i="1"/>
  <c r="H747" i="1"/>
  <c r="I747" i="1"/>
  <c r="S747" i="1"/>
  <c r="J749" i="1"/>
  <c r="K749" i="1"/>
  <c r="L749" i="1"/>
  <c r="M749" i="1"/>
  <c r="N749" i="1"/>
  <c r="O749" i="1"/>
  <c r="P749" i="1"/>
  <c r="Q749" i="1"/>
  <c r="R749" i="1"/>
  <c r="S749" i="1"/>
  <c r="J751" i="1"/>
  <c r="J752" i="1"/>
  <c r="K752" i="1"/>
  <c r="L752" i="1"/>
  <c r="M752" i="1"/>
  <c r="N752" i="1"/>
  <c r="O752" i="1"/>
  <c r="P752" i="1"/>
  <c r="Q752" i="1"/>
  <c r="R752" i="1"/>
  <c r="S752" i="1"/>
  <c r="J753" i="1"/>
  <c r="K753" i="1"/>
  <c r="L753" i="1"/>
  <c r="M753" i="1"/>
  <c r="N753" i="1"/>
  <c r="O753" i="1"/>
  <c r="P753" i="1"/>
  <c r="Q753" i="1"/>
  <c r="R753" i="1"/>
  <c r="S753" i="1"/>
  <c r="J754" i="1"/>
  <c r="K754" i="1"/>
  <c r="L754" i="1"/>
  <c r="M754" i="1"/>
  <c r="N754" i="1"/>
  <c r="O754" i="1"/>
  <c r="P754" i="1"/>
  <c r="Q754" i="1"/>
  <c r="R754" i="1"/>
  <c r="S754" i="1"/>
  <c r="J756" i="1"/>
  <c r="K756" i="1"/>
  <c r="L756" i="1"/>
  <c r="M756" i="1"/>
  <c r="N756" i="1"/>
  <c r="O756" i="1"/>
  <c r="P756" i="1"/>
  <c r="Q756" i="1"/>
  <c r="R756" i="1"/>
  <c r="S756" i="1"/>
  <c r="K757" i="1"/>
  <c r="L757" i="1"/>
  <c r="M757" i="1"/>
  <c r="N757" i="1"/>
  <c r="O757" i="1"/>
  <c r="P757" i="1"/>
  <c r="Q757" i="1"/>
  <c r="R757" i="1"/>
  <c r="S757" i="1"/>
  <c r="L758" i="1"/>
  <c r="M758" i="1"/>
  <c r="N758" i="1"/>
  <c r="O758" i="1"/>
  <c r="P758" i="1"/>
  <c r="Q758" i="1"/>
  <c r="R758" i="1"/>
  <c r="S758" i="1"/>
  <c r="M759" i="1"/>
  <c r="N759" i="1"/>
  <c r="O759" i="1"/>
  <c r="P759" i="1"/>
  <c r="Q759" i="1"/>
  <c r="R759" i="1"/>
  <c r="S759" i="1"/>
  <c r="N760" i="1"/>
  <c r="O760" i="1"/>
  <c r="P760" i="1"/>
  <c r="Q760" i="1"/>
  <c r="R760" i="1"/>
  <c r="S760" i="1"/>
  <c r="O761" i="1"/>
  <c r="P761" i="1"/>
  <c r="Q761" i="1"/>
  <c r="R761" i="1"/>
  <c r="S761" i="1"/>
  <c r="P762" i="1"/>
  <c r="Q762" i="1"/>
  <c r="R762" i="1"/>
  <c r="S762" i="1"/>
  <c r="Q763" i="1"/>
  <c r="R763" i="1"/>
  <c r="S763" i="1"/>
  <c r="R764" i="1"/>
  <c r="S764" i="1"/>
  <c r="S765" i="1"/>
  <c r="J767" i="1"/>
  <c r="K767" i="1"/>
  <c r="L767" i="1"/>
  <c r="M767" i="1"/>
  <c r="N767" i="1"/>
  <c r="O767" i="1"/>
  <c r="P767" i="1"/>
  <c r="Q767" i="1"/>
  <c r="R767" i="1"/>
  <c r="S767" i="1"/>
  <c r="J769" i="1"/>
  <c r="J770" i="1"/>
  <c r="K770" i="1"/>
  <c r="L770" i="1"/>
  <c r="M770" i="1"/>
  <c r="N770" i="1"/>
  <c r="O770" i="1"/>
  <c r="P770" i="1"/>
  <c r="Q770" i="1"/>
  <c r="R770" i="1"/>
  <c r="S770" i="1"/>
  <c r="H772" i="1"/>
  <c r="J772" i="1"/>
  <c r="K772" i="1"/>
  <c r="L772" i="1"/>
  <c r="M772" i="1"/>
  <c r="N772" i="1"/>
  <c r="O772" i="1"/>
  <c r="P772" i="1"/>
  <c r="Q772" i="1"/>
  <c r="R772" i="1"/>
  <c r="S772" i="1"/>
  <c r="H773" i="1"/>
  <c r="J773" i="1"/>
  <c r="K773" i="1"/>
  <c r="L773" i="1"/>
  <c r="M773" i="1"/>
  <c r="N773" i="1"/>
  <c r="O773" i="1"/>
  <c r="P773" i="1"/>
  <c r="Q773" i="1"/>
  <c r="R773" i="1"/>
  <c r="S773" i="1"/>
  <c r="H774" i="1"/>
  <c r="J774" i="1"/>
  <c r="K774" i="1"/>
  <c r="L774" i="1"/>
  <c r="M774" i="1"/>
  <c r="N774" i="1"/>
  <c r="O774" i="1"/>
  <c r="P774" i="1"/>
  <c r="Q774" i="1"/>
  <c r="R774" i="1"/>
  <c r="S774" i="1"/>
  <c r="H775" i="1"/>
  <c r="J775" i="1"/>
  <c r="K775" i="1"/>
  <c r="L775" i="1"/>
  <c r="M775" i="1"/>
  <c r="N775" i="1"/>
  <c r="O775" i="1"/>
  <c r="P775" i="1"/>
  <c r="Q775" i="1"/>
  <c r="R775" i="1"/>
  <c r="S775" i="1"/>
  <c r="J776" i="1"/>
  <c r="K776" i="1"/>
  <c r="L776" i="1"/>
  <c r="M776" i="1"/>
  <c r="N776" i="1"/>
  <c r="O776" i="1"/>
  <c r="P776" i="1"/>
  <c r="Q776" i="1"/>
  <c r="R776" i="1"/>
  <c r="S776" i="1"/>
  <c r="J778" i="1"/>
  <c r="K778" i="1"/>
  <c r="L778" i="1"/>
  <c r="M778" i="1"/>
  <c r="N778" i="1"/>
  <c r="O778" i="1"/>
  <c r="P778" i="1"/>
  <c r="Q778" i="1"/>
  <c r="R778" i="1"/>
  <c r="S778" i="1"/>
  <c r="J780" i="1"/>
  <c r="K780" i="1"/>
  <c r="L780" i="1"/>
  <c r="M780" i="1"/>
  <c r="N780" i="1"/>
  <c r="O780" i="1"/>
  <c r="P780" i="1"/>
  <c r="Q780" i="1"/>
  <c r="R780" i="1"/>
  <c r="S780" i="1"/>
  <c r="J783" i="1"/>
  <c r="K783" i="1"/>
  <c r="L783" i="1"/>
  <c r="M783" i="1"/>
  <c r="N783" i="1"/>
  <c r="O783" i="1"/>
  <c r="P783" i="1"/>
  <c r="Q783" i="1"/>
  <c r="R783" i="1"/>
  <c r="S783" i="1"/>
  <c r="N788" i="1"/>
  <c r="N789" i="1"/>
  <c r="N790" i="1"/>
  <c r="N791" i="1"/>
  <c r="B792" i="1"/>
  <c r="N792" i="1"/>
  <c r="N793" i="1"/>
  <c r="N794" i="1"/>
  <c r="N795" i="1"/>
  <c r="N796" i="1"/>
  <c r="N797" i="1"/>
  <c r="D802" i="1"/>
  <c r="J802" i="1"/>
  <c r="J803" i="1"/>
  <c r="K803" i="1"/>
  <c r="L803" i="1"/>
  <c r="M803" i="1"/>
  <c r="N803" i="1"/>
  <c r="O803" i="1"/>
  <c r="P803" i="1"/>
  <c r="Q803" i="1"/>
  <c r="R803" i="1"/>
  <c r="S803" i="1"/>
  <c r="J804" i="1"/>
  <c r="K804" i="1"/>
  <c r="L804" i="1"/>
  <c r="M804" i="1"/>
  <c r="N804" i="1"/>
  <c r="O804" i="1"/>
  <c r="P804" i="1"/>
  <c r="Q804" i="1"/>
  <c r="R804" i="1"/>
  <c r="S804" i="1"/>
  <c r="J807" i="1"/>
  <c r="K807" i="1"/>
  <c r="L807" i="1"/>
  <c r="M807" i="1"/>
  <c r="N807" i="1"/>
  <c r="O807" i="1"/>
  <c r="P807" i="1"/>
  <c r="Q807" i="1"/>
  <c r="R807" i="1"/>
  <c r="S807" i="1"/>
  <c r="K808" i="1"/>
  <c r="L808" i="1"/>
  <c r="M808" i="1"/>
  <c r="N808" i="1"/>
  <c r="O808" i="1"/>
  <c r="P808" i="1"/>
  <c r="Q808" i="1"/>
  <c r="R808" i="1"/>
  <c r="S808" i="1"/>
  <c r="L809" i="1"/>
  <c r="M809" i="1"/>
  <c r="N809" i="1"/>
  <c r="O809" i="1"/>
  <c r="P809" i="1"/>
  <c r="Q809" i="1"/>
  <c r="R809" i="1"/>
  <c r="S809" i="1"/>
  <c r="M810" i="1"/>
  <c r="N810" i="1"/>
  <c r="O810" i="1"/>
  <c r="P810" i="1"/>
  <c r="Q810" i="1"/>
  <c r="R810" i="1"/>
  <c r="S810" i="1"/>
  <c r="N811" i="1"/>
  <c r="O811" i="1"/>
  <c r="P811" i="1"/>
  <c r="Q811" i="1"/>
  <c r="R811" i="1"/>
  <c r="S811" i="1"/>
  <c r="O812" i="1"/>
  <c r="P812" i="1"/>
  <c r="Q812" i="1"/>
  <c r="R812" i="1"/>
  <c r="S812" i="1"/>
  <c r="P813" i="1"/>
  <c r="Q813" i="1"/>
  <c r="R813" i="1"/>
  <c r="S813" i="1"/>
  <c r="Q814" i="1"/>
  <c r="R814" i="1"/>
  <c r="S814" i="1"/>
  <c r="R815" i="1"/>
  <c r="S815" i="1"/>
  <c r="S816" i="1"/>
  <c r="J818" i="1"/>
  <c r="K818" i="1"/>
  <c r="L818" i="1"/>
  <c r="M818" i="1"/>
  <c r="N818" i="1"/>
  <c r="O818" i="1"/>
  <c r="P818" i="1"/>
  <c r="Q818" i="1"/>
  <c r="R818" i="1"/>
  <c r="S818" i="1"/>
  <c r="D820" i="1"/>
  <c r="J820" i="1"/>
  <c r="J821" i="1"/>
  <c r="K821" i="1"/>
  <c r="L821" i="1"/>
  <c r="M821" i="1"/>
  <c r="N821" i="1"/>
  <c r="O821" i="1"/>
  <c r="P821" i="1"/>
  <c r="Q821" i="1"/>
  <c r="R821" i="1"/>
  <c r="S821" i="1"/>
  <c r="J822" i="1"/>
  <c r="K822" i="1"/>
  <c r="L822" i="1"/>
  <c r="M822" i="1"/>
  <c r="N822" i="1"/>
  <c r="O822" i="1"/>
  <c r="P822" i="1"/>
  <c r="Q822" i="1"/>
  <c r="R822" i="1"/>
  <c r="S822" i="1"/>
  <c r="J825" i="1"/>
  <c r="K825" i="1"/>
  <c r="L825" i="1"/>
  <c r="M825" i="1"/>
  <c r="N825" i="1"/>
  <c r="O825" i="1"/>
  <c r="P825" i="1"/>
  <c r="Q825" i="1"/>
  <c r="R825" i="1"/>
  <c r="S825" i="1"/>
  <c r="K826" i="1"/>
  <c r="L826" i="1"/>
  <c r="M826" i="1"/>
  <c r="N826" i="1"/>
  <c r="O826" i="1"/>
  <c r="P826" i="1"/>
  <c r="Q826" i="1"/>
  <c r="R826" i="1"/>
  <c r="S826" i="1"/>
  <c r="L827" i="1"/>
  <c r="M827" i="1"/>
  <c r="N827" i="1"/>
  <c r="O827" i="1"/>
  <c r="P827" i="1"/>
  <c r="Q827" i="1"/>
  <c r="R827" i="1"/>
  <c r="S827" i="1"/>
  <c r="M828" i="1"/>
  <c r="N828" i="1"/>
  <c r="O828" i="1"/>
  <c r="P828" i="1"/>
  <c r="Q828" i="1"/>
  <c r="R828" i="1"/>
  <c r="S828" i="1"/>
  <c r="N829" i="1"/>
  <c r="O829" i="1"/>
  <c r="P829" i="1"/>
  <c r="Q829" i="1"/>
  <c r="R829" i="1"/>
  <c r="S829" i="1"/>
  <c r="O830" i="1"/>
  <c r="P830" i="1"/>
  <c r="Q830" i="1"/>
  <c r="R830" i="1"/>
  <c r="S830" i="1"/>
  <c r="P831" i="1"/>
  <c r="Q831" i="1"/>
  <c r="R831" i="1"/>
  <c r="S831" i="1"/>
  <c r="Q832" i="1"/>
  <c r="R832" i="1"/>
  <c r="S832" i="1"/>
  <c r="R833" i="1"/>
  <c r="S833" i="1"/>
  <c r="S834" i="1"/>
  <c r="J836" i="1"/>
  <c r="K836" i="1"/>
  <c r="L836" i="1"/>
  <c r="M836" i="1"/>
  <c r="N836" i="1"/>
  <c r="O836" i="1"/>
  <c r="P836" i="1"/>
  <c r="Q836" i="1"/>
  <c r="R836" i="1"/>
  <c r="S836" i="1"/>
  <c r="D839" i="1"/>
  <c r="J839" i="1"/>
  <c r="J840" i="1"/>
  <c r="K840" i="1"/>
  <c r="L840" i="1"/>
  <c r="M840" i="1"/>
  <c r="N840" i="1"/>
  <c r="O840" i="1"/>
  <c r="P840" i="1"/>
  <c r="Q840" i="1"/>
  <c r="R840" i="1"/>
  <c r="S840" i="1"/>
  <c r="J841" i="1"/>
  <c r="K841" i="1"/>
  <c r="L841" i="1"/>
  <c r="M841" i="1"/>
  <c r="N841" i="1"/>
  <c r="O841" i="1"/>
  <c r="P841" i="1"/>
  <c r="Q841" i="1"/>
  <c r="R841" i="1"/>
  <c r="S841" i="1"/>
  <c r="J844" i="1"/>
  <c r="K844" i="1"/>
  <c r="L844" i="1"/>
  <c r="M844" i="1"/>
  <c r="N844" i="1"/>
  <c r="O844" i="1"/>
  <c r="P844" i="1"/>
  <c r="Q844" i="1"/>
  <c r="R844" i="1"/>
  <c r="S844" i="1"/>
  <c r="K845" i="1"/>
  <c r="L845" i="1"/>
  <c r="M845" i="1"/>
  <c r="N845" i="1"/>
  <c r="O845" i="1"/>
  <c r="P845" i="1"/>
  <c r="Q845" i="1"/>
  <c r="R845" i="1"/>
  <c r="S845" i="1"/>
  <c r="L846" i="1"/>
  <c r="M846" i="1"/>
  <c r="N846" i="1"/>
  <c r="O846" i="1"/>
  <c r="P846" i="1"/>
  <c r="Q846" i="1"/>
  <c r="R846" i="1"/>
  <c r="S846" i="1"/>
  <c r="M847" i="1"/>
  <c r="N847" i="1"/>
  <c r="O847" i="1"/>
  <c r="P847" i="1"/>
  <c r="Q847" i="1"/>
  <c r="R847" i="1"/>
  <c r="S847" i="1"/>
  <c r="N848" i="1"/>
  <c r="O848" i="1"/>
  <c r="P848" i="1"/>
  <c r="Q848" i="1"/>
  <c r="R848" i="1"/>
  <c r="S848" i="1"/>
  <c r="O849" i="1"/>
  <c r="P849" i="1"/>
  <c r="Q849" i="1"/>
  <c r="R849" i="1"/>
  <c r="S849" i="1"/>
  <c r="P850" i="1"/>
  <c r="Q850" i="1"/>
  <c r="R850" i="1"/>
  <c r="S850" i="1"/>
  <c r="Q851" i="1"/>
  <c r="R851" i="1"/>
  <c r="S851" i="1"/>
  <c r="R852" i="1"/>
  <c r="S852" i="1"/>
  <c r="S853" i="1"/>
  <c r="J855" i="1"/>
  <c r="K855" i="1"/>
  <c r="L855" i="1"/>
  <c r="M855" i="1"/>
  <c r="N855" i="1"/>
  <c r="O855" i="1"/>
  <c r="P855" i="1"/>
  <c r="Q855" i="1"/>
  <c r="R855" i="1"/>
  <c r="S855" i="1"/>
  <c r="D858" i="1"/>
  <c r="J858" i="1"/>
  <c r="J859" i="1"/>
  <c r="K859" i="1"/>
  <c r="L859" i="1"/>
  <c r="M859" i="1"/>
  <c r="N859" i="1"/>
  <c r="O859" i="1"/>
  <c r="P859" i="1"/>
  <c r="Q859" i="1"/>
  <c r="R859" i="1"/>
  <c r="S859" i="1"/>
  <c r="J860" i="1"/>
  <c r="K860" i="1"/>
  <c r="L860" i="1"/>
  <c r="M860" i="1"/>
  <c r="N860" i="1"/>
  <c r="O860" i="1"/>
  <c r="P860" i="1"/>
  <c r="Q860" i="1"/>
  <c r="R860" i="1"/>
  <c r="S860" i="1"/>
  <c r="J863" i="1"/>
  <c r="K863" i="1"/>
  <c r="L863" i="1"/>
  <c r="M863" i="1"/>
  <c r="N863" i="1"/>
  <c r="O863" i="1"/>
  <c r="P863" i="1"/>
  <c r="Q863" i="1"/>
  <c r="R863" i="1"/>
  <c r="S863" i="1"/>
  <c r="K864" i="1"/>
  <c r="L864" i="1"/>
  <c r="M864" i="1"/>
  <c r="N864" i="1"/>
  <c r="O864" i="1"/>
  <c r="P864" i="1"/>
  <c r="Q864" i="1"/>
  <c r="R864" i="1"/>
  <c r="S864" i="1"/>
  <c r="L865" i="1"/>
  <c r="M865" i="1"/>
  <c r="N865" i="1"/>
  <c r="O865" i="1"/>
  <c r="P865" i="1"/>
  <c r="Q865" i="1"/>
  <c r="R865" i="1"/>
  <c r="S865" i="1"/>
  <c r="M866" i="1"/>
  <c r="N866" i="1"/>
  <c r="O866" i="1"/>
  <c r="P866" i="1"/>
  <c r="Q866" i="1"/>
  <c r="R866" i="1"/>
  <c r="S866" i="1"/>
  <c r="N867" i="1"/>
  <c r="O867" i="1"/>
  <c r="P867" i="1"/>
  <c r="Q867" i="1"/>
  <c r="R867" i="1"/>
  <c r="S867" i="1"/>
  <c r="O868" i="1"/>
  <c r="P868" i="1"/>
  <c r="Q868" i="1"/>
  <c r="R868" i="1"/>
  <c r="S868" i="1"/>
  <c r="P869" i="1"/>
  <c r="Q869" i="1"/>
  <c r="R869" i="1"/>
  <c r="S869" i="1"/>
  <c r="Q870" i="1"/>
  <c r="R870" i="1"/>
  <c r="S870" i="1"/>
  <c r="R871" i="1"/>
  <c r="S871" i="1"/>
  <c r="S872" i="1"/>
  <c r="J874" i="1"/>
  <c r="K874" i="1"/>
  <c r="L874" i="1"/>
  <c r="M874" i="1"/>
  <c r="N874" i="1"/>
  <c r="O874" i="1"/>
  <c r="P874" i="1"/>
  <c r="Q874" i="1"/>
  <c r="R874" i="1"/>
  <c r="S874" i="1"/>
  <c r="J879" i="1"/>
  <c r="J880" i="1"/>
  <c r="K880" i="1"/>
  <c r="L880" i="1"/>
  <c r="M880" i="1"/>
  <c r="N880" i="1"/>
  <c r="O880" i="1"/>
  <c r="P880" i="1"/>
  <c r="Q880" i="1"/>
  <c r="R880" i="1"/>
  <c r="S880" i="1"/>
  <c r="J882" i="1"/>
  <c r="K882" i="1"/>
  <c r="L882" i="1"/>
  <c r="M882" i="1"/>
  <c r="N882" i="1"/>
  <c r="O882" i="1"/>
  <c r="P882" i="1"/>
  <c r="Q882" i="1"/>
  <c r="R882" i="1"/>
  <c r="S882" i="1"/>
  <c r="H883" i="1"/>
  <c r="K883" i="1"/>
  <c r="L883" i="1"/>
  <c r="M883" i="1"/>
  <c r="N883" i="1"/>
  <c r="O883" i="1"/>
  <c r="P883" i="1"/>
  <c r="Q883" i="1"/>
  <c r="R883" i="1"/>
  <c r="S883" i="1"/>
  <c r="H884" i="1"/>
  <c r="L884" i="1"/>
  <c r="M884" i="1"/>
  <c r="N884" i="1"/>
  <c r="O884" i="1"/>
  <c r="P884" i="1"/>
  <c r="Q884" i="1"/>
  <c r="R884" i="1"/>
  <c r="S884" i="1"/>
  <c r="H885" i="1"/>
  <c r="M885" i="1"/>
  <c r="N885" i="1"/>
  <c r="O885" i="1"/>
  <c r="P885" i="1"/>
  <c r="Q885" i="1"/>
  <c r="R885" i="1"/>
  <c r="S885" i="1"/>
  <c r="H886" i="1"/>
  <c r="N886" i="1"/>
  <c r="O886" i="1"/>
  <c r="P886" i="1"/>
  <c r="Q886" i="1"/>
  <c r="R886" i="1"/>
  <c r="S886" i="1"/>
  <c r="H887" i="1"/>
  <c r="O887" i="1"/>
  <c r="P887" i="1"/>
  <c r="Q887" i="1"/>
  <c r="R887" i="1"/>
  <c r="S887" i="1"/>
  <c r="H888" i="1"/>
  <c r="P888" i="1"/>
  <c r="Q888" i="1"/>
  <c r="R888" i="1"/>
  <c r="S888" i="1"/>
  <c r="H889" i="1"/>
  <c r="Q889" i="1"/>
  <c r="R889" i="1"/>
  <c r="S889" i="1"/>
  <c r="H890" i="1"/>
  <c r="R890" i="1"/>
  <c r="S890" i="1"/>
  <c r="H891" i="1"/>
  <c r="S891" i="1"/>
  <c r="J894" i="1"/>
  <c r="K894" i="1"/>
  <c r="L894" i="1"/>
  <c r="M894" i="1"/>
  <c r="N894" i="1"/>
  <c r="O894" i="1"/>
  <c r="P894" i="1"/>
  <c r="Q894" i="1"/>
  <c r="R894" i="1"/>
  <c r="S894" i="1"/>
  <c r="J896" i="1"/>
  <c r="J897" i="1"/>
  <c r="K897" i="1"/>
  <c r="L897" i="1"/>
  <c r="M897" i="1"/>
  <c r="N897" i="1"/>
  <c r="O897" i="1"/>
  <c r="P897" i="1"/>
  <c r="Q897" i="1"/>
  <c r="R897" i="1"/>
  <c r="S897" i="1"/>
  <c r="H898" i="1"/>
  <c r="J898" i="1"/>
  <c r="K898" i="1"/>
  <c r="L898" i="1"/>
  <c r="M898" i="1"/>
  <c r="N898" i="1"/>
  <c r="O898" i="1"/>
  <c r="P898" i="1"/>
  <c r="Q898" i="1"/>
  <c r="R898" i="1"/>
  <c r="S898" i="1"/>
  <c r="H899" i="1"/>
  <c r="J899" i="1"/>
  <c r="K899" i="1"/>
  <c r="L899" i="1"/>
  <c r="M899" i="1"/>
  <c r="N899" i="1"/>
  <c r="O899" i="1"/>
  <c r="P899" i="1"/>
  <c r="Q899" i="1"/>
  <c r="R899" i="1"/>
  <c r="S899" i="1"/>
  <c r="H900" i="1"/>
  <c r="J900" i="1"/>
  <c r="K900" i="1"/>
  <c r="L900" i="1"/>
  <c r="M900" i="1"/>
  <c r="N900" i="1"/>
  <c r="O900" i="1"/>
  <c r="P900" i="1"/>
  <c r="Q900" i="1"/>
  <c r="R900" i="1"/>
  <c r="S900" i="1"/>
  <c r="H901" i="1"/>
  <c r="J901" i="1"/>
  <c r="K901" i="1"/>
  <c r="L901" i="1"/>
  <c r="M901" i="1"/>
  <c r="N901" i="1"/>
  <c r="O901" i="1"/>
  <c r="P901" i="1"/>
  <c r="Q901" i="1"/>
  <c r="R901" i="1"/>
  <c r="S901" i="1"/>
  <c r="H902" i="1"/>
  <c r="J902" i="1"/>
  <c r="K902" i="1"/>
  <c r="L902" i="1"/>
  <c r="M902" i="1"/>
  <c r="N902" i="1"/>
  <c r="O902" i="1"/>
  <c r="P902" i="1"/>
  <c r="Q902" i="1"/>
  <c r="R902" i="1"/>
  <c r="S902" i="1"/>
  <c r="J904" i="1"/>
  <c r="K904" i="1"/>
  <c r="L904" i="1"/>
  <c r="M904" i="1"/>
  <c r="N904" i="1"/>
  <c r="O904" i="1"/>
  <c r="P904" i="1"/>
  <c r="Q904" i="1"/>
  <c r="R904" i="1"/>
  <c r="S904" i="1"/>
  <c r="J906" i="1"/>
  <c r="K906" i="1"/>
  <c r="L906" i="1"/>
  <c r="M906" i="1"/>
  <c r="N906" i="1"/>
  <c r="O906" i="1"/>
  <c r="P906" i="1"/>
  <c r="Q906" i="1"/>
  <c r="R906" i="1"/>
  <c r="S906" i="1"/>
  <c r="J908" i="1"/>
  <c r="K908" i="1"/>
  <c r="L908" i="1"/>
  <c r="M908" i="1"/>
  <c r="N908" i="1"/>
  <c r="O908" i="1"/>
  <c r="P908" i="1"/>
  <c r="Q908" i="1"/>
  <c r="R908" i="1"/>
  <c r="S908" i="1"/>
  <c r="D916" i="1"/>
  <c r="G916" i="1"/>
  <c r="I916" i="1"/>
  <c r="K916" i="1"/>
  <c r="M916" i="1"/>
  <c r="O916" i="1"/>
  <c r="Q916" i="1"/>
  <c r="S916" i="1"/>
  <c r="G917" i="1"/>
  <c r="I917" i="1"/>
  <c r="K917" i="1"/>
  <c r="M917" i="1"/>
  <c r="O917" i="1"/>
  <c r="Q917" i="1"/>
  <c r="S917" i="1"/>
  <c r="G918" i="1"/>
  <c r="I918" i="1"/>
  <c r="K918" i="1"/>
  <c r="M918" i="1"/>
  <c r="O918" i="1"/>
  <c r="Q918" i="1"/>
  <c r="S918" i="1"/>
  <c r="G919" i="1"/>
  <c r="I919" i="1"/>
  <c r="K919" i="1"/>
  <c r="M919" i="1"/>
  <c r="O919" i="1"/>
  <c r="Q919" i="1"/>
  <c r="S919" i="1"/>
  <c r="D920" i="1"/>
  <c r="G920" i="1"/>
  <c r="I920" i="1"/>
  <c r="K920" i="1"/>
  <c r="M920" i="1"/>
  <c r="O920" i="1"/>
  <c r="S920" i="1"/>
  <c r="D921" i="1"/>
  <c r="G921" i="1"/>
  <c r="I921" i="1"/>
  <c r="K921" i="1"/>
  <c r="M921" i="1"/>
  <c r="O921" i="1"/>
  <c r="S921" i="1"/>
  <c r="D922" i="1"/>
  <c r="G922" i="1"/>
  <c r="I922" i="1"/>
  <c r="K922" i="1"/>
  <c r="M922" i="1"/>
  <c r="O922" i="1"/>
  <c r="S922" i="1"/>
  <c r="D923" i="1"/>
  <c r="G923" i="1"/>
  <c r="I923" i="1"/>
  <c r="K923" i="1"/>
  <c r="M923" i="1"/>
  <c r="O923" i="1"/>
  <c r="S923" i="1"/>
  <c r="D924" i="1"/>
  <c r="G924" i="1"/>
  <c r="I924" i="1"/>
  <c r="K924" i="1"/>
  <c r="M924" i="1"/>
  <c r="O924" i="1"/>
  <c r="S924" i="1"/>
  <c r="D925" i="1"/>
  <c r="G925" i="1"/>
  <c r="I925" i="1"/>
  <c r="K925" i="1"/>
  <c r="M925" i="1"/>
  <c r="O925" i="1"/>
  <c r="S925" i="1"/>
  <c r="D926" i="1"/>
  <c r="G926" i="1"/>
  <c r="I926" i="1"/>
  <c r="K926" i="1"/>
  <c r="M926" i="1"/>
  <c r="O926" i="1"/>
  <c r="S926" i="1"/>
  <c r="G927" i="1"/>
  <c r="I927" i="1"/>
  <c r="K927" i="1"/>
  <c r="M927" i="1"/>
  <c r="O927" i="1"/>
  <c r="S927" i="1"/>
  <c r="H930" i="1"/>
  <c r="D933" i="1"/>
  <c r="H933" i="1"/>
  <c r="H934" i="1"/>
  <c r="H935" i="1"/>
  <c r="H936" i="1"/>
  <c r="J939" i="1"/>
  <c r="J940" i="1"/>
  <c r="K940" i="1"/>
  <c r="L940" i="1"/>
  <c r="M940" i="1"/>
  <c r="N940" i="1"/>
  <c r="O940" i="1"/>
  <c r="P940" i="1"/>
  <c r="Q940" i="1"/>
  <c r="R940" i="1"/>
  <c r="S940" i="1"/>
  <c r="J942" i="1"/>
  <c r="K942" i="1"/>
  <c r="L942" i="1"/>
  <c r="M942" i="1"/>
  <c r="N942" i="1"/>
  <c r="O942" i="1"/>
  <c r="P942" i="1"/>
  <c r="Q942" i="1"/>
  <c r="R942" i="1"/>
  <c r="S942" i="1"/>
  <c r="D952" i="1"/>
  <c r="J958" i="1"/>
  <c r="J959" i="1"/>
  <c r="K959" i="1"/>
  <c r="L959" i="1"/>
  <c r="M959" i="1"/>
  <c r="N959" i="1"/>
  <c r="O959" i="1"/>
  <c r="P959" i="1"/>
  <c r="Q959" i="1"/>
  <c r="R959" i="1"/>
  <c r="S959" i="1"/>
  <c r="D960" i="1"/>
  <c r="D961" i="1"/>
  <c r="D962" i="1"/>
  <c r="D963" i="1"/>
  <c r="D964" i="1"/>
  <c r="D965" i="1"/>
  <c r="D966" i="1"/>
  <c r="D967" i="1"/>
  <c r="D968" i="1"/>
  <c r="D969" i="1"/>
  <c r="D971" i="1"/>
  <c r="H972" i="1"/>
  <c r="I972" i="1"/>
  <c r="J972" i="1"/>
  <c r="K972" i="1"/>
  <c r="L972" i="1"/>
  <c r="M972" i="1"/>
  <c r="N972" i="1"/>
  <c r="L974" i="1"/>
  <c r="M974" i="1"/>
  <c r="N974" i="1"/>
  <c r="G975" i="1"/>
  <c r="G976" i="1"/>
  <c r="G977" i="1"/>
  <c r="G978" i="1"/>
  <c r="B979" i="1"/>
  <c r="G979" i="1"/>
  <c r="D981" i="1"/>
  <c r="H982" i="1"/>
  <c r="H983" i="1"/>
  <c r="I983" i="1"/>
  <c r="J983" i="1"/>
  <c r="K983" i="1"/>
  <c r="L983" i="1"/>
  <c r="M983" i="1"/>
  <c r="N983" i="1"/>
  <c r="G984" i="1"/>
  <c r="G985" i="1"/>
  <c r="G986" i="1"/>
  <c r="G987" i="1"/>
  <c r="G988" i="1"/>
  <c r="D995" i="1"/>
  <c r="D996" i="1"/>
  <c r="J996" i="1"/>
  <c r="J997" i="1"/>
  <c r="K997" i="1"/>
  <c r="L997" i="1"/>
  <c r="M997" i="1"/>
  <c r="N997" i="1"/>
  <c r="O997" i="1"/>
  <c r="P997" i="1"/>
  <c r="Q997" i="1"/>
  <c r="R997" i="1"/>
  <c r="S997" i="1"/>
  <c r="D1001" i="1"/>
  <c r="J1001" i="1"/>
  <c r="J1002" i="1"/>
  <c r="K1002" i="1"/>
  <c r="L1002" i="1"/>
  <c r="M1002" i="1"/>
  <c r="N1002" i="1"/>
  <c r="O1002" i="1"/>
  <c r="P1002" i="1"/>
  <c r="Q1002" i="1"/>
  <c r="R1002" i="1"/>
  <c r="S1002" i="1"/>
  <c r="D1003" i="1"/>
  <c r="D1004" i="1"/>
  <c r="D1005" i="1"/>
  <c r="D1006" i="1"/>
  <c r="D1007" i="1"/>
  <c r="D1008" i="1"/>
  <c r="D1009" i="1"/>
  <c r="D1010" i="1"/>
  <c r="D1011" i="1"/>
  <c r="D1012" i="1"/>
  <c r="D1014" i="1"/>
  <c r="H1015" i="1"/>
  <c r="I1015" i="1"/>
  <c r="J1015" i="1"/>
  <c r="K1015" i="1"/>
  <c r="L1015" i="1"/>
  <c r="M1015" i="1"/>
  <c r="N1015" i="1"/>
  <c r="H1016" i="1"/>
  <c r="H1017" i="1"/>
  <c r="I1017" i="1"/>
  <c r="J1017" i="1"/>
  <c r="K1017" i="1"/>
  <c r="L1017" i="1"/>
  <c r="M1017" i="1"/>
  <c r="N1017" i="1"/>
  <c r="G1018" i="1"/>
  <c r="G1019" i="1"/>
  <c r="G1020" i="1"/>
  <c r="G1021" i="1"/>
  <c r="B1022" i="1"/>
  <c r="G1022" i="1"/>
  <c r="D1024" i="1"/>
  <c r="H1025" i="1"/>
  <c r="H1026" i="1"/>
  <c r="I1026" i="1"/>
  <c r="J1026" i="1"/>
  <c r="K1026" i="1"/>
  <c r="L1026" i="1"/>
  <c r="M1026" i="1"/>
  <c r="N1026" i="1"/>
  <c r="G1027" i="1"/>
  <c r="G1028" i="1"/>
  <c r="G1029" i="1"/>
  <c r="G1030" i="1"/>
  <c r="G1031" i="1"/>
  <c r="J1034" i="1"/>
  <c r="J1035" i="1"/>
  <c r="K1035" i="1"/>
  <c r="L1035" i="1"/>
  <c r="M1035" i="1"/>
  <c r="N1035" i="1"/>
  <c r="O1035" i="1"/>
  <c r="P1035" i="1"/>
  <c r="Q1035" i="1"/>
  <c r="R1035" i="1"/>
  <c r="S1035" i="1"/>
  <c r="D1039" i="1"/>
  <c r="J1039" i="1"/>
  <c r="J1040" i="1"/>
  <c r="K1040" i="1"/>
  <c r="L1040" i="1"/>
  <c r="M1040" i="1"/>
  <c r="N1040" i="1"/>
  <c r="O1040" i="1"/>
  <c r="P1040" i="1"/>
  <c r="Q1040" i="1"/>
  <c r="R1040" i="1"/>
  <c r="S1040" i="1"/>
  <c r="D1041" i="1"/>
  <c r="D1042" i="1"/>
  <c r="D1043" i="1"/>
  <c r="D1044" i="1"/>
  <c r="D1045" i="1"/>
  <c r="D1046" i="1"/>
  <c r="D1047" i="1"/>
  <c r="D1048" i="1"/>
  <c r="D1049" i="1"/>
  <c r="D1050" i="1"/>
  <c r="D1052" i="1"/>
  <c r="H1053" i="1"/>
  <c r="I1053" i="1"/>
  <c r="J1053" i="1"/>
  <c r="K1053" i="1"/>
  <c r="L1053" i="1"/>
  <c r="M1053" i="1"/>
  <c r="N1053" i="1"/>
  <c r="H1055" i="1"/>
  <c r="I1055" i="1"/>
  <c r="J1055" i="1"/>
  <c r="K1055" i="1"/>
  <c r="L1055" i="1"/>
  <c r="M1055" i="1"/>
  <c r="N1055" i="1"/>
  <c r="G1056" i="1"/>
  <c r="H1056" i="1"/>
  <c r="I1056" i="1"/>
  <c r="J1056" i="1"/>
  <c r="K1056" i="1"/>
  <c r="L1056" i="1"/>
  <c r="M1056" i="1"/>
  <c r="N1056" i="1"/>
  <c r="G1057" i="1"/>
  <c r="H1057" i="1"/>
  <c r="I1057" i="1"/>
  <c r="J1057" i="1"/>
  <c r="K1057" i="1"/>
  <c r="L1057" i="1"/>
  <c r="M1057" i="1"/>
  <c r="N1057" i="1"/>
  <c r="G1058" i="1"/>
  <c r="H1058" i="1"/>
  <c r="I1058" i="1"/>
  <c r="J1058" i="1"/>
  <c r="K1058" i="1"/>
  <c r="L1058" i="1"/>
  <c r="M1058" i="1"/>
  <c r="N1058" i="1"/>
  <c r="G1059" i="1"/>
  <c r="H1059" i="1"/>
  <c r="I1059" i="1"/>
  <c r="J1059" i="1"/>
  <c r="K1059" i="1"/>
  <c r="L1059" i="1"/>
  <c r="M1059" i="1"/>
  <c r="N1059" i="1"/>
  <c r="B1060" i="1"/>
  <c r="G1060" i="1"/>
  <c r="H1060" i="1"/>
  <c r="I1060" i="1"/>
  <c r="J1060" i="1"/>
  <c r="K1060" i="1"/>
  <c r="L1060" i="1"/>
  <c r="M1060" i="1"/>
  <c r="N1060" i="1"/>
  <c r="D1062" i="1"/>
  <c r="H1064" i="1"/>
  <c r="I1064" i="1"/>
  <c r="J1064" i="1"/>
  <c r="K1064" i="1"/>
  <c r="L1064" i="1"/>
  <c r="M1064" i="1"/>
  <c r="N1064" i="1"/>
  <c r="G1065" i="1"/>
  <c r="G1066" i="1"/>
  <c r="G1067" i="1"/>
  <c r="G1068" i="1"/>
  <c r="G1069" i="1"/>
  <c r="D1071" i="1"/>
  <c r="D1072" i="1"/>
  <c r="J1072" i="1"/>
  <c r="J1073" i="1"/>
  <c r="K1073" i="1"/>
  <c r="L1073" i="1"/>
  <c r="M1073" i="1"/>
  <c r="N1073" i="1"/>
  <c r="O1073" i="1"/>
  <c r="P1073" i="1"/>
  <c r="Q1073" i="1"/>
  <c r="R1073" i="1"/>
  <c r="S1073" i="1"/>
  <c r="D1081" i="1"/>
  <c r="J1081" i="1"/>
  <c r="J1082" i="1"/>
  <c r="K1082" i="1"/>
  <c r="L1082" i="1"/>
  <c r="M1082" i="1"/>
  <c r="N1082" i="1"/>
  <c r="O1082" i="1"/>
  <c r="P1082" i="1"/>
  <c r="Q1082" i="1"/>
  <c r="R1082" i="1"/>
  <c r="S1082" i="1"/>
  <c r="D1083" i="1"/>
  <c r="D1084" i="1"/>
  <c r="D1085" i="1"/>
  <c r="D1086" i="1"/>
  <c r="D1087" i="1"/>
  <c r="D1088" i="1"/>
  <c r="D1089" i="1"/>
  <c r="D1090" i="1"/>
  <c r="D1091" i="1"/>
  <c r="D1092" i="1"/>
  <c r="D1094" i="1"/>
  <c r="H1096" i="1"/>
  <c r="H1097" i="1"/>
  <c r="I1097" i="1"/>
  <c r="J1097" i="1"/>
  <c r="K1097" i="1"/>
  <c r="L1097" i="1"/>
  <c r="M1097" i="1"/>
  <c r="N1097" i="1"/>
  <c r="G1098" i="1"/>
  <c r="H1098" i="1"/>
  <c r="I1098" i="1"/>
  <c r="J1098" i="1"/>
  <c r="K1098" i="1"/>
  <c r="L1098" i="1"/>
  <c r="M1098" i="1"/>
  <c r="N1098" i="1"/>
  <c r="G1099" i="1"/>
  <c r="H1099" i="1"/>
  <c r="I1099" i="1"/>
  <c r="J1099" i="1"/>
  <c r="K1099" i="1"/>
  <c r="L1099" i="1"/>
  <c r="M1099" i="1"/>
  <c r="N1099" i="1"/>
  <c r="G1100" i="1"/>
  <c r="H1100" i="1"/>
  <c r="I1100" i="1"/>
  <c r="J1100" i="1"/>
  <c r="K1100" i="1"/>
  <c r="L1100" i="1"/>
  <c r="M1100" i="1"/>
  <c r="N1100" i="1"/>
  <c r="G1101" i="1"/>
  <c r="H1101" i="1"/>
  <c r="I1101" i="1"/>
  <c r="J1101" i="1"/>
  <c r="K1101" i="1"/>
  <c r="L1101" i="1"/>
  <c r="M1101" i="1"/>
  <c r="N1101" i="1"/>
  <c r="B1102" i="1"/>
  <c r="G1102" i="1"/>
  <c r="H1102" i="1"/>
  <c r="I1102" i="1"/>
  <c r="J1102" i="1"/>
  <c r="K1102" i="1"/>
  <c r="L1102" i="1"/>
  <c r="M1102" i="1"/>
  <c r="N1102" i="1"/>
  <c r="D1104" i="1"/>
  <c r="H1105" i="1"/>
  <c r="H1106" i="1"/>
  <c r="I1106" i="1"/>
  <c r="J1106" i="1"/>
  <c r="K1106" i="1"/>
  <c r="L1106" i="1"/>
  <c r="M1106" i="1"/>
  <c r="N1106" i="1"/>
  <c r="G1107" i="1"/>
  <c r="G1108" i="1"/>
  <c r="G1109" i="1"/>
  <c r="G1110" i="1"/>
  <c r="G1111" i="1"/>
  <c r="D1113" i="1"/>
  <c r="D1114" i="1"/>
  <c r="J1114" i="1"/>
  <c r="J1115" i="1"/>
  <c r="K1115" i="1"/>
  <c r="L1115" i="1"/>
  <c r="M1115" i="1"/>
  <c r="N1115" i="1"/>
  <c r="O1115" i="1"/>
  <c r="P1115" i="1"/>
  <c r="Q1115" i="1"/>
  <c r="R1115" i="1"/>
  <c r="S1115" i="1"/>
  <c r="D1123" i="1"/>
  <c r="J1123" i="1"/>
  <c r="J1124" i="1"/>
  <c r="K1124" i="1"/>
  <c r="L1124" i="1"/>
  <c r="M1124" i="1"/>
  <c r="N1124" i="1"/>
  <c r="O1124" i="1"/>
  <c r="P1124" i="1"/>
  <c r="Q1124" i="1"/>
  <c r="R1124" i="1"/>
  <c r="S1124" i="1"/>
  <c r="D1125" i="1"/>
  <c r="D1126" i="1"/>
  <c r="D1127" i="1"/>
  <c r="D1128" i="1"/>
  <c r="D1129" i="1"/>
  <c r="D1130" i="1"/>
  <c r="D1131" i="1"/>
  <c r="D1132" i="1"/>
  <c r="D1133" i="1"/>
  <c r="D1134" i="1"/>
  <c r="D1136" i="1"/>
  <c r="H1138" i="1"/>
  <c r="H1139" i="1"/>
  <c r="I1139" i="1"/>
  <c r="J1139" i="1"/>
  <c r="K1139" i="1"/>
  <c r="L1139" i="1"/>
  <c r="M1139" i="1"/>
  <c r="N1139" i="1"/>
  <c r="G1140" i="1"/>
  <c r="H1140" i="1"/>
  <c r="I1140" i="1"/>
  <c r="J1140" i="1"/>
  <c r="K1140" i="1"/>
  <c r="L1140" i="1"/>
  <c r="M1140" i="1"/>
  <c r="N1140" i="1"/>
  <c r="G1141" i="1"/>
  <c r="H1141" i="1"/>
  <c r="I1141" i="1"/>
  <c r="J1141" i="1"/>
  <c r="K1141" i="1"/>
  <c r="L1141" i="1"/>
  <c r="M1141" i="1"/>
  <c r="N1141" i="1"/>
  <c r="G1142" i="1"/>
  <c r="H1142" i="1"/>
  <c r="I1142" i="1"/>
  <c r="J1142" i="1"/>
  <c r="K1142" i="1"/>
  <c r="L1142" i="1"/>
  <c r="M1142" i="1"/>
  <c r="N1142" i="1"/>
  <c r="G1143" i="1"/>
  <c r="H1143" i="1"/>
  <c r="I1143" i="1"/>
  <c r="J1143" i="1"/>
  <c r="K1143" i="1"/>
  <c r="L1143" i="1"/>
  <c r="M1143" i="1"/>
  <c r="N1143" i="1"/>
  <c r="B1144" i="1"/>
  <c r="G1144" i="1"/>
  <c r="H1144" i="1"/>
  <c r="I1144" i="1"/>
  <c r="J1144" i="1"/>
  <c r="K1144" i="1"/>
  <c r="L1144" i="1"/>
  <c r="M1144" i="1"/>
  <c r="N1144" i="1"/>
  <c r="D1146" i="1"/>
  <c r="H1147" i="1"/>
  <c r="H1148" i="1"/>
  <c r="I1148" i="1"/>
  <c r="J1148" i="1"/>
  <c r="K1148" i="1"/>
  <c r="L1148" i="1"/>
  <c r="M1148" i="1"/>
  <c r="N1148" i="1"/>
  <c r="G1149" i="1"/>
  <c r="G1150" i="1"/>
  <c r="G1151" i="1"/>
  <c r="G1152" i="1"/>
  <c r="G1153" i="1"/>
  <c r="D1155" i="1"/>
  <c r="D1156" i="1"/>
  <c r="J1156" i="1"/>
  <c r="J1157" i="1"/>
  <c r="K1157" i="1"/>
  <c r="L1157" i="1"/>
  <c r="M1157" i="1"/>
  <c r="N1157" i="1"/>
  <c r="O1157" i="1"/>
  <c r="P1157" i="1"/>
  <c r="Q1157" i="1"/>
  <c r="R1157" i="1"/>
  <c r="S1157" i="1"/>
  <c r="D1165" i="1"/>
  <c r="J1165" i="1"/>
  <c r="J1166" i="1"/>
  <c r="K1166" i="1"/>
  <c r="L1166" i="1"/>
  <c r="M1166" i="1"/>
  <c r="N1166" i="1"/>
  <c r="O1166" i="1"/>
  <c r="P1166" i="1"/>
  <c r="Q1166" i="1"/>
  <c r="R1166" i="1"/>
  <c r="S1166" i="1"/>
  <c r="D1167" i="1"/>
  <c r="D1168" i="1"/>
  <c r="D1169" i="1"/>
  <c r="D1170" i="1"/>
  <c r="D1171" i="1"/>
  <c r="D1172" i="1"/>
  <c r="D1173" i="1"/>
  <c r="D1174" i="1"/>
  <c r="D1175" i="1"/>
  <c r="D1176" i="1"/>
  <c r="D1178" i="1"/>
  <c r="H1180" i="1"/>
  <c r="H1181" i="1"/>
  <c r="I1181" i="1"/>
  <c r="J1181" i="1"/>
  <c r="K1181" i="1"/>
  <c r="L1181" i="1"/>
  <c r="M1181" i="1"/>
  <c r="N1181" i="1"/>
  <c r="G1182" i="1"/>
  <c r="H1182" i="1"/>
  <c r="I1182" i="1"/>
  <c r="J1182" i="1"/>
  <c r="K1182" i="1"/>
  <c r="L1182" i="1"/>
  <c r="M1182" i="1"/>
  <c r="N1182" i="1"/>
  <c r="G1183" i="1"/>
  <c r="H1183" i="1"/>
  <c r="I1183" i="1"/>
  <c r="J1183" i="1"/>
  <c r="K1183" i="1"/>
  <c r="L1183" i="1"/>
  <c r="M1183" i="1"/>
  <c r="N1183" i="1"/>
  <c r="G1184" i="1"/>
  <c r="H1184" i="1"/>
  <c r="I1184" i="1"/>
  <c r="J1184" i="1"/>
  <c r="K1184" i="1"/>
  <c r="L1184" i="1"/>
  <c r="M1184" i="1"/>
  <c r="N1184" i="1"/>
  <c r="G1185" i="1"/>
  <c r="H1185" i="1"/>
  <c r="I1185" i="1"/>
  <c r="J1185" i="1"/>
  <c r="K1185" i="1"/>
  <c r="L1185" i="1"/>
  <c r="M1185" i="1"/>
  <c r="N1185" i="1"/>
  <c r="B1186" i="1"/>
  <c r="G1186" i="1"/>
  <c r="H1186" i="1"/>
  <c r="I1186" i="1"/>
  <c r="J1186" i="1"/>
  <c r="K1186" i="1"/>
  <c r="L1186" i="1"/>
  <c r="M1186" i="1"/>
  <c r="N1186" i="1"/>
  <c r="D1188" i="1"/>
  <c r="H1189" i="1"/>
  <c r="H1190" i="1"/>
  <c r="I1190" i="1"/>
  <c r="J1190" i="1"/>
  <c r="K1190" i="1"/>
  <c r="L1190" i="1"/>
  <c r="M1190" i="1"/>
  <c r="N1190" i="1"/>
  <c r="G1191" i="1"/>
  <c r="G1192" i="1"/>
  <c r="G1193" i="1"/>
  <c r="G1194" i="1"/>
  <c r="G1195" i="1"/>
  <c r="D1197" i="1"/>
  <c r="D1198" i="1"/>
  <c r="J1198" i="1"/>
  <c r="J1199" i="1"/>
  <c r="K1199" i="1"/>
  <c r="L1199" i="1"/>
  <c r="M1199" i="1"/>
  <c r="N1199" i="1"/>
  <c r="O1199" i="1"/>
  <c r="P1199" i="1"/>
  <c r="Q1199" i="1"/>
  <c r="R1199" i="1"/>
  <c r="S1199" i="1"/>
  <c r="D1207" i="1"/>
  <c r="J1207" i="1"/>
  <c r="J1208" i="1"/>
  <c r="K1208" i="1"/>
  <c r="L1208" i="1"/>
  <c r="M1208" i="1"/>
  <c r="N1208" i="1"/>
  <c r="O1208" i="1"/>
  <c r="P1208" i="1"/>
  <c r="Q1208" i="1"/>
  <c r="R1208" i="1"/>
  <c r="S1208" i="1"/>
  <c r="D1209" i="1"/>
  <c r="D1210" i="1"/>
  <c r="D1211" i="1"/>
  <c r="D1212" i="1"/>
  <c r="D1213" i="1"/>
  <c r="D1214" i="1"/>
  <c r="D1215" i="1"/>
  <c r="D1216" i="1"/>
  <c r="D1217" i="1"/>
  <c r="D1218" i="1"/>
  <c r="D1220" i="1"/>
  <c r="H1222" i="1"/>
  <c r="H1223" i="1"/>
  <c r="I1223" i="1"/>
  <c r="J1223" i="1"/>
  <c r="K1223" i="1"/>
  <c r="L1223" i="1"/>
  <c r="M1223" i="1"/>
  <c r="N1223" i="1"/>
  <c r="G1224" i="1"/>
  <c r="H1224" i="1"/>
  <c r="I1224" i="1"/>
  <c r="J1224" i="1"/>
  <c r="K1224" i="1"/>
  <c r="L1224" i="1"/>
  <c r="M1224" i="1"/>
  <c r="N1224" i="1"/>
  <c r="G1225" i="1"/>
  <c r="H1225" i="1"/>
  <c r="I1225" i="1"/>
  <c r="J1225" i="1"/>
  <c r="K1225" i="1"/>
  <c r="L1225" i="1"/>
  <c r="M1225" i="1"/>
  <c r="N1225" i="1"/>
  <c r="G1226" i="1"/>
  <c r="H1226" i="1"/>
  <c r="I1226" i="1"/>
  <c r="J1226" i="1"/>
  <c r="K1226" i="1"/>
  <c r="L1226" i="1"/>
  <c r="M1226" i="1"/>
  <c r="N1226" i="1"/>
  <c r="G1227" i="1"/>
  <c r="H1227" i="1"/>
  <c r="I1227" i="1"/>
  <c r="J1227" i="1"/>
  <c r="K1227" i="1"/>
  <c r="L1227" i="1"/>
  <c r="M1227" i="1"/>
  <c r="N1227" i="1"/>
  <c r="B1228" i="1"/>
  <c r="G1228" i="1"/>
  <c r="H1228" i="1"/>
  <c r="I1228" i="1"/>
  <c r="J1228" i="1"/>
  <c r="K1228" i="1"/>
  <c r="L1228" i="1"/>
  <c r="M1228" i="1"/>
  <c r="N1228" i="1"/>
  <c r="D1230" i="1"/>
  <c r="H1231" i="1"/>
  <c r="H1232" i="1"/>
  <c r="I1232" i="1"/>
  <c r="J1232" i="1"/>
  <c r="K1232" i="1"/>
  <c r="L1232" i="1"/>
  <c r="M1232" i="1"/>
  <c r="N1232" i="1"/>
  <c r="G1233" i="1"/>
  <c r="G1234" i="1"/>
  <c r="G1235" i="1"/>
  <c r="G1236" i="1"/>
  <c r="G1237" i="1"/>
  <c r="D1239" i="1"/>
  <c r="D1240" i="1"/>
  <c r="J1240" i="1"/>
  <c r="J1241" i="1"/>
  <c r="K1241" i="1"/>
  <c r="L1241" i="1"/>
  <c r="M1241" i="1"/>
  <c r="N1241" i="1"/>
  <c r="O1241" i="1"/>
  <c r="P1241" i="1"/>
  <c r="Q1241" i="1"/>
  <c r="R1241" i="1"/>
  <c r="S1241" i="1"/>
  <c r="D1249" i="1"/>
  <c r="J1249" i="1"/>
  <c r="J1250" i="1"/>
  <c r="K1250" i="1"/>
  <c r="L1250" i="1"/>
  <c r="M1250" i="1"/>
  <c r="N1250" i="1"/>
  <c r="O1250" i="1"/>
  <c r="P1250" i="1"/>
  <c r="Q1250" i="1"/>
  <c r="R1250" i="1"/>
  <c r="S1250" i="1"/>
  <c r="D1251" i="1"/>
  <c r="D1252" i="1"/>
  <c r="D1253" i="1"/>
  <c r="D1254" i="1"/>
  <c r="D1255" i="1"/>
  <c r="D1256" i="1"/>
  <c r="D1257" i="1"/>
  <c r="D1258" i="1"/>
  <c r="D1259" i="1"/>
  <c r="D1260" i="1"/>
  <c r="D1262" i="1"/>
  <c r="H1264" i="1"/>
  <c r="H1265" i="1"/>
  <c r="I1265" i="1"/>
  <c r="J1265" i="1"/>
  <c r="K1265" i="1"/>
  <c r="L1265" i="1"/>
  <c r="M1265" i="1"/>
  <c r="N1265" i="1"/>
  <c r="G1266" i="1"/>
  <c r="H1266" i="1"/>
  <c r="I1266" i="1"/>
  <c r="J1266" i="1"/>
  <c r="K1266" i="1"/>
  <c r="L1266" i="1"/>
  <c r="M1266" i="1"/>
  <c r="N1266" i="1"/>
  <c r="G1267" i="1"/>
  <c r="H1267" i="1"/>
  <c r="I1267" i="1"/>
  <c r="J1267" i="1"/>
  <c r="K1267" i="1"/>
  <c r="L1267" i="1"/>
  <c r="M1267" i="1"/>
  <c r="N1267" i="1"/>
  <c r="G1268" i="1"/>
  <c r="H1268" i="1"/>
  <c r="I1268" i="1"/>
  <c r="J1268" i="1"/>
  <c r="K1268" i="1"/>
  <c r="L1268" i="1"/>
  <c r="M1268" i="1"/>
  <c r="N1268" i="1"/>
  <c r="G1269" i="1"/>
  <c r="H1269" i="1"/>
  <c r="I1269" i="1"/>
  <c r="J1269" i="1"/>
  <c r="K1269" i="1"/>
  <c r="L1269" i="1"/>
  <c r="M1269" i="1"/>
  <c r="N1269" i="1"/>
  <c r="B1270" i="1"/>
  <c r="G1270" i="1"/>
  <c r="H1270" i="1"/>
  <c r="I1270" i="1"/>
  <c r="J1270" i="1"/>
  <c r="K1270" i="1"/>
  <c r="L1270" i="1"/>
  <c r="M1270" i="1"/>
  <c r="N1270" i="1"/>
  <c r="D1272" i="1"/>
  <c r="H1273" i="1"/>
  <c r="H1274" i="1"/>
  <c r="I1274" i="1"/>
  <c r="J1274" i="1"/>
  <c r="K1274" i="1"/>
  <c r="L1274" i="1"/>
  <c r="M1274" i="1"/>
  <c r="N1274" i="1"/>
  <c r="G1275" i="1"/>
  <c r="G1276" i="1"/>
  <c r="G1277" i="1"/>
  <c r="G1278" i="1"/>
  <c r="G1279" i="1"/>
  <c r="D1281" i="1"/>
  <c r="D1282" i="1"/>
  <c r="J1282" i="1"/>
  <c r="J1283" i="1"/>
  <c r="K1283" i="1"/>
  <c r="L1283" i="1"/>
  <c r="M1283" i="1"/>
  <c r="N1283" i="1"/>
  <c r="O1283" i="1"/>
  <c r="P1283" i="1"/>
  <c r="Q1283" i="1"/>
  <c r="R1283" i="1"/>
  <c r="S1283" i="1"/>
  <c r="D1291" i="1"/>
  <c r="J1291" i="1"/>
  <c r="J1292" i="1"/>
  <c r="K1292" i="1"/>
  <c r="L1292" i="1"/>
  <c r="M1292" i="1"/>
  <c r="N1292" i="1"/>
  <c r="O1292" i="1"/>
  <c r="P1292" i="1"/>
  <c r="Q1292" i="1"/>
  <c r="R1292" i="1"/>
  <c r="S1292" i="1"/>
  <c r="D1293" i="1"/>
  <c r="D1294" i="1"/>
  <c r="D1295" i="1"/>
  <c r="D1296" i="1"/>
  <c r="D1297" i="1"/>
  <c r="D1298" i="1"/>
  <c r="D1299" i="1"/>
  <c r="D1300" i="1"/>
  <c r="D1301" i="1"/>
  <c r="D1302" i="1"/>
  <c r="D1304" i="1"/>
  <c r="H1306" i="1"/>
  <c r="H1307" i="1"/>
  <c r="I1307" i="1"/>
  <c r="J1307" i="1"/>
  <c r="K1307" i="1"/>
  <c r="L1307" i="1"/>
  <c r="M1307" i="1"/>
  <c r="N1307" i="1"/>
  <c r="G1308" i="1"/>
  <c r="H1308" i="1"/>
  <c r="I1308" i="1"/>
  <c r="J1308" i="1"/>
  <c r="K1308" i="1"/>
  <c r="L1308" i="1"/>
  <c r="M1308" i="1"/>
  <c r="N1308" i="1"/>
  <c r="G1309" i="1"/>
  <c r="H1309" i="1"/>
  <c r="I1309" i="1"/>
  <c r="J1309" i="1"/>
  <c r="K1309" i="1"/>
  <c r="L1309" i="1"/>
  <c r="M1309" i="1"/>
  <c r="N1309" i="1"/>
  <c r="G1310" i="1"/>
  <c r="H1310" i="1"/>
  <c r="I1310" i="1"/>
  <c r="J1310" i="1"/>
  <c r="K1310" i="1"/>
  <c r="L1310" i="1"/>
  <c r="M1310" i="1"/>
  <c r="N1310" i="1"/>
  <c r="G1311" i="1"/>
  <c r="H1311" i="1"/>
  <c r="I1311" i="1"/>
  <c r="J1311" i="1"/>
  <c r="K1311" i="1"/>
  <c r="L1311" i="1"/>
  <c r="M1311" i="1"/>
  <c r="N1311" i="1"/>
  <c r="B1312" i="1"/>
  <c r="G1312" i="1"/>
  <c r="H1312" i="1"/>
  <c r="I1312" i="1"/>
  <c r="J1312" i="1"/>
  <c r="K1312" i="1"/>
  <c r="L1312" i="1"/>
  <c r="M1312" i="1"/>
  <c r="N1312" i="1"/>
  <c r="D1314" i="1"/>
  <c r="H1315" i="1"/>
  <c r="H1316" i="1"/>
  <c r="I1316" i="1"/>
  <c r="J1316" i="1"/>
  <c r="K1316" i="1"/>
  <c r="L1316" i="1"/>
  <c r="M1316" i="1"/>
  <c r="N1316" i="1"/>
  <c r="G1317" i="1"/>
  <c r="G1318" i="1"/>
  <c r="G1319" i="1"/>
  <c r="G1320" i="1"/>
  <c r="G1321" i="1"/>
  <c r="D1323" i="1"/>
  <c r="D1324" i="1"/>
  <c r="J1324" i="1"/>
  <c r="J1325" i="1"/>
  <c r="K1325" i="1"/>
  <c r="L1325" i="1"/>
  <c r="M1325" i="1"/>
  <c r="N1325" i="1"/>
  <c r="O1325" i="1"/>
  <c r="P1325" i="1"/>
  <c r="Q1325" i="1"/>
  <c r="R1325" i="1"/>
  <c r="S1325" i="1"/>
  <c r="D1333" i="1"/>
  <c r="J1333" i="1"/>
  <c r="J1334" i="1"/>
  <c r="K1334" i="1"/>
  <c r="L1334" i="1"/>
  <c r="M1334" i="1"/>
  <c r="N1334" i="1"/>
  <c r="O1334" i="1"/>
  <c r="P1334" i="1"/>
  <c r="Q1334" i="1"/>
  <c r="R1334" i="1"/>
  <c r="S1334" i="1"/>
  <c r="D1335" i="1"/>
  <c r="D1336" i="1"/>
  <c r="D1337" i="1"/>
  <c r="D1338" i="1"/>
  <c r="D1339" i="1"/>
  <c r="D1340" i="1"/>
  <c r="D1341" i="1"/>
  <c r="D1342" i="1"/>
  <c r="D1343" i="1"/>
  <c r="D1344" i="1"/>
  <c r="D1346" i="1"/>
  <c r="H1348" i="1"/>
  <c r="H1349" i="1"/>
  <c r="I1349" i="1"/>
  <c r="J1349" i="1"/>
  <c r="K1349" i="1"/>
  <c r="L1349" i="1"/>
  <c r="M1349" i="1"/>
  <c r="N1349" i="1"/>
  <c r="G1350" i="1"/>
  <c r="H1350" i="1"/>
  <c r="I1350" i="1"/>
  <c r="J1350" i="1"/>
  <c r="K1350" i="1"/>
  <c r="L1350" i="1"/>
  <c r="M1350" i="1"/>
  <c r="N1350" i="1"/>
  <c r="G1351" i="1"/>
  <c r="H1351" i="1"/>
  <c r="I1351" i="1"/>
  <c r="J1351" i="1"/>
  <c r="K1351" i="1"/>
  <c r="L1351" i="1"/>
  <c r="M1351" i="1"/>
  <c r="N1351" i="1"/>
  <c r="G1352" i="1"/>
  <c r="H1352" i="1"/>
  <c r="I1352" i="1"/>
  <c r="J1352" i="1"/>
  <c r="K1352" i="1"/>
  <c r="L1352" i="1"/>
  <c r="M1352" i="1"/>
  <c r="N1352" i="1"/>
  <c r="G1353" i="1"/>
  <c r="H1353" i="1"/>
  <c r="I1353" i="1"/>
  <c r="J1353" i="1"/>
  <c r="K1353" i="1"/>
  <c r="L1353" i="1"/>
  <c r="M1353" i="1"/>
  <c r="N1353" i="1"/>
  <c r="B1354" i="1"/>
  <c r="G1354" i="1"/>
  <c r="H1354" i="1"/>
  <c r="I1354" i="1"/>
  <c r="J1354" i="1"/>
  <c r="K1354" i="1"/>
  <c r="L1354" i="1"/>
  <c r="M1354" i="1"/>
  <c r="N1354" i="1"/>
  <c r="D1356" i="1"/>
  <c r="H1357" i="1"/>
  <c r="H1358" i="1"/>
  <c r="I1358" i="1"/>
  <c r="J1358" i="1"/>
  <c r="K1358" i="1"/>
  <c r="L1358" i="1"/>
  <c r="M1358" i="1"/>
  <c r="N1358" i="1"/>
  <c r="G1359" i="1"/>
  <c r="G1360" i="1"/>
  <c r="G1361" i="1"/>
  <c r="G1362" i="1"/>
  <c r="G1363" i="1"/>
  <c r="H1373" i="1"/>
  <c r="D1384" i="1"/>
  <c r="E1384" i="1"/>
  <c r="D1385" i="1"/>
  <c r="E1385" i="1"/>
  <c r="D1386" i="1"/>
  <c r="E1386" i="1"/>
  <c r="D1387" i="1"/>
  <c r="E1387" i="1"/>
  <c r="D1388" i="1"/>
  <c r="E1388" i="1"/>
  <c r="J1390" i="1"/>
  <c r="K1390" i="1"/>
  <c r="L1390" i="1"/>
  <c r="M1390" i="1"/>
  <c r="N1390" i="1"/>
  <c r="O1390" i="1"/>
  <c r="P1390" i="1"/>
  <c r="Q1390" i="1"/>
  <c r="R1390" i="1"/>
  <c r="S1390" i="1"/>
  <c r="D1397" i="1"/>
  <c r="K1397" i="1"/>
  <c r="K1398" i="1"/>
  <c r="K1399" i="1"/>
  <c r="G1400" i="1"/>
  <c r="H1400" i="1"/>
  <c r="I1400" i="1"/>
  <c r="K1400" i="1"/>
  <c r="G1401" i="1"/>
  <c r="H1401" i="1"/>
  <c r="I1401" i="1"/>
  <c r="J1401" i="1"/>
  <c r="K1401" i="1"/>
  <c r="K1404" i="1"/>
  <c r="K1405" i="1"/>
  <c r="C1407" i="1"/>
  <c r="C1408" i="1"/>
  <c r="C1409" i="1"/>
  <c r="C1410" i="1"/>
  <c r="C1411" i="1"/>
  <c r="B1412" i="1"/>
  <c r="C1412" i="1"/>
  <c r="N1412" i="1"/>
  <c r="C1413" i="1"/>
  <c r="G1413" i="1"/>
  <c r="N1413" i="1"/>
  <c r="C1414" i="1"/>
  <c r="G1414" i="1"/>
  <c r="N1414" i="1"/>
  <c r="C1415" i="1"/>
  <c r="G1415" i="1"/>
  <c r="N1415" i="1"/>
  <c r="C1416" i="1"/>
  <c r="G1416" i="1"/>
  <c r="N1416" i="1"/>
  <c r="N1417" i="1"/>
  <c r="N1418" i="1"/>
  <c r="J1419" i="1"/>
  <c r="J1420" i="1"/>
  <c r="K1420" i="1"/>
  <c r="L1420" i="1"/>
  <c r="M1420" i="1"/>
  <c r="N1420" i="1"/>
  <c r="O1420" i="1"/>
  <c r="P1420" i="1"/>
  <c r="Q1420" i="1"/>
  <c r="R1420" i="1"/>
  <c r="S1420" i="1"/>
  <c r="J1421" i="1"/>
  <c r="K1421" i="1"/>
  <c r="L1421" i="1"/>
  <c r="M1421" i="1"/>
  <c r="N1421" i="1"/>
  <c r="O1421" i="1"/>
  <c r="P1421" i="1"/>
  <c r="Q1421" i="1"/>
  <c r="R1421" i="1"/>
  <c r="S1421" i="1"/>
  <c r="J1422" i="1"/>
  <c r="K1422" i="1"/>
  <c r="L1422" i="1"/>
  <c r="M1422" i="1"/>
  <c r="N1422" i="1"/>
  <c r="O1422" i="1"/>
  <c r="P1422" i="1"/>
  <c r="Q1422" i="1"/>
  <c r="R1422" i="1"/>
  <c r="S1422" i="1"/>
  <c r="J1423" i="1"/>
  <c r="K1423" i="1"/>
  <c r="L1423" i="1"/>
  <c r="M1423" i="1"/>
  <c r="N1423" i="1"/>
  <c r="O1423" i="1"/>
  <c r="P1423" i="1"/>
  <c r="Q1423" i="1"/>
  <c r="R1423" i="1"/>
  <c r="S1423" i="1"/>
  <c r="J1424" i="1"/>
  <c r="K1424" i="1"/>
  <c r="L1424" i="1"/>
  <c r="M1424" i="1"/>
  <c r="N1424" i="1"/>
  <c r="O1424" i="1"/>
  <c r="P1424" i="1"/>
  <c r="Q1424" i="1"/>
  <c r="R1424" i="1"/>
  <c r="S1424" i="1"/>
  <c r="D1425" i="1"/>
  <c r="J1425" i="1"/>
  <c r="K1425" i="1"/>
  <c r="L1425" i="1"/>
  <c r="M1425" i="1"/>
  <c r="N1425" i="1"/>
  <c r="O1425" i="1"/>
  <c r="P1425" i="1"/>
  <c r="Q1425" i="1"/>
  <c r="R1425" i="1"/>
  <c r="S1425" i="1"/>
  <c r="D1426" i="1"/>
  <c r="J1426" i="1"/>
  <c r="K1426" i="1"/>
  <c r="L1426" i="1"/>
  <c r="M1426" i="1"/>
  <c r="N1426" i="1"/>
  <c r="O1426" i="1"/>
  <c r="P1426" i="1"/>
  <c r="Q1426" i="1"/>
  <c r="R1426" i="1"/>
  <c r="S1426" i="1"/>
  <c r="D1427" i="1"/>
  <c r="G1427" i="1"/>
  <c r="J1427" i="1"/>
  <c r="K1427" i="1"/>
  <c r="L1427" i="1"/>
  <c r="M1427" i="1"/>
  <c r="N1427" i="1"/>
  <c r="O1427" i="1"/>
  <c r="P1427" i="1"/>
  <c r="Q1427" i="1"/>
  <c r="R1427" i="1"/>
  <c r="S1427" i="1"/>
  <c r="D1428" i="1"/>
  <c r="J1428" i="1"/>
  <c r="K1428" i="1"/>
  <c r="L1428" i="1"/>
  <c r="M1428" i="1"/>
  <c r="N1428" i="1"/>
  <c r="O1428" i="1"/>
  <c r="P1428" i="1"/>
  <c r="Q1428" i="1"/>
  <c r="R1428" i="1"/>
  <c r="S1428" i="1"/>
  <c r="D1429" i="1"/>
  <c r="J1429" i="1"/>
  <c r="K1429" i="1"/>
  <c r="L1429" i="1"/>
  <c r="M1429" i="1"/>
  <c r="N1429" i="1"/>
  <c r="O1429" i="1"/>
  <c r="P1429" i="1"/>
  <c r="Q1429" i="1"/>
  <c r="R1429" i="1"/>
  <c r="S1429" i="1"/>
  <c r="D1430" i="1"/>
  <c r="J1430" i="1"/>
  <c r="K1430" i="1"/>
  <c r="L1430" i="1"/>
  <c r="M1430" i="1"/>
  <c r="N1430" i="1"/>
  <c r="O1430" i="1"/>
  <c r="P1430" i="1"/>
  <c r="Q1430" i="1"/>
  <c r="R1430" i="1"/>
  <c r="S1430" i="1"/>
  <c r="D1431" i="1"/>
  <c r="J1431" i="1"/>
  <c r="K1431" i="1"/>
  <c r="L1431" i="1"/>
  <c r="M1431" i="1"/>
  <c r="N1431" i="1"/>
  <c r="O1431" i="1"/>
  <c r="P1431" i="1"/>
  <c r="Q1431" i="1"/>
  <c r="R1431" i="1"/>
  <c r="S1431" i="1"/>
  <c r="D1432" i="1"/>
  <c r="J1432" i="1"/>
  <c r="K1432" i="1"/>
  <c r="L1432" i="1"/>
  <c r="M1432" i="1"/>
  <c r="N1432" i="1"/>
  <c r="O1432" i="1"/>
  <c r="P1432" i="1"/>
  <c r="Q1432" i="1"/>
  <c r="R1432" i="1"/>
  <c r="S1432" i="1"/>
  <c r="D1433" i="1"/>
  <c r="J1433" i="1"/>
  <c r="K1433" i="1"/>
  <c r="L1433" i="1"/>
  <c r="M1433" i="1"/>
  <c r="N1433" i="1"/>
  <c r="O1433" i="1"/>
  <c r="P1433" i="1"/>
  <c r="Q1433" i="1"/>
  <c r="R1433" i="1"/>
  <c r="S1433" i="1"/>
  <c r="D1434" i="1"/>
  <c r="J1434" i="1"/>
  <c r="K1434" i="1"/>
  <c r="L1434" i="1"/>
  <c r="M1434" i="1"/>
  <c r="N1434" i="1"/>
  <c r="O1434" i="1"/>
  <c r="P1434" i="1"/>
  <c r="Q1434" i="1"/>
  <c r="R1434" i="1"/>
  <c r="S1434" i="1"/>
  <c r="D1435" i="1"/>
  <c r="J1435" i="1"/>
  <c r="K1435" i="1"/>
  <c r="L1435" i="1"/>
  <c r="M1435" i="1"/>
  <c r="N1435" i="1"/>
  <c r="O1435" i="1"/>
  <c r="P1435" i="1"/>
  <c r="Q1435" i="1"/>
  <c r="R1435" i="1"/>
  <c r="S1435" i="1"/>
  <c r="J1436" i="1"/>
  <c r="K1436" i="1"/>
  <c r="L1436" i="1"/>
  <c r="M1436" i="1"/>
  <c r="N1436" i="1"/>
  <c r="O1436" i="1"/>
  <c r="P1436" i="1"/>
  <c r="Q1436" i="1"/>
  <c r="R1436" i="1"/>
  <c r="S1436" i="1"/>
  <c r="J1437" i="1"/>
  <c r="K1437" i="1"/>
  <c r="L1437" i="1"/>
  <c r="M1437" i="1"/>
  <c r="N1437" i="1"/>
  <c r="O1437" i="1"/>
  <c r="P1437" i="1"/>
  <c r="Q1437" i="1"/>
  <c r="R1437" i="1"/>
  <c r="S1437" i="1"/>
  <c r="J1438" i="1"/>
  <c r="K1438" i="1"/>
  <c r="L1438" i="1"/>
  <c r="M1438" i="1"/>
  <c r="N1438" i="1"/>
  <c r="O1438" i="1"/>
  <c r="P1438" i="1"/>
  <c r="Q1438" i="1"/>
  <c r="R1438" i="1"/>
  <c r="S1438" i="1"/>
  <c r="K1439" i="1"/>
  <c r="L1439" i="1"/>
  <c r="M1439" i="1"/>
  <c r="N1439" i="1"/>
  <c r="O1439" i="1"/>
  <c r="P1439" i="1"/>
  <c r="Q1439" i="1"/>
  <c r="R1439" i="1"/>
  <c r="S1439" i="1"/>
  <c r="J1440" i="1"/>
  <c r="K1440" i="1"/>
  <c r="L1440" i="1"/>
  <c r="M1440" i="1"/>
  <c r="N1440" i="1"/>
  <c r="O1440" i="1"/>
  <c r="P1440" i="1"/>
  <c r="Q1440" i="1"/>
  <c r="R1440" i="1"/>
  <c r="S1440" i="1"/>
  <c r="D1441" i="1"/>
  <c r="J1441" i="1"/>
  <c r="K1441" i="1"/>
  <c r="L1441" i="1"/>
  <c r="M1441" i="1"/>
  <c r="N1441" i="1"/>
  <c r="O1441" i="1"/>
  <c r="P1441" i="1"/>
  <c r="Q1441" i="1"/>
  <c r="R1441" i="1"/>
  <c r="S1441" i="1"/>
  <c r="D1442" i="1"/>
  <c r="J1442" i="1"/>
  <c r="K1442" i="1"/>
  <c r="L1442" i="1"/>
  <c r="M1442" i="1"/>
  <c r="N1442" i="1"/>
  <c r="O1442" i="1"/>
  <c r="P1442" i="1"/>
  <c r="Q1442" i="1"/>
  <c r="R1442" i="1"/>
  <c r="S1442" i="1"/>
  <c r="D1443" i="1"/>
  <c r="J1443" i="1"/>
  <c r="K1443" i="1"/>
  <c r="L1443" i="1"/>
  <c r="M1443" i="1"/>
  <c r="N1443" i="1"/>
  <c r="O1443" i="1"/>
  <c r="P1443" i="1"/>
  <c r="Q1443" i="1"/>
  <c r="R1443" i="1"/>
  <c r="S1443" i="1"/>
  <c r="D1444" i="1"/>
  <c r="J1444" i="1"/>
  <c r="K1444" i="1"/>
  <c r="L1444" i="1"/>
  <c r="M1444" i="1"/>
  <c r="N1444" i="1"/>
  <c r="O1444" i="1"/>
  <c r="P1444" i="1"/>
  <c r="Q1444" i="1"/>
  <c r="R1444" i="1"/>
  <c r="S1444" i="1"/>
  <c r="D1445" i="1"/>
  <c r="J1445" i="1"/>
  <c r="K1445" i="1"/>
  <c r="L1445" i="1"/>
  <c r="M1445" i="1"/>
  <c r="N1445" i="1"/>
  <c r="O1445" i="1"/>
  <c r="P1445" i="1"/>
  <c r="Q1445" i="1"/>
  <c r="R1445" i="1"/>
  <c r="S1445" i="1"/>
  <c r="D1446" i="1"/>
  <c r="J1446" i="1"/>
  <c r="K1446" i="1"/>
  <c r="L1446" i="1"/>
  <c r="M1446" i="1"/>
  <c r="N1446" i="1"/>
  <c r="O1446" i="1"/>
  <c r="P1446" i="1"/>
  <c r="Q1446" i="1"/>
  <c r="R1446" i="1"/>
  <c r="S1446" i="1"/>
  <c r="D1447" i="1"/>
  <c r="D1448" i="1"/>
  <c r="J1449" i="1"/>
  <c r="J1450" i="1"/>
  <c r="J1451" i="1"/>
  <c r="K1451" i="1"/>
  <c r="L1451" i="1"/>
  <c r="M1451" i="1"/>
  <c r="N1451" i="1"/>
  <c r="O1451" i="1"/>
  <c r="P1451" i="1"/>
  <c r="Q1451" i="1"/>
  <c r="R1451" i="1"/>
  <c r="S1451" i="1"/>
  <c r="I1453" i="1"/>
  <c r="I1454" i="1"/>
  <c r="I1455" i="1"/>
  <c r="I1456" i="1"/>
  <c r="I1457" i="1"/>
  <c r="I1458" i="1"/>
  <c r="I1459" i="1"/>
  <c r="I1460" i="1"/>
  <c r="I1461" i="1"/>
  <c r="E1462" i="1"/>
  <c r="E35" i="1" s="1"/>
  <c r="D35" i="1" s="1"/>
  <c r="I1462" i="1"/>
  <c r="J1462" i="1"/>
  <c r="J98" i="1" s="1"/>
  <c r="J97" i="1" s="1"/>
  <c r="K1462" i="1"/>
  <c r="K98" i="1" s="1"/>
  <c r="L1462" i="1"/>
  <c r="L98" i="1" s="1"/>
  <c r="M1462" i="1"/>
  <c r="M98" i="1" s="1"/>
  <c r="N1462" i="1"/>
  <c r="N98" i="1" s="1"/>
  <c r="O1462" i="1"/>
  <c r="O98" i="1" s="1"/>
  <c r="P1462" i="1"/>
  <c r="P98" i="1" s="1"/>
  <c r="Q1462" i="1"/>
  <c r="Q98" i="1" s="1"/>
  <c r="R1462" i="1"/>
  <c r="R98" i="1" s="1"/>
  <c r="S1462" i="1"/>
  <c r="S98" i="1" s="1"/>
  <c r="J1463" i="1"/>
  <c r="I1464" i="1"/>
  <c r="J1464" i="1"/>
  <c r="K1464" i="1"/>
  <c r="L1464" i="1"/>
  <c r="M1464" i="1"/>
  <c r="N1464" i="1"/>
  <c r="O1464" i="1"/>
  <c r="P1464" i="1"/>
  <c r="Q1464" i="1"/>
  <c r="R1464" i="1"/>
  <c r="S1464" i="1"/>
  <c r="D1465" i="1"/>
  <c r="E1465" i="1"/>
  <c r="D1466" i="1"/>
  <c r="E1466" i="1"/>
  <c r="I1466" i="1"/>
  <c r="D1467" i="1"/>
  <c r="E1467" i="1"/>
  <c r="I1467" i="1"/>
  <c r="D1468" i="1"/>
  <c r="E1468" i="1"/>
  <c r="I1468" i="1"/>
  <c r="D1469" i="1"/>
  <c r="E1469" i="1"/>
  <c r="I1469" i="1"/>
  <c r="D1470" i="1"/>
  <c r="I1470" i="1"/>
  <c r="D1471" i="1"/>
  <c r="I1471" i="1"/>
  <c r="D1472" i="1"/>
  <c r="I1472" i="1"/>
  <c r="D1473" i="1"/>
  <c r="I1473" i="1"/>
  <c r="D1474" i="1"/>
  <c r="I1474" i="1"/>
  <c r="D1475" i="1"/>
  <c r="E1475" i="1"/>
  <c r="I1475" i="1"/>
  <c r="J1475" i="1"/>
  <c r="J101" i="1" s="1"/>
  <c r="J100" i="1" s="1"/>
  <c r="K1475" i="1"/>
  <c r="K101" i="1" s="1"/>
  <c r="L1475" i="1"/>
  <c r="L101" i="1" s="1"/>
  <c r="M1475" i="1"/>
  <c r="M101" i="1" s="1"/>
  <c r="N1475" i="1"/>
  <c r="N101" i="1" s="1"/>
  <c r="O1475" i="1"/>
  <c r="O101" i="1" s="1"/>
  <c r="P1475" i="1"/>
  <c r="P101" i="1" s="1"/>
  <c r="Q1475" i="1"/>
  <c r="Q101" i="1" s="1"/>
  <c r="R1475" i="1"/>
  <c r="R101" i="1" s="1"/>
  <c r="S1475" i="1"/>
  <c r="S101" i="1" s="1"/>
  <c r="J1476" i="1"/>
  <c r="I1477" i="1"/>
  <c r="J1477" i="1"/>
  <c r="K1477" i="1"/>
  <c r="L1477" i="1"/>
  <c r="M1477" i="1"/>
  <c r="N1477" i="1"/>
  <c r="O1477" i="1"/>
  <c r="P1477" i="1"/>
  <c r="Q1477" i="1"/>
  <c r="R1477" i="1"/>
  <c r="S1477" i="1"/>
  <c r="D1478" i="1"/>
  <c r="E1478" i="1"/>
  <c r="I1478" i="1"/>
  <c r="D1479" i="1"/>
  <c r="E1479" i="1"/>
  <c r="I1479" i="1"/>
  <c r="D1480" i="1"/>
  <c r="E1480" i="1"/>
  <c r="I1480" i="1"/>
  <c r="D1481" i="1"/>
  <c r="E1481" i="1"/>
  <c r="I1481" i="1"/>
  <c r="D1482" i="1"/>
  <c r="E1482" i="1"/>
  <c r="I1482" i="1"/>
  <c r="D1483" i="1"/>
  <c r="I1483" i="1"/>
  <c r="D1484" i="1"/>
  <c r="I1484" i="1"/>
  <c r="D1485" i="1"/>
  <c r="I1485" i="1"/>
  <c r="D1486" i="1"/>
  <c r="I1486" i="1"/>
  <c r="D1487" i="1"/>
  <c r="I1487" i="1"/>
  <c r="D1488" i="1"/>
  <c r="E1488" i="1"/>
  <c r="I1488" i="1"/>
  <c r="J1488" i="1"/>
  <c r="J107" i="1" s="1"/>
  <c r="K1488" i="1"/>
  <c r="K107" i="1" s="1"/>
  <c r="L1488" i="1"/>
  <c r="L107" i="1" s="1"/>
  <c r="M1488" i="1"/>
  <c r="M107" i="1" s="1"/>
  <c r="N1488" i="1"/>
  <c r="N107" i="1" s="1"/>
  <c r="O1488" i="1"/>
  <c r="O107" i="1" s="1"/>
  <c r="P1488" i="1"/>
  <c r="P107" i="1" s="1"/>
  <c r="Q1488" i="1"/>
  <c r="Q107" i="1" s="1"/>
  <c r="R1488" i="1"/>
  <c r="R107" i="1" s="1"/>
  <c r="S1488" i="1"/>
  <c r="S107" i="1" s="1"/>
  <c r="E1501" i="1"/>
  <c r="E34" i="1" s="1"/>
  <c r="F1501" i="1"/>
  <c r="E36" i="1" s="1"/>
  <c r="D36" i="1" s="1"/>
  <c r="J1502" i="1"/>
  <c r="G1503" i="1"/>
  <c r="H1503" i="1"/>
  <c r="I1503" i="1"/>
  <c r="J1503" i="1"/>
  <c r="K1503" i="1"/>
  <c r="L1503" i="1"/>
  <c r="M1503" i="1"/>
  <c r="N1503" i="1"/>
  <c r="O1503" i="1"/>
  <c r="P1503" i="1"/>
  <c r="Q1503" i="1"/>
  <c r="S1503" i="1"/>
  <c r="U1503" i="1"/>
  <c r="G1504" i="1"/>
  <c r="H1504" i="1"/>
  <c r="I1504" i="1"/>
  <c r="J1504" i="1"/>
  <c r="K1504" i="1"/>
  <c r="L1504" i="1"/>
  <c r="M1504" i="1"/>
  <c r="N1504" i="1"/>
  <c r="O1504" i="1"/>
  <c r="P1504" i="1"/>
  <c r="Q1504" i="1"/>
  <c r="S1504" i="1"/>
  <c r="U1504" i="1"/>
  <c r="J44" i="1" s="1"/>
  <c r="D1505" i="1"/>
  <c r="F1505" i="1"/>
  <c r="G1505" i="1"/>
  <c r="H1505" i="1"/>
  <c r="I1505" i="1"/>
  <c r="J1505" i="1"/>
  <c r="K1505" i="1"/>
  <c r="L1505" i="1"/>
  <c r="M1505" i="1"/>
  <c r="N1505" i="1"/>
  <c r="O1505" i="1"/>
  <c r="P1505" i="1"/>
  <c r="Q1505" i="1"/>
  <c r="S1505" i="1"/>
  <c r="U1505" i="1"/>
  <c r="J45" i="1" s="1"/>
  <c r="D1506" i="1"/>
  <c r="S1506" i="1"/>
  <c r="U1506" i="1"/>
  <c r="J46" i="1" s="1"/>
  <c r="D1507" i="1"/>
  <c r="S1507" i="1"/>
  <c r="U1507" i="1"/>
  <c r="J47" i="1" s="1"/>
  <c r="D1508" i="1"/>
  <c r="S1508" i="1"/>
  <c r="U1508" i="1"/>
  <c r="J48" i="1" s="1"/>
  <c r="D1509" i="1"/>
  <c r="S1509" i="1"/>
  <c r="U1509" i="1"/>
  <c r="J49" i="1" s="1"/>
  <c r="D1510" i="1"/>
  <c r="S1510" i="1"/>
  <c r="U1510" i="1"/>
  <c r="J50" i="1" s="1"/>
  <c r="D1511" i="1"/>
  <c r="S1511" i="1"/>
  <c r="U1511" i="1"/>
  <c r="J51" i="1" s="1"/>
  <c r="D1512" i="1"/>
  <c r="S1512" i="1"/>
  <c r="U1512" i="1"/>
  <c r="J52" i="1" s="1"/>
  <c r="D1513" i="1"/>
  <c r="S1513" i="1"/>
  <c r="U1513" i="1"/>
  <c r="J53" i="1" s="1"/>
  <c r="D1514" i="1"/>
  <c r="S1514" i="1"/>
  <c r="U1514" i="1"/>
  <c r="J54" i="1" s="1"/>
  <c r="S1515" i="1"/>
  <c r="U1515" i="1"/>
  <c r="J55" i="1" s="1"/>
  <c r="M953" i="1" s="1"/>
  <c r="F1516" i="1"/>
  <c r="G1516" i="1"/>
  <c r="H1516" i="1"/>
  <c r="I1516" i="1"/>
  <c r="J1516" i="1"/>
  <c r="K1516" i="1"/>
  <c r="L1516" i="1"/>
  <c r="M1516" i="1"/>
  <c r="N1516" i="1"/>
  <c r="O1516" i="1"/>
  <c r="P1516" i="1"/>
  <c r="Q1516" i="1"/>
  <c r="S1516" i="1"/>
  <c r="U1516" i="1"/>
  <c r="G1517" i="1"/>
  <c r="H1517" i="1"/>
  <c r="I1517" i="1"/>
  <c r="J1517" i="1"/>
  <c r="K1517" i="1"/>
  <c r="L1517" i="1"/>
  <c r="M1517" i="1"/>
  <c r="N1517" i="1"/>
  <c r="O1517" i="1"/>
  <c r="P1517" i="1"/>
  <c r="Q1517" i="1"/>
  <c r="S1517" i="1"/>
  <c r="U1517" i="1"/>
  <c r="S1518" i="1"/>
  <c r="U1518" i="1"/>
  <c r="F44" i="1" s="1"/>
  <c r="S1519" i="1"/>
  <c r="U1519" i="1"/>
  <c r="F45" i="1" s="1"/>
  <c r="F1520" i="1"/>
  <c r="G1520" i="1"/>
  <c r="H1520" i="1"/>
  <c r="I1520" i="1"/>
  <c r="J1520" i="1"/>
  <c r="K1520" i="1"/>
  <c r="L1520" i="1"/>
  <c r="M1520" i="1"/>
  <c r="N1520" i="1"/>
  <c r="O1520" i="1"/>
  <c r="P1520" i="1"/>
  <c r="Q1520" i="1"/>
  <c r="S1520" i="1"/>
  <c r="U1520" i="1"/>
  <c r="S1521" i="1"/>
  <c r="U1521" i="1"/>
  <c r="F49" i="1" s="1"/>
  <c r="G1522" i="1"/>
  <c r="H1522" i="1"/>
  <c r="I1522" i="1"/>
  <c r="J1522" i="1"/>
  <c r="K1522" i="1"/>
  <c r="L1522" i="1"/>
  <c r="M1522" i="1"/>
  <c r="N1522" i="1"/>
  <c r="O1522" i="1"/>
  <c r="P1522" i="1"/>
  <c r="Q1522" i="1"/>
  <c r="S1522" i="1"/>
  <c r="U1522" i="1"/>
  <c r="F50" i="1" s="1"/>
  <c r="Q182" i="1" s="1"/>
  <c r="G1523" i="1"/>
  <c r="H1523" i="1"/>
  <c r="I1523" i="1"/>
  <c r="J1523" i="1"/>
  <c r="K1523" i="1"/>
  <c r="L1523" i="1"/>
  <c r="M1523" i="1"/>
  <c r="N1523" i="1"/>
  <c r="O1523" i="1"/>
  <c r="P1523" i="1"/>
  <c r="Q1523" i="1"/>
  <c r="S1523" i="1"/>
  <c r="U1523" i="1"/>
  <c r="F51" i="1" s="1"/>
  <c r="Q192" i="1" s="1"/>
  <c r="S1524" i="1"/>
  <c r="U1524" i="1"/>
  <c r="F52" i="1" s="1"/>
  <c r="F211" i="1" s="1"/>
  <c r="S1525" i="1"/>
  <c r="U1525" i="1"/>
  <c r="F53" i="1" s="1"/>
  <c r="G183" i="1" s="1"/>
  <c r="F1526" i="1"/>
  <c r="G1526" i="1"/>
  <c r="H1526" i="1"/>
  <c r="I1526" i="1"/>
  <c r="J1526" i="1"/>
  <c r="K1526" i="1"/>
  <c r="L1526" i="1"/>
  <c r="M1526" i="1"/>
  <c r="N1526" i="1"/>
  <c r="O1526" i="1"/>
  <c r="P1526" i="1"/>
  <c r="Q1526" i="1"/>
  <c r="S1526" i="1"/>
  <c r="U1526" i="1"/>
  <c r="F1527" i="1"/>
  <c r="G1527" i="1"/>
  <c r="H1527" i="1"/>
  <c r="I1527" i="1"/>
  <c r="J1527" i="1"/>
  <c r="K1527" i="1"/>
  <c r="L1527" i="1"/>
  <c r="M1527" i="1"/>
  <c r="N1527" i="1"/>
  <c r="O1527" i="1"/>
  <c r="P1527" i="1"/>
  <c r="Q1527" i="1"/>
  <c r="S1527" i="1"/>
  <c r="U1527" i="1"/>
  <c r="G1528" i="1"/>
  <c r="H1528" i="1"/>
  <c r="I1528" i="1"/>
  <c r="J1528" i="1"/>
  <c r="K1528" i="1"/>
  <c r="L1528" i="1"/>
  <c r="M1528" i="1"/>
  <c r="N1528" i="1"/>
  <c r="O1528" i="1"/>
  <c r="P1528" i="1"/>
  <c r="Q1528" i="1"/>
  <c r="U1528" i="1"/>
  <c r="S1529" i="1"/>
  <c r="T1529" i="1"/>
  <c r="U1529" i="1"/>
  <c r="G1384" i="1" s="1"/>
  <c r="V1529" i="1"/>
  <c r="S1530" i="1"/>
  <c r="T1530" i="1"/>
  <c r="U1530" i="1"/>
  <c r="G1385" i="1" s="1"/>
  <c r="V1530" i="1"/>
  <c r="S1531" i="1"/>
  <c r="T1531" i="1"/>
  <c r="U1531" i="1"/>
  <c r="G1386" i="1" s="1"/>
  <c r="V1531" i="1"/>
  <c r="S1532" i="1"/>
  <c r="T1532" i="1"/>
  <c r="U1532" i="1"/>
  <c r="G1387" i="1" s="1"/>
  <c r="V1532" i="1"/>
  <c r="S1533" i="1"/>
  <c r="T1533" i="1"/>
  <c r="U1533" i="1"/>
  <c r="G1388" i="1" s="1"/>
  <c r="V1533" i="1"/>
  <c r="J1534" i="1"/>
  <c r="E1535" i="1"/>
  <c r="J1535" i="1"/>
  <c r="K1535" i="1"/>
  <c r="L1535" i="1"/>
  <c r="M1535" i="1"/>
  <c r="N1535" i="1"/>
  <c r="O1535" i="1"/>
  <c r="P1535" i="1"/>
  <c r="Q1535" i="1"/>
  <c r="R1535" i="1"/>
  <c r="S1535" i="1"/>
  <c r="J1539" i="1"/>
  <c r="K1539" i="1"/>
  <c r="L1539" i="1"/>
  <c r="M1539" i="1"/>
  <c r="N1539" i="1"/>
  <c r="O1539" i="1"/>
  <c r="P1539" i="1"/>
  <c r="Q1539" i="1"/>
  <c r="R1539" i="1"/>
  <c r="S1539" i="1"/>
  <c r="F1540" i="1"/>
  <c r="I1540" i="1"/>
  <c r="J1540" i="1"/>
  <c r="K1540" i="1"/>
  <c r="L1540" i="1"/>
  <c r="M1540" i="1"/>
  <c r="N1540" i="1"/>
  <c r="O1540" i="1"/>
  <c r="P1540" i="1"/>
  <c r="Q1540" i="1"/>
  <c r="R1540" i="1"/>
  <c r="S1540" i="1"/>
  <c r="F1541" i="1"/>
  <c r="I1541" i="1"/>
  <c r="J1541" i="1"/>
  <c r="K1541" i="1"/>
  <c r="L1541" i="1"/>
  <c r="M1541" i="1"/>
  <c r="N1541" i="1"/>
  <c r="O1541" i="1"/>
  <c r="P1541" i="1"/>
  <c r="Q1541" i="1"/>
  <c r="R1541" i="1"/>
  <c r="S1541" i="1"/>
  <c r="F1542" i="1"/>
  <c r="I1542" i="1"/>
  <c r="J1542" i="1"/>
  <c r="K1542" i="1"/>
  <c r="L1542" i="1"/>
  <c r="M1542" i="1"/>
  <c r="N1542" i="1"/>
  <c r="O1542" i="1"/>
  <c r="P1542" i="1"/>
  <c r="Q1542" i="1"/>
  <c r="R1542" i="1"/>
  <c r="S1542" i="1"/>
  <c r="F1543" i="1"/>
  <c r="I1543" i="1"/>
  <c r="J1543" i="1"/>
  <c r="K1543" i="1"/>
  <c r="L1543" i="1"/>
  <c r="M1543" i="1"/>
  <c r="N1543" i="1"/>
  <c r="O1543" i="1"/>
  <c r="P1543" i="1"/>
  <c r="Q1543" i="1"/>
  <c r="R1543" i="1"/>
  <c r="S1543" i="1"/>
  <c r="E1544" i="1"/>
  <c r="J1547" i="1"/>
  <c r="K1547" i="1"/>
  <c r="L1547" i="1"/>
  <c r="M1547" i="1"/>
  <c r="N1547" i="1"/>
  <c r="O1547" i="1"/>
  <c r="P1547" i="1"/>
  <c r="Q1547" i="1"/>
  <c r="R1547" i="1"/>
  <c r="S1547" i="1"/>
  <c r="D1548" i="1"/>
  <c r="E1548" i="1"/>
  <c r="J1548" i="1"/>
  <c r="K1548" i="1"/>
  <c r="L1548" i="1"/>
  <c r="M1548" i="1"/>
  <c r="N1548" i="1"/>
  <c r="O1548" i="1"/>
  <c r="P1548" i="1"/>
  <c r="Q1548" i="1"/>
  <c r="R1548" i="1"/>
  <c r="S1548" i="1"/>
  <c r="D1549" i="1"/>
  <c r="E1549" i="1"/>
  <c r="J1549" i="1"/>
  <c r="K1549" i="1"/>
  <c r="L1549" i="1"/>
  <c r="M1549" i="1"/>
  <c r="N1549" i="1"/>
  <c r="O1549" i="1"/>
  <c r="P1549" i="1"/>
  <c r="Q1549" i="1"/>
  <c r="R1549" i="1"/>
  <c r="S1549" i="1"/>
  <c r="D1550" i="1"/>
  <c r="E1550" i="1"/>
  <c r="J1550" i="1"/>
  <c r="K1550" i="1"/>
  <c r="L1550" i="1"/>
  <c r="M1550" i="1"/>
  <c r="N1550" i="1"/>
  <c r="O1550" i="1"/>
  <c r="P1550" i="1"/>
  <c r="Q1550" i="1"/>
  <c r="R1550" i="1"/>
  <c r="S1550" i="1"/>
  <c r="D1551" i="1"/>
  <c r="E1551" i="1"/>
  <c r="J1551" i="1"/>
  <c r="K1551" i="1"/>
  <c r="L1551" i="1"/>
  <c r="M1551" i="1"/>
  <c r="N1551" i="1"/>
  <c r="O1551" i="1"/>
  <c r="P1551" i="1"/>
  <c r="Q1551" i="1"/>
  <c r="R1551" i="1"/>
  <c r="S1551" i="1"/>
  <c r="B1552" i="1"/>
  <c r="E1552" i="1"/>
  <c r="J1555" i="1"/>
  <c r="K1555" i="1"/>
  <c r="L1555" i="1"/>
  <c r="M1555" i="1"/>
  <c r="N1555" i="1"/>
  <c r="O1555" i="1"/>
  <c r="P1555" i="1"/>
  <c r="Q1555" i="1"/>
  <c r="R1555" i="1"/>
  <c r="S1555" i="1"/>
  <c r="J1559" i="1"/>
  <c r="E1560" i="1"/>
  <c r="J1562" i="1"/>
  <c r="K1562" i="1"/>
  <c r="L1562" i="1"/>
  <c r="M1562" i="1"/>
  <c r="N1562" i="1"/>
  <c r="O1562" i="1"/>
  <c r="P1562" i="1"/>
  <c r="Q1562" i="1"/>
  <c r="R1562" i="1"/>
  <c r="S1562" i="1"/>
  <c r="D1563" i="1"/>
  <c r="E1563" i="1"/>
  <c r="I1563" i="1"/>
  <c r="D1564" i="1"/>
  <c r="E1564" i="1"/>
  <c r="I1564" i="1"/>
  <c r="D1565" i="1"/>
  <c r="E1565" i="1"/>
  <c r="I1565" i="1"/>
  <c r="D1566" i="1"/>
  <c r="E1566" i="1"/>
  <c r="I1566" i="1"/>
  <c r="B1567" i="1"/>
  <c r="E1567" i="1"/>
  <c r="J1570" i="1"/>
  <c r="K1570" i="1"/>
  <c r="L1570" i="1"/>
  <c r="M1570" i="1"/>
  <c r="N1570" i="1"/>
  <c r="O1570" i="1"/>
  <c r="P1570" i="1"/>
  <c r="Q1570" i="1"/>
  <c r="R1570" i="1"/>
  <c r="S1570" i="1"/>
  <c r="D1571" i="1"/>
  <c r="E1571" i="1"/>
  <c r="J1571" i="1"/>
  <c r="K1571" i="1"/>
  <c r="L1571" i="1"/>
  <c r="M1571" i="1"/>
  <c r="N1571" i="1"/>
  <c r="O1571" i="1"/>
  <c r="P1571" i="1"/>
  <c r="Q1571" i="1"/>
  <c r="R1571" i="1"/>
  <c r="S1571" i="1"/>
  <c r="D1572" i="1"/>
  <c r="E1572" i="1"/>
  <c r="J1572" i="1"/>
  <c r="K1572" i="1"/>
  <c r="L1572" i="1"/>
  <c r="M1572" i="1"/>
  <c r="N1572" i="1"/>
  <c r="O1572" i="1"/>
  <c r="P1572" i="1"/>
  <c r="Q1572" i="1"/>
  <c r="R1572" i="1"/>
  <c r="S1572" i="1"/>
  <c r="D1573" i="1"/>
  <c r="E1573" i="1"/>
  <c r="J1573" i="1"/>
  <c r="K1573" i="1"/>
  <c r="L1573" i="1"/>
  <c r="M1573" i="1"/>
  <c r="N1573" i="1"/>
  <c r="O1573" i="1"/>
  <c r="P1573" i="1"/>
  <c r="Q1573" i="1"/>
  <c r="R1573" i="1"/>
  <c r="S1573" i="1"/>
  <c r="D1574" i="1"/>
  <c r="E1574" i="1"/>
  <c r="J1574" i="1"/>
  <c r="K1574" i="1"/>
  <c r="L1574" i="1"/>
  <c r="M1574" i="1"/>
  <c r="N1574" i="1"/>
  <c r="O1574" i="1"/>
  <c r="P1574" i="1"/>
  <c r="Q1574" i="1"/>
  <c r="R1574" i="1"/>
  <c r="S1574" i="1"/>
  <c r="B1575" i="1"/>
  <c r="E1575" i="1"/>
  <c r="J1577" i="1"/>
  <c r="K1577" i="1"/>
  <c r="L1577" i="1"/>
  <c r="M1577" i="1"/>
  <c r="N1577" i="1"/>
  <c r="O1577" i="1"/>
  <c r="P1577" i="1"/>
  <c r="Q1577" i="1"/>
  <c r="R1577" i="1"/>
  <c r="S1577" i="1"/>
  <c r="J1578" i="1"/>
  <c r="K1578" i="1"/>
  <c r="L1578" i="1"/>
  <c r="M1578" i="1"/>
  <c r="N1578" i="1"/>
  <c r="O1578" i="1"/>
  <c r="P1578" i="1"/>
  <c r="Q1578" i="1"/>
  <c r="R1578" i="1"/>
  <c r="S1578" i="1"/>
  <c r="M48" i="1" l="1"/>
  <c r="R196" i="1"/>
  <c r="S196" i="1" s="1"/>
  <c r="R1289" i="1"/>
  <c r="J1247" i="1"/>
  <c r="M49" i="1"/>
  <c r="R197" i="1"/>
  <c r="S197" i="1" s="1"/>
  <c r="Q1289" i="1"/>
  <c r="N1036" i="1"/>
  <c r="P998" i="1"/>
  <c r="R953" i="1"/>
  <c r="S182" i="1"/>
  <c r="Q189" i="1"/>
  <c r="M52" i="1"/>
  <c r="R200" i="1"/>
  <c r="S200" i="1" s="1"/>
  <c r="S1331" i="1"/>
  <c r="K1331" i="1"/>
  <c r="J1079" i="1"/>
  <c r="K1079" i="1" s="1"/>
  <c r="L1079" i="1" s="1"/>
  <c r="M1079" i="1" s="1"/>
  <c r="N1079" i="1" s="1"/>
  <c r="O1079" i="1" s="1"/>
  <c r="P1079" i="1" s="1"/>
  <c r="Q1079" i="1" s="1"/>
  <c r="R1079" i="1" s="1"/>
  <c r="S1079" i="1" s="1"/>
  <c r="F210" i="1"/>
  <c r="G201" i="1"/>
  <c r="M53" i="1"/>
  <c r="R210" i="1"/>
  <c r="O78" i="1"/>
  <c r="O79" i="1" s="1"/>
  <c r="K97" i="1"/>
  <c r="J104" i="1"/>
  <c r="J106" i="1"/>
  <c r="J232" i="1" s="1"/>
  <c r="J226" i="1"/>
  <c r="J103" i="1"/>
  <c r="J274" i="1"/>
  <c r="J276" i="1"/>
  <c r="J300" i="1"/>
  <c r="J357" i="1" s="1"/>
  <c r="J297" i="1"/>
  <c r="J354" i="1" s="1"/>
  <c r="J298" i="1"/>
  <c r="J355" i="1" s="1"/>
  <c r="N1331" i="1"/>
  <c r="K1289" i="1"/>
  <c r="O1247" i="1"/>
  <c r="M54" i="1"/>
  <c r="R211" i="1"/>
  <c r="S211" i="1" s="1"/>
  <c r="M50" i="1"/>
  <c r="R198" i="1"/>
  <c r="S198" i="1" s="1"/>
  <c r="Q1331" i="1"/>
  <c r="M1331" i="1"/>
  <c r="O1289" i="1"/>
  <c r="J1289" i="1"/>
  <c r="N1247" i="1"/>
  <c r="I1041" i="1"/>
  <c r="M1036" i="1"/>
  <c r="M998" i="1"/>
  <c r="R212" i="1"/>
  <c r="K953" i="1"/>
  <c r="O953" i="1"/>
  <c r="S953" i="1"/>
  <c r="L953" i="1"/>
  <c r="P953" i="1"/>
  <c r="N953" i="1"/>
  <c r="J998" i="1"/>
  <c r="N998" i="1"/>
  <c r="R998" i="1"/>
  <c r="I1003" i="1"/>
  <c r="K1036" i="1"/>
  <c r="O1036" i="1"/>
  <c r="S1036" i="1"/>
  <c r="I1117" i="1"/>
  <c r="J1163" i="1"/>
  <c r="K1163" i="1" s="1"/>
  <c r="L1163" i="1" s="1"/>
  <c r="M1163" i="1" s="1"/>
  <c r="N1163" i="1" s="1"/>
  <c r="O1163" i="1" s="1"/>
  <c r="P1163" i="1" s="1"/>
  <c r="Q1163" i="1" s="1"/>
  <c r="R1163" i="1" s="1"/>
  <c r="S1163" i="1" s="1"/>
  <c r="L1247" i="1"/>
  <c r="P1247" i="1"/>
  <c r="Q953" i="1"/>
  <c r="I960" i="1"/>
  <c r="K998" i="1"/>
  <c r="O998" i="1"/>
  <c r="S998" i="1"/>
  <c r="L1036" i="1"/>
  <c r="P1036" i="1"/>
  <c r="I1159" i="1"/>
  <c r="J1205" i="1"/>
  <c r="K1205" i="1" s="1"/>
  <c r="L1205" i="1" s="1"/>
  <c r="M1205" i="1" s="1"/>
  <c r="N1205" i="1" s="1"/>
  <c r="O1205" i="1" s="1"/>
  <c r="P1205" i="1" s="1"/>
  <c r="Q1205" i="1" s="1"/>
  <c r="R1205" i="1" s="1"/>
  <c r="S1205" i="1" s="1"/>
  <c r="M1247" i="1"/>
  <c r="Q1247" i="1"/>
  <c r="L1289" i="1"/>
  <c r="P1289" i="1"/>
  <c r="J57" i="1"/>
  <c r="H182" i="1"/>
  <c r="J228" i="1"/>
  <c r="J275" i="1" s="1"/>
  <c r="J296" i="1"/>
  <c r="O1331" i="1"/>
  <c r="I1327" i="1"/>
  <c r="M1289" i="1"/>
  <c r="R1247" i="1"/>
  <c r="Q1036" i="1"/>
  <c r="Q998" i="1"/>
  <c r="M45" i="1"/>
  <c r="R193" i="1"/>
  <c r="R1331" i="1"/>
  <c r="J1331" i="1"/>
  <c r="I1285" i="1"/>
  <c r="M46" i="1"/>
  <c r="R194" i="1"/>
  <c r="S194" i="1" s="1"/>
  <c r="I183" i="1"/>
  <c r="I273" i="1" s="1"/>
  <c r="J273" i="1" s="1"/>
  <c r="K273" i="1" s="1"/>
  <c r="L273" i="1" s="1"/>
  <c r="M273" i="1" s="1"/>
  <c r="N273" i="1" s="1"/>
  <c r="O273" i="1" s="1"/>
  <c r="P273" i="1" s="1"/>
  <c r="Q273" i="1" s="1"/>
  <c r="R273" i="1" s="1"/>
  <c r="S273" i="1" s="1"/>
  <c r="G188" i="1"/>
  <c r="S192" i="1"/>
  <c r="Q202" i="1"/>
  <c r="F47" i="1"/>
  <c r="F55" i="1" s="1"/>
  <c r="S44" i="1"/>
  <c r="F209" i="1"/>
  <c r="M51" i="1"/>
  <c r="R199" i="1"/>
  <c r="S199" i="1" s="1"/>
  <c r="M47" i="1"/>
  <c r="R195" i="1"/>
  <c r="S195" i="1" s="1"/>
  <c r="K100" i="1"/>
  <c r="P1331" i="1"/>
  <c r="L1331" i="1"/>
  <c r="S1289" i="1"/>
  <c r="N1289" i="1"/>
  <c r="S1247" i="1"/>
  <c r="K1247" i="1"/>
  <c r="I1243" i="1"/>
  <c r="I1201" i="1"/>
  <c r="J1121" i="1"/>
  <c r="K1121" i="1" s="1"/>
  <c r="L1121" i="1" s="1"/>
  <c r="M1121" i="1" s="1"/>
  <c r="N1121" i="1" s="1"/>
  <c r="O1121" i="1" s="1"/>
  <c r="P1121" i="1" s="1"/>
  <c r="Q1121" i="1" s="1"/>
  <c r="R1121" i="1" s="1"/>
  <c r="S1121" i="1" s="1"/>
  <c r="I1075" i="1"/>
  <c r="R1036" i="1"/>
  <c r="J1036" i="1"/>
  <c r="L998" i="1"/>
  <c r="J953" i="1"/>
  <c r="J230" i="1" l="1"/>
  <c r="J234" i="1" s="1"/>
  <c r="Q208" i="1"/>
  <c r="I307" i="1"/>
  <c r="I455" i="1" s="1"/>
  <c r="J605" i="1"/>
  <c r="J607" i="1" s="1"/>
  <c r="Q212" i="1"/>
  <c r="F213" i="1"/>
  <c r="I304" i="1"/>
  <c r="J584" i="1"/>
  <c r="J126" i="1"/>
  <c r="J351" i="1"/>
  <c r="I1042" i="1"/>
  <c r="I321" i="1"/>
  <c r="J665" i="1"/>
  <c r="J352" i="1"/>
  <c r="S210" i="1"/>
  <c r="R214" i="1"/>
  <c r="S189" i="1"/>
  <c r="I295" i="1"/>
  <c r="J577" i="1"/>
  <c r="I1004" i="1"/>
  <c r="K228" i="1"/>
  <c r="K275" i="1" s="1"/>
  <c r="K351" i="1" s="1"/>
  <c r="K296" i="1"/>
  <c r="I306" i="1"/>
  <c r="J598" i="1"/>
  <c r="I182" i="1"/>
  <c r="H188" i="1"/>
  <c r="H203" i="1" s="1"/>
  <c r="S212" i="1"/>
  <c r="I322" i="1" s="1"/>
  <c r="J124" i="1"/>
  <c r="J350" i="1"/>
  <c r="I312" i="1"/>
  <c r="J650" i="1"/>
  <c r="I309" i="1"/>
  <c r="J620" i="1"/>
  <c r="I308" i="1"/>
  <c r="I458" i="1" s="1"/>
  <c r="J612" i="1"/>
  <c r="S193" i="1"/>
  <c r="R202" i="1"/>
  <c r="R208" i="1" s="1"/>
  <c r="J130" i="1"/>
  <c r="J353" i="1"/>
  <c r="J401" i="1"/>
  <c r="J403" i="1" s="1"/>
  <c r="J941" i="1"/>
  <c r="J944" i="1" s="1"/>
  <c r="S45" i="1"/>
  <c r="S46" i="1"/>
  <c r="I311" i="1"/>
  <c r="J642" i="1"/>
  <c r="S48" i="1"/>
  <c r="F9" i="1"/>
  <c r="G9" i="1" s="1"/>
  <c r="K44" i="1"/>
  <c r="K45" i="1"/>
  <c r="K47" i="1"/>
  <c r="K49" i="1"/>
  <c r="K50" i="1"/>
  <c r="K53" i="1"/>
  <c r="K54" i="1"/>
  <c r="K46" i="1"/>
  <c r="K48" i="1"/>
  <c r="K51" i="1"/>
  <c r="K55" i="1"/>
  <c r="K52" i="1"/>
  <c r="I961" i="1"/>
  <c r="J634" i="1"/>
  <c r="I310" i="1"/>
  <c r="J109" i="1"/>
  <c r="O81" i="1"/>
  <c r="O82" i="1" s="1"/>
  <c r="P78" i="1"/>
  <c r="P79" i="1" s="1"/>
  <c r="K106" i="1"/>
  <c r="K232" i="1" s="1"/>
  <c r="K103" i="1"/>
  <c r="L97" i="1"/>
  <c r="K226" i="1"/>
  <c r="K230" i="1" s="1"/>
  <c r="K234" i="1" s="1"/>
  <c r="K274" i="1"/>
  <c r="K276" i="1"/>
  <c r="K300" i="1"/>
  <c r="K357" i="1" s="1"/>
  <c r="K298" i="1"/>
  <c r="K355" i="1" s="1"/>
  <c r="K297" i="1"/>
  <c r="K354" i="1" s="1"/>
  <c r="I201" i="1"/>
  <c r="J210" i="1"/>
  <c r="M97" i="1" l="1"/>
  <c r="Q78" i="1"/>
  <c r="Q79" i="1" s="1"/>
  <c r="L106" i="1"/>
  <c r="L232" i="1" s="1"/>
  <c r="L226" i="1"/>
  <c r="L297" i="1"/>
  <c r="L354" i="1" s="1"/>
  <c r="L298" i="1"/>
  <c r="L355" i="1" s="1"/>
  <c r="L300" i="1"/>
  <c r="L357" i="1" s="1"/>
  <c r="L274" i="1"/>
  <c r="L350" i="1" s="1"/>
  <c r="L276" i="1"/>
  <c r="L100" i="1"/>
  <c r="I962" i="1"/>
  <c r="J250" i="1"/>
  <c r="J645" i="1"/>
  <c r="I1200" i="1"/>
  <c r="I1209" i="1" s="1"/>
  <c r="J247" i="1"/>
  <c r="J615" i="1"/>
  <c r="I1074" i="1"/>
  <c r="I1083" i="1" s="1"/>
  <c r="J251" i="1"/>
  <c r="J653" i="1"/>
  <c r="I1242" i="1"/>
  <c r="I1251" i="1" s="1"/>
  <c r="K401" i="1"/>
  <c r="K403" i="1" s="1"/>
  <c r="K941" i="1"/>
  <c r="K944" i="1" s="1"/>
  <c r="P81" i="1"/>
  <c r="P82" i="1" s="1"/>
  <c r="K109" i="1"/>
  <c r="O84" i="1"/>
  <c r="J111" i="1"/>
  <c r="J110" i="1"/>
  <c r="F12" i="1"/>
  <c r="G12" i="1" s="1"/>
  <c r="J666" i="1"/>
  <c r="J668" i="1"/>
  <c r="J669" i="1" s="1"/>
  <c r="I1326" i="1"/>
  <c r="I1335" i="1" s="1"/>
  <c r="J243" i="1"/>
  <c r="J585" i="1" s="1"/>
  <c r="J588" i="1"/>
  <c r="R216" i="1"/>
  <c r="J248" i="1"/>
  <c r="J623" i="1"/>
  <c r="J374" i="1" s="1"/>
  <c r="I1116" i="1"/>
  <c r="I1125" i="1" s="1"/>
  <c r="J372" i="1"/>
  <c r="J368" i="1"/>
  <c r="K124" i="1"/>
  <c r="O49" i="1"/>
  <c r="O46" i="1"/>
  <c r="O50" i="1"/>
  <c r="O48" i="1"/>
  <c r="D90" i="1"/>
  <c r="O44" i="1" s="1"/>
  <c r="O45" i="1"/>
  <c r="O52" i="1"/>
  <c r="I188" i="1"/>
  <c r="O47" i="1"/>
  <c r="O51" i="1"/>
  <c r="I272" i="1"/>
  <c r="J672" i="1"/>
  <c r="K130" i="1"/>
  <c r="K353" i="1"/>
  <c r="J242" i="1"/>
  <c r="J581" i="1"/>
  <c r="S214" i="1"/>
  <c r="I320" i="1"/>
  <c r="I324" i="1" s="1"/>
  <c r="J658" i="1"/>
  <c r="J246" i="1"/>
  <c r="J606" i="1" s="1"/>
  <c r="K57" i="1"/>
  <c r="I1005" i="1"/>
  <c r="F215" i="1"/>
  <c r="Q214" i="1"/>
  <c r="L238" i="1"/>
  <c r="M238" i="1"/>
  <c r="N238" i="1"/>
  <c r="I289" i="1"/>
  <c r="O238" i="1"/>
  <c r="P238" i="1"/>
  <c r="J238" i="1"/>
  <c r="K238" i="1"/>
  <c r="L352" i="1"/>
  <c r="K104" i="1"/>
  <c r="J249" i="1"/>
  <c r="J637" i="1"/>
  <c r="J375" i="1" s="1"/>
  <c r="I1158" i="1"/>
  <c r="I1167" i="1" s="1"/>
  <c r="S50" i="1"/>
  <c r="S49" i="1"/>
  <c r="I305" i="1"/>
  <c r="I451" i="1" s="1"/>
  <c r="J591" i="1"/>
  <c r="K350" i="1"/>
  <c r="J245" i="1"/>
  <c r="J599" i="1" s="1"/>
  <c r="J600" i="1"/>
  <c r="J371" i="1" s="1"/>
  <c r="I302" i="1"/>
  <c r="K352" i="1"/>
  <c r="I1043" i="1"/>
  <c r="K126" i="1"/>
  <c r="S202" i="1"/>
  <c r="S208" i="1" s="1"/>
  <c r="F218" i="1"/>
  <c r="J213" i="1" s="1"/>
  <c r="G200" i="1" s="1"/>
  <c r="Q216" i="1"/>
  <c r="S216" i="1" l="1"/>
  <c r="I314" i="1"/>
  <c r="I470" i="1" s="1"/>
  <c r="F77" i="1" s="1"/>
  <c r="I1006" i="1"/>
  <c r="J253" i="1"/>
  <c r="J578" i="1"/>
  <c r="I278" i="1"/>
  <c r="I1336" i="1"/>
  <c r="J643" i="1"/>
  <c r="J1202" i="1"/>
  <c r="O347" i="1"/>
  <c r="O530" i="1"/>
  <c r="L347" i="1"/>
  <c r="L530" i="1"/>
  <c r="J295" i="1"/>
  <c r="K577" i="1"/>
  <c r="J673" i="1"/>
  <c r="J254" i="1" s="1"/>
  <c r="P84" i="1"/>
  <c r="K111" i="1"/>
  <c r="K110" i="1"/>
  <c r="I200" i="1"/>
  <c r="I203" i="1" s="1"/>
  <c r="S217" i="1" s="1"/>
  <c r="F5" i="1" s="1"/>
  <c r="G5" i="1" s="1"/>
  <c r="G203" i="1"/>
  <c r="I1044" i="1"/>
  <c r="J244" i="1"/>
  <c r="J592" i="1" s="1"/>
  <c r="J635" i="1"/>
  <c r="J1160" i="1"/>
  <c r="K347" i="1"/>
  <c r="K530" i="1"/>
  <c r="J662" i="1"/>
  <c r="J661" i="1"/>
  <c r="I1284" i="1"/>
  <c r="I1293" i="1" s="1"/>
  <c r="J659" i="1"/>
  <c r="F81" i="1"/>
  <c r="J347" i="1"/>
  <c r="J289" i="1" s="1"/>
  <c r="J530" i="1"/>
  <c r="N530" i="1"/>
  <c r="N347" i="1"/>
  <c r="I466" i="1"/>
  <c r="J304" i="1"/>
  <c r="K584" i="1"/>
  <c r="J321" i="1"/>
  <c r="K665" i="1"/>
  <c r="J1330" i="1"/>
  <c r="J215" i="1"/>
  <c r="J651" i="1"/>
  <c r="J1244" i="1"/>
  <c r="I1210" i="1"/>
  <c r="J376" i="1"/>
  <c r="I963" i="1"/>
  <c r="I1126" i="1"/>
  <c r="J264" i="1"/>
  <c r="J1328" i="1"/>
  <c r="J373" i="1"/>
  <c r="L228" i="1"/>
  <c r="L275" i="1" s="1"/>
  <c r="L296" i="1"/>
  <c r="L103" i="1"/>
  <c r="I326" i="1"/>
  <c r="I1168" i="1"/>
  <c r="P347" i="1"/>
  <c r="P530" i="1"/>
  <c r="M347" i="1"/>
  <c r="M530" i="1"/>
  <c r="J621" i="1"/>
  <c r="J1118" i="1"/>
  <c r="J379" i="1"/>
  <c r="J1329" i="1"/>
  <c r="O85" i="1"/>
  <c r="O86" i="1"/>
  <c r="I1252" i="1"/>
  <c r="J377" i="1"/>
  <c r="I1084" i="1"/>
  <c r="J1076" i="1"/>
  <c r="J613" i="1"/>
  <c r="N97" i="1"/>
  <c r="M226" i="1"/>
  <c r="R78" i="1"/>
  <c r="R79" i="1" s="1"/>
  <c r="M106" i="1"/>
  <c r="M232" i="1" s="1"/>
  <c r="M297" i="1"/>
  <c r="M354" i="1" s="1"/>
  <c r="M298" i="1"/>
  <c r="M355" i="1" s="1"/>
  <c r="M300" i="1"/>
  <c r="M357" i="1" s="1"/>
  <c r="M274" i="1"/>
  <c r="M124" i="1" s="1"/>
  <c r="M276" i="1"/>
  <c r="M352" i="1" s="1"/>
  <c r="M100" i="1"/>
  <c r="L124" i="1"/>
  <c r="M350" i="1" l="1"/>
  <c r="I467" i="1"/>
  <c r="K289" i="1"/>
  <c r="L289" i="1" s="1"/>
  <c r="M289" i="1" s="1"/>
  <c r="N289" i="1" s="1"/>
  <c r="O289" i="1" s="1"/>
  <c r="P289" i="1" s="1"/>
  <c r="Q289" i="1" s="1"/>
  <c r="R289" i="1" s="1"/>
  <c r="S289" i="1" s="1"/>
  <c r="M228" i="1"/>
  <c r="M275" i="1" s="1"/>
  <c r="M126" i="1" s="1"/>
  <c r="M296" i="1"/>
  <c r="I1294" i="1"/>
  <c r="I1045" i="1"/>
  <c r="S78" i="1"/>
  <c r="S79" i="1" s="1"/>
  <c r="N226" i="1"/>
  <c r="O97" i="1"/>
  <c r="N106" i="1"/>
  <c r="N232" i="1" s="1"/>
  <c r="N274" i="1"/>
  <c r="N350" i="1" s="1"/>
  <c r="N276" i="1"/>
  <c r="N297" i="1"/>
  <c r="N354" i="1" s="1"/>
  <c r="N298" i="1"/>
  <c r="N355" i="1" s="1"/>
  <c r="N300" i="1"/>
  <c r="N357" i="1" s="1"/>
  <c r="N100" i="1"/>
  <c r="I1253" i="1"/>
  <c r="I1169" i="1"/>
  <c r="L130" i="1"/>
  <c r="L353" i="1"/>
  <c r="M351" i="1"/>
  <c r="L126" i="1"/>
  <c r="L351" i="1"/>
  <c r="J1336" i="1"/>
  <c r="J1337" i="1" s="1"/>
  <c r="J1338" i="1" s="1"/>
  <c r="J1339" i="1" s="1"/>
  <c r="J1340" i="1" s="1"/>
  <c r="J1341" i="1" s="1"/>
  <c r="J1342" i="1" s="1"/>
  <c r="J1343" i="1" s="1"/>
  <c r="J1344" i="1" s="1"/>
  <c r="K666" i="1"/>
  <c r="K668" i="1"/>
  <c r="J263" i="1"/>
  <c r="J1286" i="1"/>
  <c r="J237" i="1"/>
  <c r="N237" i="1"/>
  <c r="R237" i="1"/>
  <c r="K237" i="1"/>
  <c r="O237" i="1"/>
  <c r="S237" i="1"/>
  <c r="L237" i="1"/>
  <c r="P237" i="1"/>
  <c r="M237" i="1"/>
  <c r="Q237" i="1"/>
  <c r="I288" i="1"/>
  <c r="I1337" i="1"/>
  <c r="O88" i="1"/>
  <c r="J410" i="1"/>
  <c r="J409" i="1"/>
  <c r="J411" i="1"/>
  <c r="N124" i="1"/>
  <c r="M103" i="1"/>
  <c r="Q81" i="1"/>
  <c r="Q82" i="1" s="1"/>
  <c r="L109" i="1"/>
  <c r="L104" i="1"/>
  <c r="I1127" i="1"/>
  <c r="L230" i="1"/>
  <c r="L234" i="1" s="1"/>
  <c r="I964" i="1"/>
  <c r="I1211" i="1"/>
  <c r="K243" i="1"/>
  <c r="K585" i="1" s="1"/>
  <c r="K588" i="1"/>
  <c r="J378" i="1"/>
  <c r="J381" i="1" s="1"/>
  <c r="J1287" i="1"/>
  <c r="K242" i="1"/>
  <c r="K581" i="1"/>
  <c r="I1007" i="1"/>
  <c r="I1085" i="1"/>
  <c r="J320" i="1"/>
  <c r="K658" i="1"/>
  <c r="J1288" i="1"/>
  <c r="P85" i="1"/>
  <c r="P86" i="1"/>
  <c r="J408" i="1" a="1"/>
  <c r="J408" i="1" s="1"/>
  <c r="J288" i="1" l="1"/>
  <c r="K288" i="1" s="1"/>
  <c r="L288" i="1" s="1"/>
  <c r="M288" i="1" s="1"/>
  <c r="N288" i="1" s="1"/>
  <c r="O288" i="1" s="1"/>
  <c r="P288" i="1" s="1"/>
  <c r="Q288" i="1" s="1"/>
  <c r="R288" i="1" s="1"/>
  <c r="S288" i="1" s="1"/>
  <c r="M230" i="1"/>
  <c r="M234" i="1" s="1"/>
  <c r="K304" i="1"/>
  <c r="L584" i="1"/>
  <c r="I965" i="1"/>
  <c r="Q346" i="1"/>
  <c r="Q496" i="1"/>
  <c r="Q529" i="1" s="1"/>
  <c r="Q533" i="1" s="1"/>
  <c r="K264" i="1"/>
  <c r="K1328" i="1"/>
  <c r="M240" i="1"/>
  <c r="M401" i="1"/>
  <c r="M403" i="1" s="1"/>
  <c r="M941" i="1"/>
  <c r="M944" i="1" s="1"/>
  <c r="O352" i="1"/>
  <c r="K659" i="1"/>
  <c r="K661" i="1"/>
  <c r="I1086" i="1"/>
  <c r="K578" i="1"/>
  <c r="I411" i="1"/>
  <c r="J425" i="1"/>
  <c r="G74" i="1" s="1"/>
  <c r="J418" i="1"/>
  <c r="G69" i="1" s="1"/>
  <c r="I1338" i="1"/>
  <c r="M346" i="1"/>
  <c r="M496" i="1"/>
  <c r="M529" i="1" s="1"/>
  <c r="M533" i="1" s="1"/>
  <c r="O346" i="1"/>
  <c r="O496" i="1"/>
  <c r="O529" i="1" s="1"/>
  <c r="O533" i="1" s="1"/>
  <c r="J346" i="1"/>
  <c r="J496" i="1"/>
  <c r="J529" i="1" s="1"/>
  <c r="J533" i="1" s="1"/>
  <c r="J240" i="1"/>
  <c r="J256" i="1" s="1"/>
  <c r="N352" i="1"/>
  <c r="O106" i="1"/>
  <c r="O232" i="1" s="1"/>
  <c r="O226" i="1"/>
  <c r="P97" i="1"/>
  <c r="O274" i="1"/>
  <c r="O276" i="1"/>
  <c r="O297" i="1"/>
  <c r="O354" i="1" s="1"/>
  <c r="O298" i="1"/>
  <c r="O355" i="1" s="1"/>
  <c r="O300" i="1"/>
  <c r="O357" i="1" s="1"/>
  <c r="O100" i="1"/>
  <c r="O103" i="1" s="1"/>
  <c r="O109" i="1" s="1"/>
  <c r="O110" i="1" s="1"/>
  <c r="K295" i="1"/>
  <c r="L577" i="1"/>
  <c r="M109" i="1"/>
  <c r="R81" i="1"/>
  <c r="R82" i="1" s="1"/>
  <c r="M104" i="1"/>
  <c r="S346" i="1"/>
  <c r="S496" i="1"/>
  <c r="S529" i="1" s="1"/>
  <c r="S533" i="1" s="1"/>
  <c r="N346" i="1"/>
  <c r="N496" i="1"/>
  <c r="N529" i="1" s="1"/>
  <c r="N533" i="1" s="1"/>
  <c r="J1294" i="1"/>
  <c r="J1295" i="1" s="1"/>
  <c r="J1296" i="1" s="1"/>
  <c r="J1297" i="1" s="1"/>
  <c r="J1298" i="1" s="1"/>
  <c r="J1299" i="1" s="1"/>
  <c r="J1300" i="1" s="1"/>
  <c r="J1301" i="1" s="1"/>
  <c r="J1302" i="1" s="1"/>
  <c r="I1170" i="1"/>
  <c r="N228" i="1"/>
  <c r="N275" i="1" s="1"/>
  <c r="N296" i="1"/>
  <c r="N103" i="1"/>
  <c r="L240" i="1"/>
  <c r="L401" i="1"/>
  <c r="L403" i="1" s="1"/>
  <c r="L941" i="1"/>
  <c r="L944" i="1" s="1"/>
  <c r="L111" i="1"/>
  <c r="Q84" i="1"/>
  <c r="L110" i="1"/>
  <c r="I409" i="1"/>
  <c r="J416" i="1"/>
  <c r="G67" i="1" s="1"/>
  <c r="J423" i="1"/>
  <c r="G72" i="1" s="1"/>
  <c r="P346" i="1"/>
  <c r="P496" i="1"/>
  <c r="P529" i="1" s="1"/>
  <c r="P533" i="1" s="1"/>
  <c r="K346" i="1"/>
  <c r="K496" i="1"/>
  <c r="K529" i="1" s="1"/>
  <c r="K533" i="1" s="1"/>
  <c r="K240" i="1"/>
  <c r="K379" i="1"/>
  <c r="K1329" i="1"/>
  <c r="I1295" i="1"/>
  <c r="M130" i="1"/>
  <c r="M353" i="1"/>
  <c r="I408" i="1"/>
  <c r="J415" i="1"/>
  <c r="J422" i="1"/>
  <c r="I1008" i="1"/>
  <c r="I1212" i="1"/>
  <c r="I1128" i="1"/>
  <c r="J417" i="1"/>
  <c r="G68" i="1" s="1"/>
  <c r="J424" i="1"/>
  <c r="G73" i="1" s="1"/>
  <c r="I410" i="1"/>
  <c r="L346" i="1"/>
  <c r="L496" i="1"/>
  <c r="L529" i="1" s="1"/>
  <c r="L533" i="1" s="1"/>
  <c r="R346" i="1"/>
  <c r="R496" i="1"/>
  <c r="R529" i="1" s="1"/>
  <c r="R533" i="1" s="1"/>
  <c r="K669" i="1"/>
  <c r="I1254" i="1"/>
  <c r="I1046" i="1"/>
  <c r="I291" i="1"/>
  <c r="I328" i="1" s="1"/>
  <c r="N126" i="1"/>
  <c r="O124" i="1" l="1"/>
  <c r="O350" i="1"/>
  <c r="I417" i="1"/>
  <c r="F68" i="1" s="1"/>
  <c r="I424" i="1"/>
  <c r="F73" i="1" s="1"/>
  <c r="I1009" i="1"/>
  <c r="I416" i="1"/>
  <c r="F67" i="1" s="1"/>
  <c r="I423" i="1"/>
  <c r="F72" i="1" s="1"/>
  <c r="L242" i="1"/>
  <c r="L581" i="1"/>
  <c r="O104" i="1"/>
  <c r="K378" i="1"/>
  <c r="K1287" i="1"/>
  <c r="K1337" i="1"/>
  <c r="I1047" i="1"/>
  <c r="K321" i="1"/>
  <c r="L665" i="1"/>
  <c r="K1330" i="1"/>
  <c r="I1129" i="1"/>
  <c r="N230" i="1"/>
  <c r="N234" i="1" s="1"/>
  <c r="S81" i="1"/>
  <c r="S82" i="1" s="1"/>
  <c r="N109" i="1"/>
  <c r="N104" i="1"/>
  <c r="I1171" i="1"/>
  <c r="P103" i="1"/>
  <c r="Q97" i="1"/>
  <c r="P106" i="1"/>
  <c r="P232" i="1" s="1"/>
  <c r="P226" i="1"/>
  <c r="P297" i="1"/>
  <c r="P354" i="1" s="1"/>
  <c r="P298" i="1"/>
  <c r="P355" i="1" s="1"/>
  <c r="P300" i="1"/>
  <c r="P357" i="1" s="1"/>
  <c r="P274" i="1"/>
  <c r="P276" i="1"/>
  <c r="P100" i="1"/>
  <c r="I1339" i="1"/>
  <c r="K662" i="1"/>
  <c r="L243" i="1"/>
  <c r="L585" i="1" s="1"/>
  <c r="L588" i="1"/>
  <c r="I1255" i="1"/>
  <c r="I1296" i="1"/>
  <c r="R84" i="1"/>
  <c r="M111" i="1"/>
  <c r="M110" i="1"/>
  <c r="I415" i="1"/>
  <c r="I422" i="1"/>
  <c r="I966" i="1"/>
  <c r="N351" i="1"/>
  <c r="I1213" i="1"/>
  <c r="Q86" i="1"/>
  <c r="Q85" i="1"/>
  <c r="N130" i="1"/>
  <c r="N353" i="1"/>
  <c r="O228" i="1"/>
  <c r="O275" i="1" s="1"/>
  <c r="O296" i="1"/>
  <c r="J493" i="1"/>
  <c r="I418" i="1"/>
  <c r="F69" i="1" s="1"/>
  <c r="I425" i="1"/>
  <c r="F74" i="1" s="1"/>
  <c r="I1087" i="1"/>
  <c r="K263" i="1"/>
  <c r="K1286" i="1"/>
  <c r="K1295" i="1" l="1"/>
  <c r="I967" i="1"/>
  <c r="O126" i="1"/>
  <c r="I1256" i="1"/>
  <c r="K320" i="1"/>
  <c r="L658" i="1"/>
  <c r="K1288" i="1"/>
  <c r="S84" i="1"/>
  <c r="N111" i="1"/>
  <c r="N110" i="1"/>
  <c r="L666" i="1"/>
  <c r="L668" i="1"/>
  <c r="K1338" i="1"/>
  <c r="L578" i="1"/>
  <c r="O230" i="1"/>
  <c r="O234" i="1" s="1"/>
  <c r="I1214" i="1"/>
  <c r="I1297" i="1"/>
  <c r="M584" i="1"/>
  <c r="L304" i="1"/>
  <c r="R97" i="1"/>
  <c r="Q226" i="1"/>
  <c r="Q106" i="1"/>
  <c r="Q232" i="1" s="1"/>
  <c r="Q297" i="1"/>
  <c r="Q354" i="1" s="1"/>
  <c r="Q274" i="1"/>
  <c r="Q276" i="1"/>
  <c r="Q298" i="1"/>
  <c r="Q355" i="1" s="1"/>
  <c r="Q300" i="1"/>
  <c r="Q357" i="1" s="1"/>
  <c r="Q100" i="1"/>
  <c r="I1172" i="1"/>
  <c r="I1088" i="1"/>
  <c r="J499" i="1"/>
  <c r="J526" i="1"/>
  <c r="J542" i="1" s="1"/>
  <c r="P352" i="1"/>
  <c r="P350" i="1"/>
  <c r="R85" i="1"/>
  <c r="R86" i="1"/>
  <c r="I1340" i="1"/>
  <c r="P109" i="1"/>
  <c r="I1130" i="1"/>
  <c r="I1048" i="1"/>
  <c r="O111" i="1"/>
  <c r="I1010" i="1"/>
  <c r="O130" i="1"/>
  <c r="O353" i="1"/>
  <c r="P124" i="1"/>
  <c r="O351" i="1"/>
  <c r="P228" i="1"/>
  <c r="P275" i="1" s="1"/>
  <c r="P351" i="1" s="1"/>
  <c r="P296" i="1"/>
  <c r="P104" i="1"/>
  <c r="N240" i="1"/>
  <c r="N401" i="1"/>
  <c r="N403" i="1" s="1"/>
  <c r="N941" i="1"/>
  <c r="L295" i="1"/>
  <c r="M577" i="1"/>
  <c r="P230" i="1" l="1"/>
  <c r="P234" i="1" s="1"/>
  <c r="I1341" i="1"/>
  <c r="I1089" i="1"/>
  <c r="J561" i="1"/>
  <c r="J562" i="1"/>
  <c r="J544" i="1" s="1"/>
  <c r="J546" i="1" s="1"/>
  <c r="I1298" i="1"/>
  <c r="L264" i="1"/>
  <c r="L1328" i="1"/>
  <c r="S85" i="1"/>
  <c r="S86" i="1"/>
  <c r="I968" i="1"/>
  <c r="K1296" i="1"/>
  <c r="P130" i="1"/>
  <c r="P353" i="1"/>
  <c r="Q228" i="1"/>
  <c r="Q275" i="1" s="1"/>
  <c r="Q296" i="1"/>
  <c r="P401" i="1"/>
  <c r="P403" i="1" s="1"/>
  <c r="P240" i="1"/>
  <c r="P941" i="1"/>
  <c r="P944" i="1" s="1"/>
  <c r="K1339" i="1"/>
  <c r="M242" i="1"/>
  <c r="M581" i="1"/>
  <c r="Q126" i="1"/>
  <c r="Q351" i="1"/>
  <c r="I1011" i="1"/>
  <c r="I1131" i="1"/>
  <c r="Q103" i="1"/>
  <c r="Q350" i="1"/>
  <c r="M243" i="1"/>
  <c r="M585" i="1" s="1"/>
  <c r="M588" i="1"/>
  <c r="I1215" i="1"/>
  <c r="L379" i="1"/>
  <c r="L1329" i="1"/>
  <c r="L659" i="1"/>
  <c r="L661" i="1"/>
  <c r="P126" i="1"/>
  <c r="N944" i="1"/>
  <c r="F10" i="1" s="1"/>
  <c r="G10" i="1" s="1"/>
  <c r="I1049" i="1"/>
  <c r="P111" i="1"/>
  <c r="P110" i="1"/>
  <c r="J517" i="1"/>
  <c r="J519" i="1" s="1"/>
  <c r="K516" i="1" s="1"/>
  <c r="J518" i="1"/>
  <c r="J501" i="1" s="1"/>
  <c r="J503" i="1" s="1"/>
  <c r="I1173" i="1"/>
  <c r="S97" i="1"/>
  <c r="R226" i="1"/>
  <c r="R106" i="1"/>
  <c r="R232" i="1" s="1"/>
  <c r="R274" i="1"/>
  <c r="R276" i="1"/>
  <c r="R297" i="1"/>
  <c r="R354" i="1" s="1"/>
  <c r="R300" i="1"/>
  <c r="R357" i="1" s="1"/>
  <c r="R298" i="1"/>
  <c r="R355" i="1" s="1"/>
  <c r="R100" i="1"/>
  <c r="R103" i="1" s="1"/>
  <c r="Q124" i="1"/>
  <c r="O240" i="1"/>
  <c r="O401" i="1"/>
  <c r="O403" i="1" s="1"/>
  <c r="O941" i="1"/>
  <c r="O944" i="1" s="1"/>
  <c r="F13" i="1"/>
  <c r="G13" i="1" s="1"/>
  <c r="L669" i="1"/>
  <c r="Q352" i="1"/>
  <c r="I1257" i="1"/>
  <c r="J507" i="1" l="1"/>
  <c r="J506" i="1"/>
  <c r="J509" i="1" s="1"/>
  <c r="J513" i="1" s="1"/>
  <c r="J567" i="1" s="1"/>
  <c r="J550" i="1"/>
  <c r="J549" i="1" s="1"/>
  <c r="J552" i="1" s="1"/>
  <c r="J556" i="1" s="1"/>
  <c r="L378" i="1"/>
  <c r="L1287" i="1"/>
  <c r="I1132" i="1"/>
  <c r="R351" i="1"/>
  <c r="I1090" i="1"/>
  <c r="R109" i="1"/>
  <c r="M578" i="1"/>
  <c r="I1174" i="1"/>
  <c r="L662" i="1"/>
  <c r="I1216" i="1"/>
  <c r="K1340" i="1"/>
  <c r="K1297" i="1"/>
  <c r="I1299" i="1"/>
  <c r="J563" i="1"/>
  <c r="L321" i="1"/>
  <c r="M665" i="1"/>
  <c r="L1330" i="1"/>
  <c r="M304" i="1"/>
  <c r="N584" i="1"/>
  <c r="Q130" i="1"/>
  <c r="Q353" i="1"/>
  <c r="L1338" i="1"/>
  <c r="R124" i="1"/>
  <c r="I1258" i="1"/>
  <c r="S106" i="1"/>
  <c r="S232" i="1" s="1"/>
  <c r="S226" i="1"/>
  <c r="S274" i="1"/>
  <c r="S350" i="1" s="1"/>
  <c r="S276" i="1"/>
  <c r="S297" i="1"/>
  <c r="S354" i="1" s="1"/>
  <c r="S298" i="1"/>
  <c r="S355" i="1" s="1"/>
  <c r="S300" i="1"/>
  <c r="S357" i="1" s="1"/>
  <c r="S100" i="1"/>
  <c r="R104" i="1"/>
  <c r="R228" i="1"/>
  <c r="R275" i="1" s="1"/>
  <c r="R296" i="1"/>
  <c r="S352" i="1"/>
  <c r="R352" i="1"/>
  <c r="I1050" i="1"/>
  <c r="L263" i="1"/>
  <c r="L1286" i="1"/>
  <c r="Q109" i="1"/>
  <c r="Q104" i="1"/>
  <c r="I1012" i="1"/>
  <c r="M295" i="1"/>
  <c r="N577" i="1"/>
  <c r="Q230" i="1"/>
  <c r="Q234" i="1" s="1"/>
  <c r="I969" i="1"/>
  <c r="R350" i="1"/>
  <c r="I1342" i="1"/>
  <c r="S124" i="1" l="1"/>
  <c r="R230" i="1"/>
  <c r="R234" i="1" s="1"/>
  <c r="N242" i="1"/>
  <c r="N581" i="1"/>
  <c r="L1339" i="1"/>
  <c r="L320" i="1"/>
  <c r="M658" i="1"/>
  <c r="L1288" i="1"/>
  <c r="I1091" i="1"/>
  <c r="S228" i="1"/>
  <c r="S275" i="1" s="1"/>
  <c r="S296" i="1"/>
  <c r="N243" i="1"/>
  <c r="N585" i="1" s="1"/>
  <c r="N588" i="1"/>
  <c r="K560" i="1"/>
  <c r="I1175" i="1"/>
  <c r="R240" i="1"/>
  <c r="R401" i="1"/>
  <c r="R403" i="1" s="1"/>
  <c r="R941" i="1"/>
  <c r="R944" i="1" s="1"/>
  <c r="I1217" i="1"/>
  <c r="I1133" i="1"/>
  <c r="S230" i="1"/>
  <c r="S234" i="1" s="1"/>
  <c r="K1341" i="1"/>
  <c r="J258" i="1"/>
  <c r="J568" i="1"/>
  <c r="J570" i="1" s="1"/>
  <c r="J259" i="1" s="1"/>
  <c r="Q111" i="1"/>
  <c r="Q110" i="1"/>
  <c r="R130" i="1"/>
  <c r="R353" i="1"/>
  <c r="S103" i="1"/>
  <c r="K1298" i="1"/>
  <c r="I1343" i="1"/>
  <c r="Q240" i="1"/>
  <c r="Q401" i="1"/>
  <c r="Q403" i="1" s="1"/>
  <c r="Q941" i="1"/>
  <c r="Q944" i="1" s="1"/>
  <c r="L1296" i="1"/>
  <c r="S126" i="1"/>
  <c r="S351" i="1"/>
  <c r="I1259" i="1"/>
  <c r="M666" i="1"/>
  <c r="M668" i="1"/>
  <c r="I1300" i="1"/>
  <c r="R111" i="1"/>
  <c r="R110" i="1"/>
  <c r="R126" i="1"/>
  <c r="J318" i="1" l="1"/>
  <c r="J335" i="1"/>
  <c r="I1344" i="1"/>
  <c r="S240" i="1"/>
  <c r="S401" i="1"/>
  <c r="S403" i="1" s="1"/>
  <c r="S941" i="1"/>
  <c r="S944" i="1" s="1"/>
  <c r="I1218" i="1"/>
  <c r="N304" i="1"/>
  <c r="O584" i="1"/>
  <c r="N295" i="1"/>
  <c r="O577" i="1"/>
  <c r="S109" i="1"/>
  <c r="S104" i="1"/>
  <c r="M264" i="1"/>
  <c r="M1328" i="1"/>
  <c r="I1134" i="1"/>
  <c r="S130" i="1"/>
  <c r="S353" i="1"/>
  <c r="I1301" i="1"/>
  <c r="K1299" i="1"/>
  <c r="I1176" i="1"/>
  <c r="I1092" i="1"/>
  <c r="M659" i="1"/>
  <c r="M661" i="1"/>
  <c r="M379" i="1"/>
  <c r="M1329" i="1"/>
  <c r="I1260" i="1"/>
  <c r="J299" i="1"/>
  <c r="J261" i="1"/>
  <c r="J266" i="1" s="1"/>
  <c r="N578" i="1"/>
  <c r="M669" i="1"/>
  <c r="L1297" i="1"/>
  <c r="K1342" i="1"/>
  <c r="L1340" i="1"/>
  <c r="K1343" i="1" l="1"/>
  <c r="M378" i="1"/>
  <c r="M1287" i="1"/>
  <c r="J334" i="1"/>
  <c r="J349" i="1" s="1"/>
  <c r="J322" i="1"/>
  <c r="M662" i="1"/>
  <c r="O243" i="1"/>
  <c r="O585" i="1" s="1"/>
  <c r="O588" i="1"/>
  <c r="M321" i="1"/>
  <c r="N665" i="1"/>
  <c r="M1330" i="1"/>
  <c r="O242" i="1"/>
  <c r="O581" i="1"/>
  <c r="M263" i="1"/>
  <c r="M1286" i="1"/>
  <c r="K1300" i="1"/>
  <c r="L1341" i="1"/>
  <c r="L1298" i="1"/>
  <c r="J356" i="1"/>
  <c r="J359" i="1" s="1"/>
  <c r="J302" i="1"/>
  <c r="I1302" i="1"/>
  <c r="M1339" i="1"/>
  <c r="S111" i="1"/>
  <c r="S110" i="1"/>
  <c r="M320" i="1" l="1"/>
  <c r="N658" i="1"/>
  <c r="M1288" i="1"/>
  <c r="J948" i="1"/>
  <c r="J324" i="1"/>
  <c r="O304" i="1"/>
  <c r="P584" i="1"/>
  <c r="K1344" i="1"/>
  <c r="O578" i="1"/>
  <c r="N666" i="1"/>
  <c r="N668" i="1"/>
  <c r="L1299" i="1"/>
  <c r="K1301" i="1"/>
  <c r="M1340" i="1"/>
  <c r="J361" i="1"/>
  <c r="J365" i="1" s="1"/>
  <c r="J406" i="1"/>
  <c r="L1342" i="1"/>
  <c r="M1297" i="1"/>
  <c r="O295" i="1"/>
  <c r="P577" i="1"/>
  <c r="M1298" i="1" l="1"/>
  <c r="J432" i="1"/>
  <c r="J430" i="1"/>
  <c r="J429" i="1"/>
  <c r="J431" i="1"/>
  <c r="N379" i="1"/>
  <c r="N1329" i="1"/>
  <c r="P243" i="1"/>
  <c r="P585" i="1" s="1"/>
  <c r="P588" i="1"/>
  <c r="K1302" i="1"/>
  <c r="N659" i="1"/>
  <c r="N661" i="1"/>
  <c r="L1343" i="1"/>
  <c r="M1341" i="1"/>
  <c r="L1300" i="1"/>
  <c r="J601" i="1"/>
  <c r="N669" i="1"/>
  <c r="P242" i="1"/>
  <c r="P581" i="1"/>
  <c r="N264" i="1"/>
  <c r="N1328" i="1"/>
  <c r="J385" i="1" l="1"/>
  <c r="J602" i="1"/>
  <c r="P578" i="1"/>
  <c r="N378" i="1"/>
  <c r="N1287" i="1"/>
  <c r="P304" i="1"/>
  <c r="Q584" i="1"/>
  <c r="O665" i="1"/>
  <c r="N321" i="1"/>
  <c r="N1330" i="1"/>
  <c r="N263" i="1"/>
  <c r="N1286" i="1"/>
  <c r="M1299" i="1"/>
  <c r="P295" i="1"/>
  <c r="Q577" i="1"/>
  <c r="J608" i="1"/>
  <c r="M1342" i="1"/>
  <c r="N1340" i="1"/>
  <c r="L1301" i="1"/>
  <c r="L1344" i="1"/>
  <c r="N662" i="1"/>
  <c r="M1343" i="1" l="1"/>
  <c r="N1298" i="1"/>
  <c r="J386" i="1"/>
  <c r="J609" i="1"/>
  <c r="O666" i="1"/>
  <c r="O668" i="1"/>
  <c r="O669" i="1" s="1"/>
  <c r="N320" i="1"/>
  <c r="O658" i="1"/>
  <c r="N1288" i="1"/>
  <c r="L1302" i="1"/>
  <c r="N1341" i="1"/>
  <c r="M1300" i="1"/>
  <c r="Q243" i="1"/>
  <c r="Q585" i="1" s="1"/>
  <c r="Q588" i="1"/>
  <c r="J616" i="1"/>
  <c r="J306" i="1"/>
  <c r="K598" i="1"/>
  <c r="Q242" i="1"/>
  <c r="Q581" i="1"/>
  <c r="O321" i="1" l="1"/>
  <c r="P665" i="1"/>
  <c r="O1330" i="1"/>
  <c r="K245" i="1"/>
  <c r="K599" i="1" s="1"/>
  <c r="K600" i="1"/>
  <c r="K371" i="1" s="1"/>
  <c r="M1344" i="1"/>
  <c r="Q295" i="1"/>
  <c r="R577" i="1"/>
  <c r="O659" i="1"/>
  <c r="O661" i="1"/>
  <c r="O264" i="1"/>
  <c r="O1328" i="1"/>
  <c r="N1299" i="1"/>
  <c r="O379" i="1"/>
  <c r="O1329" i="1"/>
  <c r="J387" i="1"/>
  <c r="J617" i="1"/>
  <c r="J1077" i="1"/>
  <c r="J624" i="1"/>
  <c r="N1342" i="1"/>
  <c r="Q578" i="1"/>
  <c r="R584" i="1"/>
  <c r="Q304" i="1"/>
  <c r="M1301" i="1"/>
  <c r="J307" i="1"/>
  <c r="J455" i="1" s="1"/>
  <c r="J456" i="1" s="1"/>
  <c r="K605" i="1"/>
  <c r="N1343" i="1" l="1"/>
  <c r="J308" i="1"/>
  <c r="J458" i="1" s="1"/>
  <c r="K612" i="1"/>
  <c r="J1078" i="1"/>
  <c r="O378" i="1"/>
  <c r="O1287" i="1"/>
  <c r="K246" i="1"/>
  <c r="K606" i="1" s="1"/>
  <c r="K607" i="1"/>
  <c r="M1302" i="1"/>
  <c r="J388" i="1"/>
  <c r="J1119" i="1"/>
  <c r="J625" i="1"/>
  <c r="N1300" i="1"/>
  <c r="O662" i="1"/>
  <c r="P666" i="1"/>
  <c r="P668" i="1"/>
  <c r="J638" i="1"/>
  <c r="J646" i="1" s="1"/>
  <c r="O1341" i="1"/>
  <c r="O1342" i="1" s="1"/>
  <c r="O1343" i="1" s="1"/>
  <c r="O1344" i="1" s="1"/>
  <c r="O263" i="1"/>
  <c r="O1286" i="1"/>
  <c r="R243" i="1"/>
  <c r="R585" i="1" s="1"/>
  <c r="R588" i="1"/>
  <c r="J1084" i="1"/>
  <c r="J1085" i="1"/>
  <c r="J1086" i="1"/>
  <c r="J1091" i="1"/>
  <c r="J1090" i="1"/>
  <c r="J1087" i="1"/>
  <c r="J1089" i="1"/>
  <c r="J1092" i="1"/>
  <c r="J1088" i="1"/>
  <c r="R242" i="1"/>
  <c r="R581" i="1"/>
  <c r="P379" i="1" l="1"/>
  <c r="P1329" i="1"/>
  <c r="O320" i="1"/>
  <c r="P658" i="1"/>
  <c r="O1288" i="1"/>
  <c r="J390" i="1"/>
  <c r="J647" i="1"/>
  <c r="J1203" i="1"/>
  <c r="J460" i="1"/>
  <c r="J459" i="1"/>
  <c r="R578" i="1"/>
  <c r="P264" i="1"/>
  <c r="P1328" i="1"/>
  <c r="J654" i="1"/>
  <c r="O1299" i="1"/>
  <c r="O1300" i="1" s="1"/>
  <c r="O1301" i="1" s="1"/>
  <c r="O1302" i="1" s="1"/>
  <c r="J389" i="1"/>
  <c r="J1161" i="1"/>
  <c r="J639" i="1"/>
  <c r="P669" i="1"/>
  <c r="N1301" i="1"/>
  <c r="J309" i="1"/>
  <c r="K620" i="1"/>
  <c r="J1120" i="1"/>
  <c r="N1344" i="1"/>
  <c r="J1126" i="1"/>
  <c r="K368" i="1"/>
  <c r="K372" i="1"/>
  <c r="K247" i="1"/>
  <c r="K615" i="1"/>
  <c r="R295" i="1"/>
  <c r="S577" i="1"/>
  <c r="R304" i="1"/>
  <c r="S584" i="1"/>
  <c r="K373" i="1" l="1"/>
  <c r="N1302" i="1"/>
  <c r="P659" i="1"/>
  <c r="P661" i="1"/>
  <c r="P662" i="1" s="1"/>
  <c r="J1127" i="1"/>
  <c r="K248" i="1"/>
  <c r="K623" i="1"/>
  <c r="K374" i="1" s="1"/>
  <c r="P321" i="1"/>
  <c r="Q665" i="1"/>
  <c r="P1330" i="1"/>
  <c r="J391" i="1"/>
  <c r="J395" i="1" s="1"/>
  <c r="J655" i="1"/>
  <c r="J1245" i="1"/>
  <c r="J311" i="1"/>
  <c r="K642" i="1"/>
  <c r="J1204" i="1"/>
  <c r="J1210" i="1"/>
  <c r="S243" i="1"/>
  <c r="S585" i="1" s="1"/>
  <c r="S588" i="1"/>
  <c r="S304" i="1" s="1"/>
  <c r="S242" i="1"/>
  <c r="S581" i="1"/>
  <c r="S295" i="1" s="1"/>
  <c r="K613" i="1"/>
  <c r="K1076" i="1"/>
  <c r="J310" i="1"/>
  <c r="K634" i="1"/>
  <c r="J1162" i="1"/>
  <c r="P1342" i="1"/>
  <c r="P1343" i="1" s="1"/>
  <c r="P1344" i="1" s="1"/>
  <c r="J1168" i="1"/>
  <c r="P320" i="1" l="1"/>
  <c r="Q658" i="1"/>
  <c r="P1288" i="1"/>
  <c r="J1252" i="1"/>
  <c r="Q666" i="1"/>
  <c r="Q668" i="1"/>
  <c r="Q669" i="1" s="1"/>
  <c r="K1118" i="1"/>
  <c r="K621" i="1"/>
  <c r="J1169" i="1"/>
  <c r="S578" i="1"/>
  <c r="J312" i="1"/>
  <c r="K650" i="1"/>
  <c r="J1246" i="1"/>
  <c r="P263" i="1"/>
  <c r="P1286" i="1"/>
  <c r="P378" i="1"/>
  <c r="P1287" i="1"/>
  <c r="K249" i="1"/>
  <c r="K637" i="1"/>
  <c r="K375" i="1" s="1"/>
  <c r="J1211" i="1"/>
  <c r="K250" i="1"/>
  <c r="K645" i="1"/>
  <c r="J396" i="1"/>
  <c r="J594" i="1" s="1"/>
  <c r="J593" i="1"/>
  <c r="J1128" i="1"/>
  <c r="J393" i="1" l="1"/>
  <c r="J674" i="1" s="1"/>
  <c r="J675" i="1" s="1"/>
  <c r="J272" i="1" s="1"/>
  <c r="J595" i="1"/>
  <c r="K643" i="1"/>
  <c r="K1202" i="1"/>
  <c r="K251" i="1"/>
  <c r="K653" i="1"/>
  <c r="J1253" i="1"/>
  <c r="P1300" i="1"/>
  <c r="P1301" i="1" s="1"/>
  <c r="P1302" i="1" s="1"/>
  <c r="Q379" i="1"/>
  <c r="Q1329" i="1"/>
  <c r="Q659" i="1"/>
  <c r="Q661" i="1"/>
  <c r="Q662" i="1" s="1"/>
  <c r="Q264" i="1"/>
  <c r="Q1328" i="1"/>
  <c r="J305" i="1"/>
  <c r="K591" i="1"/>
  <c r="J1129" i="1"/>
  <c r="K376" i="1"/>
  <c r="J1212" i="1"/>
  <c r="K635" i="1"/>
  <c r="K1160" i="1"/>
  <c r="J1170" i="1"/>
  <c r="Q321" i="1"/>
  <c r="R665" i="1"/>
  <c r="Q1330" i="1"/>
  <c r="K672" i="1" l="1"/>
  <c r="J451" i="1"/>
  <c r="J314" i="1"/>
  <c r="Q263" i="1"/>
  <c r="Q1286" i="1"/>
  <c r="Q1343" i="1"/>
  <c r="Q1344" i="1" s="1"/>
  <c r="K651" i="1"/>
  <c r="K1244" i="1"/>
  <c r="J1171" i="1"/>
  <c r="J1254" i="1"/>
  <c r="K673" i="1"/>
  <c r="K254" i="1" s="1"/>
  <c r="Q320" i="1"/>
  <c r="R658" i="1"/>
  <c r="Q1288" i="1"/>
  <c r="J278" i="1"/>
  <c r="J952" i="1"/>
  <c r="J1213" i="1"/>
  <c r="J1130" i="1"/>
  <c r="R666" i="1"/>
  <c r="R668" i="1"/>
  <c r="R669" i="1" s="1"/>
  <c r="K244" i="1"/>
  <c r="Q378" i="1"/>
  <c r="Q1287" i="1"/>
  <c r="K377" i="1"/>
  <c r="K381" i="1" s="1"/>
  <c r="R321" i="1" l="1"/>
  <c r="S665" i="1"/>
  <c r="R1330" i="1"/>
  <c r="K592" i="1"/>
  <c r="K408" i="1" a="1"/>
  <c r="K408" i="1" s="1"/>
  <c r="K253" i="1"/>
  <c r="J1255" i="1"/>
  <c r="R379" i="1"/>
  <c r="R1329" i="1"/>
  <c r="J1214" i="1"/>
  <c r="R659" i="1"/>
  <c r="R661" i="1"/>
  <c r="R662" i="1" s="1"/>
  <c r="Q1301" i="1"/>
  <c r="Q1302" i="1" s="1"/>
  <c r="R264" i="1"/>
  <c r="R1328" i="1"/>
  <c r="J1131" i="1"/>
  <c r="J291" i="1"/>
  <c r="J463" i="1"/>
  <c r="J947" i="1"/>
  <c r="J950" i="1" s="1"/>
  <c r="J955" i="1" s="1"/>
  <c r="J470" i="1"/>
  <c r="G77" i="1" s="1"/>
  <c r="J466" i="1"/>
  <c r="J467" i="1"/>
  <c r="J326" i="1"/>
  <c r="J1172" i="1"/>
  <c r="G81" i="1"/>
  <c r="J452" i="1"/>
  <c r="J453" i="1"/>
  <c r="G82" i="1" s="1"/>
  <c r="K422" i="1" l="1"/>
  <c r="K415" i="1"/>
  <c r="J957" i="1"/>
  <c r="J1080" i="1"/>
  <c r="J1083" i="1" s="1"/>
  <c r="H1083" i="1" s="1"/>
  <c r="J1248" i="1"/>
  <c r="J1251" i="1" s="1"/>
  <c r="H1251" i="1" s="1"/>
  <c r="J1037" i="1"/>
  <c r="J1038" i="1" s="1"/>
  <c r="J1041" i="1" s="1"/>
  <c r="H1041" i="1" s="1"/>
  <c r="J1122" i="1"/>
  <c r="J1125" i="1" s="1"/>
  <c r="H1125" i="1" s="1"/>
  <c r="J1290" i="1"/>
  <c r="J1293" i="1" s="1"/>
  <c r="H1293" i="1" s="1"/>
  <c r="J960" i="1"/>
  <c r="H960" i="1" s="1"/>
  <c r="J999" i="1"/>
  <c r="J1000" i="1" s="1"/>
  <c r="J1003" i="1" s="1"/>
  <c r="H1003" i="1" s="1"/>
  <c r="J1332" i="1"/>
  <c r="J1335" i="1" s="1"/>
  <c r="H1335" i="1" s="1"/>
  <c r="J1164" i="1"/>
  <c r="J1167" i="1" s="1"/>
  <c r="H1167" i="1" s="1"/>
  <c r="J1206" i="1"/>
  <c r="J1209" i="1" s="1"/>
  <c r="H1209" i="1" s="1"/>
  <c r="J1132" i="1"/>
  <c r="R1344" i="1"/>
  <c r="R378" i="1"/>
  <c r="R1287" i="1"/>
  <c r="J1215" i="1"/>
  <c r="J1256" i="1"/>
  <c r="S666" i="1"/>
  <c r="S668" i="1"/>
  <c r="J1173" i="1"/>
  <c r="R320" i="1"/>
  <c r="S658" i="1"/>
  <c r="R1288" i="1"/>
  <c r="P88" i="1"/>
  <c r="K411" i="1"/>
  <c r="K409" i="1"/>
  <c r="K410" i="1"/>
  <c r="K256" i="1"/>
  <c r="J328" i="1"/>
  <c r="J329" i="1" s="1"/>
  <c r="R263" i="1"/>
  <c r="R1286" i="1"/>
  <c r="K423" i="1" l="1"/>
  <c r="H72" i="1" s="1"/>
  <c r="K416" i="1"/>
  <c r="H67" i="1" s="1"/>
  <c r="S659" i="1"/>
  <c r="S661" i="1"/>
  <c r="S379" i="1"/>
  <c r="S1329" i="1"/>
  <c r="J1257" i="1"/>
  <c r="J1133" i="1"/>
  <c r="R1302" i="1"/>
  <c r="K418" i="1"/>
  <c r="H69" i="1" s="1"/>
  <c r="K425" i="1"/>
  <c r="H74" i="1" s="1"/>
  <c r="S669" i="1"/>
  <c r="K424" i="1"/>
  <c r="H73" i="1" s="1"/>
  <c r="K417" i="1"/>
  <c r="H68" i="1" s="1"/>
  <c r="J1174" i="1"/>
  <c r="K493" i="1"/>
  <c r="S264" i="1"/>
  <c r="S1328" i="1"/>
  <c r="J1216" i="1"/>
  <c r="S263" i="1" l="1"/>
  <c r="S1286" i="1"/>
  <c r="J1175" i="1"/>
  <c r="S321" i="1"/>
  <c r="S1330" i="1"/>
  <c r="J1134" i="1"/>
  <c r="S378" i="1"/>
  <c r="S1287" i="1"/>
  <c r="K499" i="1"/>
  <c r="K526" i="1"/>
  <c r="K542" i="1" s="1"/>
  <c r="J1217" i="1"/>
  <c r="J1258" i="1"/>
  <c r="S662" i="1"/>
  <c r="J1176" i="1" l="1"/>
  <c r="K517" i="1"/>
  <c r="K518" i="1"/>
  <c r="K501" i="1" s="1"/>
  <c r="K503" i="1" s="1"/>
  <c r="S320" i="1"/>
  <c r="S1288" i="1"/>
  <c r="J1218" i="1"/>
  <c r="J1259" i="1"/>
  <c r="K562" i="1"/>
  <c r="K544" i="1" s="1"/>
  <c r="K546" i="1" s="1"/>
  <c r="K561" i="1"/>
  <c r="K550" i="1" l="1"/>
  <c r="K549" i="1"/>
  <c r="K552" i="1" s="1"/>
  <c r="K556" i="1" s="1"/>
  <c r="K507" i="1"/>
  <c r="K506" i="1" s="1"/>
  <c r="K509" i="1" s="1"/>
  <c r="K513" i="1" s="1"/>
  <c r="K567" i="1" s="1"/>
  <c r="K563" i="1"/>
  <c r="J1260" i="1"/>
  <c r="K519" i="1"/>
  <c r="L516" i="1" s="1"/>
  <c r="L560" i="1" l="1"/>
  <c r="K258" i="1"/>
  <c r="K568" i="1"/>
  <c r="K570" i="1" s="1"/>
  <c r="K259" i="1" s="1"/>
  <c r="K335" i="1" l="1"/>
  <c r="K318" i="1"/>
  <c r="K299" i="1"/>
  <c r="K261" i="1"/>
  <c r="K266" i="1" s="1"/>
  <c r="K356" i="1" l="1"/>
  <c r="K359" i="1" s="1"/>
  <c r="K302" i="1"/>
  <c r="K334" i="1"/>
  <c r="K349" i="1" s="1"/>
  <c r="K322" i="1"/>
  <c r="K948" i="1" l="1"/>
  <c r="K324" i="1"/>
  <c r="K361" i="1"/>
  <c r="K365" i="1" s="1"/>
  <c r="K406" i="1"/>
  <c r="K429" i="1" l="1"/>
  <c r="K430" i="1"/>
  <c r="K432" i="1"/>
  <c r="K431" i="1"/>
  <c r="K601" i="1"/>
  <c r="K385" i="1" l="1"/>
  <c r="K602" i="1"/>
  <c r="K608" i="1"/>
  <c r="K616" i="1" s="1"/>
  <c r="K624" i="1" l="1"/>
  <c r="K306" i="1"/>
  <c r="L598" i="1"/>
  <c r="K387" i="1"/>
  <c r="K617" i="1"/>
  <c r="K1077" i="1"/>
  <c r="K386" i="1"/>
  <c r="K609" i="1"/>
  <c r="K388" i="1" l="1"/>
  <c r="K1119" i="1"/>
  <c r="K625" i="1"/>
  <c r="L245" i="1"/>
  <c r="L599" i="1" s="1"/>
  <c r="L600" i="1"/>
  <c r="L371" i="1" s="1"/>
  <c r="K1088" i="1"/>
  <c r="K1090" i="1"/>
  <c r="K1087" i="1"/>
  <c r="K1086" i="1"/>
  <c r="K1092" i="1"/>
  <c r="K1089" i="1"/>
  <c r="K1085" i="1"/>
  <c r="K1091" i="1"/>
  <c r="K638" i="1"/>
  <c r="K308" i="1"/>
  <c r="K458" i="1" s="1"/>
  <c r="L612" i="1"/>
  <c r="K1078" i="1"/>
  <c r="K307" i="1"/>
  <c r="K455" i="1" s="1"/>
  <c r="K456" i="1" s="1"/>
  <c r="L605" i="1"/>
  <c r="K309" i="1" l="1"/>
  <c r="L620" i="1"/>
  <c r="K1120" i="1"/>
  <c r="L247" i="1"/>
  <c r="L615" i="1"/>
  <c r="K1127" i="1"/>
  <c r="K389" i="1"/>
  <c r="K1161" i="1"/>
  <c r="K639" i="1"/>
  <c r="K646" i="1"/>
  <c r="K654" i="1" s="1"/>
  <c r="L246" i="1"/>
  <c r="L606" i="1" s="1"/>
  <c r="L607" i="1"/>
  <c r="K460" i="1"/>
  <c r="K459" i="1"/>
  <c r="L368" i="1" l="1"/>
  <c r="L372" i="1"/>
  <c r="K391" i="1"/>
  <c r="K655" i="1"/>
  <c r="K1245" i="1"/>
  <c r="K1169" i="1"/>
  <c r="L613" i="1"/>
  <c r="L1076" i="1"/>
  <c r="K390" i="1"/>
  <c r="K647" i="1"/>
  <c r="K1203" i="1"/>
  <c r="L373" i="1"/>
  <c r="L248" i="1"/>
  <c r="L623" i="1"/>
  <c r="L374" i="1" s="1"/>
  <c r="K310" i="1"/>
  <c r="L634" i="1"/>
  <c r="K1162" i="1"/>
  <c r="K1128" i="1"/>
  <c r="L249" i="1" l="1"/>
  <c r="L637" i="1"/>
  <c r="L375" i="1" s="1"/>
  <c r="K311" i="1"/>
  <c r="L642" i="1"/>
  <c r="K1204" i="1"/>
  <c r="K312" i="1"/>
  <c r="L650" i="1"/>
  <c r="K1246" i="1"/>
  <c r="K1170" i="1"/>
  <c r="L621" i="1"/>
  <c r="L1118" i="1"/>
  <c r="K395" i="1"/>
  <c r="K1129" i="1"/>
  <c r="K1211" i="1"/>
  <c r="K1253" i="1"/>
  <c r="K1254" i="1" l="1"/>
  <c r="K1130" i="1"/>
  <c r="L251" i="1"/>
  <c r="L653" i="1"/>
  <c r="K396" i="1"/>
  <c r="K594" i="1" s="1"/>
  <c r="K593" i="1"/>
  <c r="K1212" i="1"/>
  <c r="K1171" i="1"/>
  <c r="L250" i="1"/>
  <c r="L645" i="1"/>
  <c r="L635" i="1"/>
  <c r="L1160" i="1"/>
  <c r="K1172" i="1" l="1"/>
  <c r="K1213" i="1"/>
  <c r="L377" i="1"/>
  <c r="K1131" i="1"/>
  <c r="L376" i="1"/>
  <c r="L643" i="1"/>
  <c r="L1202" i="1"/>
  <c r="K393" i="1"/>
  <c r="K674" i="1" s="1"/>
  <c r="K675" i="1" s="1"/>
  <c r="K595" i="1"/>
  <c r="L651" i="1"/>
  <c r="L1244" i="1"/>
  <c r="K1255" i="1"/>
  <c r="L381" i="1" l="1"/>
  <c r="K272" i="1"/>
  <c r="L672" i="1"/>
  <c r="K1132" i="1"/>
  <c r="K1214" i="1"/>
  <c r="K1256" i="1"/>
  <c r="K305" i="1"/>
  <c r="L591" i="1"/>
  <c r="K1173" i="1"/>
  <c r="K1174" i="1" l="1"/>
  <c r="K1257" i="1"/>
  <c r="K1133" i="1"/>
  <c r="L673" i="1"/>
  <c r="L254" i="1" s="1"/>
  <c r="L244" i="1"/>
  <c r="K451" i="1"/>
  <c r="K314" i="1"/>
  <c r="K1215" i="1"/>
  <c r="K278" i="1"/>
  <c r="K952" i="1"/>
  <c r="K947" i="1" l="1"/>
  <c r="K950" i="1" s="1"/>
  <c r="K955" i="1" s="1"/>
  <c r="K470" i="1"/>
  <c r="H77" i="1" s="1"/>
  <c r="K326" i="1"/>
  <c r="K466" i="1"/>
  <c r="K467" i="1"/>
  <c r="K291" i="1"/>
  <c r="K328" i="1" s="1"/>
  <c r="K329" i="1" s="1"/>
  <c r="K463" i="1"/>
  <c r="K1258" i="1"/>
  <c r="H81" i="1"/>
  <c r="K453" i="1"/>
  <c r="H82" i="1" s="1"/>
  <c r="K452" i="1"/>
  <c r="K1216" i="1"/>
  <c r="L592" i="1"/>
  <c r="L253" i="1"/>
  <c r="L408" i="1" a="1"/>
  <c r="L408" i="1" s="1"/>
  <c r="K1134" i="1"/>
  <c r="K1175" i="1"/>
  <c r="K1176" i="1" l="1"/>
  <c r="K1259" i="1"/>
  <c r="Q88" i="1"/>
  <c r="L409" i="1"/>
  <c r="L410" i="1"/>
  <c r="L411" i="1"/>
  <c r="L256" i="1"/>
  <c r="L415" i="1"/>
  <c r="L422" i="1"/>
  <c r="K1217" i="1"/>
  <c r="K957" i="1"/>
  <c r="K1206" i="1"/>
  <c r="K1210" i="1" s="1"/>
  <c r="H1210" i="1" s="1"/>
  <c r="K1080" i="1"/>
  <c r="K1084" i="1" s="1"/>
  <c r="H1084" i="1" s="1"/>
  <c r="K1248" i="1"/>
  <c r="K1252" i="1" s="1"/>
  <c r="H1252" i="1" s="1"/>
  <c r="K1164" i="1"/>
  <c r="K1168" i="1" s="1"/>
  <c r="H1168" i="1" s="1"/>
  <c r="K999" i="1"/>
  <c r="K1000" i="1" s="1"/>
  <c r="K1004" i="1" s="1"/>
  <c r="H1004" i="1" s="1"/>
  <c r="K1037" i="1"/>
  <c r="K1038" i="1" s="1"/>
  <c r="K1042" i="1" s="1"/>
  <c r="H1042" i="1" s="1"/>
  <c r="K1122" i="1"/>
  <c r="K1126" i="1" s="1"/>
  <c r="H1126" i="1" s="1"/>
  <c r="K1290" i="1"/>
  <c r="K1294" i="1" s="1"/>
  <c r="H1294" i="1" s="1"/>
  <c r="K1332" i="1"/>
  <c r="K1336" i="1" s="1"/>
  <c r="H1336" i="1" s="1"/>
  <c r="K961" i="1"/>
  <c r="H961" i="1" s="1"/>
  <c r="L425" i="1" l="1"/>
  <c r="I74" i="1" s="1"/>
  <c r="L418" i="1"/>
  <c r="I69" i="1" s="1"/>
  <c r="L424" i="1"/>
  <c r="I73" i="1" s="1"/>
  <c r="L417" i="1"/>
  <c r="I68" i="1" s="1"/>
  <c r="K1260" i="1"/>
  <c r="K1218" i="1"/>
  <c r="L423" i="1"/>
  <c r="I72" i="1" s="1"/>
  <c r="L416" i="1"/>
  <c r="I67" i="1" s="1"/>
  <c r="L493" i="1"/>
  <c r="L499" i="1" l="1"/>
  <c r="L526" i="1"/>
  <c r="L542" i="1" s="1"/>
  <c r="L562" i="1" l="1"/>
  <c r="L544" i="1" s="1"/>
  <c r="L546" i="1" s="1"/>
  <c r="L561" i="1"/>
  <c r="L563" i="1" s="1"/>
  <c r="L518" i="1"/>
  <c r="L501" i="1" s="1"/>
  <c r="L503" i="1" s="1"/>
  <c r="L517" i="1"/>
  <c r="L519" i="1" l="1"/>
  <c r="M516" i="1" s="1"/>
  <c r="L507" i="1"/>
  <c r="L506" i="1" s="1"/>
  <c r="L509" i="1" s="1"/>
  <c r="L513" i="1" s="1"/>
  <c r="L567" i="1" s="1"/>
  <c r="L550" i="1"/>
  <c r="L549" i="1" s="1"/>
  <c r="L552" i="1" s="1"/>
  <c r="L556" i="1" s="1"/>
  <c r="M560" i="1"/>
  <c r="L258" i="1" l="1"/>
  <c r="L568" i="1"/>
  <c r="L570" i="1"/>
  <c r="L259" i="1" s="1"/>
  <c r="L335" i="1" l="1"/>
  <c r="L318" i="1"/>
  <c r="L299" i="1"/>
  <c r="L261" i="1"/>
  <c r="L266" i="1" s="1"/>
  <c r="L334" i="1" l="1"/>
  <c r="L349" i="1" s="1"/>
  <c r="L322" i="1"/>
  <c r="L356" i="1"/>
  <c r="L359" i="1" s="1"/>
  <c r="L302" i="1"/>
  <c r="L361" i="1" l="1"/>
  <c r="L365" i="1" s="1"/>
  <c r="L406" i="1"/>
  <c r="L948" i="1"/>
  <c r="L324" i="1"/>
  <c r="L429" i="1" l="1"/>
  <c r="L431" i="1"/>
  <c r="L430" i="1"/>
  <c r="L432" i="1"/>
  <c r="L601" i="1"/>
  <c r="L608" i="1" l="1"/>
  <c r="L385" i="1"/>
  <c r="L602" i="1"/>
  <c r="L386" i="1" l="1"/>
  <c r="L609" i="1"/>
  <c r="L306" i="1"/>
  <c r="M598" i="1"/>
  <c r="L616" i="1"/>
  <c r="M245" i="1" l="1"/>
  <c r="M599" i="1" s="1"/>
  <c r="M600" i="1"/>
  <c r="M371" i="1" s="1"/>
  <c r="L387" i="1"/>
  <c r="L617" i="1"/>
  <c r="L1077" i="1"/>
  <c r="L307" i="1"/>
  <c r="L455" i="1" s="1"/>
  <c r="L456" i="1" s="1"/>
  <c r="M605" i="1"/>
  <c r="L624" i="1"/>
  <c r="L388" i="1" l="1"/>
  <c r="L1119" i="1"/>
  <c r="L625" i="1"/>
  <c r="L1087" i="1"/>
  <c r="L1089" i="1"/>
  <c r="L1091" i="1"/>
  <c r="L1086" i="1"/>
  <c r="L1088" i="1"/>
  <c r="L1090" i="1"/>
  <c r="L1092" i="1"/>
  <c r="L308" i="1"/>
  <c r="L458" i="1" s="1"/>
  <c r="M612" i="1"/>
  <c r="L1078" i="1"/>
  <c r="M246" i="1"/>
  <c r="M606" i="1" s="1"/>
  <c r="M607" i="1"/>
  <c r="L638" i="1"/>
  <c r="M368" i="1" l="1"/>
  <c r="M372" i="1"/>
  <c r="L309" i="1"/>
  <c r="M620" i="1"/>
  <c r="L1120" i="1"/>
  <c r="L389" i="1"/>
  <c r="L1161" i="1"/>
  <c r="L639" i="1"/>
  <c r="M247" i="1"/>
  <c r="M615" i="1"/>
  <c r="L1128" i="1"/>
  <c r="L646" i="1"/>
  <c r="L460" i="1"/>
  <c r="L459" i="1"/>
  <c r="L1129" i="1" l="1"/>
  <c r="M634" i="1"/>
  <c r="L310" i="1"/>
  <c r="L1162" i="1"/>
  <c r="M248" i="1"/>
  <c r="M623" i="1"/>
  <c r="M374" i="1" s="1"/>
  <c r="M613" i="1"/>
  <c r="M1076" i="1"/>
  <c r="M373" i="1"/>
  <c r="L1170" i="1"/>
  <c r="L390" i="1"/>
  <c r="L647" i="1"/>
  <c r="L1203" i="1"/>
  <c r="L654" i="1"/>
  <c r="M621" i="1" l="1"/>
  <c r="M1118" i="1"/>
  <c r="L1171" i="1"/>
  <c r="L311" i="1"/>
  <c r="M642" i="1"/>
  <c r="L1204" i="1"/>
  <c r="L1130" i="1"/>
  <c r="L391" i="1"/>
  <c r="L395" i="1" s="1"/>
  <c r="L1245" i="1"/>
  <c r="L655" i="1"/>
  <c r="L1212" i="1"/>
  <c r="M249" i="1"/>
  <c r="M637" i="1"/>
  <c r="M375" i="1" s="1"/>
  <c r="L312" i="1" l="1"/>
  <c r="M650" i="1"/>
  <c r="L1246" i="1"/>
  <c r="L1131" i="1"/>
  <c r="M635" i="1"/>
  <c r="M1160" i="1"/>
  <c r="L1254" i="1"/>
  <c r="L1172" i="1"/>
  <c r="L1213" i="1"/>
  <c r="L396" i="1"/>
  <c r="L594" i="1" s="1"/>
  <c r="L593" i="1"/>
  <c r="M250" i="1"/>
  <c r="M645" i="1"/>
  <c r="L1255" i="1" l="1"/>
  <c r="M643" i="1"/>
  <c r="M1202" i="1"/>
  <c r="L1132" i="1"/>
  <c r="L393" i="1"/>
  <c r="L674" i="1" s="1"/>
  <c r="L675" i="1" s="1"/>
  <c r="M376" i="1"/>
  <c r="L595" i="1"/>
  <c r="L1214" i="1"/>
  <c r="L1173" i="1"/>
  <c r="M251" i="1"/>
  <c r="M653" i="1"/>
  <c r="L272" i="1" l="1"/>
  <c r="M672" i="1"/>
  <c r="M377" i="1"/>
  <c r="M381" i="1" s="1"/>
  <c r="L1174" i="1"/>
  <c r="M651" i="1"/>
  <c r="M1244" i="1"/>
  <c r="L1215" i="1"/>
  <c r="L1133" i="1"/>
  <c r="L1256" i="1"/>
  <c r="L305" i="1"/>
  <c r="M591" i="1"/>
  <c r="L451" i="1" l="1"/>
  <c r="L314" i="1"/>
  <c r="L1134" i="1"/>
  <c r="L1257" i="1"/>
  <c r="L1216" i="1"/>
  <c r="M673" i="1"/>
  <c r="M254" i="1" s="1"/>
  <c r="M244" i="1"/>
  <c r="L1175" i="1"/>
  <c r="L278" i="1"/>
  <c r="L952" i="1"/>
  <c r="L1176" i="1" l="1"/>
  <c r="M592" i="1"/>
  <c r="M408" i="1" a="1"/>
  <c r="M408" i="1" s="1"/>
  <c r="M253" i="1"/>
  <c r="L1217" i="1"/>
  <c r="L947" i="1"/>
  <c r="L950" i="1" s="1"/>
  <c r="L955" i="1" s="1"/>
  <c r="L470" i="1"/>
  <c r="I77" i="1" s="1"/>
  <c r="L326" i="1"/>
  <c r="L466" i="1"/>
  <c r="L467" i="1"/>
  <c r="L291" i="1"/>
  <c r="L463" i="1"/>
  <c r="L1258" i="1"/>
  <c r="I81" i="1"/>
  <c r="L453" i="1"/>
  <c r="I82" i="1" s="1"/>
  <c r="L452" i="1"/>
  <c r="L328" i="1" l="1"/>
  <c r="L329" i="1" s="1"/>
  <c r="M422" i="1"/>
  <c r="M415" i="1"/>
  <c r="L1259" i="1"/>
  <c r="L957" i="1"/>
  <c r="L999" i="1"/>
  <c r="L1000" i="1" s="1"/>
  <c r="L1005" i="1" s="1"/>
  <c r="H1005" i="1" s="1"/>
  <c r="L1164" i="1"/>
  <c r="L1169" i="1" s="1"/>
  <c r="H1169" i="1" s="1"/>
  <c r="L1206" i="1"/>
  <c r="L1211" i="1" s="1"/>
  <c r="H1211" i="1" s="1"/>
  <c r="L962" i="1"/>
  <c r="H962" i="1" s="1"/>
  <c r="L1290" i="1"/>
  <c r="L1295" i="1" s="1"/>
  <c r="H1295" i="1" s="1"/>
  <c r="L1080" i="1"/>
  <c r="L1085" i="1" s="1"/>
  <c r="H1085" i="1" s="1"/>
  <c r="L1248" i="1"/>
  <c r="L1253" i="1" s="1"/>
  <c r="H1253" i="1" s="1"/>
  <c r="L1037" i="1"/>
  <c r="L1038" i="1" s="1"/>
  <c r="L1043" i="1" s="1"/>
  <c r="H1043" i="1" s="1"/>
  <c r="L1122" i="1"/>
  <c r="L1127" i="1" s="1"/>
  <c r="H1127" i="1" s="1"/>
  <c r="L1332" i="1"/>
  <c r="L1337" i="1" s="1"/>
  <c r="H1337" i="1" s="1"/>
  <c r="L1218" i="1"/>
  <c r="R88" i="1"/>
  <c r="M409" i="1"/>
  <c r="M410" i="1"/>
  <c r="M411" i="1"/>
  <c r="M256" i="1"/>
  <c r="M416" i="1" l="1"/>
  <c r="J67" i="1" s="1"/>
  <c r="M423" i="1"/>
  <c r="J72" i="1" s="1"/>
  <c r="L1260" i="1"/>
  <c r="M493" i="1"/>
  <c r="M418" i="1"/>
  <c r="J69" i="1" s="1"/>
  <c r="M425" i="1"/>
  <c r="J74" i="1" s="1"/>
  <c r="M417" i="1"/>
  <c r="J68" i="1" s="1"/>
  <c r="M424" i="1"/>
  <c r="J73" i="1" s="1"/>
  <c r="M499" i="1" l="1"/>
  <c r="M526" i="1"/>
  <c r="M542" i="1" s="1"/>
  <c r="M561" i="1" l="1"/>
  <c r="M562" i="1"/>
  <c r="M544" i="1" s="1"/>
  <c r="M546" i="1" s="1"/>
  <c r="M518" i="1"/>
  <c r="M501" i="1" s="1"/>
  <c r="M503" i="1" s="1"/>
  <c r="M517" i="1"/>
  <c r="M563" i="1" l="1"/>
  <c r="M507" i="1"/>
  <c r="M506" i="1" s="1"/>
  <c r="M509" i="1" s="1"/>
  <c r="M513" i="1" s="1"/>
  <c r="M567" i="1" s="1"/>
  <c r="M550" i="1"/>
  <c r="M549" i="1" s="1"/>
  <c r="M552" i="1" s="1"/>
  <c r="M556" i="1" s="1"/>
  <c r="M519" i="1"/>
  <c r="N516" i="1" s="1"/>
  <c r="N560" i="1"/>
  <c r="M258" i="1" l="1"/>
  <c r="M568" i="1"/>
  <c r="M570" i="1"/>
  <c r="M259" i="1" s="1"/>
  <c r="M335" i="1" l="1"/>
  <c r="M318" i="1"/>
  <c r="M299" i="1"/>
  <c r="M261" i="1"/>
  <c r="M266" i="1" s="1"/>
  <c r="M334" i="1" l="1"/>
  <c r="M349" i="1" s="1"/>
  <c r="M322" i="1"/>
  <c r="M356" i="1"/>
  <c r="M359" i="1" s="1"/>
  <c r="M302" i="1"/>
  <c r="M361" i="1" l="1"/>
  <c r="M365" i="1" s="1"/>
  <c r="M406" i="1"/>
  <c r="M948" i="1"/>
  <c r="M324" i="1"/>
  <c r="M429" i="1" l="1"/>
  <c r="M430" i="1"/>
  <c r="M431" i="1"/>
  <c r="M432" i="1"/>
  <c r="M601" i="1"/>
  <c r="M385" i="1" l="1"/>
  <c r="M602" i="1"/>
  <c r="M608" i="1"/>
  <c r="M386" i="1" l="1"/>
  <c r="M609" i="1"/>
  <c r="M306" i="1"/>
  <c r="N598" i="1"/>
  <c r="M616" i="1"/>
  <c r="M624" i="1" l="1"/>
  <c r="M638" i="1" s="1"/>
  <c r="M387" i="1"/>
  <c r="M617" i="1"/>
  <c r="M1077" i="1"/>
  <c r="M307" i="1"/>
  <c r="M455" i="1" s="1"/>
  <c r="M456" i="1" s="1"/>
  <c r="N605" i="1"/>
  <c r="N245" i="1"/>
  <c r="N599" i="1" s="1"/>
  <c r="N600" i="1"/>
  <c r="N371" i="1" s="1"/>
  <c r="M389" i="1" l="1"/>
  <c r="M1161" i="1"/>
  <c r="M639" i="1"/>
  <c r="M308" i="1"/>
  <c r="M458" i="1" s="1"/>
  <c r="N612" i="1"/>
  <c r="M1078" i="1"/>
  <c r="N246" i="1"/>
  <c r="N606" i="1" s="1"/>
  <c r="N607" i="1"/>
  <c r="M388" i="1"/>
  <c r="M1119" i="1"/>
  <c r="M625" i="1"/>
  <c r="M1092" i="1"/>
  <c r="M1087" i="1"/>
  <c r="M1090" i="1"/>
  <c r="M1088" i="1"/>
  <c r="M1089" i="1"/>
  <c r="M1091" i="1"/>
  <c r="M646" i="1"/>
  <c r="M390" i="1" l="1"/>
  <c r="M647" i="1"/>
  <c r="M1203" i="1"/>
  <c r="N620" i="1"/>
  <c r="M309" i="1"/>
  <c r="M1120" i="1"/>
  <c r="N372" i="1"/>
  <c r="N368" i="1"/>
  <c r="M310" i="1"/>
  <c r="M1162" i="1"/>
  <c r="N634" i="1"/>
  <c r="M654" i="1"/>
  <c r="M1129" i="1"/>
  <c r="N247" i="1"/>
  <c r="N615" i="1"/>
  <c r="M1171" i="1"/>
  <c r="M460" i="1"/>
  <c r="M459" i="1"/>
  <c r="M391" i="1" l="1"/>
  <c r="M395" i="1" s="1"/>
  <c r="M655" i="1"/>
  <c r="M1245" i="1"/>
  <c r="N248" i="1"/>
  <c r="N623" i="1"/>
  <c r="N374" i="1" s="1"/>
  <c r="N613" i="1"/>
  <c r="N1076" i="1"/>
  <c r="M1172" i="1"/>
  <c r="N249" i="1"/>
  <c r="N637" i="1"/>
  <c r="N375" i="1" s="1"/>
  <c r="M1213" i="1"/>
  <c r="N642" i="1"/>
  <c r="M311" i="1"/>
  <c r="M1204" i="1"/>
  <c r="N373" i="1"/>
  <c r="M1130" i="1"/>
  <c r="N621" i="1" l="1"/>
  <c r="N1118" i="1"/>
  <c r="M1214" i="1"/>
  <c r="N635" i="1"/>
  <c r="N1160" i="1"/>
  <c r="M1255" i="1"/>
  <c r="M1131" i="1"/>
  <c r="M312" i="1"/>
  <c r="N650" i="1"/>
  <c r="M1246" i="1"/>
  <c r="N250" i="1"/>
  <c r="N645" i="1"/>
  <c r="M1173" i="1"/>
  <c r="M396" i="1"/>
  <c r="M594" i="1" s="1"/>
  <c r="M593" i="1"/>
  <c r="M595" i="1" l="1"/>
  <c r="N643" i="1"/>
  <c r="N1202" i="1"/>
  <c r="M393" i="1"/>
  <c r="M674" i="1" s="1"/>
  <c r="M675" i="1" s="1"/>
  <c r="M1174" i="1"/>
  <c r="M1132" i="1"/>
  <c r="N376" i="1"/>
  <c r="N251" i="1"/>
  <c r="N653" i="1"/>
  <c r="M1256" i="1"/>
  <c r="M1215" i="1"/>
  <c r="M305" i="1"/>
  <c r="N591" i="1"/>
  <c r="M272" i="1" l="1"/>
  <c r="N672" i="1"/>
  <c r="N244" i="1"/>
  <c r="N651" i="1"/>
  <c r="N1244" i="1"/>
  <c r="M1133" i="1"/>
  <c r="M451" i="1"/>
  <c r="M314" i="1"/>
  <c r="M1257" i="1"/>
  <c r="M1216" i="1"/>
  <c r="N377" i="1"/>
  <c r="N381" i="1"/>
  <c r="M1175" i="1"/>
  <c r="M947" i="1" l="1"/>
  <c r="M950" i="1" s="1"/>
  <c r="M470" i="1"/>
  <c r="J77" i="1" s="1"/>
  <c r="M467" i="1"/>
  <c r="M466" i="1"/>
  <c r="M326" i="1"/>
  <c r="M1217" i="1"/>
  <c r="J81" i="1"/>
  <c r="M453" i="1"/>
  <c r="J82" i="1" s="1"/>
  <c r="M452" i="1"/>
  <c r="M1134" i="1"/>
  <c r="N592" i="1"/>
  <c r="N408" i="1" a="1"/>
  <c r="N408" i="1" s="1"/>
  <c r="N253" i="1"/>
  <c r="N673" i="1"/>
  <c r="N254" i="1" s="1"/>
  <c r="M1176" i="1"/>
  <c r="M1258" i="1"/>
  <c r="M278" i="1"/>
  <c r="M952" i="1"/>
  <c r="S88" i="1" l="1"/>
  <c r="N410" i="1"/>
  <c r="N411" i="1"/>
  <c r="N409" i="1"/>
  <c r="N256" i="1"/>
  <c r="N415" i="1"/>
  <c r="N422" i="1"/>
  <c r="M1259" i="1"/>
  <c r="M1218" i="1"/>
  <c r="M291" i="1"/>
  <c r="M328" i="1" s="1"/>
  <c r="M329" i="1" s="1"/>
  <c r="M463" i="1"/>
  <c r="M955" i="1"/>
  <c r="N416" i="1" l="1"/>
  <c r="K67" i="1" s="1"/>
  <c r="N423" i="1"/>
  <c r="K72" i="1" s="1"/>
  <c r="M1037" i="1"/>
  <c r="M1038" i="1" s="1"/>
  <c r="M1044" i="1" s="1"/>
  <c r="H1044" i="1" s="1"/>
  <c r="M1122" i="1"/>
  <c r="M1128" i="1" s="1"/>
  <c r="H1128" i="1" s="1"/>
  <c r="M957" i="1"/>
  <c r="M999" i="1"/>
  <c r="M1000" i="1" s="1"/>
  <c r="M1006" i="1" s="1"/>
  <c r="H1006" i="1" s="1"/>
  <c r="M1164" i="1"/>
  <c r="M1170" i="1" s="1"/>
  <c r="H1170" i="1" s="1"/>
  <c r="M1332" i="1"/>
  <c r="M1338" i="1" s="1"/>
  <c r="H1338" i="1" s="1"/>
  <c r="M1248" i="1"/>
  <c r="M1254" i="1" s="1"/>
  <c r="H1254" i="1" s="1"/>
  <c r="M1290" i="1"/>
  <c r="M1296" i="1" s="1"/>
  <c r="H1296" i="1" s="1"/>
  <c r="M963" i="1"/>
  <c r="H963" i="1" s="1"/>
  <c r="M1080" i="1"/>
  <c r="M1086" i="1" s="1"/>
  <c r="H1086" i="1" s="1"/>
  <c r="M1206" i="1"/>
  <c r="M1212" i="1" s="1"/>
  <c r="H1212" i="1" s="1"/>
  <c r="N418" i="1"/>
  <c r="K69" i="1" s="1"/>
  <c r="N425" i="1"/>
  <c r="K74" i="1" s="1"/>
  <c r="N417" i="1"/>
  <c r="K68" i="1" s="1"/>
  <c r="N424" i="1"/>
  <c r="K73" i="1" s="1"/>
  <c r="M1260" i="1"/>
  <c r="N493" i="1"/>
  <c r="N499" i="1" l="1"/>
  <c r="N526" i="1"/>
  <c r="N542" i="1" s="1"/>
  <c r="N561" i="1" l="1"/>
  <c r="N562" i="1"/>
  <c r="N544" i="1" s="1"/>
  <c r="N546" i="1"/>
  <c r="N517" i="1"/>
  <c r="N519" i="1" s="1"/>
  <c r="O516" i="1" s="1"/>
  <c r="N518" i="1"/>
  <c r="N501" i="1" s="1"/>
  <c r="N503" i="1" s="1"/>
  <c r="N563" i="1" l="1"/>
  <c r="N507" i="1"/>
  <c r="N506" i="1" s="1"/>
  <c r="N509" i="1" s="1"/>
  <c r="N513" i="1" s="1"/>
  <c r="N567" i="1" s="1"/>
  <c r="N549" i="1"/>
  <c r="N552" i="1" s="1"/>
  <c r="N556" i="1" s="1"/>
  <c r="N550" i="1"/>
  <c r="O560" i="1"/>
  <c r="N258" i="1" l="1"/>
  <c r="N568" i="1"/>
  <c r="N570" i="1"/>
  <c r="N259" i="1" s="1"/>
  <c r="N335" i="1" l="1"/>
  <c r="N318" i="1"/>
  <c r="N299" i="1"/>
  <c r="N261" i="1"/>
  <c r="N266" i="1" s="1"/>
  <c r="N356" i="1" l="1"/>
  <c r="N359" i="1" s="1"/>
  <c r="N302" i="1"/>
  <c r="N334" i="1"/>
  <c r="N349" i="1" s="1"/>
  <c r="N322" i="1"/>
  <c r="N948" i="1" l="1"/>
  <c r="N324" i="1"/>
  <c r="N361" i="1"/>
  <c r="N365" i="1" s="1"/>
  <c r="N406" i="1"/>
  <c r="N429" i="1" l="1"/>
  <c r="N430" i="1"/>
  <c r="N432" i="1"/>
  <c r="N431" i="1"/>
  <c r="N601" i="1"/>
  <c r="N385" i="1" l="1"/>
  <c r="N602" i="1"/>
  <c r="N608" i="1"/>
  <c r="N306" i="1" l="1"/>
  <c r="O598" i="1"/>
  <c r="N386" i="1"/>
  <c r="N609" i="1"/>
  <c r="N616" i="1"/>
  <c r="O245" i="1" l="1"/>
  <c r="O599" i="1" s="1"/>
  <c r="O600" i="1"/>
  <c r="O371" i="1" s="1"/>
  <c r="N307" i="1"/>
  <c r="N455" i="1" s="1"/>
  <c r="N456" i="1" s="1"/>
  <c r="O605" i="1"/>
  <c r="N387" i="1"/>
  <c r="N617" i="1"/>
  <c r="N1077" i="1"/>
  <c r="N624" i="1"/>
  <c r="N638" i="1" s="1"/>
  <c r="N389" i="1" l="1"/>
  <c r="N1161" i="1"/>
  <c r="N639" i="1"/>
  <c r="N1088" i="1"/>
  <c r="N1089" i="1"/>
  <c r="N1090" i="1"/>
  <c r="N1091" i="1"/>
  <c r="N1092" i="1"/>
  <c r="N308" i="1"/>
  <c r="N458" i="1" s="1"/>
  <c r="N1078" i="1"/>
  <c r="O612" i="1"/>
  <c r="N388" i="1"/>
  <c r="N1119" i="1"/>
  <c r="N625" i="1"/>
  <c r="O246" i="1"/>
  <c r="O606" i="1" s="1"/>
  <c r="O607" i="1"/>
  <c r="N646" i="1"/>
  <c r="N309" i="1" l="1"/>
  <c r="N1120" i="1"/>
  <c r="O620" i="1"/>
  <c r="O247" i="1"/>
  <c r="O615" i="1"/>
  <c r="N390" i="1"/>
  <c r="N647" i="1"/>
  <c r="N1203" i="1"/>
  <c r="N654" i="1"/>
  <c r="N1130" i="1"/>
  <c r="N1131" i="1" s="1"/>
  <c r="N1132" i="1" s="1"/>
  <c r="N1133" i="1" s="1"/>
  <c r="N1134" i="1" s="1"/>
  <c r="N310" i="1"/>
  <c r="O634" i="1"/>
  <c r="N1162" i="1"/>
  <c r="O368" i="1"/>
  <c r="O372" i="1"/>
  <c r="N460" i="1"/>
  <c r="N459" i="1"/>
  <c r="N1172" i="1"/>
  <c r="N1173" i="1" s="1"/>
  <c r="N1174" i="1" s="1"/>
  <c r="N1175" i="1" s="1"/>
  <c r="N1176" i="1" s="1"/>
  <c r="N311" i="1" l="1"/>
  <c r="O642" i="1"/>
  <c r="N1204" i="1"/>
  <c r="O248" i="1"/>
  <c r="O623" i="1"/>
  <c r="O374" i="1" s="1"/>
  <c r="N391" i="1"/>
  <c r="N395" i="1" s="1"/>
  <c r="N655" i="1"/>
  <c r="N1245" i="1"/>
  <c r="O373" i="1"/>
  <c r="O249" i="1"/>
  <c r="O637" i="1"/>
  <c r="O375" i="1" s="1"/>
  <c r="N1214" i="1"/>
  <c r="N1215" i="1" s="1"/>
  <c r="N1216" i="1" s="1"/>
  <c r="N1217" i="1" s="1"/>
  <c r="N1218" i="1" s="1"/>
  <c r="O1076" i="1"/>
  <c r="O613" i="1"/>
  <c r="O635" i="1" l="1"/>
  <c r="O1160" i="1"/>
  <c r="N312" i="1"/>
  <c r="N1246" i="1"/>
  <c r="O650" i="1"/>
  <c r="O621" i="1"/>
  <c r="O1118" i="1"/>
  <c r="N396" i="1"/>
  <c r="N594" i="1" s="1"/>
  <c r="N593" i="1"/>
  <c r="O250" i="1"/>
  <c r="O645" i="1"/>
  <c r="N1256" i="1"/>
  <c r="N1257" i="1" s="1"/>
  <c r="N1258" i="1" s="1"/>
  <c r="N1259" i="1" s="1"/>
  <c r="N1260" i="1" s="1"/>
  <c r="O643" i="1" l="1"/>
  <c r="O1202" i="1"/>
  <c r="O376" i="1"/>
  <c r="N393" i="1"/>
  <c r="N674" i="1" s="1"/>
  <c r="N675" i="1" s="1"/>
  <c r="N595" i="1"/>
  <c r="O251" i="1"/>
  <c r="O653" i="1"/>
  <c r="N305" i="1" l="1"/>
  <c r="O591" i="1"/>
  <c r="O377" i="1"/>
  <c r="O381" i="1" s="1"/>
  <c r="O651" i="1"/>
  <c r="O1244" i="1"/>
  <c r="N272" i="1"/>
  <c r="O672" i="1"/>
  <c r="N278" i="1" l="1"/>
  <c r="N952" i="1"/>
  <c r="O673" i="1"/>
  <c r="O254" i="1" s="1"/>
  <c r="O244" i="1"/>
  <c r="N451" i="1"/>
  <c r="N314" i="1"/>
  <c r="O592" i="1" l="1"/>
  <c r="O408" i="1" a="1"/>
  <c r="O408" i="1" s="1"/>
  <c r="O253" i="1"/>
  <c r="K81" i="1"/>
  <c r="N453" i="1"/>
  <c r="K82" i="1" s="1"/>
  <c r="N452" i="1"/>
  <c r="N947" i="1"/>
  <c r="N950" i="1" s="1"/>
  <c r="N470" i="1"/>
  <c r="K77" i="1" s="1"/>
  <c r="N467" i="1"/>
  <c r="N466" i="1"/>
  <c r="N326" i="1"/>
  <c r="N291" i="1"/>
  <c r="N328" i="1" s="1"/>
  <c r="N329" i="1" s="1"/>
  <c r="N463" i="1"/>
  <c r="K1028" i="1" l="1"/>
  <c r="K1019" i="1" s="1"/>
  <c r="N69" i="1" s="1"/>
  <c r="H1027" i="1"/>
  <c r="H1018" i="1" s="1"/>
  <c r="H1029" i="1"/>
  <c r="H1020" i="1" s="1"/>
  <c r="H1031" i="1"/>
  <c r="H1022" i="1" s="1"/>
  <c r="J1029" i="1"/>
  <c r="J1020" i="1" s="1"/>
  <c r="J1028" i="1"/>
  <c r="J1019" i="1" s="1"/>
  <c r="M1029" i="1"/>
  <c r="M1020" i="1" s="1"/>
  <c r="I1029" i="1"/>
  <c r="I1020" i="1" s="1"/>
  <c r="N1029" i="1"/>
  <c r="N1020" i="1" s="1"/>
  <c r="N1030" i="1"/>
  <c r="N1021" i="1" s="1"/>
  <c r="M1030" i="1"/>
  <c r="M1021" i="1" s="1"/>
  <c r="J1031" i="1"/>
  <c r="J1022" i="1" s="1"/>
  <c r="K1029" i="1"/>
  <c r="K1020" i="1" s="1"/>
  <c r="N70" i="1" s="1"/>
  <c r="L1027" i="1"/>
  <c r="L1018" i="1" s="1"/>
  <c r="O68" i="1" s="1"/>
  <c r="L1029" i="1"/>
  <c r="L1020" i="1" s="1"/>
  <c r="O70" i="1" s="1"/>
  <c r="L1031" i="1"/>
  <c r="L1022" i="1" s="1"/>
  <c r="O72" i="1" s="1"/>
  <c r="I1030" i="1"/>
  <c r="I1021" i="1" s="1"/>
  <c r="J1030" i="1"/>
  <c r="J1021" i="1" s="1"/>
  <c r="M1031" i="1"/>
  <c r="M1022" i="1" s="1"/>
  <c r="I1031" i="1"/>
  <c r="I1022" i="1" s="1"/>
  <c r="K1027" i="1"/>
  <c r="K1018" i="1" s="1"/>
  <c r="N68" i="1" s="1"/>
  <c r="K1031" i="1"/>
  <c r="K1022" i="1" s="1"/>
  <c r="N72" i="1" s="1"/>
  <c r="L1028" i="1"/>
  <c r="L1019" i="1" s="1"/>
  <c r="O69" i="1" s="1"/>
  <c r="L1030" i="1"/>
  <c r="L1021" i="1" s="1"/>
  <c r="O71" i="1" s="1"/>
  <c r="M1028" i="1"/>
  <c r="M1019" i="1" s="1"/>
  <c r="M1027" i="1"/>
  <c r="M1018" i="1" s="1"/>
  <c r="N1028" i="1"/>
  <c r="N1019" i="1" s="1"/>
  <c r="I1028" i="1"/>
  <c r="I1019" i="1" s="1"/>
  <c r="K1030" i="1"/>
  <c r="K1021" i="1" s="1"/>
  <c r="N71" i="1" s="1"/>
  <c r="H1028" i="1"/>
  <c r="H1019" i="1" s="1"/>
  <c r="H1030" i="1"/>
  <c r="H1021" i="1" s="1"/>
  <c r="N1027" i="1"/>
  <c r="N1018" i="1" s="1"/>
  <c r="N1031" i="1"/>
  <c r="N1022" i="1" s="1"/>
  <c r="I1027" i="1"/>
  <c r="I1018" i="1" s="1"/>
  <c r="J1027" i="1"/>
  <c r="J1018" i="1" s="1"/>
  <c r="N955" i="1"/>
  <c r="O411" i="1"/>
  <c r="O409" i="1"/>
  <c r="O410" i="1"/>
  <c r="O256" i="1"/>
  <c r="O415" i="1"/>
  <c r="O422" i="1"/>
  <c r="O416" i="1" l="1"/>
  <c r="O423" i="1"/>
  <c r="O418" i="1"/>
  <c r="O425" i="1"/>
  <c r="O493" i="1"/>
  <c r="H984" i="1"/>
  <c r="H975" i="1" s="1"/>
  <c r="L984" i="1"/>
  <c r="L975" i="1" s="1"/>
  <c r="H985" i="1"/>
  <c r="H976" i="1" s="1"/>
  <c r="L985" i="1"/>
  <c r="L976" i="1" s="1"/>
  <c r="H986" i="1"/>
  <c r="H977" i="1" s="1"/>
  <c r="L986" i="1"/>
  <c r="L977" i="1" s="1"/>
  <c r="H987" i="1"/>
  <c r="H978" i="1" s="1"/>
  <c r="L987" i="1"/>
  <c r="L978" i="1" s="1"/>
  <c r="H988" i="1"/>
  <c r="H979" i="1" s="1"/>
  <c r="L988" i="1"/>
  <c r="L979" i="1" s="1"/>
  <c r="J1065" i="1"/>
  <c r="N1065" i="1"/>
  <c r="J1066" i="1"/>
  <c r="N1066" i="1"/>
  <c r="J1067" i="1"/>
  <c r="N1067" i="1"/>
  <c r="J1068" i="1"/>
  <c r="N1068" i="1"/>
  <c r="J1069" i="1"/>
  <c r="N1069" i="1"/>
  <c r="N1080" i="1"/>
  <c r="N1087" i="1" s="1"/>
  <c r="N1248" i="1"/>
  <c r="N1255" i="1" s="1"/>
  <c r="I984" i="1"/>
  <c r="I975" i="1" s="1"/>
  <c r="M984" i="1"/>
  <c r="M975" i="1" s="1"/>
  <c r="I985" i="1"/>
  <c r="I976" i="1" s="1"/>
  <c r="M985" i="1"/>
  <c r="M976" i="1" s="1"/>
  <c r="I986" i="1"/>
  <c r="I977" i="1" s="1"/>
  <c r="M986" i="1"/>
  <c r="M977" i="1" s="1"/>
  <c r="I987" i="1"/>
  <c r="I978" i="1" s="1"/>
  <c r="M987" i="1"/>
  <c r="M978" i="1" s="1"/>
  <c r="I988" i="1"/>
  <c r="I979" i="1" s="1"/>
  <c r="M988" i="1"/>
  <c r="M979" i="1" s="1"/>
  <c r="N1037" i="1"/>
  <c r="N1038" i="1" s="1"/>
  <c r="N1045" i="1" s="1"/>
  <c r="H1045" i="1" s="1"/>
  <c r="K1065" i="1"/>
  <c r="K1066" i="1"/>
  <c r="K1067" i="1"/>
  <c r="K1068" i="1"/>
  <c r="K1069" i="1"/>
  <c r="N1122" i="1"/>
  <c r="N1129" i="1" s="1"/>
  <c r="N1290" i="1"/>
  <c r="N1297" i="1" s="1"/>
  <c r="N964" i="1"/>
  <c r="H964" i="1" s="1"/>
  <c r="J984" i="1"/>
  <c r="J975" i="1" s="1"/>
  <c r="J985" i="1"/>
  <c r="J976" i="1" s="1"/>
  <c r="J986" i="1"/>
  <c r="J977" i="1" s="1"/>
  <c r="J987" i="1"/>
  <c r="J978" i="1" s="1"/>
  <c r="J988" i="1"/>
  <c r="J979" i="1" s="1"/>
  <c r="L1065" i="1"/>
  <c r="I1066" i="1"/>
  <c r="H1067" i="1"/>
  <c r="M1068" i="1"/>
  <c r="L1069" i="1"/>
  <c r="N1332" i="1"/>
  <c r="N1339" i="1" s="1"/>
  <c r="I1065" i="1"/>
  <c r="M1067" i="1"/>
  <c r="I1069" i="1"/>
  <c r="N1164" i="1"/>
  <c r="N1171" i="1" s="1"/>
  <c r="K984" i="1"/>
  <c r="K975" i="1" s="1"/>
  <c r="K985" i="1"/>
  <c r="K976" i="1" s="1"/>
  <c r="K986" i="1"/>
  <c r="K977" i="1" s="1"/>
  <c r="K987" i="1"/>
  <c r="K978" i="1" s="1"/>
  <c r="K988" i="1"/>
  <c r="K979" i="1" s="1"/>
  <c r="M1065" i="1"/>
  <c r="L1066" i="1"/>
  <c r="I1067" i="1"/>
  <c r="H1068" i="1"/>
  <c r="M1069" i="1"/>
  <c r="H1066" i="1"/>
  <c r="L1068" i="1"/>
  <c r="N1206" i="1"/>
  <c r="N1213" i="1" s="1"/>
  <c r="N957" i="1"/>
  <c r="N984" i="1"/>
  <c r="N975" i="1" s="1"/>
  <c r="N985" i="1"/>
  <c r="N976" i="1" s="1"/>
  <c r="N986" i="1"/>
  <c r="N977" i="1" s="1"/>
  <c r="N987" i="1"/>
  <c r="N978" i="1" s="1"/>
  <c r="N988" i="1"/>
  <c r="N979" i="1" s="1"/>
  <c r="N999" i="1"/>
  <c r="N1000" i="1" s="1"/>
  <c r="N1007" i="1" s="1"/>
  <c r="H1007" i="1" s="1"/>
  <c r="H1065" i="1"/>
  <c r="M1066" i="1"/>
  <c r="L1067" i="1"/>
  <c r="I1068" i="1"/>
  <c r="H1069" i="1"/>
  <c r="O417" i="1"/>
  <c r="O424" i="1"/>
  <c r="K1191" i="1" l="1"/>
  <c r="K1192" i="1"/>
  <c r="K1193" i="1"/>
  <c r="K1194" i="1"/>
  <c r="K1195" i="1"/>
  <c r="H1191" i="1"/>
  <c r="L1191" i="1"/>
  <c r="H1192" i="1"/>
  <c r="L1192" i="1"/>
  <c r="H1193" i="1"/>
  <c r="L1193" i="1"/>
  <c r="H1194" i="1"/>
  <c r="L1194" i="1"/>
  <c r="H1195" i="1"/>
  <c r="L1195" i="1"/>
  <c r="J1191" i="1"/>
  <c r="I1192" i="1"/>
  <c r="N1193" i="1"/>
  <c r="M1194" i="1"/>
  <c r="J1195" i="1"/>
  <c r="J1193" i="1"/>
  <c r="N1195" i="1"/>
  <c r="I1191" i="1"/>
  <c r="J1194" i="1"/>
  <c r="M1191" i="1"/>
  <c r="J1192" i="1"/>
  <c r="I1193" i="1"/>
  <c r="N1194" i="1"/>
  <c r="M1195" i="1"/>
  <c r="M1192" i="1"/>
  <c r="N1192" i="1"/>
  <c r="I1195" i="1"/>
  <c r="N1191" i="1"/>
  <c r="I1194" i="1"/>
  <c r="M1193" i="1"/>
  <c r="H1171" i="1"/>
  <c r="I1359" i="1"/>
  <c r="M1359" i="1"/>
  <c r="I1360" i="1"/>
  <c r="M1360" i="1"/>
  <c r="I1361" i="1"/>
  <c r="M1361" i="1"/>
  <c r="I1362" i="1"/>
  <c r="M1362" i="1"/>
  <c r="I1363" i="1"/>
  <c r="M1363" i="1"/>
  <c r="K1359" i="1"/>
  <c r="K1361" i="1"/>
  <c r="K1363" i="1"/>
  <c r="H1359" i="1"/>
  <c r="H1361" i="1"/>
  <c r="H1362" i="1"/>
  <c r="H1363" i="1"/>
  <c r="J1359" i="1"/>
  <c r="N1359" i="1"/>
  <c r="J1360" i="1"/>
  <c r="N1360" i="1"/>
  <c r="J1361" i="1"/>
  <c r="N1361" i="1"/>
  <c r="J1362" i="1"/>
  <c r="N1362" i="1"/>
  <c r="J1363" i="1"/>
  <c r="N1363" i="1"/>
  <c r="K1360" i="1"/>
  <c r="K1362" i="1"/>
  <c r="L1359" i="1"/>
  <c r="L1360" i="1"/>
  <c r="L1361" i="1"/>
  <c r="L1362" i="1"/>
  <c r="L1363" i="1"/>
  <c r="H1360" i="1"/>
  <c r="H1339" i="1"/>
  <c r="J1317" i="1"/>
  <c r="N1317" i="1"/>
  <c r="J1318" i="1"/>
  <c r="N1318" i="1"/>
  <c r="J1319" i="1"/>
  <c r="N1319" i="1"/>
  <c r="J1320" i="1"/>
  <c r="N1320" i="1"/>
  <c r="J1321" i="1"/>
  <c r="N1321" i="1"/>
  <c r="H1317" i="1"/>
  <c r="L1318" i="1"/>
  <c r="H1320" i="1"/>
  <c r="H1321" i="1"/>
  <c r="I1318" i="1"/>
  <c r="I1319" i="1"/>
  <c r="I1320" i="1"/>
  <c r="M1320" i="1"/>
  <c r="M1321" i="1"/>
  <c r="K1317" i="1"/>
  <c r="K1318" i="1"/>
  <c r="K1319" i="1"/>
  <c r="K1320" i="1"/>
  <c r="K1321" i="1"/>
  <c r="L1317" i="1"/>
  <c r="H1318" i="1"/>
  <c r="L1319" i="1"/>
  <c r="L1320" i="1"/>
  <c r="L1321" i="1"/>
  <c r="M1317" i="1"/>
  <c r="M1318" i="1"/>
  <c r="M1319" i="1"/>
  <c r="I1321" i="1"/>
  <c r="H1319" i="1"/>
  <c r="I1317" i="1"/>
  <c r="H1297" i="1"/>
  <c r="O526" i="1"/>
  <c r="O542" i="1" s="1"/>
  <c r="O499" i="1"/>
  <c r="H1149" i="1"/>
  <c r="L1149" i="1"/>
  <c r="H1150" i="1"/>
  <c r="L1150" i="1"/>
  <c r="H1151" i="1"/>
  <c r="L1151" i="1"/>
  <c r="H1152" i="1"/>
  <c r="L1152" i="1"/>
  <c r="H1153" i="1"/>
  <c r="L1153" i="1"/>
  <c r="I1149" i="1"/>
  <c r="M1149" i="1"/>
  <c r="I1150" i="1"/>
  <c r="M1150" i="1"/>
  <c r="I1151" i="1"/>
  <c r="M1151" i="1"/>
  <c r="I1152" i="1"/>
  <c r="M1152" i="1"/>
  <c r="I1153" i="1"/>
  <c r="M1153" i="1"/>
  <c r="K1151" i="1"/>
  <c r="N1150" i="1"/>
  <c r="N1152" i="1"/>
  <c r="J1149" i="1"/>
  <c r="J1150" i="1"/>
  <c r="J1151" i="1"/>
  <c r="J1152" i="1"/>
  <c r="J1153" i="1"/>
  <c r="K1150" i="1"/>
  <c r="N1149" i="1"/>
  <c r="N1153" i="1"/>
  <c r="K1149" i="1"/>
  <c r="K1152" i="1"/>
  <c r="K1153" i="1"/>
  <c r="N1151" i="1"/>
  <c r="H1129" i="1"/>
  <c r="J1275" i="1"/>
  <c r="N1275" i="1"/>
  <c r="J1276" i="1"/>
  <c r="N1276" i="1"/>
  <c r="J1277" i="1"/>
  <c r="N1277" i="1"/>
  <c r="J1278" i="1"/>
  <c r="N1278" i="1"/>
  <c r="J1279" i="1"/>
  <c r="N1279" i="1"/>
  <c r="I1275" i="1"/>
  <c r="L1276" i="1"/>
  <c r="I1277" i="1"/>
  <c r="L1278" i="1"/>
  <c r="I1279" i="1"/>
  <c r="L1275" i="1"/>
  <c r="L1277" i="1"/>
  <c r="K1276" i="1"/>
  <c r="M1277" i="1"/>
  <c r="M1279" i="1"/>
  <c r="K1275" i="1"/>
  <c r="H1276" i="1"/>
  <c r="M1276" i="1"/>
  <c r="K1277" i="1"/>
  <c r="H1278" i="1"/>
  <c r="M1278" i="1"/>
  <c r="K1279" i="1"/>
  <c r="I1276" i="1"/>
  <c r="I1278" i="1"/>
  <c r="L1279" i="1"/>
  <c r="H1275" i="1"/>
  <c r="H1277" i="1"/>
  <c r="H1279" i="1"/>
  <c r="M1275" i="1"/>
  <c r="K1278" i="1"/>
  <c r="H1255" i="1"/>
  <c r="J1233" i="1"/>
  <c r="N1233" i="1"/>
  <c r="J1234" i="1"/>
  <c r="N1234" i="1"/>
  <c r="J1235" i="1"/>
  <c r="N1235" i="1"/>
  <c r="J1236" i="1"/>
  <c r="N1236" i="1"/>
  <c r="J1237" i="1"/>
  <c r="N1237" i="1"/>
  <c r="K1233" i="1"/>
  <c r="K1234" i="1"/>
  <c r="K1235" i="1"/>
  <c r="K1236" i="1"/>
  <c r="K1237" i="1"/>
  <c r="L1233" i="1"/>
  <c r="I1234" i="1"/>
  <c r="H1235" i="1"/>
  <c r="M1236" i="1"/>
  <c r="L1237" i="1"/>
  <c r="L1235" i="1"/>
  <c r="H1237" i="1"/>
  <c r="I1233" i="1"/>
  <c r="I1237" i="1"/>
  <c r="M1233" i="1"/>
  <c r="L1234" i="1"/>
  <c r="I1235" i="1"/>
  <c r="H1236" i="1"/>
  <c r="M1237" i="1"/>
  <c r="H1233" i="1"/>
  <c r="I1236" i="1"/>
  <c r="H1234" i="1"/>
  <c r="L1236" i="1"/>
  <c r="M1234" i="1"/>
  <c r="M1235" i="1"/>
  <c r="H1213" i="1"/>
  <c r="I1107" i="1"/>
  <c r="M1107" i="1"/>
  <c r="I1108" i="1"/>
  <c r="M1108" i="1"/>
  <c r="I1109" i="1"/>
  <c r="M1109" i="1"/>
  <c r="I1110" i="1"/>
  <c r="M1110" i="1"/>
  <c r="I1111" i="1"/>
  <c r="M1111" i="1"/>
  <c r="J1107" i="1"/>
  <c r="N1107" i="1"/>
  <c r="J1108" i="1"/>
  <c r="N1108" i="1"/>
  <c r="J1109" i="1"/>
  <c r="N1109" i="1"/>
  <c r="J1110" i="1"/>
  <c r="N1110" i="1"/>
  <c r="J1111" i="1"/>
  <c r="N1111" i="1"/>
  <c r="H1107" i="1"/>
  <c r="H1108" i="1"/>
  <c r="H1109" i="1"/>
  <c r="H1110" i="1"/>
  <c r="H1111" i="1"/>
  <c r="K1107" i="1"/>
  <c r="K1108" i="1"/>
  <c r="K1109" i="1"/>
  <c r="K1110" i="1"/>
  <c r="K1111" i="1"/>
  <c r="L1107" i="1"/>
  <c r="L1108" i="1"/>
  <c r="L1109" i="1"/>
  <c r="L1110" i="1"/>
  <c r="L1111" i="1"/>
  <c r="H1087" i="1"/>
  <c r="O517" i="1" l="1"/>
  <c r="O518" i="1"/>
  <c r="O501" i="1" s="1"/>
  <c r="O503" i="1" s="1"/>
  <c r="O546" i="1"/>
  <c r="O562" i="1"/>
  <c r="O544" i="1" s="1"/>
  <c r="O561" i="1"/>
  <c r="O563" i="1" s="1"/>
  <c r="P560" i="1" s="1"/>
  <c r="O507" i="1" l="1"/>
  <c r="O506" i="1" s="1"/>
  <c r="O509" i="1" s="1"/>
  <c r="O513" i="1" s="1"/>
  <c r="O567" i="1" s="1"/>
  <c r="O550" i="1"/>
  <c r="O549" i="1"/>
  <c r="O552" i="1" s="1"/>
  <c r="O556" i="1" s="1"/>
  <c r="O519" i="1"/>
  <c r="P516" i="1" s="1"/>
  <c r="O258" i="1" l="1"/>
  <c r="O568" i="1"/>
  <c r="O570" i="1" s="1"/>
  <c r="O259" i="1" s="1"/>
  <c r="O335" i="1" l="1"/>
  <c r="O318" i="1"/>
  <c r="O299" i="1"/>
  <c r="O261" i="1"/>
  <c r="O266" i="1" s="1"/>
  <c r="O356" i="1" l="1"/>
  <c r="O359" i="1" s="1"/>
  <c r="O302" i="1"/>
  <c r="O334" i="1"/>
  <c r="O349" i="1" s="1"/>
  <c r="O322" i="1"/>
  <c r="O948" i="1" l="1"/>
  <c r="O324" i="1"/>
  <c r="O361" i="1"/>
  <c r="O365" i="1" s="1"/>
  <c r="O406" i="1"/>
  <c r="O601" i="1" l="1"/>
  <c r="O429" i="1"/>
  <c r="O430" i="1"/>
  <c r="O432" i="1"/>
  <c r="O431" i="1"/>
  <c r="O385" i="1" l="1"/>
  <c r="O602" i="1"/>
  <c r="O608" i="1"/>
  <c r="O616" i="1" l="1"/>
  <c r="O624" i="1" s="1"/>
  <c r="O306" i="1"/>
  <c r="P598" i="1"/>
  <c r="O386" i="1"/>
  <c r="O609" i="1"/>
  <c r="O388" i="1" l="1"/>
  <c r="O1119" i="1"/>
  <c r="O625" i="1"/>
  <c r="O307" i="1"/>
  <c r="O455" i="1" s="1"/>
  <c r="O456" i="1" s="1"/>
  <c r="P605" i="1"/>
  <c r="O638" i="1"/>
  <c r="O387" i="1"/>
  <c r="O617" i="1"/>
  <c r="O1077" i="1"/>
  <c r="P245" i="1"/>
  <c r="P599" i="1" s="1"/>
  <c r="P600" i="1"/>
  <c r="P371" i="1" s="1"/>
  <c r="O646" i="1"/>
  <c r="O308" i="1" l="1"/>
  <c r="O458" i="1" s="1"/>
  <c r="P612" i="1"/>
  <c r="O1078" i="1"/>
  <c r="O309" i="1"/>
  <c r="P620" i="1"/>
  <c r="O1120" i="1"/>
  <c r="O390" i="1"/>
  <c r="O647" i="1"/>
  <c r="O1203" i="1"/>
  <c r="O389" i="1"/>
  <c r="O1161" i="1"/>
  <c r="O639" i="1"/>
  <c r="O1131" i="1"/>
  <c r="O1132" i="1" s="1"/>
  <c r="O1133" i="1" s="1"/>
  <c r="O1134" i="1" s="1"/>
  <c r="O654" i="1"/>
  <c r="O1092" i="1"/>
  <c r="O1090" i="1"/>
  <c r="O1091" i="1"/>
  <c r="O1089" i="1"/>
  <c r="P246" i="1"/>
  <c r="P606" i="1" s="1"/>
  <c r="P607" i="1"/>
  <c r="O1173" i="1" l="1"/>
  <c r="O1174" i="1" s="1"/>
  <c r="O1175" i="1" s="1"/>
  <c r="O1176" i="1" s="1"/>
  <c r="O1215" i="1"/>
  <c r="O1216" i="1" s="1"/>
  <c r="O1217" i="1" s="1"/>
  <c r="O1218" i="1" s="1"/>
  <c r="P248" i="1"/>
  <c r="P623" i="1"/>
  <c r="P374" i="1" s="1"/>
  <c r="P247" i="1"/>
  <c r="P615" i="1"/>
  <c r="O391" i="1"/>
  <c r="O395" i="1" s="1"/>
  <c r="O1245" i="1"/>
  <c r="O655" i="1"/>
  <c r="P368" i="1"/>
  <c r="P372" i="1"/>
  <c r="O310" i="1"/>
  <c r="P634" i="1"/>
  <c r="O1162" i="1"/>
  <c r="O311" i="1"/>
  <c r="P642" i="1"/>
  <c r="O1204" i="1"/>
  <c r="O460" i="1"/>
  <c r="O459" i="1"/>
  <c r="P250" i="1" l="1"/>
  <c r="P645" i="1"/>
  <c r="O1257" i="1"/>
  <c r="O1258" i="1" s="1"/>
  <c r="O1259" i="1" s="1"/>
  <c r="O1260" i="1" s="1"/>
  <c r="P613" i="1"/>
  <c r="P1076" i="1"/>
  <c r="O593" i="1"/>
  <c r="O396" i="1"/>
  <c r="O594" i="1" s="1"/>
  <c r="P373" i="1"/>
  <c r="P249" i="1"/>
  <c r="P637" i="1"/>
  <c r="P375" i="1" s="1"/>
  <c r="O312" i="1"/>
  <c r="O1246" i="1"/>
  <c r="P650" i="1"/>
  <c r="P621" i="1"/>
  <c r="P1118" i="1"/>
  <c r="P635" i="1" l="1"/>
  <c r="P1160" i="1"/>
  <c r="O393" i="1"/>
  <c r="O674" i="1" s="1"/>
  <c r="O675" i="1" s="1"/>
  <c r="P643" i="1"/>
  <c r="P1202" i="1"/>
  <c r="O595" i="1"/>
  <c r="P251" i="1"/>
  <c r="P653" i="1"/>
  <c r="P376" i="1"/>
  <c r="P651" i="1" l="1"/>
  <c r="P1244" i="1"/>
  <c r="O305" i="1"/>
  <c r="P591" i="1"/>
  <c r="P377" i="1"/>
  <c r="P381" i="1" s="1"/>
  <c r="O272" i="1"/>
  <c r="P672" i="1"/>
  <c r="P244" i="1" l="1"/>
  <c r="O278" i="1"/>
  <c r="O952" i="1"/>
  <c r="O451" i="1"/>
  <c r="O314" i="1"/>
  <c r="P673" i="1"/>
  <c r="P254" i="1" s="1"/>
  <c r="G85" i="1" l="1"/>
  <c r="O453" i="1"/>
  <c r="G86" i="1" s="1"/>
  <c r="O452" i="1"/>
  <c r="O291" i="1"/>
  <c r="O463" i="1"/>
  <c r="O947" i="1"/>
  <c r="O950" i="1" s="1"/>
  <c r="O955" i="1" s="1"/>
  <c r="O470" i="1"/>
  <c r="O326" i="1"/>
  <c r="O467" i="1"/>
  <c r="O466" i="1"/>
  <c r="P592" i="1"/>
  <c r="P408" i="1" a="1"/>
  <c r="P408" i="1" s="1"/>
  <c r="P253" i="1"/>
  <c r="O957" i="1" l="1"/>
  <c r="O1206" i="1"/>
  <c r="O1214" i="1" s="1"/>
  <c r="H1214" i="1" s="1"/>
  <c r="O1080" i="1"/>
  <c r="O1088" i="1" s="1"/>
  <c r="H1088" i="1" s="1"/>
  <c r="O1248" i="1"/>
  <c r="O1256" i="1" s="1"/>
  <c r="H1256" i="1" s="1"/>
  <c r="O1164" i="1"/>
  <c r="O1172" i="1" s="1"/>
  <c r="H1172" i="1" s="1"/>
  <c r="O1290" i="1"/>
  <c r="O1298" i="1" s="1"/>
  <c r="H1298" i="1" s="1"/>
  <c r="O999" i="1"/>
  <c r="O1000" i="1" s="1"/>
  <c r="O1008" i="1" s="1"/>
  <c r="H1008" i="1" s="1"/>
  <c r="O1332" i="1"/>
  <c r="O1340" i="1" s="1"/>
  <c r="H1340" i="1" s="1"/>
  <c r="O1037" i="1"/>
  <c r="O1038" i="1" s="1"/>
  <c r="O1046" i="1" s="1"/>
  <c r="H1046" i="1" s="1"/>
  <c r="O1122" i="1"/>
  <c r="O1130" i="1" s="1"/>
  <c r="H1130" i="1" s="1"/>
  <c r="O965" i="1"/>
  <c r="H965" i="1" s="1"/>
  <c r="P409" i="1"/>
  <c r="P410" i="1"/>
  <c r="P411" i="1"/>
  <c r="P256" i="1"/>
  <c r="P415" i="1"/>
  <c r="P422" i="1"/>
  <c r="O328" i="1"/>
  <c r="O329" i="1" s="1"/>
  <c r="P493" i="1" l="1"/>
  <c r="P416" i="1"/>
  <c r="P423" i="1"/>
  <c r="P418" i="1"/>
  <c r="P425" i="1"/>
  <c r="P417" i="1"/>
  <c r="P424" i="1"/>
  <c r="P499" i="1" l="1"/>
  <c r="P526" i="1"/>
  <c r="P542" i="1" s="1"/>
  <c r="P562" i="1" l="1"/>
  <c r="P544" i="1" s="1"/>
  <c r="P546" i="1" s="1"/>
  <c r="P561" i="1"/>
  <c r="P563" i="1" s="1"/>
  <c r="Q560" i="1" s="1"/>
  <c r="P518" i="1"/>
  <c r="P501" i="1" s="1"/>
  <c r="P503" i="1" s="1"/>
  <c r="P517" i="1"/>
  <c r="P507" i="1" l="1"/>
  <c r="P506" i="1" s="1"/>
  <c r="P509" i="1" s="1"/>
  <c r="P513" i="1" s="1"/>
  <c r="P567" i="1" s="1"/>
  <c r="P550" i="1"/>
  <c r="P549" i="1"/>
  <c r="P552" i="1" s="1"/>
  <c r="P556" i="1" s="1"/>
  <c r="P519" i="1"/>
  <c r="Q516" i="1" s="1"/>
  <c r="P258" i="1" l="1"/>
  <c r="P568" i="1"/>
  <c r="P570" i="1" s="1"/>
  <c r="P259" i="1" s="1"/>
  <c r="P335" i="1" l="1"/>
  <c r="P318" i="1"/>
  <c r="P299" i="1"/>
  <c r="P261" i="1"/>
  <c r="P266" i="1" s="1"/>
  <c r="P356" i="1" l="1"/>
  <c r="P359" i="1" s="1"/>
  <c r="P302" i="1"/>
  <c r="P334" i="1"/>
  <c r="P349" i="1" s="1"/>
  <c r="P322" i="1"/>
  <c r="P948" i="1" l="1"/>
  <c r="P324" i="1"/>
  <c r="P361" i="1"/>
  <c r="P365" i="1" s="1"/>
  <c r="P406" i="1"/>
  <c r="P429" i="1" l="1"/>
  <c r="P432" i="1"/>
  <c r="P431" i="1"/>
  <c r="P430" i="1"/>
  <c r="P601" i="1"/>
  <c r="P385" i="1" l="1"/>
  <c r="P602" i="1"/>
  <c r="P608" i="1"/>
  <c r="P306" i="1" l="1"/>
  <c r="Q598" i="1"/>
  <c r="P386" i="1"/>
  <c r="P609" i="1"/>
  <c r="P616" i="1"/>
  <c r="Q245" i="1" l="1"/>
  <c r="Q599" i="1" s="1"/>
  <c r="Q600" i="1"/>
  <c r="Q371" i="1" s="1"/>
  <c r="P387" i="1"/>
  <c r="P617" i="1"/>
  <c r="P1077" i="1"/>
  <c r="P624" i="1"/>
  <c r="P307" i="1"/>
  <c r="P455" i="1" s="1"/>
  <c r="P456" i="1" s="1"/>
  <c r="Q605" i="1"/>
  <c r="Q246" i="1" l="1"/>
  <c r="Q606" i="1" s="1"/>
  <c r="Q607" i="1"/>
  <c r="P308" i="1"/>
  <c r="P458" i="1" s="1"/>
  <c r="Q612" i="1"/>
  <c r="P1078" i="1"/>
  <c r="P388" i="1"/>
  <c r="P1119" i="1"/>
  <c r="P625" i="1"/>
  <c r="P1092" i="1"/>
  <c r="P1090" i="1"/>
  <c r="P1091" i="1"/>
  <c r="P638" i="1"/>
  <c r="P309" i="1" l="1"/>
  <c r="Q620" i="1"/>
  <c r="P1120" i="1"/>
  <c r="Q247" i="1"/>
  <c r="Q615" i="1"/>
  <c r="P1132" i="1"/>
  <c r="P1133" i="1" s="1"/>
  <c r="P1134" i="1" s="1"/>
  <c r="P460" i="1"/>
  <c r="P459" i="1"/>
  <c r="P389" i="1"/>
  <c r="P1161" i="1"/>
  <c r="P639" i="1"/>
  <c r="Q372" i="1"/>
  <c r="Q368" i="1"/>
  <c r="P646" i="1"/>
  <c r="Q613" i="1" l="1"/>
  <c r="Q1076" i="1"/>
  <c r="Q373" i="1"/>
  <c r="Q248" i="1"/>
  <c r="Q623" i="1"/>
  <c r="Q374" i="1" s="1"/>
  <c r="P390" i="1"/>
  <c r="P647" i="1"/>
  <c r="P1203" i="1"/>
  <c r="P310" i="1"/>
  <c r="Q634" i="1"/>
  <c r="P1162" i="1"/>
  <c r="P654" i="1"/>
  <c r="P1174" i="1"/>
  <c r="P1175" i="1" s="1"/>
  <c r="P1176" i="1" s="1"/>
  <c r="P391" i="1" l="1"/>
  <c r="P395" i="1" s="1"/>
  <c r="P655" i="1"/>
  <c r="P1245" i="1"/>
  <c r="P1216" i="1"/>
  <c r="P1217" i="1" s="1"/>
  <c r="P1218" i="1" s="1"/>
  <c r="Q621" i="1"/>
  <c r="Q1118" i="1"/>
  <c r="Q642" i="1"/>
  <c r="P311" i="1"/>
  <c r="P1204" i="1"/>
  <c r="Q249" i="1"/>
  <c r="Q637" i="1"/>
  <c r="Q375" i="1" s="1"/>
  <c r="P1258" i="1" l="1"/>
  <c r="P1259" i="1" s="1"/>
  <c r="P1260" i="1" s="1"/>
  <c r="Q250" i="1"/>
  <c r="Q645" i="1"/>
  <c r="Q635" i="1"/>
  <c r="Q1160" i="1"/>
  <c r="Q650" i="1"/>
  <c r="P312" i="1"/>
  <c r="P1246" i="1"/>
  <c r="P593" i="1"/>
  <c r="P396" i="1"/>
  <c r="P594" i="1" s="1"/>
  <c r="Q376" i="1" l="1"/>
  <c r="P595" i="1"/>
  <c r="Q251" i="1"/>
  <c r="Q653" i="1"/>
  <c r="Q643" i="1"/>
  <c r="Q1202" i="1"/>
  <c r="P393" i="1"/>
  <c r="P674" i="1" s="1"/>
  <c r="P675" i="1" s="1"/>
  <c r="Q591" i="1" l="1"/>
  <c r="P305" i="1"/>
  <c r="Q377" i="1"/>
  <c r="Q381" i="1" s="1"/>
  <c r="P272" i="1"/>
  <c r="Q672" i="1"/>
  <c r="Q651" i="1"/>
  <c r="Q1244" i="1"/>
  <c r="P278" i="1" l="1"/>
  <c r="P952" i="1"/>
  <c r="P451" i="1"/>
  <c r="P314" i="1"/>
  <c r="Q673" i="1"/>
  <c r="Q254" i="1" s="1"/>
  <c r="Q244" i="1"/>
  <c r="Q592" i="1" l="1"/>
  <c r="Q408" i="1" a="1"/>
  <c r="Q408" i="1" s="1"/>
  <c r="Q253" i="1"/>
  <c r="P291" i="1"/>
  <c r="P463" i="1"/>
  <c r="H85" i="1"/>
  <c r="P453" i="1"/>
  <c r="H86" i="1" s="1"/>
  <c r="P452" i="1"/>
  <c r="P947" i="1"/>
  <c r="P950" i="1" s="1"/>
  <c r="P955" i="1" s="1"/>
  <c r="P470" i="1"/>
  <c r="P326" i="1"/>
  <c r="P466" i="1"/>
  <c r="P467" i="1"/>
  <c r="Q415" i="1" l="1"/>
  <c r="Q422" i="1"/>
  <c r="P328" i="1"/>
  <c r="P329" i="1" s="1"/>
  <c r="Q409" i="1"/>
  <c r="Q410" i="1"/>
  <c r="Q411" i="1"/>
  <c r="Q256" i="1"/>
  <c r="P957" i="1"/>
  <c r="P999" i="1"/>
  <c r="P1000" i="1" s="1"/>
  <c r="P1009" i="1" s="1"/>
  <c r="H1009" i="1" s="1"/>
  <c r="P1164" i="1"/>
  <c r="P1173" i="1" s="1"/>
  <c r="H1173" i="1" s="1"/>
  <c r="P1206" i="1"/>
  <c r="P1215" i="1" s="1"/>
  <c r="H1215" i="1" s="1"/>
  <c r="P966" i="1"/>
  <c r="H966" i="1" s="1"/>
  <c r="P1037" i="1"/>
  <c r="P1038" i="1" s="1"/>
  <c r="P1047" i="1" s="1"/>
  <c r="H1047" i="1" s="1"/>
  <c r="P1122" i="1"/>
  <c r="P1131" i="1" s="1"/>
  <c r="H1131" i="1" s="1"/>
  <c r="P1290" i="1"/>
  <c r="P1299" i="1" s="1"/>
  <c r="H1299" i="1" s="1"/>
  <c r="P1332" i="1"/>
  <c r="P1341" i="1" s="1"/>
  <c r="H1341" i="1" s="1"/>
  <c r="P1080" i="1"/>
  <c r="P1089" i="1" s="1"/>
  <c r="H1089" i="1" s="1"/>
  <c r="P1248" i="1"/>
  <c r="P1257" i="1" s="1"/>
  <c r="H1257" i="1" s="1"/>
  <c r="Q425" i="1" l="1"/>
  <c r="Q418" i="1"/>
  <c r="Q424" i="1"/>
  <c r="Q417" i="1"/>
  <c r="Q493" i="1"/>
  <c r="Q416" i="1"/>
  <c r="Q423" i="1"/>
  <c r="Q499" i="1" l="1"/>
  <c r="Q526" i="1"/>
  <c r="Q542" i="1" s="1"/>
  <c r="Q561" i="1" l="1"/>
  <c r="Q562" i="1"/>
  <c r="Q544" i="1" s="1"/>
  <c r="Q546" i="1"/>
  <c r="Q503" i="1"/>
  <c r="Q518" i="1"/>
  <c r="Q501" i="1" s="1"/>
  <c r="Q517" i="1"/>
  <c r="Q519" i="1" s="1"/>
  <c r="R516" i="1" s="1"/>
  <c r="Q550" i="1" l="1"/>
  <c r="Q549" i="1" s="1"/>
  <c r="Q552" i="1" s="1"/>
  <c r="Q556" i="1" s="1"/>
  <c r="Q507" i="1"/>
  <c r="Q506" i="1"/>
  <c r="Q509" i="1" s="1"/>
  <c r="Q513" i="1" s="1"/>
  <c r="Q567" i="1" s="1"/>
  <c r="Q563" i="1"/>
  <c r="R560" i="1" s="1"/>
  <c r="Q258" i="1" l="1"/>
  <c r="Q568" i="1"/>
  <c r="Q570" i="1" s="1"/>
  <c r="Q259" i="1" s="1"/>
  <c r="Q335" i="1" l="1"/>
  <c r="Q318" i="1"/>
  <c r="Q299" i="1"/>
  <c r="Q261" i="1"/>
  <c r="Q266" i="1" s="1"/>
  <c r="Q356" i="1" l="1"/>
  <c r="Q359" i="1" s="1"/>
  <c r="Q302" i="1"/>
  <c r="Q334" i="1"/>
  <c r="Q349" i="1" s="1"/>
  <c r="Q322" i="1"/>
  <c r="Q948" i="1" l="1"/>
  <c r="Q324" i="1"/>
  <c r="Q361" i="1"/>
  <c r="Q365" i="1" s="1"/>
  <c r="Q406" i="1"/>
  <c r="Q429" i="1" l="1"/>
  <c r="Q430" i="1"/>
  <c r="Q432" i="1"/>
  <c r="Q431" i="1"/>
  <c r="Q601" i="1"/>
  <c r="Q608" i="1" s="1"/>
  <c r="Q386" i="1" l="1"/>
  <c r="Q609" i="1"/>
  <c r="Q616" i="1"/>
  <c r="Q385" i="1"/>
  <c r="Q602" i="1"/>
  <c r="Q387" i="1" l="1"/>
  <c r="Q617" i="1"/>
  <c r="Q1077" i="1"/>
  <c r="Q306" i="1"/>
  <c r="R598" i="1"/>
  <c r="Q307" i="1"/>
  <c r="Q455" i="1" s="1"/>
  <c r="Q456" i="1" s="1"/>
  <c r="R605" i="1"/>
  <c r="Q624" i="1"/>
  <c r="Q638" i="1" s="1"/>
  <c r="Q389" i="1" l="1"/>
  <c r="Q1161" i="1"/>
  <c r="Q639" i="1"/>
  <c r="Q1091" i="1"/>
  <c r="Q1092" i="1"/>
  <c r="Q388" i="1"/>
  <c r="Q1119" i="1"/>
  <c r="Q625" i="1"/>
  <c r="Q308" i="1"/>
  <c r="Q458" i="1" s="1"/>
  <c r="R612" i="1"/>
  <c r="Q1078" i="1"/>
  <c r="Q646" i="1"/>
  <c r="Q654" i="1" s="1"/>
  <c r="R246" i="1"/>
  <c r="R606" i="1" s="1"/>
  <c r="R607" i="1"/>
  <c r="R245" i="1"/>
  <c r="R599" i="1" s="1"/>
  <c r="R600" i="1"/>
  <c r="R371" i="1" s="1"/>
  <c r="Q391" i="1" l="1"/>
  <c r="Q655" i="1"/>
  <c r="Q1245" i="1"/>
  <c r="R247" i="1"/>
  <c r="R615" i="1"/>
  <c r="Q1133" i="1"/>
  <c r="Q1134" i="1" s="1"/>
  <c r="Q460" i="1"/>
  <c r="Q459" i="1"/>
  <c r="Q395" i="1"/>
  <c r="Q310" i="1"/>
  <c r="R634" i="1"/>
  <c r="Q1162" i="1"/>
  <c r="Q1175" i="1"/>
  <c r="Q1176" i="1" s="1"/>
  <c r="Q390" i="1"/>
  <c r="Q647" i="1"/>
  <c r="Q1203" i="1"/>
  <c r="R372" i="1"/>
  <c r="R368" i="1"/>
  <c r="Q309" i="1"/>
  <c r="R620" i="1"/>
  <c r="Q1120" i="1"/>
  <c r="R249" i="1" l="1"/>
  <c r="R637" i="1"/>
  <c r="R375" i="1" s="1"/>
  <c r="R373" i="1"/>
  <c r="Q1259" i="1"/>
  <c r="Q1260" i="1" s="1"/>
  <c r="R248" i="1"/>
  <c r="R623" i="1"/>
  <c r="R374" i="1" s="1"/>
  <c r="Q1217" i="1"/>
  <c r="Q1218" i="1" s="1"/>
  <c r="Q312" i="1"/>
  <c r="R650" i="1"/>
  <c r="Q1246" i="1"/>
  <c r="Q396" i="1"/>
  <c r="Q594" i="1" s="1"/>
  <c r="Q593" i="1"/>
  <c r="R1076" i="1"/>
  <c r="R613" i="1"/>
  <c r="Q311" i="1"/>
  <c r="R642" i="1"/>
  <c r="Q1204" i="1"/>
  <c r="Q595" i="1" l="1"/>
  <c r="R635" i="1"/>
  <c r="R1160" i="1"/>
  <c r="R621" i="1"/>
  <c r="R1118" i="1"/>
  <c r="R250" i="1"/>
  <c r="R645" i="1"/>
  <c r="Q393" i="1"/>
  <c r="Q674" i="1" s="1"/>
  <c r="Q675" i="1" s="1"/>
  <c r="R251" i="1"/>
  <c r="R653" i="1"/>
  <c r="R377" i="1" l="1"/>
  <c r="Q305" i="1"/>
  <c r="R591" i="1"/>
  <c r="R651" i="1"/>
  <c r="R1244" i="1"/>
  <c r="R643" i="1"/>
  <c r="R1202" i="1"/>
  <c r="Q272" i="1"/>
  <c r="R672" i="1"/>
  <c r="R376" i="1"/>
  <c r="R244" i="1" l="1"/>
  <c r="Q451" i="1"/>
  <c r="Q314" i="1"/>
  <c r="R673" i="1"/>
  <c r="R254" i="1" s="1"/>
  <c r="R381" i="1"/>
  <c r="Q278" i="1"/>
  <c r="Q952" i="1"/>
  <c r="Q947" i="1" l="1"/>
  <c r="Q950" i="1" s="1"/>
  <c r="Q955" i="1" s="1"/>
  <c r="Q470" i="1"/>
  <c r="Q466" i="1"/>
  <c r="Q326" i="1"/>
  <c r="Q467" i="1"/>
  <c r="I85" i="1"/>
  <c r="Q453" i="1"/>
  <c r="I86" i="1" s="1"/>
  <c r="Q452" i="1"/>
  <c r="R592" i="1"/>
  <c r="R408" i="1" a="1"/>
  <c r="R408" i="1" s="1"/>
  <c r="R253" i="1"/>
  <c r="Q291" i="1"/>
  <c r="Q328" i="1" s="1"/>
  <c r="Q329" i="1" s="1"/>
  <c r="Q463" i="1"/>
  <c r="R422" i="1" l="1"/>
  <c r="R415" i="1"/>
  <c r="R410" i="1"/>
  <c r="R409" i="1"/>
  <c r="R411" i="1"/>
  <c r="R256" i="1"/>
  <c r="Q1037" i="1"/>
  <c r="Q1038" i="1" s="1"/>
  <c r="Q1048" i="1" s="1"/>
  <c r="H1048" i="1" s="1"/>
  <c r="Q1122" i="1"/>
  <c r="Q1132" i="1" s="1"/>
  <c r="H1132" i="1" s="1"/>
  <c r="Q999" i="1"/>
  <c r="Q1000" i="1" s="1"/>
  <c r="Q1010" i="1" s="1"/>
  <c r="H1010" i="1" s="1"/>
  <c r="Q1164" i="1"/>
  <c r="Q1174" i="1" s="1"/>
  <c r="H1174" i="1" s="1"/>
  <c r="Q1080" i="1"/>
  <c r="Q1090" i="1" s="1"/>
  <c r="H1090" i="1" s="1"/>
  <c r="Q1206" i="1"/>
  <c r="Q1216" i="1" s="1"/>
  <c r="H1216" i="1" s="1"/>
  <c r="Q1248" i="1"/>
  <c r="Q1258" i="1" s="1"/>
  <c r="H1258" i="1" s="1"/>
  <c r="Q1290" i="1"/>
  <c r="Q1300" i="1" s="1"/>
  <c r="H1300" i="1" s="1"/>
  <c r="Q957" i="1"/>
  <c r="Q1332" i="1"/>
  <c r="Q1342" i="1" s="1"/>
  <c r="H1342" i="1" s="1"/>
  <c r="Q967" i="1"/>
  <c r="H967" i="1" s="1"/>
  <c r="R417" i="1" l="1"/>
  <c r="R424" i="1"/>
  <c r="R493" i="1"/>
  <c r="R418" i="1"/>
  <c r="R425" i="1"/>
  <c r="R423" i="1"/>
  <c r="R416" i="1"/>
  <c r="R499" i="1" l="1"/>
  <c r="R526" i="1"/>
  <c r="R542" i="1" s="1"/>
  <c r="R561" i="1" l="1"/>
  <c r="R562" i="1"/>
  <c r="R544" i="1" s="1"/>
  <c r="R546" i="1" s="1"/>
  <c r="R517" i="1"/>
  <c r="R519" i="1" s="1"/>
  <c r="S516" i="1" s="1"/>
  <c r="R518" i="1"/>
  <c r="R501" i="1" s="1"/>
  <c r="R503" i="1" s="1"/>
  <c r="R507" i="1" l="1"/>
  <c r="R506" i="1"/>
  <c r="R509" i="1" s="1"/>
  <c r="R513" i="1" s="1"/>
  <c r="R567" i="1" s="1"/>
  <c r="R550" i="1"/>
  <c r="R549" i="1" s="1"/>
  <c r="R552" i="1" s="1"/>
  <c r="R556" i="1" s="1"/>
  <c r="R563" i="1"/>
  <c r="S560" i="1" s="1"/>
  <c r="R258" i="1" l="1"/>
  <c r="R568" i="1"/>
  <c r="R570" i="1" s="1"/>
  <c r="R259" i="1" s="1"/>
  <c r="R335" i="1" l="1"/>
  <c r="R318" i="1"/>
  <c r="R299" i="1"/>
  <c r="R261" i="1"/>
  <c r="R266" i="1" s="1"/>
  <c r="R356" i="1" l="1"/>
  <c r="R359" i="1" s="1"/>
  <c r="R302" i="1"/>
  <c r="R334" i="1"/>
  <c r="R349" i="1" s="1"/>
  <c r="R322" i="1"/>
  <c r="R948" i="1" l="1"/>
  <c r="R324" i="1"/>
  <c r="R361" i="1"/>
  <c r="R365" i="1" s="1"/>
  <c r="R406" i="1"/>
  <c r="R429" i="1" l="1"/>
  <c r="R432" i="1"/>
  <c r="R430" i="1"/>
  <c r="R431" i="1"/>
  <c r="R601" i="1"/>
  <c r="R385" i="1" l="1"/>
  <c r="R602" i="1"/>
  <c r="R608" i="1"/>
  <c r="R306" i="1" l="1"/>
  <c r="S598" i="1"/>
  <c r="R386" i="1"/>
  <c r="R609" i="1"/>
  <c r="R616" i="1"/>
  <c r="R387" i="1" l="1"/>
  <c r="R617" i="1"/>
  <c r="R1077" i="1"/>
  <c r="R624" i="1"/>
  <c r="R307" i="1"/>
  <c r="R455" i="1" s="1"/>
  <c r="R456" i="1" s="1"/>
  <c r="S605" i="1"/>
  <c r="S245" i="1"/>
  <c r="S599" i="1" s="1"/>
  <c r="S600" i="1"/>
  <c r="S371" i="1" s="1"/>
  <c r="S246" i="1" l="1"/>
  <c r="S606" i="1" s="1"/>
  <c r="S607" i="1"/>
  <c r="R308" i="1"/>
  <c r="R458" i="1" s="1"/>
  <c r="S612" i="1"/>
  <c r="R1078" i="1"/>
  <c r="R1092" i="1"/>
  <c r="R388" i="1"/>
  <c r="R1119" i="1"/>
  <c r="R625" i="1"/>
  <c r="R638" i="1"/>
  <c r="R389" i="1" l="1"/>
  <c r="R1161" i="1"/>
  <c r="R639" i="1"/>
  <c r="R646" i="1"/>
  <c r="R654" i="1" s="1"/>
  <c r="R1134" i="1"/>
  <c r="S368" i="1"/>
  <c r="S372" i="1"/>
  <c r="S247" i="1"/>
  <c r="S615" i="1"/>
  <c r="R309" i="1"/>
  <c r="S620" i="1"/>
  <c r="R1120" i="1"/>
  <c r="R460" i="1"/>
  <c r="R459" i="1"/>
  <c r="R391" i="1" l="1"/>
  <c r="R1245" i="1"/>
  <c r="R655" i="1"/>
  <c r="S248" i="1"/>
  <c r="S623" i="1"/>
  <c r="S374" i="1" s="1"/>
  <c r="S613" i="1"/>
  <c r="S1076" i="1"/>
  <c r="R310" i="1"/>
  <c r="S634" i="1"/>
  <c r="R1162" i="1"/>
  <c r="R1176" i="1"/>
  <c r="S373" i="1"/>
  <c r="R390" i="1"/>
  <c r="R647" i="1"/>
  <c r="R1203" i="1"/>
  <c r="R312" i="1" l="1"/>
  <c r="S650" i="1"/>
  <c r="R1246" i="1"/>
  <c r="R1218" i="1"/>
  <c r="R311" i="1"/>
  <c r="S642" i="1"/>
  <c r="R1204" i="1"/>
  <c r="S249" i="1"/>
  <c r="S637" i="1"/>
  <c r="S375" i="1" s="1"/>
  <c r="R1260" i="1"/>
  <c r="R395" i="1"/>
  <c r="S621" i="1"/>
  <c r="S1118" i="1"/>
  <c r="S250" i="1" l="1"/>
  <c r="S645" i="1"/>
  <c r="R396" i="1"/>
  <c r="R594" i="1" s="1"/>
  <c r="R593" i="1"/>
  <c r="S251" i="1"/>
  <c r="S653" i="1"/>
  <c r="S635" i="1"/>
  <c r="S1160" i="1"/>
  <c r="R595" i="1" l="1"/>
  <c r="S643" i="1"/>
  <c r="S1202" i="1"/>
  <c r="S1244" i="1"/>
  <c r="S651" i="1"/>
  <c r="S376" i="1"/>
  <c r="S377" i="1"/>
  <c r="S381" i="1" s="1"/>
  <c r="R393" i="1"/>
  <c r="R674" i="1" s="1"/>
  <c r="R675" i="1" s="1"/>
  <c r="R272" i="1" l="1"/>
  <c r="S672" i="1"/>
  <c r="R305" i="1"/>
  <c r="S591" i="1"/>
  <c r="S244" i="1" l="1"/>
  <c r="R451" i="1"/>
  <c r="R314" i="1"/>
  <c r="S673" i="1"/>
  <c r="S254" i="1" s="1"/>
  <c r="R278" i="1"/>
  <c r="R952" i="1"/>
  <c r="R947" i="1" l="1"/>
  <c r="R950" i="1" s="1"/>
  <c r="R955" i="1" s="1"/>
  <c r="R470" i="1"/>
  <c r="R466" i="1"/>
  <c r="R326" i="1"/>
  <c r="R467" i="1"/>
  <c r="R291" i="1"/>
  <c r="R463" i="1"/>
  <c r="J85" i="1"/>
  <c r="R453" i="1"/>
  <c r="J86" i="1" s="1"/>
  <c r="R452" i="1"/>
  <c r="S592" i="1"/>
  <c r="S253" i="1"/>
  <c r="S408" i="1" a="1"/>
  <c r="S408" i="1" s="1"/>
  <c r="S415" i="1" l="1"/>
  <c r="S422" i="1"/>
  <c r="R328" i="1"/>
  <c r="R329" i="1" s="1"/>
  <c r="S411" i="1"/>
  <c r="S409" i="1"/>
  <c r="S410" i="1"/>
  <c r="S256" i="1"/>
  <c r="R957" i="1"/>
  <c r="R1080" i="1"/>
  <c r="R1091" i="1" s="1"/>
  <c r="H1091" i="1" s="1"/>
  <c r="R1248" i="1"/>
  <c r="R1259" i="1" s="1"/>
  <c r="H1259" i="1" s="1"/>
  <c r="R1037" i="1"/>
  <c r="R1038" i="1" s="1"/>
  <c r="R1049" i="1" s="1"/>
  <c r="H1049" i="1" s="1"/>
  <c r="R1122" i="1"/>
  <c r="R1133" i="1" s="1"/>
  <c r="H1133" i="1" s="1"/>
  <c r="R1290" i="1"/>
  <c r="R1301" i="1" s="1"/>
  <c r="H1301" i="1" s="1"/>
  <c r="R968" i="1"/>
  <c r="H968" i="1" s="1"/>
  <c r="R999" i="1"/>
  <c r="R1000" i="1" s="1"/>
  <c r="R1011" i="1" s="1"/>
  <c r="H1011" i="1" s="1"/>
  <c r="R1332" i="1"/>
  <c r="R1343" i="1" s="1"/>
  <c r="H1343" i="1" s="1"/>
  <c r="R1164" i="1"/>
  <c r="R1175" i="1" s="1"/>
  <c r="H1175" i="1" s="1"/>
  <c r="R1206" i="1"/>
  <c r="R1217" i="1" s="1"/>
  <c r="H1217" i="1" s="1"/>
  <c r="S493" i="1" l="1"/>
  <c r="S417" i="1"/>
  <c r="S424" i="1"/>
  <c r="S416" i="1"/>
  <c r="S423" i="1"/>
  <c r="S418" i="1"/>
  <c r="S425" i="1"/>
  <c r="S499" i="1" l="1"/>
  <c r="S526" i="1"/>
  <c r="S542" i="1" s="1"/>
  <c r="S562" i="1" l="1"/>
  <c r="S544" i="1" s="1"/>
  <c r="S546" i="1" s="1"/>
  <c r="S561" i="1"/>
  <c r="S563" i="1" s="1"/>
  <c r="F14" i="1" s="1"/>
  <c r="G14" i="1" s="1"/>
  <c r="S517" i="1"/>
  <c r="S518" i="1"/>
  <c r="S501" i="1" s="1"/>
  <c r="S503" i="1" s="1"/>
  <c r="S519" i="1" l="1"/>
  <c r="S550" i="1"/>
  <c r="S549" i="1" s="1"/>
  <c r="S552" i="1" s="1"/>
  <c r="S556" i="1" s="1"/>
  <c r="S507" i="1"/>
  <c r="S506" i="1" s="1"/>
  <c r="S509" i="1" s="1"/>
  <c r="S513" i="1" s="1"/>
  <c r="S567" i="1" s="1"/>
  <c r="S568" i="1" l="1"/>
  <c r="S570" i="1" s="1"/>
  <c r="S259" i="1" s="1"/>
  <c r="S258" i="1"/>
  <c r="S335" i="1" l="1"/>
  <c r="S318" i="1"/>
  <c r="S299" i="1"/>
  <c r="S261" i="1"/>
  <c r="S266" i="1" s="1"/>
  <c r="S356" i="1" l="1"/>
  <c r="S359" i="1" s="1"/>
  <c r="S302" i="1"/>
  <c r="S334" i="1"/>
  <c r="S349" i="1" s="1"/>
  <c r="S322" i="1"/>
  <c r="S948" i="1" l="1"/>
  <c r="S324" i="1"/>
  <c r="S361" i="1"/>
  <c r="S365" i="1" s="1"/>
  <c r="S406" i="1"/>
  <c r="S429" i="1" l="1"/>
  <c r="S431" i="1"/>
  <c r="S430" i="1"/>
  <c r="S432" i="1"/>
  <c r="S601" i="1"/>
  <c r="S608" i="1" s="1"/>
  <c r="S386" i="1" l="1"/>
  <c r="S609" i="1"/>
  <c r="S307" i="1" s="1"/>
  <c r="S455" i="1" s="1"/>
  <c r="S456" i="1" s="1"/>
  <c r="S385" i="1"/>
  <c r="S602" i="1"/>
  <c r="S306" i="1" s="1"/>
  <c r="S616" i="1"/>
  <c r="S387" i="1" l="1"/>
  <c r="S617" i="1"/>
  <c r="S1077" i="1"/>
  <c r="S624" i="1"/>
  <c r="S638" i="1" s="1"/>
  <c r="S389" i="1" l="1"/>
  <c r="S1161" i="1"/>
  <c r="S639" i="1"/>
  <c r="S388" i="1"/>
  <c r="S1119" i="1"/>
  <c r="S625" i="1"/>
  <c r="S308" i="1"/>
  <c r="S458" i="1" s="1"/>
  <c r="S1078" i="1"/>
  <c r="S646" i="1"/>
  <c r="S654" i="1" s="1"/>
  <c r="S391" i="1" l="1"/>
  <c r="S655" i="1"/>
  <c r="S1245" i="1"/>
  <c r="S460" i="1"/>
  <c r="S459" i="1"/>
  <c r="S310" i="1"/>
  <c r="S1162" i="1"/>
  <c r="S309" i="1"/>
  <c r="S1120" i="1"/>
  <c r="S390" i="1"/>
  <c r="S395" i="1" s="1"/>
  <c r="S1203" i="1"/>
  <c r="S647" i="1"/>
  <c r="S396" i="1" l="1"/>
  <c r="S594" i="1" s="1"/>
  <c r="S593" i="1"/>
  <c r="S393" i="1"/>
  <c r="S674" i="1" s="1"/>
  <c r="S675" i="1" s="1"/>
  <c r="S272" i="1" s="1"/>
  <c r="S311" i="1"/>
  <c r="S1204" i="1"/>
  <c r="S312" i="1"/>
  <c r="S1246" i="1"/>
  <c r="S595" i="1" l="1"/>
  <c r="S305" i="1" s="1"/>
  <c r="S278" i="1"/>
  <c r="S952" i="1"/>
  <c r="F6" i="1"/>
  <c r="G6" i="1" s="1"/>
  <c r="S451" i="1"/>
  <c r="S314" i="1"/>
  <c r="S947" i="1" l="1"/>
  <c r="S950" i="1" s="1"/>
  <c r="S955" i="1" s="1"/>
  <c r="F8" i="1"/>
  <c r="G8" i="1" s="1"/>
  <c r="S470" i="1"/>
  <c r="S466" i="1"/>
  <c r="S467" i="1"/>
  <c r="S326" i="1"/>
  <c r="S291" i="1"/>
  <c r="S463" i="1"/>
  <c r="K85" i="1"/>
  <c r="S453" i="1"/>
  <c r="K86" i="1" s="1"/>
  <c r="S452" i="1"/>
  <c r="S328" i="1" l="1"/>
  <c r="S329" i="1" s="1"/>
  <c r="F4" i="1" s="1"/>
  <c r="G4" i="1" s="1"/>
  <c r="F7" i="1"/>
  <c r="G7" i="1" s="1"/>
  <c r="S957" i="1"/>
  <c r="S1206" i="1"/>
  <c r="S1218" i="1" s="1"/>
  <c r="H1218" i="1" s="1"/>
  <c r="S1080" i="1"/>
  <c r="S1092" i="1" s="1"/>
  <c r="H1092" i="1" s="1"/>
  <c r="S1248" i="1"/>
  <c r="S1260" i="1" s="1"/>
  <c r="H1260" i="1" s="1"/>
  <c r="S1290" i="1"/>
  <c r="S1302" i="1" s="1"/>
  <c r="H1302" i="1" s="1"/>
  <c r="S999" i="1"/>
  <c r="S1000" i="1" s="1"/>
  <c r="S1012" i="1" s="1"/>
  <c r="H1012" i="1" s="1"/>
  <c r="S1037" i="1"/>
  <c r="S1038" i="1" s="1"/>
  <c r="S1050" i="1" s="1"/>
  <c r="H1050" i="1" s="1"/>
  <c r="S1122" i="1"/>
  <c r="S1134" i="1" s="1"/>
  <c r="H1134" i="1" s="1"/>
  <c r="S1332" i="1"/>
  <c r="S1344" i="1" s="1"/>
  <c r="H1344" i="1" s="1"/>
  <c r="S969" i="1"/>
  <c r="H969" i="1" s="1"/>
  <c r="S1164" i="1"/>
  <c r="S1176" i="1" s="1"/>
  <c r="H1176" i="1" s="1"/>
  <c r="G16" i="1" l="1"/>
  <c r="F16" i="1" l="1"/>
  <c r="H33" i="1"/>
</calcChain>
</file>

<file path=xl/sharedStrings.xml><?xml version="1.0" encoding="utf-8"?>
<sst xmlns="http://schemas.openxmlformats.org/spreadsheetml/2006/main" count="2151" uniqueCount="597">
  <si>
    <t>This Column</t>
  </si>
  <si>
    <t>CONTROL PANEL</t>
  </si>
  <si>
    <t>Notes:</t>
  </si>
  <si>
    <t>is Reserved</t>
  </si>
  <si>
    <t>For Notes</t>
  </si>
  <si>
    <t>For Formulas</t>
  </si>
  <si>
    <t>CHECKS</t>
  </si>
  <si>
    <t>EQUITY RETURNS</t>
  </si>
  <si>
    <t>DEBT SETTINGS</t>
  </si>
  <si>
    <t>CALC</t>
  </si>
  <si>
    <t>OPTIONAL</t>
  </si>
  <si>
    <t>IS THIS</t>
  </si>
  <si>
    <t xml:space="preserve">YEARS </t>
  </si>
  <si>
    <t>EQUITY</t>
  </si>
  <si>
    <t>All Years Balance:</t>
  </si>
  <si>
    <t>Exit Multiple (of EBITDA)</t>
  </si>
  <si>
    <t>AVG. INT?</t>
  </si>
  <si>
    <t>RDMPTN?</t>
  </si>
  <si>
    <t>SENIOR?</t>
  </si>
  <si>
    <t>TO PIK?</t>
  </si>
  <si>
    <t>STEP</t>
  </si>
  <si>
    <t>Closing Balance Sheet</t>
  </si>
  <si>
    <t>Total Promoted Equity</t>
  </si>
  <si>
    <t xml:space="preserve">--  </t>
  </si>
  <si>
    <t>No Negative Cash:</t>
  </si>
  <si>
    <t>No Negative Assets:</t>
  </si>
  <si>
    <t>TIME LAST CALCULATED</t>
  </si>
  <si>
    <t>No Negative Liabilities:</t>
  </si>
  <si>
    <t>Date:</t>
  </si>
  <si>
    <t>Sources and Uses Balance:</t>
  </si>
  <si>
    <t>Time:</t>
  </si>
  <si>
    <t>Enterprise Value &gt; EBITDA</t>
  </si>
  <si>
    <t>Fully Diluted Equity = 100%</t>
  </si>
  <si>
    <t>TRIGGER SETTINGS</t>
  </si>
  <si>
    <t>Revenue Greater Than EBITDA</t>
  </si>
  <si>
    <t xml:space="preserve">Operating Case </t>
  </si>
  <si>
    <t>Column Alignment</t>
  </si>
  <si>
    <t xml:space="preserve">Cap. Structure Case </t>
  </si>
  <si>
    <t>No Negative NOL</t>
  </si>
  <si>
    <t>Trigger 1</t>
  </si>
  <si>
    <t>------</t>
  </si>
  <si>
    <t>Trigger 2</t>
  </si>
  <si>
    <t>ALL CHECKS OK?</t>
  </si>
  <si>
    <t>Average Interest</t>
  </si>
  <si>
    <t>Stub Period</t>
  </si>
  <si>
    <t>Book Equals Tax Depr.</t>
  </si>
  <si>
    <t xml:space="preserve">  Case Name:</t>
  </si>
  <si>
    <t>Hidden formulas for triggers</t>
  </si>
  <si>
    <t xml:space="preserve">  Capital Structure:</t>
  </si>
  <si>
    <t>Donaldson, Lufkin &amp; Jenrette</t>
  </si>
  <si>
    <t>277 Park Avenue</t>
  </si>
  <si>
    <t>New York, New York  10172</t>
  </si>
  <si>
    <t>TRANSACTION MULTIPLES</t>
  </si>
  <si>
    <t>Uses:</t>
  </si>
  <si>
    <t>Sources</t>
  </si>
  <si>
    <t>% of Capital</t>
  </si>
  <si>
    <t>% of F.D. Eq.</t>
  </si>
  <si>
    <t>Coupon/Div</t>
  </si>
  <si>
    <t>First Sinker /</t>
  </si>
  <si>
    <t>Cum. Mult.</t>
  </si>
  <si>
    <t>Ratio</t>
  </si>
  <si>
    <t>Multiple</t>
  </si>
  <si>
    <t>Excess Cash in Company..........................................................</t>
  </si>
  <si>
    <t xml:space="preserve">--    </t>
  </si>
  <si>
    <t>Year 1</t>
  </si>
  <si>
    <t>Redemption</t>
  </si>
  <si>
    <t>--------</t>
  </si>
  <si>
    <t>The numbers in</t>
  </si>
  <si>
    <t>Total Uses Less Cash......................................................................................................</t>
  </si>
  <si>
    <t>are referenced by</t>
  </si>
  <si>
    <t>the formulas in</t>
  </si>
  <si>
    <t>and are used to</t>
  </si>
  <si>
    <t>INVESTMENT SUMMARY</t>
  </si>
  <si>
    <t>calc first sinker.</t>
  </si>
  <si>
    <t>Assumed Exit Year.....................</t>
  </si>
  <si>
    <t>Base Exit Mutiple................................</t>
  </si>
  <si>
    <t>=====</t>
  </si>
  <si>
    <t>Promoted Equity:</t>
  </si>
  <si>
    <t xml:space="preserve">   Total Sources......................................................................................</t>
  </si>
  <si>
    <t xml:space="preserve">      Total Promoted Equity......................................</t>
  </si>
  <si>
    <t>COVERAGE RATIOS</t>
  </si>
  <si>
    <t>VARIANCE ANALYSIS OF RETURNS</t>
  </si>
  <si>
    <t>Pro Forma</t>
  </si>
  <si>
    <t>EBITDA</t>
  </si>
  <si>
    <t>% of FD Equity</t>
  </si>
  <si>
    <t>Fully Diluted % of Common Owned</t>
  </si>
  <si>
    <t>EBITDA /</t>
  </si>
  <si>
    <t>EBITDA less Maint. Capex /</t>
  </si>
  <si>
    <t>SUMMARY PROJECTED FINANCIAL INFORMATION</t>
  </si>
  <si>
    <t>Long-Term Debt less Cash /</t>
  </si>
  <si>
    <t xml:space="preserve">      Actual</t>
  </si>
  <si>
    <t xml:space="preserve">  EBITDA..............................................</t>
  </si>
  <si>
    <t>Revenues..............................</t>
  </si>
  <si>
    <t>REPAYMENT OF BANK DEBT</t>
  </si>
  <si>
    <t xml:space="preserve">  Growth...............................</t>
  </si>
  <si>
    <t>Closing</t>
  </si>
  <si>
    <t>Total Bank Debt Outstanding.................................................</t>
  </si>
  <si>
    <t>Gross Profit....................</t>
  </si>
  <si>
    <t xml:space="preserve">  Cumulative Percent Paid Down...................................................</t>
  </si>
  <si>
    <t xml:space="preserve">  Margin...............................</t>
  </si>
  <si>
    <t>EBITDA...........</t>
  </si>
  <si>
    <t/>
  </si>
  <si>
    <t>Int. Expense............</t>
  </si>
  <si>
    <t>with Footnote header.  Manually</t>
  </si>
  <si>
    <t>(1) Adjusted Purchase Price is defined as Purchase Price of Equity plus Preferred plus Debt minus all Cash.</t>
  </si>
  <si>
    <t>Maint. Capex......................................................................................................</t>
  </si>
  <si>
    <t>type footnotes for page, if any,</t>
  </si>
  <si>
    <t>Total Capex......................................................................................................</t>
  </si>
  <si>
    <t>OPERATING AND WORKING CAPITAL ASSUMPTIONS</t>
  </si>
  <si>
    <t>Sales......................................................................................................</t>
  </si>
  <si>
    <t xml:space="preserve">  Growth......................................................................................................</t>
  </si>
  <si>
    <t xml:space="preserve">--   </t>
  </si>
  <si>
    <t>COGS......................................................................................................</t>
  </si>
  <si>
    <t xml:space="preserve">  % of Sales......................................................................................................</t>
  </si>
  <si>
    <t>Gross Profit....................................................................</t>
  </si>
  <si>
    <t xml:space="preserve">  Gross Margin.................................................................</t>
  </si>
  <si>
    <t>SG&amp;A......................................................................................................</t>
  </si>
  <si>
    <t>EBITDA......................................................................................................</t>
  </si>
  <si>
    <t>======</t>
  </si>
  <si>
    <t>Book Depreciation......................................................................................................</t>
  </si>
  <si>
    <t>Tax Depreciation..........................................................................</t>
  </si>
  <si>
    <t>Expansion Capex......................................................................................................</t>
  </si>
  <si>
    <t>Working Capital Assumptions:</t>
  </si>
  <si>
    <t>(% of Sales)</t>
  </si>
  <si>
    <t xml:space="preserve">    Days Receivable...........</t>
  </si>
  <si>
    <t>(% of COGS)</t>
  </si>
  <si>
    <t xml:space="preserve">    Inventory Turns  (x)</t>
  </si>
  <si>
    <t xml:space="preserve">    Days Payable..............</t>
  </si>
  <si>
    <t>(% of Taxes)</t>
  </si>
  <si>
    <t>INTEREST RATE ASSUMPTIONS</t>
  </si>
  <si>
    <t>Interest on:</t>
  </si>
  <si>
    <t xml:space="preserve">   Prime Rate.........................................................................................................................</t>
  </si>
  <si>
    <t xml:space="preserve">   LIBOR.........................................................................................................................</t>
  </si>
  <si>
    <t>Prime +</t>
  </si>
  <si>
    <t>LIBOR +</t>
  </si>
  <si>
    <t xml:space="preserve"> Loan to Receivables</t>
  </si>
  <si>
    <t xml:space="preserve"> Loan to Inventories</t>
  </si>
  <si>
    <t>Security Notes</t>
  </si>
  <si>
    <t xml:space="preserve">  Existing Debt...................................................................................................</t>
  </si>
  <si>
    <t xml:space="preserve"> </t>
  </si>
  <si>
    <t xml:space="preserve">  Short-term Investments...................................................................................................................</t>
  </si>
  <si>
    <t xml:space="preserve">  Federal Tax Rate............................................................................................</t>
  </si>
  <si>
    <t xml:space="preserve">  State / Foreign Tax Rate........................................................................</t>
  </si>
  <si>
    <t xml:space="preserve">  Inflation........................................................................................................</t>
  </si>
  <si>
    <t>BALANCE SHEET ADJUSTMENTS AT CLOSING</t>
  </si>
  <si>
    <t>Adjustments</t>
  </si>
  <si>
    <t>Actual</t>
  </si>
  <si>
    <t>Assets</t>
  </si>
  <si>
    <t>Debit</t>
  </si>
  <si>
    <t>Credit</t>
  </si>
  <si>
    <t>Liabilities and Equity</t>
  </si>
  <si>
    <t>Current:</t>
  </si>
  <si>
    <t xml:space="preserve">  Excess Cash..............................................................................</t>
  </si>
  <si>
    <t xml:space="preserve">  Cash for Working Capital..........................................................</t>
  </si>
  <si>
    <t xml:space="preserve">  Accounts Payable......................................................................</t>
  </si>
  <si>
    <t xml:space="preserve">  Accounts Receivable..............................................................</t>
  </si>
  <si>
    <t xml:space="preserve">  Accrued Expenses.................................................................</t>
  </si>
  <si>
    <t xml:space="preserve">  Inventories...................................................................................................</t>
  </si>
  <si>
    <t xml:space="preserve">  Accrued Liabilities.........................................................</t>
  </si>
  <si>
    <t xml:space="preserve">  Prepaid Expenses...........................................................................</t>
  </si>
  <si>
    <t xml:space="preserve">  Taxes Payable........................................................................</t>
  </si>
  <si>
    <t xml:space="preserve">  Other Current Liabilities..................................................................</t>
  </si>
  <si>
    <t xml:space="preserve">    Total Current Assets.........................................................................</t>
  </si>
  <si>
    <t xml:space="preserve">    Total Current Liabilities...........................................................</t>
  </si>
  <si>
    <t>P, P &amp; E and Capitalized Leases........................................................................</t>
  </si>
  <si>
    <t>Long-term Debt:</t>
  </si>
  <si>
    <t>Less: Depreciation...........................................................................</t>
  </si>
  <si>
    <t xml:space="preserve">    Net P, P &amp; E and Capitalized Leases..........................................................</t>
  </si>
  <si>
    <t>Other Noncurrent Assets:</t>
  </si>
  <si>
    <t xml:space="preserve">  Net Assets of Discontinued Ops.................................................................</t>
  </si>
  <si>
    <t xml:space="preserve">  Other Assets..........................................................................................</t>
  </si>
  <si>
    <t>Goodwill.......................................................................................................................</t>
  </si>
  <si>
    <t>Capitalized Financing Costs..............................................................</t>
  </si>
  <si>
    <t xml:space="preserve">    Total Long-term Debt..........................................................................</t>
  </si>
  <si>
    <t xml:space="preserve">  Total Assets............................................................................</t>
  </si>
  <si>
    <t>Other Liabilities .....................................................................</t>
  </si>
  <si>
    <t>Minority Interest...................................................................</t>
  </si>
  <si>
    <t>DETERMINATION OF GOODWILL</t>
  </si>
  <si>
    <t>Deferred Income Taxes........................................................................</t>
  </si>
  <si>
    <t>Excess Purch. Price over Net Assets:</t>
  </si>
  <si>
    <t>Allocation of Excess:</t>
  </si>
  <si>
    <t xml:space="preserve">  Total Liabilities..........................................................................</t>
  </si>
  <si>
    <t>Purchase Price..........................................................................</t>
  </si>
  <si>
    <t>Transaction Expenses..........................................................................</t>
  </si>
  <si>
    <t>Cap. Trans. Expenses.........................................................</t>
  </si>
  <si>
    <t>Prepayment Penalties..........................................................................</t>
  </si>
  <si>
    <t>Deferred Taxes....................................................</t>
  </si>
  <si>
    <t>PP &amp; E  Write-up............................................</t>
  </si>
  <si>
    <t>Common Equity..............................................................................</t>
  </si>
  <si>
    <t xml:space="preserve">  Total Purchase Price...............................................................</t>
  </si>
  <si>
    <t>Goodwill..............................................</t>
  </si>
  <si>
    <t xml:space="preserve">  Total Equity..............................................................</t>
  </si>
  <si>
    <t>Common Equity................................................................</t>
  </si>
  <si>
    <t xml:space="preserve">    Total Allocation..................................</t>
  </si>
  <si>
    <t>Preferred Stock..................................................</t>
  </si>
  <si>
    <t xml:space="preserve">    Total Liabilities and Equity...........................................................</t>
  </si>
  <si>
    <t xml:space="preserve">  Excess Purch. Price Over Net Assets................................................................</t>
  </si>
  <si>
    <t>INCOME STATEMENTS</t>
  </si>
  <si>
    <t>Total Sales....................................................................................</t>
  </si>
  <si>
    <t xml:space="preserve">  Cost of Sales....................................................................................</t>
  </si>
  <si>
    <t>Gross Profit.........................................................................................</t>
  </si>
  <si>
    <t>Operating Income (EBITDA)................................................................................</t>
  </si>
  <si>
    <t>Depreciation.................................................................................................</t>
  </si>
  <si>
    <t>EBIT................................................................................................................</t>
  </si>
  <si>
    <t>Avg Interest:</t>
  </si>
  <si>
    <t>Do Not Erase Or Put Numbers In this column around this area</t>
  </si>
  <si>
    <t xml:space="preserve">    Total Interest Expense..................................................................................</t>
  </si>
  <si>
    <t>Interest Income on Short-term Investments.....................................................</t>
  </si>
  <si>
    <t xml:space="preserve">  Pretax Income........................................................................................</t>
  </si>
  <si>
    <t>Income Taxes:</t>
  </si>
  <si>
    <t xml:space="preserve">  Current...............................................................................................</t>
  </si>
  <si>
    <t xml:space="preserve">  Deferred................................................................................................</t>
  </si>
  <si>
    <t xml:space="preserve">  Net Income....................................................................................................</t>
  </si>
  <si>
    <t>Dividends :</t>
  </si>
  <si>
    <t xml:space="preserve">  Income Available to Common..........................................................................................</t>
  </si>
  <si>
    <t>BALANCE SHEETS</t>
  </si>
  <si>
    <t>ASSETS</t>
  </si>
  <si>
    <t>LIABILITIES</t>
  </si>
  <si>
    <t>-------</t>
  </si>
  <si>
    <t>CASH FLOW STATEMENTS</t>
  </si>
  <si>
    <t>Funds From (Used by) Operating Activities:</t>
  </si>
  <si>
    <t xml:space="preserve">  Net Income Available to Common...........................................................................</t>
  </si>
  <si>
    <t xml:space="preserve">  Deferred Taxes................................................................................................</t>
  </si>
  <si>
    <t xml:space="preserve">  Depreciation......................................................................................................</t>
  </si>
  <si>
    <t xml:space="preserve">  Accretion of : </t>
  </si>
  <si>
    <t xml:space="preserve">  Amortization of :</t>
  </si>
  <si>
    <t xml:space="preserve">    Subtotal..................................................................................................................</t>
  </si>
  <si>
    <t>contain individual W.C. accounts.</t>
  </si>
  <si>
    <t xml:space="preserve">  Change in Working Capital.............................................................................</t>
  </si>
  <si>
    <t xml:space="preserve">    Funds From Operations.............................................................................................</t>
  </si>
  <si>
    <t>Funds Used by Investing Activities:</t>
  </si>
  <si>
    <t xml:space="preserve">  Capital Expenditures.......................................................................</t>
  </si>
  <si>
    <t xml:space="preserve">       Cash Available for Debt Repayment...........................................................</t>
  </si>
  <si>
    <t>Funds Used by (From) Financing Activities:</t>
  </si>
  <si>
    <t>Additional Revolver Borrowings.................................................................</t>
  </si>
  <si>
    <t>Mandatory Debt/Preferred Stock Repayments:</t>
  </si>
  <si>
    <t>Total Mandatory Debt Repayments...........................................................................</t>
  </si>
  <si>
    <t>Optional Debt Repayment</t>
  </si>
  <si>
    <t xml:space="preserve">  Increase in Free Cash ............................................................................................................</t>
  </si>
  <si>
    <t>Revolver Drawdowns.............................................................................................</t>
  </si>
  <si>
    <t>Revolver Repayments.......................................................................</t>
  </si>
  <si>
    <t>RATIO ANALYSIS</t>
  </si>
  <si>
    <t>Proforma</t>
  </si>
  <si>
    <t>Income Statement Data:</t>
  </si>
  <si>
    <t>Operating Income  (EBITDA).................................................................................</t>
  </si>
  <si>
    <t>EBITDA Less Maint. Capital Expenditures................................................................</t>
  </si>
  <si>
    <t>EBITDA Less Maint. Capital Expenditures &amp;</t>
  </si>
  <si>
    <t xml:space="preserve">             Changes in Working Capital....................................................................</t>
  </si>
  <si>
    <t>NA</t>
  </si>
  <si>
    <t>Senior Debt Interest Expense...............................................................</t>
  </si>
  <si>
    <t>Cash Interest Expense..............................................................................</t>
  </si>
  <si>
    <t>Total Interest Expense..............................................................................</t>
  </si>
  <si>
    <t>Total Fixed Charges.............................................................................................</t>
  </si>
  <si>
    <t>Operating Income  (EBITDA) /</t>
  </si>
  <si>
    <t>EBITDA Less Maint. Capital Expenditures /</t>
  </si>
  <si>
    <t>EBITDA Less Maint. Cap-Ex &amp; W.C. Changes /</t>
  </si>
  <si>
    <t xml:space="preserve">--      </t>
  </si>
  <si>
    <t>Sr. Debt list automatically updated</t>
  </si>
  <si>
    <t>RATIO ANALYSIS  -  (CONTINUED)</t>
  </si>
  <si>
    <t>Balance Sheet</t>
  </si>
  <si>
    <t>Total Bank Debt Outstanding..........................................................</t>
  </si>
  <si>
    <t xml:space="preserve">  Percent Repaid per Year...................................................................................</t>
  </si>
  <si>
    <t xml:space="preserve">  Cumulative Percent Repaid..............................................................................</t>
  </si>
  <si>
    <t>Evergreen Revolver Outstanding........................................................................</t>
  </si>
  <si>
    <t xml:space="preserve">    Pct. Outstanding of Maximum Allowed...........................................................................</t>
  </si>
  <si>
    <t>Balance Sheet (GAAP)</t>
  </si>
  <si>
    <t>Current Ratio.......................................................................................</t>
  </si>
  <si>
    <t>Long-term Debt to:</t>
  </si>
  <si>
    <t xml:space="preserve">  Equity...............................................................................................................................</t>
  </si>
  <si>
    <t xml:space="preserve">  Total Capitalization................................................................................</t>
  </si>
  <si>
    <t>Long-term Debt less Total Cash:</t>
  </si>
  <si>
    <t xml:space="preserve">  EBITDA...............................................................................................</t>
  </si>
  <si>
    <t>TAX SCHEDULE (BOOK)</t>
  </si>
  <si>
    <t>PRETAX INCOME</t>
  </si>
  <si>
    <t>Permanent Differences:</t>
  </si>
  <si>
    <t xml:space="preserve">  Goodwill</t>
  </si>
  <si>
    <t xml:space="preserve">  Non-deductible Depreciation</t>
  </si>
  <si>
    <t>BOOK PRETAX</t>
  </si>
  <si>
    <t>Utilization of NOL</t>
  </si>
  <si>
    <t>NET ADJUSTED PRETAX INCOME</t>
  </si>
  <si>
    <t>Calculation of Tax Provision (Book)</t>
  </si>
  <si>
    <t>Federal Income Taxes</t>
  </si>
  <si>
    <t>State Income Taxes</t>
  </si>
  <si>
    <t>Preliminary Book Tax Provision</t>
  </si>
  <si>
    <t>ITC Utilized</t>
  </si>
  <si>
    <t>BOOK TAX PROVISION</t>
  </si>
  <si>
    <t>NOL Schedule (Book)</t>
  </si>
  <si>
    <t>BOY NOL Carryforward</t>
  </si>
  <si>
    <t>Additions</t>
  </si>
  <si>
    <t>Subtractions</t>
  </si>
  <si>
    <t>EOY NOL Carryforward</t>
  </si>
  <si>
    <t>TAX SCHEDULE (TAX)</t>
  </si>
  <si>
    <t xml:space="preserve">  Amortization of Non-Deductible Fees &amp; Expenses</t>
  </si>
  <si>
    <t>----</t>
  </si>
  <si>
    <t>Timing Differences</t>
  </si>
  <si>
    <t xml:space="preserve">  Book Depreciation</t>
  </si>
  <si>
    <t xml:space="preserve">  Tax Depreciation</t>
  </si>
  <si>
    <t>Other Timing Differences</t>
  </si>
  <si>
    <t>TAX PRETAX INCOME</t>
  </si>
  <si>
    <t>Utilization of Tax NOL</t>
  </si>
  <si>
    <t>NET ADJUSTED TAX PRETAX INCOME</t>
  </si>
  <si>
    <t>====</t>
  </si>
  <si>
    <t>Calculation of Tax Provision (Tax)</t>
  </si>
  <si>
    <t>Preliminary Tax Provision (Tax)</t>
  </si>
  <si>
    <t>ITC Utilized (Tax)</t>
  </si>
  <si>
    <t>TAX PROVISION</t>
  </si>
  <si>
    <t>Summary of NOL Carryforwards</t>
  </si>
  <si>
    <t>Summary of Deferred Income Taxes</t>
  </si>
  <si>
    <t>Book Tax Provision</t>
  </si>
  <si>
    <t>Tax Provision</t>
  </si>
  <si>
    <t>NET DEFERRED TAX</t>
  </si>
  <si>
    <t>DEBT SCHEDULES</t>
  </si>
  <si>
    <t>Year :</t>
  </si>
  <si>
    <t xml:space="preserve">  Beginning Balance</t>
  </si>
  <si>
    <t xml:space="preserve">  Interest Expense</t>
  </si>
  <si>
    <t xml:space="preserve">  Mandatory Repayment</t>
  </si>
  <si>
    <t xml:space="preserve">  Optional Repayment</t>
  </si>
  <si>
    <t xml:space="preserve">  Ending Balance</t>
  </si>
  <si>
    <t xml:space="preserve">  Addition</t>
  </si>
  <si>
    <t xml:space="preserve">  Repayment</t>
  </si>
  <si>
    <t xml:space="preserve">  </t>
  </si>
  <si>
    <t xml:space="preserve">  Additional Borrowing/(Mandatory Repayment)</t>
  </si>
  <si>
    <t xml:space="preserve">  Accretion</t>
  </si>
  <si>
    <t>DEBT SCHEDULES  -  (con't)</t>
  </si>
  <si>
    <t>Beginning Balance</t>
  </si>
  <si>
    <t>Dividends</t>
  </si>
  <si>
    <t>Accretion</t>
  </si>
  <si>
    <t>Repayments</t>
  </si>
  <si>
    <t>Ending Balance</t>
  </si>
  <si>
    <t>SHORT-TERM INVESTMENTS</t>
  </si>
  <si>
    <t xml:space="preserve">  Beginning Cash Balance</t>
  </si>
  <si>
    <t xml:space="preserve">  Interest Income</t>
  </si>
  <si>
    <t xml:space="preserve">  Addition/Subtraction</t>
  </si>
  <si>
    <t xml:space="preserve">  Ending Cash Balance</t>
  </si>
  <si>
    <t>BOOK DEPRECIATION SCHEDULE</t>
  </si>
  <si>
    <t>SUMMARY OF CAPITAL EXPENDITURES:</t>
  </si>
  <si>
    <t>(Excluding Special Capital Expenditures)</t>
  </si>
  <si>
    <t>Capital Expenditures.............................................................................</t>
  </si>
  <si>
    <t>Land...................................................................</t>
  </si>
  <si>
    <t>Year</t>
  </si>
  <si>
    <t>Allocation</t>
  </si>
  <si>
    <t>Total....................................................................................</t>
  </si>
  <si>
    <t>BOOK DEPRECIATION SCHEDULE (CONT.)</t>
  </si>
  <si>
    <t>SPECIAL CAPITAL EXPENDITURES:</t>
  </si>
  <si>
    <t>Annual Expenditures..................................................</t>
  </si>
  <si>
    <t>Asset Life.......................................</t>
  </si>
  <si>
    <t>SUMMARY OF DEPRECIATION:</t>
  </si>
  <si>
    <t>Special CAPEX Assets..................................</t>
  </si>
  <si>
    <t>Total New CAPEX Depr...................</t>
  </si>
  <si>
    <t>Runoff Depreciation......................</t>
  </si>
  <si>
    <t>Total Book Depreciation........................</t>
  </si>
  <si>
    <t>ACCELERATED (TAX) DEPRECIATION</t>
  </si>
  <si>
    <t>MACRS - Percent of Asset Depreciated per Year (Mid Year Convention)</t>
  </si>
  <si>
    <t>User Def.</t>
  </si>
  <si>
    <t>If you are using a depreciation life</t>
  </si>
  <si>
    <t>which is not built into the model (all</t>
  </si>
  <si>
    <t>standard lives are included) simply</t>
  </si>
  <si>
    <t xml:space="preserve">replace the words "User Defined" in  </t>
  </si>
  <si>
    <t>years and input the annual depr. %'s.</t>
  </si>
  <si>
    <t>in the appropriate cells below.</t>
  </si>
  <si>
    <t xml:space="preserve">Note:   </t>
  </si>
  <si>
    <t>MACRS depreciation is 200% declining balance for 3, 5, 7 and 10 year assets.  The 150% declining balance method is used for 15 and 20 year assets.  Non-residential</t>
  </si>
  <si>
    <t>real estate is depreciated using the straight line method over 31.5 years.</t>
  </si>
  <si>
    <t>Source:</t>
  </si>
  <si>
    <t>1992 U.S. Master Tax Guide, Commerce Clearing House, Inc.</t>
  </si>
  <si>
    <t>Capital Expenditures....................................</t>
  </si>
  <si>
    <t>-----</t>
  </si>
  <si>
    <t>Total Depreciation...................................</t>
  </si>
  <si>
    <t>ACCELERATED (TAX) DEPRECIATION (CONT.)</t>
  </si>
  <si>
    <t>Total Depreciation......................................................................</t>
  </si>
  <si>
    <t>(Uses Double Declining Balance Method)</t>
  </si>
  <si>
    <t>_____</t>
  </si>
  <si>
    <t>SUMMARY OF TAX DEPRECIATION:</t>
  </si>
  <si>
    <t>Total New CAPEX Depr........................................</t>
  </si>
  <si>
    <t>Runoff Depreciation..................................................</t>
  </si>
  <si>
    <t>=======</t>
  </si>
  <si>
    <t>Schedule of Equity Holders</t>
  </si>
  <si>
    <t>Equity</t>
  </si>
  <si>
    <t>Total</t>
  </si>
  <si>
    <t>Fully</t>
  </si>
  <si>
    <t>Bought At</t>
  </si>
  <si>
    <t>Bought</t>
  </si>
  <si>
    <t>Free</t>
  </si>
  <si>
    <t xml:space="preserve">Before </t>
  </si>
  <si>
    <t>Promoted</t>
  </si>
  <si>
    <t>Diluted</t>
  </si>
  <si>
    <t>Warrants</t>
  </si>
  <si>
    <t>Promotes</t>
  </si>
  <si>
    <t>Ownership</t>
  </si>
  <si>
    <t>Analysis of Equity Account:</t>
  </si>
  <si>
    <t>Percent Attributable to DLJ....................................................................................................</t>
  </si>
  <si>
    <t>Percent Attributable to Management..................................................................................................................</t>
  </si>
  <si>
    <t xml:space="preserve">    Total Percent Attributable to Investor Group.........................................................</t>
  </si>
  <si>
    <t xml:space="preserve">    Total Equity.............................................................................................................................</t>
  </si>
  <si>
    <t>Exit Multiple (of EBITDA)...............................................................................................................</t>
  </si>
  <si>
    <t>Promote to DLJ..........................................................................................................................................</t>
  </si>
  <si>
    <t>Promote to Management........................................................................................................</t>
  </si>
  <si>
    <t xml:space="preserve">    Total Promote...................................................................................................................................</t>
  </si>
  <si>
    <t>Calculation of Terminal Equity Values</t>
  </si>
  <si>
    <t>Analysis of Terminal Equity Values:</t>
  </si>
  <si>
    <t>Operating Cash Flow (EBITDA)....................................................................................................</t>
  </si>
  <si>
    <t>Multiple...................................................................................................................</t>
  </si>
  <si>
    <t>Enterprise Value....................................................................................................</t>
  </si>
  <si>
    <t>Less: LTD on Balance Sheet............................................................................</t>
  </si>
  <si>
    <t>Less: Preferred Stock (Accreted Balance)......................................................................</t>
  </si>
  <si>
    <t xml:space="preserve">    Total Long-term Liabilities............................................................................</t>
  </si>
  <si>
    <t>Plus: Cash from Warrant Exercises.........................................................................................</t>
  </si>
  <si>
    <t xml:space="preserve">  Value of Common Equity..................................................................................</t>
  </si>
  <si>
    <t xml:space="preserve">    Growth Rate..........................................................................................................................</t>
  </si>
  <si>
    <t>Returns on 100% of Equity Assuming no Dilution:</t>
  </si>
  <si>
    <t>IRR</t>
  </si>
  <si>
    <t>Returns to All Equity After Promotes</t>
  </si>
  <si>
    <t>Exit</t>
  </si>
  <si>
    <t>(of EBITDA)</t>
  </si>
  <si>
    <t>They contain data table formulas.</t>
  </si>
  <si>
    <t>(1) Cash for W.C. is included in TEV calculation.</t>
  </si>
  <si>
    <t>Cash Outlay for Exercise of Bought Warrants...................................................................................................................</t>
  </si>
  <si>
    <t>Common Equity Owned........................................................................................................................................</t>
  </si>
  <si>
    <t xml:space="preserve">    Total Cash Flow.........................................................................................................................................................</t>
  </si>
  <si>
    <t>Returns on DLJ's Equity</t>
  </si>
  <si>
    <t>Cash Flows to DLJ:</t>
  </si>
  <si>
    <t>Fully Diluted Equity to DLJ</t>
  </si>
  <si>
    <t>Initial Cash Outlay...................................................................................................................................................</t>
  </si>
  <si>
    <t>Purchase of Common Stock at Closing..........................................................................................................................................</t>
  </si>
  <si>
    <t>Cash Interest Income.............................................................................................................................................................</t>
  </si>
  <si>
    <t>Principal Repayments...................................................................................................................................................</t>
  </si>
  <si>
    <t>Principal Balance Outstanding.........................................................................................................................</t>
  </si>
  <si>
    <t>x</t>
  </si>
  <si>
    <t>General Information</t>
  </si>
  <si>
    <t>This info to the right is printed</t>
  </si>
  <si>
    <t>Project Name:</t>
  </si>
  <si>
    <t>Project Mezzanine</t>
  </si>
  <si>
    <t>in the center of the top of the cover</t>
  </si>
  <si>
    <t>Type of Transaction (i.e. Leveraged Buyout, Financing):</t>
  </si>
  <si>
    <t>Leveraged Buyout</t>
  </si>
  <si>
    <t>page of the model.</t>
  </si>
  <si>
    <t>Model Prepared by:</t>
  </si>
  <si>
    <t>Vincent Scafaria</t>
  </si>
  <si>
    <t>Telephone Extension:</t>
  </si>
  <si>
    <t>Used in the Eq. and Ret. sections</t>
  </si>
  <si>
    <t>Sponsor:</t>
  </si>
  <si>
    <t>Sponsor</t>
  </si>
  <si>
    <t>First Projected Year (Range Name = "Year"):</t>
  </si>
  <si>
    <t>Company's Fiscal Year End (Range Name = "FYE")</t>
  </si>
  <si>
    <t>December 31,</t>
  </si>
  <si>
    <t>Expected Closing Date:</t>
  </si>
  <si>
    <t>No. of Mos. for Stub. Period  ( Less Than 12 is a Stub)</t>
  </si>
  <si>
    <t>Exit Multiple (of EBITDA):</t>
  </si>
  <si>
    <t>Exit Multiple Step Increments (for Variance Analysis):</t>
  </si>
  <si>
    <t>Equity Step Increments (for Variance Analysis)</t>
  </si>
  <si>
    <t>Years to Amortize Goodwill:</t>
  </si>
  <si>
    <t>Years to Amortize Capitalized Financing Costs:</t>
  </si>
  <si>
    <t>Percent of Financing Costs Tax Deductible:</t>
  </si>
  <si>
    <t>Current Case Triggers</t>
  </si>
  <si>
    <t>Operating Case Number</t>
  </si>
  <si>
    <t>Capital Structure Case Number</t>
  </si>
  <si>
    <t>Can be set on within Print Utility</t>
  </si>
  <si>
    <t>Average Interest Switch (1=Yes)</t>
  </si>
  <si>
    <t>Setting to "Yes" creates CIRC which requires up to 100 iterations to solve.</t>
  </si>
  <si>
    <t>Interest on Cash for WC?</t>
  </si>
  <si>
    <t>Hardwire Depreciation</t>
  </si>
  <si>
    <t>Set Tax Depreciation Equal to Book  (1=Yes)</t>
  </si>
  <si>
    <t>Investor Group Equity Account Information</t>
  </si>
  <si>
    <t>(Percent)</t>
  </si>
  <si>
    <t>DLJ Investment:</t>
  </si>
  <si>
    <t>Management Investment:</t>
  </si>
  <si>
    <t>Other Equity</t>
  </si>
  <si>
    <t>Total Equity</t>
  </si>
  <si>
    <t>Debt Triggers</t>
  </si>
  <si>
    <t>Calc Avg.</t>
  </si>
  <si>
    <t>Optional</t>
  </si>
  <si>
    <t>Is This</t>
  </si>
  <si>
    <t>Spread Over</t>
  </si>
  <si>
    <t>Interest ?</t>
  </si>
  <si>
    <t>Debt Sr.</t>
  </si>
  <si>
    <t>Debt Space</t>
  </si>
  <si>
    <t>Debt Item</t>
  </si>
  <si>
    <t>Prime Rate</t>
  </si>
  <si>
    <t>LIBOR</t>
  </si>
  <si>
    <t>(1=Yes)</t>
  </si>
  <si>
    <t>Pref Space</t>
  </si>
  <si>
    <t>Int. on Cash Bal.</t>
  </si>
  <si>
    <t>The numbers to</t>
  </si>
  <si>
    <t>Short Term Debt</t>
  </si>
  <si>
    <t>the right are used</t>
  </si>
  <si>
    <t>Existing Debt</t>
  </si>
  <si>
    <t>in the calculation</t>
  </si>
  <si>
    <t>Revolver</t>
  </si>
  <si>
    <t>PIK Until</t>
  </si>
  <si>
    <t>Loan To</t>
  </si>
  <si>
    <t>of Senior Debt</t>
  </si>
  <si>
    <t>Term Loan</t>
  </si>
  <si>
    <t>Which</t>
  </si>
  <si>
    <t>Step (for</t>
  </si>
  <si>
    <t>A / R</t>
  </si>
  <si>
    <t>Inv.</t>
  </si>
  <si>
    <t>Interest Expense</t>
  </si>
  <si>
    <t>Evergreen Revolver</t>
  </si>
  <si>
    <t>Year ?</t>
  </si>
  <si>
    <t>Var. Anal.)</t>
  </si>
  <si>
    <t>Debt 1</t>
  </si>
  <si>
    <t>in Ratio Analysis</t>
  </si>
  <si>
    <t>Debt 2</t>
  </si>
  <si>
    <t>section)</t>
  </si>
  <si>
    <t>Debt 3</t>
  </si>
  <si>
    <t>Debt 4</t>
  </si>
  <si>
    <t>Debt 5</t>
  </si>
  <si>
    <t>Preferred 1</t>
  </si>
  <si>
    <t>Preferred 2</t>
  </si>
  <si>
    <t>Rate Assumptions</t>
  </si>
  <si>
    <t>Debt Piece</t>
  </si>
  <si>
    <t>Int. Rate</t>
  </si>
  <si>
    <t>Interest rates can be set in column</t>
  </si>
  <si>
    <t>(G), or if interest changes from</t>
  </si>
  <si>
    <t>year to year, move to the right</t>
  </si>
  <si>
    <t>to the annual rate columns</t>
  </si>
  <si>
    <t>Federal Tax Rate</t>
  </si>
  <si>
    <t>State Tax Rate</t>
  </si>
  <si>
    <t>Inflation</t>
  </si>
  <si>
    <t>Debt  Amortization Schedules</t>
  </si>
  <si>
    <t>years</t>
  </si>
  <si>
    <t>Input annual sinking fund payments</t>
  </si>
  <si>
    <t>as a percent of the ORIGINAL</t>
  </si>
  <si>
    <t>principal outstanding.</t>
  </si>
  <si>
    <t>===============================&gt;</t>
  </si>
  <si>
    <t>Look-up Tables - Operating Assumptions</t>
  </si>
  <si>
    <t>Revenues</t>
  </si>
  <si>
    <t>Case Name</t>
  </si>
  <si>
    <t>Case Description</t>
  </si>
  <si>
    <t>Case Number</t>
  </si>
  <si>
    <t>Case 1</t>
  </si>
  <si>
    <t>Base Case</t>
  </si>
  <si>
    <t>Case 2</t>
  </si>
  <si>
    <t>Case 3</t>
  </si>
  <si>
    <t>Case 4</t>
  </si>
  <si>
    <t>Case 5</t>
  </si>
  <si>
    <t>Case 6</t>
  </si>
  <si>
    <t>Case 7</t>
  </si>
  <si>
    <t>Case 8</t>
  </si>
  <si>
    <t>Case 9</t>
  </si>
  <si>
    <t>Case 10</t>
  </si>
  <si>
    <t>CURRENT CASE</t>
  </si>
  <si>
    <t>COGS</t>
  </si>
  <si>
    <t>SG&amp;A</t>
  </si>
  <si>
    <t>Case Names - Capital Structure</t>
  </si>
  <si>
    <t>No Transaction</t>
  </si>
  <si>
    <t>Look-up Tables - Capital Structure</t>
  </si>
  <si>
    <t>Excess Cash</t>
  </si>
  <si>
    <t>Common</t>
  </si>
  <si>
    <t xml:space="preserve">  Total Sources</t>
  </si>
  <si>
    <t>Uses</t>
  </si>
  <si>
    <t>Purchase Price - Common</t>
  </si>
  <si>
    <t>Transaction Expenses</t>
  </si>
  <si>
    <t xml:space="preserve">    Total Purchase Price</t>
  </si>
  <si>
    <t>Existing Preferred</t>
  </si>
  <si>
    <t>Refinance STD</t>
  </si>
  <si>
    <t>Refinance LTD</t>
  </si>
  <si>
    <t>Prepayment Penalties</t>
  </si>
  <si>
    <t>Excess Cash for W.C.</t>
  </si>
  <si>
    <t xml:space="preserve">    Total Uses</t>
  </si>
  <si>
    <t>Balance Check</t>
  </si>
  <si>
    <t>Trigger Description</t>
  </si>
  <si>
    <t>Trigger #</t>
  </si>
  <si>
    <t>Type Descriptions Here</t>
  </si>
  <si>
    <t>Book Depreciation and Capital Expenditures</t>
  </si>
  <si>
    <t>Pro Forma P,P&amp;E</t>
  </si>
  <si>
    <t>Gross</t>
  </si>
  <si>
    <t>Capital Expenditures</t>
  </si>
  <si>
    <t>Pro Forma PP&amp;E</t>
  </si>
  <si>
    <t>Percent Of</t>
  </si>
  <si>
    <t>Percent</t>
  </si>
  <si>
    <t>Life Allocation</t>
  </si>
  <si>
    <t>Per Year</t>
  </si>
  <si>
    <t>Checks</t>
  </si>
  <si>
    <t>Land (No Depr.)</t>
  </si>
  <si>
    <t>Cap Ex.</t>
  </si>
  <si>
    <t>Cap Ex</t>
  </si>
  <si>
    <t>Depr. lives and their allocations</t>
  </si>
  <si>
    <t>of projected capex are set by default</t>
  </si>
  <si>
    <t>equal the book allocation for Pro</t>
  </si>
  <si>
    <t>Forma PP&amp;E.  These can be changed</t>
  </si>
  <si>
    <t>Special Capex</t>
  </si>
  <si>
    <t>(Not Incl. in Ratios)</t>
  </si>
  <si>
    <t>Annual Expenditure</t>
  </si>
  <si>
    <t>Depreciable Life (in years)</t>
  </si>
  <si>
    <t>Tax Depreciation</t>
  </si>
  <si>
    <t>Set by default equal to book life</t>
  </si>
  <si>
    <t>The T.Pigeon Batch Scenario Printer, Put Range Names on First Line</t>
  </si>
  <si>
    <t>Macros to Run (Separate by One Space filename!rangename)</t>
  </si>
  <si>
    <t>Remove Date and Time (1=Yes, 0=No)</t>
  </si>
  <si>
    <t>Page Override (0=as is, 1=continuous, 2+=start at)</t>
  </si>
  <si>
    <t>Override Range Names (Separate by One Space)</t>
  </si>
  <si>
    <t>Calc Data Tables (1=Yes, 0=No)</t>
  </si>
  <si>
    <t>Casenumber</t>
  </si>
  <si>
    <t>Capnumber</t>
  </si>
  <si>
    <t>Scenario.3</t>
  </si>
  <si>
    <t>Scenario.4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</si>
</sst>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1">
    <numFmt numFmtId="179" formatCode="&quot;$&quot;#,##0.00_);[Red]\(&quot;$&quot;#,##0.00\)"/>
    <numFmt numFmtId="180" formatCode="_(&quot;$&quot;* #,##0_);_(&quot;$&quot;* \(#,##0\);_(&quot;$&quot;* &quot;-&quot;_);_(@_)"/>
    <numFmt numFmtId="181" formatCode="_(&quot;$&quot;* #,##0.00_);_(&quot;$&quot;* \(#,##0.00\);_(&quot;$&quot;* &quot;-&quot;??_);_(@_)"/>
    <numFmt numFmtId="183" formatCode=";;;"/>
    <numFmt numFmtId="184" formatCode="0_)"/>
    <numFmt numFmtId="185" formatCode="#,##0.0_);\(#,##0.0\)"/>
    <numFmt numFmtId="186" formatCode="dd\-mmm\-yy_)"/>
    <numFmt numFmtId="187" formatCode="&quot;$&quot;#,##0.0_);\(&quot;$&quot;#,##0.0\)"/>
    <numFmt numFmtId="188" formatCode="0.0%"/>
    <numFmt numFmtId="189" formatCode="0.0_)"/>
    <numFmt numFmtId="190" formatCode="0.00_)"/>
    <numFmt numFmtId="191" formatCode="#,##0.000_);\(#,##0.000\)"/>
    <numFmt numFmtId="192" formatCode="0.0"/>
    <numFmt numFmtId="193" formatCode="#,##0.0_);[Red]\(#,##0.0\)"/>
    <numFmt numFmtId="194" formatCode="&quot;$&quot;#,##0.0"/>
    <numFmt numFmtId="195" formatCode="&quot;$&quot;#,##0.0_);[Red]\(&quot;$&quot;#,##0.0\)"/>
    <numFmt numFmtId="196" formatCode="#,##0.000_);[Red]\(#,##0.000\)"/>
    <numFmt numFmtId="197" formatCode="#,##0_);\(#,##0\);&quot;&quot;;@"/>
    <numFmt numFmtId="198" formatCode="&quot;hide&quot;;&quot;hide&quot;;&quot;hide&quot;;&quot;hide&quot;"/>
    <numFmt numFmtId="199" formatCode="&quot;Yes&quot;;&quot;ERROR&quot;;&quot;No&quot;;&quot;ERROR&quot;"/>
    <numFmt numFmtId="200" formatCode="#,##0.0"/>
    <numFmt numFmtId="201" formatCode="#,##0.0;\(#,##0.0\)"/>
    <numFmt numFmtId="202" formatCode="#,##0.00&quot;x&quot;;\(#,##0.00\)&quot;x&quot;"/>
    <numFmt numFmtId="203" formatCode="#,##0.00\ \ ;\(#,##0.00\)\ \ "/>
    <numFmt numFmtId="204" formatCode="0\ "/>
    <numFmt numFmtId="205" formatCode="#,##0.0\ &quot;x&quot;;\(#,##0.0\)\ &quot;x&quot;"/>
    <numFmt numFmtId="206" formatCode="#,##0.000_);\(#,##0.000\);\ "/>
    <numFmt numFmtId="207" formatCode="General_)"/>
    <numFmt numFmtId="208" formatCode="#,##0.0_);\(#,##0.0\);\-\-_)"/>
    <numFmt numFmtId="209" formatCode="&quot;Yes&quot;;&quot;ERROR&quot;;&quot;No&quot;"/>
    <numFmt numFmtId="210" formatCode="#,##0.0\x_);\(#,##0.0\x\);#,##0.0\x_);@_)"/>
  </numFmts>
  <fonts count="42" x14ac:knownFonts="1">
    <font>
      <sz val="10"/>
      <name val="Times New Roman"/>
    </font>
    <font>
      <sz val="10"/>
      <name val="MS Sans Serif"/>
    </font>
    <font>
      <b/>
      <u/>
      <sz val="1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sz val="10"/>
      <color indexed="12"/>
      <name val="Times New Roman"/>
      <family val="1"/>
    </font>
    <font>
      <u/>
      <sz val="10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b/>
      <u/>
      <sz val="14"/>
      <name val="Times New Roman"/>
      <family val="1"/>
    </font>
    <font>
      <b/>
      <sz val="10"/>
      <color indexed="8"/>
      <name val="Times New Roman"/>
      <family val="1"/>
    </font>
    <font>
      <b/>
      <sz val="10"/>
      <color indexed="12"/>
      <name val="Times New Roman"/>
      <family val="1"/>
    </font>
    <font>
      <sz val="10"/>
      <color indexed="8"/>
      <name val="Times New Roman"/>
      <family val="1"/>
    </font>
    <font>
      <b/>
      <u/>
      <sz val="10"/>
      <color indexed="8"/>
      <name val="Times New Roman"/>
      <family val="1"/>
    </font>
    <font>
      <i/>
      <u/>
      <sz val="10"/>
      <name val="Times New Roman"/>
      <family val="1"/>
    </font>
    <font>
      <i/>
      <sz val="10"/>
      <name val="Times New Roman"/>
      <family val="1"/>
    </font>
    <font>
      <b/>
      <u/>
      <sz val="10"/>
      <color indexed="12"/>
      <name val="Times New Roman"/>
      <family val="1"/>
    </font>
    <font>
      <b/>
      <u/>
      <sz val="12"/>
      <name val="Times New Roman"/>
      <family val="1"/>
    </font>
    <font>
      <b/>
      <sz val="8"/>
      <name val="Times New Roman"/>
      <family val="1"/>
    </font>
    <font>
      <sz val="10"/>
      <color indexed="10"/>
      <name val="Times New Roman"/>
      <family val="1"/>
    </font>
    <font>
      <b/>
      <u/>
      <sz val="12"/>
      <color indexed="12"/>
      <name val="Times New Roman"/>
      <family val="1"/>
    </font>
    <font>
      <b/>
      <u/>
      <sz val="11"/>
      <color indexed="12"/>
      <name val="Times New Roman"/>
      <family val="1"/>
    </font>
    <font>
      <b/>
      <sz val="11"/>
      <color indexed="12"/>
      <name val="Times New Roman"/>
      <family val="1"/>
    </font>
    <font>
      <i/>
      <u/>
      <sz val="10"/>
      <color indexed="12"/>
      <name val="Times New Roman"/>
      <family val="1"/>
    </font>
    <font>
      <i/>
      <sz val="10"/>
      <color indexed="12"/>
      <name val="Times New Roman"/>
      <family val="1"/>
    </font>
    <font>
      <b/>
      <sz val="10"/>
      <color indexed="12"/>
      <name val="Courier"/>
    </font>
    <font>
      <b/>
      <sz val="10"/>
      <color indexed="9"/>
      <name val="Times New Roman"/>
      <family val="1"/>
    </font>
    <font>
      <sz val="10"/>
      <color indexed="17"/>
      <name val="Times New Roman"/>
      <family val="1"/>
    </font>
    <font>
      <sz val="10"/>
      <color indexed="10"/>
      <name val="Times New Roman"/>
      <family val="1"/>
    </font>
    <font>
      <sz val="10"/>
      <color indexed="8"/>
      <name val="Times New Roman"/>
      <family val="1"/>
    </font>
    <font>
      <u/>
      <sz val="10"/>
      <name val="Times New Roman"/>
      <family val="1"/>
    </font>
    <font>
      <b/>
      <sz val="10"/>
      <color indexed="8"/>
      <name val="Times New Roman"/>
      <family val="1"/>
    </font>
    <font>
      <b/>
      <sz val="10"/>
      <color indexed="12"/>
      <name val="Times New Roman"/>
      <family val="1"/>
    </font>
    <font>
      <sz val="10"/>
      <name val="Times New Roman"/>
      <family val="1"/>
    </font>
    <font>
      <b/>
      <u/>
      <sz val="10"/>
      <color indexed="12"/>
      <name val="Times New Roman"/>
      <family val="1"/>
    </font>
    <font>
      <b/>
      <u/>
      <sz val="10"/>
      <name val="Times New Roman"/>
      <family val="1"/>
    </font>
    <font>
      <sz val="10"/>
      <color indexed="12"/>
      <name val="Times New Roman"/>
      <family val="1"/>
    </font>
    <font>
      <b/>
      <sz val="10"/>
      <name val="Times New Roman"/>
      <family val="1"/>
    </font>
    <font>
      <i/>
      <sz val="10"/>
      <color indexed="12"/>
      <name val="Times New Roman"/>
      <family val="1"/>
    </font>
    <font>
      <u/>
      <sz val="10"/>
      <color indexed="12"/>
      <name val="Times New Roman"/>
      <family val="1"/>
    </font>
    <font>
      <b/>
      <u/>
      <sz val="14"/>
      <color indexed="10"/>
      <name val="Times New Roman"/>
      <family val="1"/>
    </font>
    <font>
      <i/>
      <u/>
      <sz val="10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15"/>
      </patternFill>
    </fill>
    <fill>
      <patternFill patternType="gray125">
        <fgColor indexed="17"/>
      </patternFill>
    </fill>
    <fill>
      <patternFill patternType="solid">
        <fgColor indexed="13"/>
      </patternFill>
    </fill>
    <fill>
      <patternFill patternType="mediumGray">
        <fgColor indexed="17"/>
      </patternFill>
    </fill>
    <fill>
      <patternFill patternType="solid">
        <fgColor indexed="13"/>
        <bgColor indexed="13"/>
      </patternFill>
    </fill>
    <fill>
      <patternFill patternType="solid">
        <fgColor indexed="13"/>
        <bgColor indexed="9"/>
      </patternFill>
    </fill>
    <fill>
      <patternFill patternType="solid">
        <fgColor indexed="9"/>
        <bgColor indexed="9"/>
      </patternFill>
    </fill>
    <fill>
      <patternFill patternType="solid">
        <fgColor indexed="65"/>
        <bgColor indexed="8"/>
      </patternFill>
    </fill>
    <fill>
      <patternFill patternType="solid">
        <fgColor indexed="2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201" fontId="0" fillId="0" borderId="0"/>
    <xf numFmtId="18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8" fontId="4" fillId="0" borderId="0" applyAlignment="0">
      <protection locked="0"/>
    </xf>
    <xf numFmtId="40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75">
    <xf numFmtId="201" fontId="0" fillId="0" borderId="0" xfId="0"/>
    <xf numFmtId="201" fontId="4" fillId="0" borderId="0" xfId="0" applyFont="1"/>
    <xf numFmtId="37" fontId="4" fillId="0" borderId="0" xfId="0" applyNumberFormat="1" applyFont="1" applyAlignment="1" applyProtection="1">
      <alignment horizontal="fill"/>
    </xf>
    <xf numFmtId="37" fontId="4" fillId="0" borderId="0" xfId="0" applyNumberFormat="1" applyFont="1" applyProtection="1"/>
    <xf numFmtId="37" fontId="4" fillId="0" borderId="0" xfId="0" applyNumberFormat="1" applyFont="1" applyAlignment="1" applyProtection="1">
      <alignment horizontal="left"/>
    </xf>
    <xf numFmtId="185" fontId="4" fillId="0" borderId="0" xfId="0" applyNumberFormat="1" applyFont="1" applyProtection="1"/>
    <xf numFmtId="185" fontId="4" fillId="0" borderId="0" xfId="0" applyNumberFormat="1" applyFont="1" applyAlignment="1" applyProtection="1">
      <alignment horizontal="left"/>
    </xf>
    <xf numFmtId="187" fontId="4" fillId="0" borderId="0" xfId="0" applyNumberFormat="1" applyFont="1" applyProtection="1"/>
    <xf numFmtId="37" fontId="4" fillId="0" borderId="0" xfId="0" applyNumberFormat="1" applyFont="1" applyAlignment="1" applyProtection="1">
      <alignment horizontal="center"/>
    </xf>
    <xf numFmtId="185" fontId="4" fillId="0" borderId="0" xfId="0" applyNumberFormat="1" applyFont="1" applyAlignment="1" applyProtection="1">
      <alignment horizontal="right"/>
    </xf>
    <xf numFmtId="37" fontId="4" fillId="0" borderId="0" xfId="0" applyNumberFormat="1" applyFont="1" applyAlignment="1" applyProtection="1">
      <alignment horizontal="right"/>
    </xf>
    <xf numFmtId="188" fontId="4" fillId="0" borderId="0" xfId="0" applyNumberFormat="1" applyFont="1" applyProtection="1"/>
    <xf numFmtId="183" fontId="4" fillId="0" borderId="0" xfId="0" applyNumberFormat="1" applyFont="1" applyProtection="1"/>
    <xf numFmtId="10" fontId="4" fillId="0" borderId="0" xfId="0" applyNumberFormat="1" applyFont="1" applyProtection="1"/>
    <xf numFmtId="184" fontId="4" fillId="0" borderId="0" xfId="0" applyNumberFormat="1" applyFont="1" applyProtection="1"/>
    <xf numFmtId="187" fontId="4" fillId="0" borderId="0" xfId="0" applyNumberFormat="1" applyFont="1" applyAlignment="1" applyProtection="1">
      <alignment horizontal="right"/>
    </xf>
    <xf numFmtId="183" fontId="5" fillId="0" borderId="0" xfId="0" applyNumberFormat="1" applyFont="1" applyProtection="1">
      <protection locked="0"/>
    </xf>
    <xf numFmtId="10" fontId="4" fillId="0" borderId="0" xfId="0" applyNumberFormat="1" applyFont="1" applyAlignment="1" applyProtection="1">
      <alignment horizontal="right"/>
    </xf>
    <xf numFmtId="201" fontId="4" fillId="0" borderId="1" xfId="0" applyFont="1" applyBorder="1"/>
    <xf numFmtId="201" fontId="4" fillId="0" borderId="0" xfId="0" applyFont="1" applyProtection="1"/>
    <xf numFmtId="190" fontId="4" fillId="0" borderId="0" xfId="0" applyNumberFormat="1" applyFont="1" applyAlignment="1" applyProtection="1">
      <alignment horizontal="right"/>
    </xf>
    <xf numFmtId="201" fontId="4" fillId="0" borderId="0" xfId="0" applyFont="1" applyAlignment="1">
      <alignment horizontal="right"/>
    </xf>
    <xf numFmtId="201" fontId="4" fillId="0" borderId="0" xfId="0" applyFont="1" applyAlignment="1" applyProtection="1">
      <alignment horizontal="right"/>
    </xf>
    <xf numFmtId="188" fontId="4" fillId="0" borderId="0" xfId="0" applyNumberFormat="1" applyFont="1" applyAlignment="1" applyProtection="1">
      <alignment horizontal="right"/>
    </xf>
    <xf numFmtId="188" fontId="4" fillId="0" borderId="0" xfId="0" applyNumberFormat="1" applyFont="1" applyAlignment="1" applyProtection="1">
      <alignment horizontal="fill"/>
    </xf>
    <xf numFmtId="39" fontId="4" fillId="0" borderId="0" xfId="0" applyNumberFormat="1" applyFont="1" applyProtection="1"/>
    <xf numFmtId="39" fontId="4" fillId="0" borderId="0" xfId="0" applyNumberFormat="1" applyFont="1" applyAlignment="1" applyProtection="1">
      <alignment horizontal="right"/>
    </xf>
    <xf numFmtId="185" fontId="4" fillId="0" borderId="0" xfId="0" applyNumberFormat="1" applyFont="1" applyAlignment="1" applyProtection="1">
      <alignment horizontal="fill"/>
    </xf>
    <xf numFmtId="191" fontId="4" fillId="0" borderId="0" xfId="0" applyNumberFormat="1" applyFont="1" applyProtection="1"/>
    <xf numFmtId="185" fontId="4" fillId="0" borderId="0" xfId="3" applyNumberFormat="1" applyFont="1">
      <protection locked="0"/>
    </xf>
    <xf numFmtId="37" fontId="4" fillId="0" borderId="0" xfId="3" applyNumberFormat="1" applyFont="1">
      <protection locked="0"/>
    </xf>
    <xf numFmtId="189" fontId="4" fillId="0" borderId="0" xfId="0" applyNumberFormat="1" applyFont="1" applyProtection="1"/>
    <xf numFmtId="188" fontId="4" fillId="0" borderId="0" xfId="3" applyNumberFormat="1" applyFont="1">
      <protection locked="0"/>
    </xf>
    <xf numFmtId="184" fontId="4" fillId="0" borderId="0" xfId="0" applyNumberFormat="1" applyFont="1" applyAlignment="1" applyProtection="1">
      <alignment horizontal="right"/>
    </xf>
    <xf numFmtId="185" fontId="6" fillId="0" borderId="0" xfId="0" applyNumberFormat="1" applyFont="1" applyAlignment="1" applyProtection="1">
      <alignment horizontal="left"/>
    </xf>
    <xf numFmtId="185" fontId="4" fillId="0" borderId="1" xfId="0" applyNumberFormat="1" applyFont="1" applyBorder="1" applyProtection="1"/>
    <xf numFmtId="37" fontId="4" fillId="0" borderId="0" xfId="0" quotePrefix="1" applyNumberFormat="1" applyFont="1" applyAlignment="1" applyProtection="1">
      <alignment horizontal="left"/>
    </xf>
    <xf numFmtId="37" fontId="4" fillId="0" borderId="1" xfId="0" applyNumberFormat="1" applyFont="1" applyBorder="1" applyAlignment="1" applyProtection="1">
      <alignment horizontal="fill"/>
    </xf>
    <xf numFmtId="201" fontId="4" fillId="0" borderId="0" xfId="0" quotePrefix="1" applyFont="1" applyAlignment="1">
      <alignment horizontal="left"/>
    </xf>
    <xf numFmtId="201" fontId="4" fillId="0" borderId="2" xfId="0" applyFont="1" applyBorder="1"/>
    <xf numFmtId="201" fontId="4" fillId="0" borderId="3" xfId="0" applyFont="1" applyBorder="1"/>
    <xf numFmtId="201" fontId="4" fillId="0" borderId="0" xfId="0" applyFont="1" applyBorder="1"/>
    <xf numFmtId="201" fontId="4" fillId="0" borderId="4" xfId="0" applyFont="1" applyBorder="1"/>
    <xf numFmtId="201" fontId="4" fillId="0" borderId="5" xfId="0" applyFont="1" applyBorder="1"/>
    <xf numFmtId="201" fontId="4" fillId="0" borderId="0" xfId="0" applyFont="1" applyBorder="1" applyAlignment="1">
      <alignment horizontal="right"/>
    </xf>
    <xf numFmtId="201" fontId="4" fillId="0" borderId="6" xfId="0" applyFont="1" applyBorder="1"/>
    <xf numFmtId="201" fontId="4" fillId="0" borderId="7" xfId="0" applyFont="1" applyBorder="1"/>
    <xf numFmtId="201" fontId="4" fillId="4" borderId="6" xfId="0" applyFont="1" applyFill="1" applyBorder="1" applyAlignment="1">
      <alignment horizontal="centerContinuous"/>
    </xf>
    <xf numFmtId="201" fontId="9" fillId="4" borderId="6" xfId="0" applyFont="1" applyFill="1" applyBorder="1" applyAlignment="1">
      <alignment horizontal="centerContinuous"/>
    </xf>
    <xf numFmtId="201" fontId="4" fillId="4" borderId="6" xfId="0" applyFont="1" applyFill="1" applyBorder="1"/>
    <xf numFmtId="201" fontId="4" fillId="4" borderId="7" xfId="0" applyFont="1" applyFill="1" applyBorder="1"/>
    <xf numFmtId="201" fontId="4" fillId="0" borderId="8" xfId="0" applyFont="1" applyBorder="1" applyAlignment="1">
      <alignment horizontal="center"/>
    </xf>
    <xf numFmtId="10" fontId="4" fillId="0" borderId="8" xfId="6" applyNumberFormat="1" applyFont="1" applyBorder="1" applyAlignment="1">
      <alignment horizontal="right"/>
    </xf>
    <xf numFmtId="201" fontId="7" fillId="4" borderId="6" xfId="0" applyFont="1" applyFill="1" applyBorder="1" applyAlignment="1">
      <alignment horizontal="centerContinuous"/>
    </xf>
    <xf numFmtId="201" fontId="4" fillId="4" borderId="7" xfId="0" applyFont="1" applyFill="1" applyBorder="1" applyAlignment="1">
      <alignment horizontal="centerContinuous"/>
    </xf>
    <xf numFmtId="201" fontId="3" fillId="5" borderId="8" xfId="0" applyFont="1" applyFill="1" applyBorder="1"/>
    <xf numFmtId="14" fontId="4" fillId="0" borderId="8" xfId="0" applyNumberFormat="1" applyFont="1" applyBorder="1" applyAlignment="1">
      <alignment horizontal="center"/>
    </xf>
    <xf numFmtId="201" fontId="7" fillId="5" borderId="9" xfId="0" applyFont="1" applyFill="1" applyBorder="1" applyAlignment="1">
      <alignment horizontal="centerContinuous"/>
    </xf>
    <xf numFmtId="201" fontId="7" fillId="5" borderId="10" xfId="0" applyFont="1" applyFill="1" applyBorder="1" applyAlignment="1">
      <alignment horizontal="centerContinuous"/>
    </xf>
    <xf numFmtId="201" fontId="4" fillId="0" borderId="0" xfId="0" quotePrefix="1" applyFont="1"/>
    <xf numFmtId="185" fontId="4" fillId="0" borderId="0" xfId="0" applyNumberFormat="1" applyFont="1" applyBorder="1" applyProtection="1"/>
    <xf numFmtId="37" fontId="4" fillId="0" borderId="0" xfId="0" applyNumberFormat="1" applyFont="1" applyBorder="1" applyAlignment="1" applyProtection="1">
      <alignment horizontal="left"/>
    </xf>
    <xf numFmtId="187" fontId="4" fillId="0" borderId="0" xfId="0" applyNumberFormat="1" applyFont="1" applyBorder="1" applyProtection="1"/>
    <xf numFmtId="184" fontId="5" fillId="0" borderId="1" xfId="0" applyNumberFormat="1" applyFont="1" applyBorder="1" applyProtection="1">
      <protection locked="0"/>
    </xf>
    <xf numFmtId="37" fontId="4" fillId="0" borderId="1" xfId="0" applyNumberFormat="1" applyFont="1" applyBorder="1" applyProtection="1"/>
    <xf numFmtId="37" fontId="4" fillId="0" borderId="0" xfId="0" applyNumberFormat="1" applyFont="1" applyAlignment="1" applyProtection="1"/>
    <xf numFmtId="9" fontId="12" fillId="0" borderId="0" xfId="3" applyNumberFormat="1" applyFont="1">
      <protection locked="0"/>
    </xf>
    <xf numFmtId="185" fontId="4" fillId="0" borderId="0" xfId="0" applyNumberFormat="1" applyFont="1" applyBorder="1" applyAlignment="1" applyProtection="1">
      <alignment horizontal="fill"/>
    </xf>
    <xf numFmtId="39" fontId="4" fillId="0" borderId="0" xfId="0" applyNumberFormat="1" applyFont="1" applyBorder="1" applyProtection="1"/>
    <xf numFmtId="201" fontId="8" fillId="4" borderId="6" xfId="0" applyFont="1" applyFill="1" applyBorder="1"/>
    <xf numFmtId="37" fontId="4" fillId="0" borderId="0" xfId="0" applyNumberFormat="1" applyFont="1" applyBorder="1" applyAlignment="1" applyProtection="1">
      <alignment horizontal="fill"/>
    </xf>
    <xf numFmtId="18" fontId="4" fillId="0" borderId="0" xfId="0" applyNumberFormat="1" applyFont="1"/>
    <xf numFmtId="184" fontId="2" fillId="0" borderId="11" xfId="0" applyNumberFormat="1" applyFont="1" applyBorder="1" applyProtection="1"/>
    <xf numFmtId="184" fontId="2" fillId="0" borderId="2" xfId="0" applyNumberFormat="1" applyFont="1" applyBorder="1" applyProtection="1"/>
    <xf numFmtId="184" fontId="13" fillId="0" borderId="2" xfId="3" applyNumberFormat="1" applyFont="1" applyBorder="1">
      <protection locked="0"/>
    </xf>
    <xf numFmtId="184" fontId="2" fillId="0" borderId="12" xfId="0" applyNumberFormat="1" applyFont="1" applyBorder="1" applyProtection="1"/>
    <xf numFmtId="184" fontId="2" fillId="0" borderId="0" xfId="0" applyNumberFormat="1" applyFont="1" applyProtection="1"/>
    <xf numFmtId="37" fontId="3" fillId="0" borderId="0" xfId="0" applyNumberFormat="1" applyFont="1" applyAlignment="1" applyProtection="1">
      <alignment horizontal="right"/>
    </xf>
    <xf numFmtId="195" fontId="4" fillId="0" borderId="0" xfId="5" applyNumberFormat="1" applyFont="1"/>
    <xf numFmtId="201" fontId="4" fillId="6" borderId="0" xfId="0" applyFont="1" applyFill="1"/>
    <xf numFmtId="201" fontId="4" fillId="6" borderId="6" xfId="0" applyFont="1" applyFill="1" applyBorder="1"/>
    <xf numFmtId="201" fontId="3" fillId="6" borderId="6" xfId="0" applyFont="1" applyFill="1" applyBorder="1"/>
    <xf numFmtId="201" fontId="4" fillId="6" borderId="4" xfId="0" applyFont="1" applyFill="1" applyBorder="1"/>
    <xf numFmtId="201" fontId="4" fillId="6" borderId="0" xfId="0" applyFont="1" applyFill="1" applyBorder="1"/>
    <xf numFmtId="201" fontId="4" fillId="6" borderId="0" xfId="0" applyFont="1" applyFill="1" applyBorder="1" applyAlignment="1">
      <alignment horizontal="centerContinuous"/>
    </xf>
    <xf numFmtId="201" fontId="4" fillId="6" borderId="4" xfId="0" applyFont="1" applyFill="1" applyBorder="1" applyAlignment="1">
      <alignment horizontal="centerContinuous"/>
    </xf>
    <xf numFmtId="201" fontId="4" fillId="6" borderId="3" xfId="0" applyFont="1" applyFill="1" applyBorder="1" applyAlignment="1">
      <alignment horizontal="centerContinuous"/>
    </xf>
    <xf numFmtId="201" fontId="4" fillId="6" borderId="0" xfId="0" applyFont="1" applyFill="1" applyBorder="1" applyAlignment="1">
      <alignment horizontal="center"/>
    </xf>
    <xf numFmtId="201" fontId="3" fillId="6" borderId="13" xfId="0" applyFont="1" applyFill="1" applyBorder="1" applyAlignment="1">
      <alignment horizontal="left"/>
    </xf>
    <xf numFmtId="201" fontId="4" fillId="6" borderId="6" xfId="0" applyFont="1" applyFill="1" applyBorder="1" applyAlignment="1">
      <alignment horizontal="center"/>
    </xf>
    <xf numFmtId="201" fontId="4" fillId="6" borderId="6" xfId="0" applyFont="1" applyFill="1" applyBorder="1" applyAlignment="1">
      <alignment horizontal="centerContinuous"/>
    </xf>
    <xf numFmtId="1" fontId="3" fillId="6" borderId="8" xfId="0" applyNumberFormat="1" applyFont="1" applyFill="1" applyBorder="1" applyAlignment="1">
      <alignment horizontal="right"/>
    </xf>
    <xf numFmtId="184" fontId="3" fillId="6" borderId="8" xfId="0" applyNumberFormat="1" applyFont="1" applyFill="1" applyBorder="1" applyProtection="1"/>
    <xf numFmtId="184" fontId="3" fillId="6" borderId="8" xfId="0" applyNumberFormat="1" applyFont="1" applyFill="1" applyBorder="1" applyAlignment="1" applyProtection="1">
      <alignment horizontal="right"/>
    </xf>
    <xf numFmtId="184" fontId="2" fillId="6" borderId="6" xfId="0" applyNumberFormat="1" applyFont="1" applyFill="1" applyBorder="1" applyProtection="1"/>
    <xf numFmtId="184" fontId="3" fillId="6" borderId="8" xfId="3" applyNumberFormat="1" applyFont="1" applyFill="1" applyBorder="1">
      <protection locked="0"/>
    </xf>
    <xf numFmtId="201" fontId="4" fillId="6" borderId="3" xfId="0" applyFont="1" applyFill="1" applyBorder="1"/>
    <xf numFmtId="10" fontId="5" fillId="0" borderId="8" xfId="3" applyNumberFormat="1" applyFont="1" applyBorder="1">
      <protection locked="0"/>
    </xf>
    <xf numFmtId="193" fontId="3" fillId="6" borderId="6" xfId="4" applyNumberFormat="1" applyFont="1" applyFill="1" applyBorder="1" applyAlignment="1">
      <alignment horizontal="center"/>
    </xf>
    <xf numFmtId="193" fontId="3" fillId="6" borderId="8" xfId="4" applyNumberFormat="1" applyFont="1" applyFill="1" applyBorder="1" applyAlignment="1">
      <alignment horizontal="center"/>
    </xf>
    <xf numFmtId="193" fontId="3" fillId="6" borderId="2" xfId="4" applyNumberFormat="1" applyFont="1" applyFill="1" applyBorder="1" applyAlignment="1">
      <alignment horizontal="center"/>
    </xf>
    <xf numFmtId="1" fontId="2" fillId="0" borderId="0" xfId="0" applyNumberFormat="1" applyFont="1"/>
    <xf numFmtId="201" fontId="4" fillId="6" borderId="1" xfId="0" applyFont="1" applyFill="1" applyBorder="1" applyAlignment="1">
      <alignment horizontal="center"/>
    </xf>
    <xf numFmtId="193" fontId="4" fillId="0" borderId="0" xfId="4" applyNumberFormat="1" applyFont="1"/>
    <xf numFmtId="37" fontId="6" fillId="0" borderId="0" xfId="0" quotePrefix="1" applyNumberFormat="1" applyFont="1" applyAlignment="1" applyProtection="1">
      <alignment horizontal="left"/>
    </xf>
    <xf numFmtId="201" fontId="4" fillId="7" borderId="2" xfId="0" applyFont="1" applyFill="1" applyBorder="1" applyAlignment="1">
      <alignment horizontal="centerContinuous"/>
    </xf>
    <xf numFmtId="201" fontId="3" fillId="5" borderId="6" xfId="0" applyFont="1" applyFill="1" applyBorder="1" applyAlignment="1">
      <alignment horizontal="left"/>
    </xf>
    <xf numFmtId="191" fontId="10" fillId="6" borderId="8" xfId="0" applyNumberFormat="1" applyFont="1" applyFill="1" applyBorder="1"/>
    <xf numFmtId="201" fontId="4" fillId="6" borderId="6" xfId="0" quotePrefix="1" applyFont="1" applyFill="1" applyBorder="1" applyAlignment="1">
      <alignment horizontal="left"/>
    </xf>
    <xf numFmtId="2" fontId="4" fillId="6" borderId="9" xfId="0" applyNumberFormat="1" applyFont="1" applyFill="1" applyBorder="1" applyAlignment="1">
      <alignment horizontal="center"/>
    </xf>
    <xf numFmtId="2" fontId="4" fillId="6" borderId="8" xfId="0" applyNumberFormat="1" applyFont="1" applyFill="1" applyBorder="1" applyAlignment="1">
      <alignment horizontal="center"/>
    </xf>
    <xf numFmtId="201" fontId="4" fillId="5" borderId="9" xfId="0" applyFont="1" applyFill="1" applyBorder="1"/>
    <xf numFmtId="201" fontId="7" fillId="4" borderId="8" xfId="0" applyFont="1" applyFill="1" applyBorder="1" applyAlignment="1">
      <alignment horizontal="centerContinuous"/>
    </xf>
    <xf numFmtId="201" fontId="4" fillId="4" borderId="8" xfId="0" applyFont="1" applyFill="1" applyBorder="1" applyAlignment="1">
      <alignment horizontal="centerContinuous"/>
    </xf>
    <xf numFmtId="201" fontId="9" fillId="4" borderId="8" xfId="0" applyFont="1" applyFill="1" applyBorder="1" applyAlignment="1">
      <alignment horizontal="centerContinuous"/>
    </xf>
    <xf numFmtId="201" fontId="4" fillId="6" borderId="8" xfId="0" applyFont="1" applyFill="1" applyBorder="1"/>
    <xf numFmtId="201" fontId="4" fillId="0" borderId="8" xfId="0" applyFont="1" applyBorder="1" applyAlignment="1">
      <alignment horizontal="centerContinuous"/>
    </xf>
    <xf numFmtId="201" fontId="4" fillId="3" borderId="8" xfId="0" applyFont="1" applyFill="1" applyBorder="1" applyAlignment="1">
      <alignment horizontal="centerContinuous"/>
    </xf>
    <xf numFmtId="201" fontId="3" fillId="5" borderId="8" xfId="0" applyFont="1" applyFill="1" applyBorder="1" applyAlignment="1">
      <alignment horizontal="centerContinuous" vertical="center"/>
    </xf>
    <xf numFmtId="201" fontId="3" fillId="7" borderId="9" xfId="0" applyFont="1" applyFill="1" applyBorder="1" applyAlignment="1">
      <alignment horizontal="centerContinuous"/>
    </xf>
    <xf numFmtId="201" fontId="4" fillId="7" borderId="9" xfId="0" applyFont="1" applyFill="1" applyBorder="1" applyAlignment="1">
      <alignment horizontal="centerContinuous"/>
    </xf>
    <xf numFmtId="201" fontId="4" fillId="7" borderId="9" xfId="0" applyFont="1" applyFill="1" applyBorder="1"/>
    <xf numFmtId="201" fontId="4" fillId="7" borderId="10" xfId="0" applyFont="1" applyFill="1" applyBorder="1" applyAlignment="1">
      <alignment horizontal="centerContinuous"/>
    </xf>
    <xf numFmtId="201" fontId="3" fillId="5" borderId="8" xfId="0" applyFont="1" applyFill="1" applyBorder="1" applyAlignment="1">
      <alignment horizontal="centerContinuous"/>
    </xf>
    <xf numFmtId="201" fontId="4" fillId="5" borderId="8" xfId="0" applyFont="1" applyFill="1" applyBorder="1" applyAlignment="1">
      <alignment horizontal="centerContinuous"/>
    </xf>
    <xf numFmtId="37" fontId="11" fillId="5" borderId="8" xfId="0" applyNumberFormat="1" applyFont="1" applyFill="1" applyBorder="1" applyAlignment="1" applyProtection="1">
      <alignment horizontal="centerContinuous"/>
      <protection locked="0"/>
    </xf>
    <xf numFmtId="37" fontId="3" fillId="6" borderId="8" xfId="0" applyNumberFormat="1" applyFont="1" applyFill="1" applyBorder="1" applyProtection="1"/>
    <xf numFmtId="188" fontId="4" fillId="6" borderId="8" xfId="6" applyNumberFormat="1" applyFont="1" applyFill="1" applyBorder="1" applyAlignment="1">
      <alignment horizontal="center"/>
    </xf>
    <xf numFmtId="201" fontId="3" fillId="5" borderId="2" xfId="0" applyFont="1" applyFill="1" applyBorder="1" applyAlignment="1">
      <alignment horizontal="center"/>
    </xf>
    <xf numFmtId="201" fontId="3" fillId="5" borderId="1" xfId="0" quotePrefix="1" applyFont="1" applyFill="1" applyBorder="1" applyAlignment="1">
      <alignment horizontal="center"/>
    </xf>
    <xf numFmtId="201" fontId="4" fillId="6" borderId="3" xfId="0" applyFont="1" applyFill="1" applyBorder="1" applyAlignment="1">
      <alignment horizontal="center"/>
    </xf>
    <xf numFmtId="201" fontId="4" fillId="6" borderId="13" xfId="0" applyFont="1" applyFill="1" applyBorder="1" applyAlignment="1">
      <alignment horizontal="center"/>
    </xf>
    <xf numFmtId="201" fontId="4" fillId="6" borderId="13" xfId="0" applyFont="1" applyFill="1" applyBorder="1" applyAlignment="1">
      <alignment horizontal="centerContinuous"/>
    </xf>
    <xf numFmtId="37" fontId="3" fillId="6" borderId="6" xfId="0" applyNumberFormat="1" applyFont="1" applyFill="1" applyBorder="1" applyProtection="1"/>
    <xf numFmtId="193" fontId="3" fillId="6" borderId="13" xfId="4" applyNumberFormat="1" applyFont="1" applyFill="1" applyBorder="1" applyAlignment="1">
      <alignment horizontal="center"/>
    </xf>
    <xf numFmtId="193" fontId="3" fillId="6" borderId="0" xfId="4" applyNumberFormat="1" applyFont="1" applyFill="1" applyBorder="1" applyAlignment="1">
      <alignment horizontal="center"/>
    </xf>
    <xf numFmtId="201" fontId="4" fillId="6" borderId="1" xfId="0" applyFont="1" applyFill="1" applyBorder="1"/>
    <xf numFmtId="193" fontId="3" fillId="6" borderId="4" xfId="4" applyNumberFormat="1" applyFont="1" applyFill="1" applyBorder="1" applyAlignment="1">
      <alignment horizontal="center"/>
    </xf>
    <xf numFmtId="201" fontId="4" fillId="6" borderId="14" xfId="0" applyFont="1" applyFill="1" applyBorder="1"/>
    <xf numFmtId="201" fontId="3" fillId="5" borderId="12" xfId="0" applyFont="1" applyFill="1" applyBorder="1" applyAlignment="1">
      <alignment horizontal="center"/>
    </xf>
    <xf numFmtId="1" fontId="3" fillId="5" borderId="8" xfId="0" applyNumberFormat="1" applyFont="1" applyFill="1" applyBorder="1" applyAlignment="1">
      <alignment horizontal="right"/>
    </xf>
    <xf numFmtId="188" fontId="4" fillId="0" borderId="8" xfId="6" applyNumberFormat="1" applyFont="1" applyBorder="1" applyAlignment="1">
      <alignment horizontal="right"/>
    </xf>
    <xf numFmtId="185" fontId="10" fillId="5" borderId="8" xfId="0" applyNumberFormat="1" applyFont="1" applyFill="1" applyBorder="1"/>
    <xf numFmtId="193" fontId="10" fillId="5" borderId="8" xfId="4" applyNumberFormat="1" applyFont="1" applyFill="1" applyBorder="1"/>
    <xf numFmtId="201" fontId="4" fillId="0" borderId="0" xfId="0" quotePrefix="1" applyFont="1" applyAlignment="1">
      <alignment horizontal="fill"/>
    </xf>
    <xf numFmtId="201" fontId="4" fillId="6" borderId="7" xfId="0" applyFont="1" applyFill="1" applyBorder="1"/>
    <xf numFmtId="201" fontId="3" fillId="6" borderId="7" xfId="0" applyFont="1" applyFill="1" applyBorder="1"/>
    <xf numFmtId="201" fontId="3" fillId="6" borderId="13" xfId="0" applyFont="1" applyFill="1" applyBorder="1"/>
    <xf numFmtId="185" fontId="4" fillId="0" borderId="0" xfId="0" applyNumberFormat="1" applyFont="1" applyAlignment="1" applyProtection="1"/>
    <xf numFmtId="37" fontId="4" fillId="0" borderId="0" xfId="0" applyNumberFormat="1" applyFont="1" applyBorder="1" applyAlignment="1" applyProtection="1">
      <alignment horizontal="right"/>
    </xf>
    <xf numFmtId="188" fontId="4" fillId="0" borderId="0" xfId="0" applyNumberFormat="1" applyFont="1" applyBorder="1" applyAlignment="1" applyProtection="1">
      <alignment horizontal="right"/>
    </xf>
    <xf numFmtId="201" fontId="4" fillId="0" borderId="0" xfId="0" applyFont="1" applyBorder="1" applyAlignment="1"/>
    <xf numFmtId="187" fontId="4" fillId="0" borderId="0" xfId="0" applyNumberFormat="1" applyFont="1" applyBorder="1" applyAlignment="1" applyProtection="1">
      <alignment horizontal="right"/>
    </xf>
    <xf numFmtId="184" fontId="2" fillId="0" borderId="11" xfId="0" applyNumberFormat="1" applyFont="1" applyBorder="1" applyAlignment="1" applyProtection="1">
      <alignment horizontal="right"/>
    </xf>
    <xf numFmtId="185" fontId="4" fillId="0" borderId="0" xfId="0" applyNumberFormat="1" applyFont="1" applyBorder="1" applyAlignment="1" applyProtection="1">
      <alignment horizontal="right"/>
    </xf>
    <xf numFmtId="185" fontId="3" fillId="0" borderId="13" xfId="0" applyNumberFormat="1" applyFont="1" applyBorder="1" applyAlignment="1" applyProtection="1">
      <alignment horizontal="centerContinuous"/>
    </xf>
    <xf numFmtId="185" fontId="4" fillId="0" borderId="6" xfId="0" applyNumberFormat="1" applyFont="1" applyBorder="1" applyAlignment="1" applyProtection="1">
      <alignment horizontal="centerContinuous"/>
    </xf>
    <xf numFmtId="185" fontId="3" fillId="0" borderId="6" xfId="0" applyNumberFormat="1" applyFont="1" applyBorder="1" applyAlignment="1" applyProtection="1">
      <alignment horizontal="centerContinuous"/>
    </xf>
    <xf numFmtId="201" fontId="3" fillId="0" borderId="6" xfId="0" applyFont="1" applyBorder="1" applyAlignment="1">
      <alignment horizontal="centerContinuous"/>
    </xf>
    <xf numFmtId="185" fontId="4" fillId="0" borderId="7" xfId="0" applyNumberFormat="1" applyFont="1" applyBorder="1" applyAlignment="1" applyProtection="1">
      <alignment horizontal="centerContinuous"/>
    </xf>
    <xf numFmtId="188" fontId="4" fillId="0" borderId="0" xfId="0" applyNumberFormat="1" applyFont="1" applyBorder="1" applyProtection="1"/>
    <xf numFmtId="184" fontId="4" fillId="0" borderId="0" xfId="0" applyNumberFormat="1" applyFont="1" applyBorder="1" applyAlignment="1" applyProtection="1">
      <alignment horizontal="right"/>
    </xf>
    <xf numFmtId="188" fontId="5" fillId="0" borderId="0" xfId="0" applyNumberFormat="1" applyFont="1" applyBorder="1" applyAlignment="1" applyProtection="1">
      <alignment horizontal="right"/>
      <protection locked="0"/>
    </xf>
    <xf numFmtId="10" fontId="4" fillId="0" borderId="0" xfId="0" applyNumberFormat="1" applyFont="1" applyBorder="1" applyProtection="1"/>
    <xf numFmtId="10" fontId="4" fillId="0" borderId="0" xfId="6" applyNumberFormat="1" applyFont="1" applyBorder="1"/>
    <xf numFmtId="201" fontId="4" fillId="0" borderId="6" xfId="0" applyFont="1" applyBorder="1" applyAlignment="1">
      <alignment horizontal="centerContinuous"/>
    </xf>
    <xf numFmtId="201" fontId="3" fillId="0" borderId="13" xfId="0" applyFont="1" applyBorder="1" applyAlignment="1">
      <alignment horizontal="centerContinuous"/>
    </xf>
    <xf numFmtId="186" fontId="3" fillId="0" borderId="6" xfId="0" applyNumberFormat="1" applyFont="1" applyBorder="1" applyAlignment="1" applyProtection="1">
      <alignment horizontal="centerContinuous"/>
    </xf>
    <xf numFmtId="185" fontId="4" fillId="0" borderId="0" xfId="3" applyNumberFormat="1" applyFont="1" applyBorder="1">
      <protection locked="0"/>
    </xf>
    <xf numFmtId="201" fontId="15" fillId="0" borderId="0" xfId="0" applyFont="1"/>
    <xf numFmtId="201" fontId="4" fillId="0" borderId="0" xfId="0" applyFont="1" applyAlignment="1">
      <alignment horizontal="centerContinuous"/>
    </xf>
    <xf numFmtId="185" fontId="4" fillId="0" borderId="0" xfId="0" applyNumberFormat="1" applyFont="1" applyAlignment="1" applyProtection="1">
      <alignment horizontal="centerContinuous"/>
    </xf>
    <xf numFmtId="185" fontId="4" fillId="0" borderId="0" xfId="3" quotePrefix="1" applyNumberFormat="1" applyFont="1" applyBorder="1" applyAlignment="1">
      <protection locked="0"/>
    </xf>
    <xf numFmtId="185" fontId="4" fillId="0" borderId="0" xfId="0" applyNumberFormat="1" applyFont="1" applyAlignment="1" applyProtection="1">
      <alignment horizontal="centerContinuous" vertical="top"/>
    </xf>
    <xf numFmtId="201" fontId="4" fillId="0" borderId="0" xfId="0" applyFont="1" applyAlignment="1">
      <alignment horizontal="centerContinuous" vertical="top"/>
    </xf>
    <xf numFmtId="185" fontId="3" fillId="0" borderId="0" xfId="0" applyNumberFormat="1" applyFont="1" applyAlignment="1" applyProtection="1">
      <alignment horizontal="left"/>
    </xf>
    <xf numFmtId="201" fontId="3" fillId="0" borderId="2" xfId="0" applyFont="1" applyBorder="1" applyAlignment="1">
      <alignment horizontal="centerContinuous"/>
    </xf>
    <xf numFmtId="14" fontId="16" fillId="0" borderId="0" xfId="0" applyNumberFormat="1" applyFont="1" applyBorder="1" applyAlignment="1" applyProtection="1">
      <alignment horizontal="right"/>
      <protection locked="0"/>
    </xf>
    <xf numFmtId="184" fontId="2" fillId="0" borderId="0" xfId="0" applyNumberFormat="1" applyFont="1" applyBorder="1" applyAlignment="1" applyProtection="1">
      <alignment horizontal="right"/>
    </xf>
    <xf numFmtId="201" fontId="3" fillId="0" borderId="6" xfId="0" applyFont="1" applyBorder="1" applyAlignment="1">
      <alignment horizontal="centerContinuous" vertical="top"/>
    </xf>
    <xf numFmtId="185" fontId="4" fillId="0" borderId="0" xfId="0" quotePrefix="1" applyNumberFormat="1" applyFont="1" applyBorder="1" applyAlignment="1" applyProtection="1">
      <alignment horizontal="right"/>
    </xf>
    <xf numFmtId="184" fontId="2" fillId="0" borderId="0" xfId="0" applyNumberFormat="1" applyFont="1" applyBorder="1" applyProtection="1"/>
    <xf numFmtId="185" fontId="15" fillId="0" borderId="0" xfId="0" applyNumberFormat="1" applyFont="1" applyProtection="1"/>
    <xf numFmtId="37" fontId="15" fillId="0" borderId="0" xfId="0" applyNumberFormat="1" applyFont="1" applyProtection="1"/>
    <xf numFmtId="201" fontId="3" fillId="0" borderId="0" xfId="0" applyFont="1"/>
    <xf numFmtId="37" fontId="3" fillId="0" borderId="0" xfId="0" quotePrefix="1" applyNumberFormat="1" applyFont="1" applyBorder="1" applyAlignment="1" applyProtection="1">
      <alignment horizontal="left"/>
    </xf>
    <xf numFmtId="201" fontId="2" fillId="0" borderId="0" xfId="0" quotePrefix="1" applyFont="1" applyBorder="1" applyAlignment="1">
      <alignment horizontal="left"/>
    </xf>
    <xf numFmtId="9" fontId="3" fillId="0" borderId="0" xfId="6" applyFont="1" applyBorder="1"/>
    <xf numFmtId="201" fontId="3" fillId="0" borderId="1" xfId="0" applyFont="1" applyBorder="1" applyAlignment="1">
      <alignment horizontal="centerContinuous"/>
    </xf>
    <xf numFmtId="37" fontId="3" fillId="0" borderId="1" xfId="0" applyNumberFormat="1" applyFont="1" applyBorder="1" applyAlignment="1" applyProtection="1">
      <alignment horizontal="centerContinuous"/>
    </xf>
    <xf numFmtId="201" fontId="4" fillId="0" borderId="1" xfId="0" applyFont="1" applyBorder="1" applyAlignment="1">
      <alignment horizontal="centerContinuous"/>
    </xf>
    <xf numFmtId="201" fontId="3" fillId="0" borderId="5" xfId="0" applyFont="1" applyBorder="1"/>
    <xf numFmtId="188" fontId="4" fillId="0" borderId="0" xfId="6" applyNumberFormat="1" applyFont="1"/>
    <xf numFmtId="201" fontId="3" fillId="0" borderId="0" xfId="0" applyFont="1" applyBorder="1" applyAlignment="1">
      <alignment horizontal="right"/>
    </xf>
    <xf numFmtId="1" fontId="2" fillId="0" borderId="0" xfId="0" applyNumberFormat="1" applyFont="1" applyBorder="1" applyAlignment="1" applyProtection="1">
      <alignment horizontal="right"/>
    </xf>
    <xf numFmtId="37" fontId="4" fillId="0" borderId="1" xfId="0" applyNumberFormat="1" applyFont="1" applyBorder="1" applyAlignment="1" applyProtection="1">
      <alignment horizontal="centerContinuous"/>
    </xf>
    <xf numFmtId="185" fontId="3" fillId="0" borderId="1" xfId="0" applyNumberFormat="1" applyFont="1" applyBorder="1" applyAlignment="1" applyProtection="1">
      <alignment horizontal="centerContinuous"/>
    </xf>
    <xf numFmtId="184" fontId="2" fillId="0" borderId="0" xfId="0" applyNumberFormat="1" applyFont="1" applyAlignment="1" applyProtection="1">
      <alignment horizontal="right"/>
    </xf>
    <xf numFmtId="185" fontId="4" fillId="0" borderId="0" xfId="0" applyNumberFormat="1" applyFont="1"/>
    <xf numFmtId="185" fontId="4" fillId="0" borderId="0" xfId="0" applyNumberFormat="1" applyFont="1" applyBorder="1"/>
    <xf numFmtId="188" fontId="4" fillId="0" borderId="0" xfId="0" quotePrefix="1" applyNumberFormat="1" applyFont="1" applyBorder="1" applyAlignment="1" applyProtection="1">
      <alignment horizontal="right"/>
    </xf>
    <xf numFmtId="201" fontId="4" fillId="0" borderId="0" xfId="0" applyFont="1" applyBorder="1" applyProtection="1"/>
    <xf numFmtId="37" fontId="5" fillId="0" borderId="0" xfId="0" applyNumberFormat="1" applyFont="1" applyBorder="1" applyProtection="1"/>
    <xf numFmtId="201" fontId="3" fillId="5" borderId="7" xfId="0" applyFont="1" applyFill="1" applyBorder="1"/>
    <xf numFmtId="201" fontId="3" fillId="6" borderId="14" xfId="0" applyFont="1" applyFill="1" applyBorder="1"/>
    <xf numFmtId="195" fontId="4" fillId="0" borderId="0" xfId="5" quotePrefix="1" applyNumberFormat="1" applyFont="1" applyAlignment="1"/>
    <xf numFmtId="185" fontId="4" fillId="0" borderId="0" xfId="0" quotePrefix="1" applyNumberFormat="1" applyFont="1" applyBorder="1" applyAlignment="1" applyProtection="1">
      <alignment horizontal="left"/>
    </xf>
    <xf numFmtId="185" fontId="3" fillId="0" borderId="0" xfId="0" applyNumberFormat="1" applyFont="1" applyProtection="1"/>
    <xf numFmtId="37" fontId="3" fillId="0" borderId="8" xfId="0" applyNumberFormat="1" applyFont="1" applyBorder="1" applyAlignment="1" applyProtection="1">
      <alignment horizontal="right"/>
    </xf>
    <xf numFmtId="184" fontId="2" fillId="0" borderId="10" xfId="0" applyNumberFormat="1" applyFont="1" applyBorder="1" applyProtection="1"/>
    <xf numFmtId="201" fontId="2" fillId="0" borderId="6" xfId="0" applyFont="1" applyBorder="1" applyAlignment="1">
      <alignment horizontal="centerContinuous"/>
    </xf>
    <xf numFmtId="37" fontId="4" fillId="0" borderId="0" xfId="0" quotePrefix="1" applyNumberFormat="1" applyFont="1" applyBorder="1" applyAlignment="1" applyProtection="1">
      <alignment horizontal="left"/>
    </xf>
    <xf numFmtId="188" fontId="4" fillId="0" borderId="0" xfId="6" applyNumberFormat="1" applyFont="1" applyBorder="1"/>
    <xf numFmtId="201" fontId="4" fillId="0" borderId="0" xfId="0" applyFont="1" applyBorder="1" applyAlignment="1">
      <alignment horizontal="centerContinuous"/>
    </xf>
    <xf numFmtId="37" fontId="3" fillId="0" borderId="1" xfId="0" applyNumberFormat="1" applyFont="1" applyBorder="1" applyAlignment="1" applyProtection="1">
      <alignment horizontal="center"/>
    </xf>
    <xf numFmtId="201" fontId="3" fillId="0" borderId="6" xfId="0" applyFont="1" applyBorder="1" applyAlignment="1">
      <alignment horizontal="center"/>
    </xf>
    <xf numFmtId="201" fontId="6" fillId="0" borderId="0" xfId="0" applyFont="1" applyBorder="1" applyAlignment="1" applyProtection="1">
      <alignment horizontal="center"/>
    </xf>
    <xf numFmtId="201" fontId="17" fillId="0" borderId="0" xfId="0" applyFont="1" applyAlignment="1">
      <alignment horizontal="centerContinuous" vertical="top"/>
    </xf>
    <xf numFmtId="195" fontId="4" fillId="0" borderId="0" xfId="5" applyNumberFormat="1" applyFont="1" applyAlignment="1" applyProtection="1">
      <alignment horizontal="right"/>
    </xf>
    <xf numFmtId="195" fontId="4" fillId="0" borderId="0" xfId="5" applyNumberFormat="1" applyFont="1" applyAlignment="1" applyProtection="1"/>
    <xf numFmtId="37" fontId="4" fillId="0" borderId="0" xfId="0" applyNumberFormat="1" applyFont="1" applyBorder="1" applyAlignment="1" applyProtection="1">
      <alignment horizontal="centerContinuous"/>
    </xf>
    <xf numFmtId="184" fontId="2" fillId="0" borderId="11" xfId="3" applyNumberFormat="1" applyFont="1" applyBorder="1">
      <protection locked="0"/>
    </xf>
    <xf numFmtId="184" fontId="2" fillId="0" borderId="2" xfId="3" applyNumberFormat="1" applyFont="1" applyBorder="1">
      <protection locked="0"/>
    </xf>
    <xf numFmtId="184" fontId="3" fillId="0" borderId="13" xfId="3" applyNumberFormat="1" applyFont="1" applyBorder="1" applyAlignment="1">
      <alignment horizontal="centerContinuous"/>
      <protection locked="0"/>
    </xf>
    <xf numFmtId="184" fontId="2" fillId="0" borderId="6" xfId="3" applyNumberFormat="1" applyFont="1" applyBorder="1" applyAlignment="1">
      <alignment horizontal="centerContinuous"/>
      <protection locked="0"/>
    </xf>
    <xf numFmtId="1" fontId="2" fillId="0" borderId="3" xfId="0" applyNumberFormat="1" applyFont="1" applyBorder="1"/>
    <xf numFmtId="37" fontId="3" fillId="0" borderId="11" xfId="0" applyNumberFormat="1" applyFont="1" applyBorder="1" applyAlignment="1" applyProtection="1">
      <alignment horizontal="left"/>
    </xf>
    <xf numFmtId="201" fontId="4" fillId="0" borderId="2" xfId="0" quotePrefix="1" applyFont="1" applyBorder="1" applyAlignment="1">
      <alignment horizontal="left"/>
    </xf>
    <xf numFmtId="187" fontId="4" fillId="0" borderId="1" xfId="0" applyNumberFormat="1" applyFont="1" applyBorder="1" applyProtection="1"/>
    <xf numFmtId="37" fontId="4" fillId="0" borderId="0" xfId="0" applyNumberFormat="1" applyFont="1" applyBorder="1" applyProtection="1"/>
    <xf numFmtId="201" fontId="3" fillId="0" borderId="11" xfId="0" applyFont="1" applyBorder="1"/>
    <xf numFmtId="193" fontId="4" fillId="0" borderId="0" xfId="4" applyNumberFormat="1" applyFont="1" applyBorder="1"/>
    <xf numFmtId="37" fontId="4" fillId="0" borderId="5" xfId="0" applyNumberFormat="1" applyFont="1" applyBorder="1" applyProtection="1"/>
    <xf numFmtId="9" fontId="5" fillId="0" borderId="0" xfId="3" applyNumberFormat="1" applyFont="1" applyBorder="1" applyAlignment="1">
      <alignment horizontal="center"/>
      <protection locked="0"/>
    </xf>
    <xf numFmtId="1" fontId="2" fillId="6" borderId="9" xfId="0" applyNumberFormat="1" applyFont="1" applyFill="1" applyBorder="1" applyAlignment="1">
      <alignment horizontal="right"/>
    </xf>
    <xf numFmtId="193" fontId="3" fillId="6" borderId="7" xfId="4" applyNumberFormat="1" applyFont="1" applyFill="1" applyBorder="1" applyAlignment="1">
      <alignment horizontal="center"/>
    </xf>
    <xf numFmtId="188" fontId="4" fillId="0" borderId="8" xfId="6" applyNumberFormat="1" applyFont="1" applyBorder="1"/>
    <xf numFmtId="37" fontId="6" fillId="0" borderId="0" xfId="0" applyNumberFormat="1" applyFont="1" applyBorder="1" applyAlignment="1" applyProtection="1">
      <alignment horizontal="fill"/>
    </xf>
    <xf numFmtId="184" fontId="2" fillId="0" borderId="10" xfId="0" applyNumberFormat="1" applyFont="1" applyBorder="1" applyAlignment="1" applyProtection="1">
      <alignment horizontal="right"/>
    </xf>
    <xf numFmtId="14" fontId="2" fillId="0" borderId="10" xfId="0" applyNumberFormat="1" applyFont="1" applyBorder="1" applyAlignment="1" applyProtection="1">
      <alignment horizontal="right"/>
      <protection locked="0"/>
    </xf>
    <xf numFmtId="37" fontId="4" fillId="0" borderId="2" xfId="0" applyNumberFormat="1" applyFont="1" applyBorder="1" applyAlignment="1" applyProtection="1">
      <alignment horizontal="centerContinuous"/>
    </xf>
    <xf numFmtId="201" fontId="4" fillId="0" borderId="2" xfId="0" applyFont="1" applyBorder="1" applyAlignment="1">
      <alignment horizontal="centerContinuous"/>
    </xf>
    <xf numFmtId="201" fontId="4" fillId="0" borderId="0" xfId="0" quotePrefix="1" applyFont="1" applyBorder="1" applyAlignment="1">
      <alignment horizontal="left"/>
    </xf>
    <xf numFmtId="37" fontId="6" fillId="0" borderId="3" xfId="0" applyNumberFormat="1" applyFont="1" applyBorder="1" applyAlignment="1" applyProtection="1">
      <alignment horizontal="left"/>
    </xf>
    <xf numFmtId="193" fontId="4" fillId="0" borderId="1" xfId="4" applyNumberFormat="1" applyFont="1" applyBorder="1"/>
    <xf numFmtId="195" fontId="4" fillId="0" borderId="0" xfId="5" applyNumberFormat="1" applyFont="1" applyBorder="1"/>
    <xf numFmtId="201" fontId="3" fillId="0" borderId="3" xfId="0" quotePrefix="1" applyFont="1" applyBorder="1" applyAlignment="1">
      <alignment horizontal="left"/>
    </xf>
    <xf numFmtId="201" fontId="3" fillId="0" borderId="3" xfId="0" applyFont="1" applyBorder="1"/>
    <xf numFmtId="201" fontId="3" fillId="0" borderId="5" xfId="0" quotePrefix="1" applyFont="1" applyBorder="1" applyAlignment="1">
      <alignment horizontal="left"/>
    </xf>
    <xf numFmtId="195" fontId="4" fillId="0" borderId="1" xfId="5" applyNumberFormat="1" applyFont="1" applyBorder="1"/>
    <xf numFmtId="184" fontId="2" fillId="0" borderId="0" xfId="3" applyNumberFormat="1" applyFont="1" applyBorder="1">
      <protection locked="0"/>
    </xf>
    <xf numFmtId="37" fontId="3" fillId="0" borderId="11" xfId="0" quotePrefix="1" applyNumberFormat="1" applyFont="1" applyBorder="1" applyAlignment="1" applyProtection="1">
      <alignment horizontal="left"/>
    </xf>
    <xf numFmtId="37" fontId="3" fillId="0" borderId="3" xfId="0" quotePrefix="1" applyNumberFormat="1" applyFont="1" applyBorder="1" applyAlignment="1" applyProtection="1">
      <alignment horizontal="left"/>
    </xf>
    <xf numFmtId="194" fontId="4" fillId="0" borderId="0" xfId="3" applyNumberFormat="1" applyFont="1">
      <protection locked="0"/>
    </xf>
    <xf numFmtId="193" fontId="4" fillId="0" borderId="0" xfId="4" applyNumberFormat="1" applyFont="1" applyProtection="1">
      <protection locked="0"/>
    </xf>
    <xf numFmtId="192" fontId="4" fillId="0" borderId="0" xfId="3" applyNumberFormat="1" applyFont="1">
      <protection locked="0"/>
    </xf>
    <xf numFmtId="187" fontId="4" fillId="0" borderId="0" xfId="3" applyNumberFormat="1" applyFont="1">
      <protection locked="0"/>
    </xf>
    <xf numFmtId="201" fontId="6" fillId="0" borderId="0" xfId="0" applyFont="1" applyBorder="1"/>
    <xf numFmtId="201" fontId="4" fillId="0" borderId="0" xfId="0" applyFont="1" applyAlignment="1">
      <alignment vertical="top"/>
    </xf>
    <xf numFmtId="188" fontId="4" fillId="0" borderId="0" xfId="3" applyFont="1">
      <protection locked="0"/>
    </xf>
    <xf numFmtId="188" fontId="4" fillId="0" borderId="0" xfId="3" applyFont="1" applyBorder="1">
      <protection locked="0"/>
    </xf>
    <xf numFmtId="193" fontId="4" fillId="0" borderId="0" xfId="4" applyNumberFormat="1" applyFont="1" applyBorder="1" applyProtection="1">
      <protection locked="0"/>
    </xf>
    <xf numFmtId="195" fontId="4" fillId="0" borderId="0" xfId="5" applyNumberFormat="1" applyFont="1" applyBorder="1" applyProtection="1">
      <protection locked="0"/>
    </xf>
    <xf numFmtId="10" fontId="4" fillId="0" borderId="8" xfId="3" applyNumberFormat="1" applyFont="1" applyBorder="1">
      <protection locked="0"/>
    </xf>
    <xf numFmtId="10" fontId="5" fillId="0" borderId="8" xfId="6" applyNumberFormat="1" applyFont="1" applyBorder="1" applyAlignment="1" applyProtection="1">
      <alignment horizontal="right"/>
      <protection locked="0"/>
    </xf>
    <xf numFmtId="10" fontId="4" fillId="0" borderId="0" xfId="6" applyNumberFormat="1" applyFont="1" applyAlignment="1">
      <alignment horizontal="right"/>
    </xf>
    <xf numFmtId="10" fontId="4" fillId="0" borderId="0" xfId="3" applyNumberFormat="1" applyFont="1">
      <protection locked="0"/>
    </xf>
    <xf numFmtId="10" fontId="4" fillId="0" borderId="0" xfId="0" applyNumberFormat="1" applyFont="1"/>
    <xf numFmtId="10" fontId="4" fillId="0" borderId="0" xfId="6" applyNumberFormat="1" applyFont="1"/>
    <xf numFmtId="1" fontId="4" fillId="0" borderId="0" xfId="0" quotePrefix="1" applyNumberFormat="1" applyFont="1" applyAlignment="1">
      <alignment horizontal="left"/>
    </xf>
    <xf numFmtId="201" fontId="3" fillId="0" borderId="0" xfId="0" applyFont="1" applyAlignment="1">
      <alignment horizontal="right"/>
    </xf>
    <xf numFmtId="37" fontId="3" fillId="0" borderId="11" xfId="0" applyNumberFormat="1" applyFont="1" applyBorder="1" applyProtection="1"/>
    <xf numFmtId="1" fontId="4" fillId="0" borderId="0" xfId="0" applyNumberFormat="1" applyFont="1" applyBorder="1" applyAlignment="1">
      <alignment horizontal="right"/>
    </xf>
    <xf numFmtId="1" fontId="5" fillId="0" borderId="0" xfId="0" applyNumberFormat="1" applyFont="1" applyBorder="1" applyAlignment="1" applyProtection="1">
      <alignment horizontal="right"/>
      <protection locked="0"/>
    </xf>
    <xf numFmtId="1" fontId="4" fillId="0" borderId="0" xfId="0" applyNumberFormat="1" applyFont="1" applyBorder="1" applyAlignment="1" applyProtection="1">
      <alignment horizontal="right"/>
    </xf>
    <xf numFmtId="37" fontId="4" fillId="0" borderId="3" xfId="0" applyNumberFormat="1" applyFont="1" applyBorder="1" applyProtection="1"/>
    <xf numFmtId="37" fontId="3" fillId="0" borderId="3" xfId="0" applyNumberFormat="1" applyFont="1" applyBorder="1" applyProtection="1"/>
    <xf numFmtId="187" fontId="4" fillId="0" borderId="1" xfId="0" applyNumberFormat="1" applyFont="1" applyBorder="1" applyAlignment="1" applyProtection="1">
      <alignment horizontal="right"/>
    </xf>
    <xf numFmtId="193" fontId="4" fillId="0" borderId="0" xfId="4" applyNumberFormat="1" applyFont="1" applyBorder="1" applyAlignment="1" applyProtection="1">
      <alignment horizontal="right"/>
    </xf>
    <xf numFmtId="37" fontId="4" fillId="0" borderId="3" xfId="0" applyNumberFormat="1" applyFont="1" applyBorder="1" applyAlignment="1" applyProtection="1">
      <alignment horizontal="left"/>
    </xf>
    <xf numFmtId="201" fontId="4" fillId="0" borderId="0" xfId="0" quotePrefix="1" applyFont="1" applyBorder="1" applyAlignment="1">
      <alignment horizontal="centerContinuous"/>
    </xf>
    <xf numFmtId="187" fontId="4" fillId="0" borderId="0" xfId="0" applyNumberFormat="1" applyFont="1" applyBorder="1" applyAlignment="1" applyProtection="1">
      <alignment horizontal="centerContinuous"/>
    </xf>
    <xf numFmtId="201" fontId="8" fillId="0" borderId="0" xfId="0" applyFont="1" applyAlignment="1">
      <alignment horizontal="centerContinuous" vertical="top"/>
    </xf>
    <xf numFmtId="201" fontId="3" fillId="5" borderId="4" xfId="0" applyFont="1" applyFill="1" applyBorder="1" applyAlignment="1">
      <alignment horizontal="center"/>
    </xf>
    <xf numFmtId="185" fontId="18" fillId="0" borderId="13" xfId="0" applyNumberFormat="1" applyFont="1" applyBorder="1" applyAlignment="1" applyProtection="1">
      <alignment horizontal="left"/>
    </xf>
    <xf numFmtId="37" fontId="4" fillId="0" borderId="0" xfId="3" quotePrefix="1" applyNumberFormat="1" applyFont="1" applyAlignment="1">
      <alignment horizontal="right"/>
      <protection locked="0"/>
    </xf>
    <xf numFmtId="201" fontId="4" fillId="6" borderId="13" xfId="0" applyFont="1" applyFill="1" applyBorder="1"/>
    <xf numFmtId="193" fontId="4" fillId="6" borderId="8" xfId="4" quotePrefix="1" applyNumberFormat="1" applyFont="1" applyFill="1" applyBorder="1" applyAlignment="1">
      <alignment horizontal="center"/>
    </xf>
    <xf numFmtId="188" fontId="4" fillId="6" borderId="8" xfId="6" quotePrefix="1" applyNumberFormat="1" applyFont="1" applyFill="1" applyBorder="1" applyAlignment="1">
      <alignment horizontal="center"/>
    </xf>
    <xf numFmtId="201" fontId="18" fillId="0" borderId="0" xfId="0" applyFont="1" applyBorder="1" applyAlignment="1">
      <alignment horizontal="left"/>
    </xf>
    <xf numFmtId="1" fontId="3" fillId="0" borderId="6" xfId="0" applyNumberFormat="1" applyFont="1" applyBorder="1" applyAlignment="1">
      <alignment horizontal="right"/>
    </xf>
    <xf numFmtId="184" fontId="3" fillId="0" borderId="0" xfId="3" applyNumberFormat="1" applyFont="1" applyBorder="1" applyAlignment="1">
      <alignment horizontal="centerContinuous"/>
      <protection locked="0"/>
    </xf>
    <xf numFmtId="184" fontId="2" fillId="0" borderId="0" xfId="3" applyNumberFormat="1" applyFont="1" applyBorder="1" applyAlignment="1">
      <alignment horizontal="centerContinuous"/>
      <protection locked="0"/>
    </xf>
    <xf numFmtId="197" fontId="3" fillId="0" borderId="0" xfId="0" applyNumberFormat="1" applyFont="1" applyBorder="1" applyAlignment="1">
      <alignment horizontal="left"/>
    </xf>
    <xf numFmtId="201" fontId="4" fillId="2" borderId="10" xfId="0" applyFont="1" applyFill="1" applyBorder="1"/>
    <xf numFmtId="201" fontId="4" fillId="2" borderId="10" xfId="0" quotePrefix="1" applyFont="1" applyFill="1" applyBorder="1" applyAlignment="1" applyProtection="1">
      <alignment horizontal="fill"/>
    </xf>
    <xf numFmtId="201" fontId="4" fillId="2" borderId="10" xfId="0" applyFont="1" applyFill="1" applyBorder="1" applyAlignment="1" applyProtection="1">
      <alignment horizontal="left"/>
    </xf>
    <xf numFmtId="201" fontId="4" fillId="2" borderId="10" xfId="0" applyFont="1" applyFill="1" applyBorder="1" applyProtection="1"/>
    <xf numFmtId="183" fontId="4" fillId="2" borderId="10" xfId="0" applyNumberFormat="1" applyFont="1" applyFill="1" applyBorder="1" applyProtection="1"/>
    <xf numFmtId="37" fontId="4" fillId="2" borderId="10" xfId="0" applyNumberFormat="1" applyFont="1" applyFill="1" applyBorder="1" applyAlignment="1" applyProtection="1">
      <alignment horizontal="left"/>
    </xf>
    <xf numFmtId="184" fontId="12" fillId="0" borderId="0" xfId="0" applyNumberFormat="1" applyFont="1" applyFill="1" applyAlignment="1" applyProtection="1">
      <alignment horizontal="right"/>
    </xf>
    <xf numFmtId="201" fontId="4" fillId="2" borderId="10" xfId="0" applyFont="1" applyFill="1" applyBorder="1" applyAlignment="1" applyProtection="1">
      <alignment horizontal="fill"/>
    </xf>
    <xf numFmtId="198" fontId="4" fillId="0" borderId="0" xfId="0" applyNumberFormat="1" applyFont="1"/>
    <xf numFmtId="198" fontId="4" fillId="0" borderId="0" xfId="0" applyNumberFormat="1" applyFont="1" applyProtection="1"/>
    <xf numFmtId="198" fontId="4" fillId="0" borderId="0" xfId="0" applyNumberFormat="1" applyFont="1" applyAlignment="1" applyProtection="1">
      <alignment horizontal="left"/>
    </xf>
    <xf numFmtId="198" fontId="4" fillId="6" borderId="0" xfId="0" applyNumberFormat="1" applyFont="1" applyFill="1"/>
    <xf numFmtId="0" fontId="3" fillId="0" borderId="0" xfId="0" applyNumberFormat="1" applyFont="1"/>
    <xf numFmtId="201" fontId="12" fillId="4" borderId="6" xfId="0" applyFont="1" applyFill="1" applyBorder="1"/>
    <xf numFmtId="201" fontId="4" fillId="0" borderId="2" xfId="0" applyFont="1" applyFill="1" applyBorder="1"/>
    <xf numFmtId="185" fontId="3" fillId="0" borderId="6" xfId="0" applyNumberFormat="1" applyFont="1" applyFill="1" applyBorder="1" applyAlignment="1" applyProtection="1">
      <alignment horizontal="centerContinuous"/>
    </xf>
    <xf numFmtId="201" fontId="3" fillId="0" borderId="6" xfId="0" applyFont="1" applyFill="1" applyBorder="1" applyAlignment="1">
      <alignment horizontal="centerContinuous"/>
    </xf>
    <xf numFmtId="201" fontId="3" fillId="0" borderId="2" xfId="0" applyFont="1" applyFill="1" applyBorder="1"/>
    <xf numFmtId="201" fontId="4" fillId="0" borderId="0" xfId="0" applyFont="1" applyFill="1"/>
    <xf numFmtId="201" fontId="4" fillId="0" borderId="0" xfId="0" applyFont="1" applyFill="1" applyAlignment="1">
      <alignment horizontal="centerContinuous"/>
    </xf>
    <xf numFmtId="188" fontId="2" fillId="0" borderId="0" xfId="0" applyNumberFormat="1" applyFont="1" applyFill="1" applyProtection="1"/>
    <xf numFmtId="37" fontId="4" fillId="0" borderId="0" xfId="0" applyNumberFormat="1" applyFont="1" applyFill="1" applyAlignment="1" applyProtection="1">
      <alignment horizontal="center"/>
    </xf>
    <xf numFmtId="37" fontId="4" fillId="0" borderId="0" xfId="0" applyNumberFormat="1" applyFont="1" applyFill="1" applyAlignment="1" applyProtection="1">
      <alignment horizontal="left"/>
    </xf>
    <xf numFmtId="188" fontId="4" fillId="0" borderId="0" xfId="0" applyNumberFormat="1" applyFont="1" applyFill="1" applyAlignment="1" applyProtection="1">
      <alignment horizontal="right"/>
    </xf>
    <xf numFmtId="185" fontId="4" fillId="0" borderId="0" xfId="0" applyNumberFormat="1" applyFont="1" applyAlignment="1">
      <alignment horizontal="right"/>
    </xf>
    <xf numFmtId="187" fontId="4" fillId="0" borderId="0" xfId="0" quotePrefix="1" applyNumberFormat="1" applyFont="1" applyAlignment="1" applyProtection="1">
      <alignment horizontal="right"/>
    </xf>
    <xf numFmtId="201" fontId="7" fillId="5" borderId="11" xfId="0" applyFont="1" applyFill="1" applyBorder="1" applyAlignment="1">
      <alignment horizontal="centerContinuous"/>
    </xf>
    <xf numFmtId="201" fontId="7" fillId="5" borderId="2" xfId="0" applyFont="1" applyFill="1" applyBorder="1" applyAlignment="1">
      <alignment horizontal="centerContinuous"/>
    </xf>
    <xf numFmtId="201" fontId="7" fillId="5" borderId="3" xfId="0" applyFont="1" applyFill="1" applyBorder="1" applyAlignment="1">
      <alignment horizontal="centerContinuous"/>
    </xf>
    <xf numFmtId="201" fontId="7" fillId="5" borderId="0" xfId="0" applyFont="1" applyFill="1" applyBorder="1" applyAlignment="1">
      <alignment horizontal="centerContinuous"/>
    </xf>
    <xf numFmtId="188" fontId="4" fillId="0" borderId="0" xfId="6" applyNumberFormat="1" applyFont="1" applyAlignment="1" applyProtection="1"/>
    <xf numFmtId="188" fontId="6" fillId="0" borderId="0" xfId="6" applyNumberFormat="1" applyFont="1" applyAlignment="1" applyProtection="1"/>
    <xf numFmtId="188" fontId="6" fillId="0" borderId="0" xfId="6" applyNumberFormat="1" applyFont="1"/>
    <xf numFmtId="201" fontId="4" fillId="0" borderId="10" xfId="0" applyFont="1" applyFill="1" applyBorder="1"/>
    <xf numFmtId="37" fontId="4" fillId="0" borderId="10" xfId="0" applyNumberFormat="1" applyFont="1" applyBorder="1" applyAlignment="1" applyProtection="1">
      <alignment horizontal="fill"/>
    </xf>
    <xf numFmtId="188" fontId="4" fillId="0" borderId="10" xfId="6" applyNumberFormat="1" applyFont="1" applyBorder="1" applyAlignment="1" applyProtection="1"/>
    <xf numFmtId="188" fontId="6" fillId="0" borderId="10" xfId="6" applyNumberFormat="1" applyFont="1" applyBorder="1" applyAlignment="1" applyProtection="1"/>
    <xf numFmtId="188" fontId="4" fillId="0" borderId="10" xfId="0" applyNumberFormat="1" applyFont="1" applyBorder="1" applyProtection="1"/>
    <xf numFmtId="184" fontId="2" fillId="0" borderId="9" xfId="0" applyNumberFormat="1" applyFont="1" applyBorder="1" applyProtection="1"/>
    <xf numFmtId="187" fontId="4" fillId="0" borderId="10" xfId="0" applyNumberFormat="1" applyFont="1" applyBorder="1" applyProtection="1"/>
    <xf numFmtId="185" fontId="4" fillId="0" borderId="10" xfId="0" applyNumberFormat="1" applyFont="1" applyBorder="1" applyProtection="1"/>
    <xf numFmtId="201" fontId="4" fillId="0" borderId="10" xfId="0" applyFont="1" applyBorder="1"/>
    <xf numFmtId="188" fontId="4" fillId="0" borderId="15" xfId="6" applyNumberFormat="1" applyFont="1" applyBorder="1"/>
    <xf numFmtId="201" fontId="15" fillId="0" borderId="0" xfId="0" quotePrefix="1" applyFont="1" applyAlignment="1">
      <alignment horizontal="left"/>
    </xf>
    <xf numFmtId="1" fontId="2" fillId="0" borderId="9" xfId="0" applyNumberFormat="1" applyFont="1" applyBorder="1"/>
    <xf numFmtId="201" fontId="3" fillId="0" borderId="0" xfId="0" applyFont="1" applyAlignment="1">
      <alignment horizontal="center"/>
    </xf>
    <xf numFmtId="39" fontId="3" fillId="0" borderId="0" xfId="0" applyNumberFormat="1" applyFont="1"/>
    <xf numFmtId="188" fontId="3" fillId="0" borderId="1" xfId="6" applyNumberFormat="1" applyFont="1" applyBorder="1" applyAlignment="1">
      <alignment horizontal="centerContinuous"/>
    </xf>
    <xf numFmtId="185" fontId="3" fillId="0" borderId="1" xfId="0" applyNumberFormat="1" applyFont="1" applyBorder="1" applyAlignment="1">
      <alignment horizontal="centerContinuous"/>
    </xf>
    <xf numFmtId="188" fontId="3" fillId="0" borderId="0" xfId="6" applyNumberFormat="1" applyFont="1"/>
    <xf numFmtId="188" fontId="2" fillId="0" borderId="0" xfId="6" applyNumberFormat="1" applyFont="1"/>
    <xf numFmtId="188" fontId="3" fillId="0" borderId="0" xfId="6" applyNumberFormat="1" applyFont="1" applyBorder="1"/>
    <xf numFmtId="188" fontId="2" fillId="0" borderId="0" xfId="6" applyNumberFormat="1" applyFont="1" applyBorder="1"/>
    <xf numFmtId="188" fontId="4" fillId="0" borderId="0" xfId="6" applyNumberFormat="1" applyFont="1" applyAlignment="1">
      <alignment horizontal="centerContinuous"/>
    </xf>
    <xf numFmtId="185" fontId="4" fillId="0" borderId="0" xfId="0" applyNumberFormat="1" applyFont="1" applyAlignment="1">
      <alignment horizontal="centerContinuous"/>
    </xf>
    <xf numFmtId="188" fontId="4" fillId="0" borderId="0" xfId="6" quotePrefix="1" applyNumberFormat="1" applyFont="1" applyAlignment="1">
      <alignment horizontal="left"/>
    </xf>
    <xf numFmtId="201" fontId="4" fillId="0" borderId="0" xfId="0" applyFont="1" applyAlignment="1">
      <alignment horizontal="left"/>
    </xf>
    <xf numFmtId="185" fontId="4" fillId="0" borderId="0" xfId="0" quotePrefix="1" applyNumberFormat="1" applyFont="1" applyAlignment="1">
      <alignment horizontal="right"/>
    </xf>
    <xf numFmtId="188" fontId="3" fillId="0" borderId="0" xfId="6" applyNumberFormat="1" applyFont="1" applyBorder="1" applyAlignment="1">
      <alignment horizontal="centerContinuous"/>
    </xf>
    <xf numFmtId="185" fontId="3" fillId="0" borderId="0" xfId="0" applyNumberFormat="1" applyFont="1" applyBorder="1" applyAlignment="1">
      <alignment horizontal="centerContinuous"/>
    </xf>
    <xf numFmtId="188" fontId="4" fillId="0" borderId="0" xfId="6" quotePrefix="1" applyNumberFormat="1" applyFont="1" applyAlignment="1" applyProtection="1">
      <alignment horizontal="right"/>
    </xf>
    <xf numFmtId="201" fontId="8" fillId="0" borderId="0" xfId="0" applyFont="1" applyAlignment="1">
      <alignment horizontal="centerContinuous"/>
    </xf>
    <xf numFmtId="185" fontId="8" fillId="0" borderId="0" xfId="0" applyNumberFormat="1" applyFont="1" applyAlignment="1">
      <alignment horizontal="centerContinuous"/>
    </xf>
    <xf numFmtId="39" fontId="3" fillId="0" borderId="0" xfId="0" applyNumberFormat="1" applyFont="1" applyAlignment="1">
      <alignment horizontal="centerContinuous"/>
    </xf>
    <xf numFmtId="188" fontId="4" fillId="0" borderId="0" xfId="6" applyNumberFormat="1" applyFont="1" applyBorder="1" applyAlignment="1">
      <alignment horizontal="centerContinuous"/>
    </xf>
    <xf numFmtId="185" fontId="4" fillId="0" borderId="1" xfId="0" applyNumberFormat="1" applyFont="1" applyBorder="1" applyAlignment="1">
      <alignment horizontal="centerContinuous"/>
    </xf>
    <xf numFmtId="39" fontId="3" fillId="0" borderId="0" xfId="0" applyNumberFormat="1" applyFont="1" applyBorder="1"/>
    <xf numFmtId="188" fontId="2" fillId="0" borderId="2" xfId="6" applyNumberFormat="1" applyFont="1" applyBorder="1"/>
    <xf numFmtId="37" fontId="4" fillId="0" borderId="0" xfId="0" applyNumberFormat="1" applyFont="1" applyBorder="1" applyAlignment="1" applyProtection="1"/>
    <xf numFmtId="37" fontId="4" fillId="0" borderId="0" xfId="0" quotePrefix="1" applyNumberFormat="1" applyFont="1" applyBorder="1" applyAlignment="1" applyProtection="1">
      <alignment horizontal="fill"/>
    </xf>
    <xf numFmtId="188" fontId="4" fillId="0" borderId="0" xfId="6" applyNumberFormat="1" applyFont="1" applyBorder="1" applyAlignment="1" applyProtection="1"/>
    <xf numFmtId="185" fontId="4" fillId="0" borderId="0" xfId="3" quotePrefix="1" applyNumberFormat="1" applyFont="1" applyBorder="1" applyAlignment="1">
      <alignment horizontal="left"/>
      <protection locked="0"/>
    </xf>
    <xf numFmtId="185" fontId="4" fillId="0" borderId="0" xfId="3" quotePrefix="1" applyNumberFormat="1" applyFont="1" applyBorder="1" applyAlignment="1">
      <alignment horizontal="right"/>
      <protection locked="0"/>
    </xf>
    <xf numFmtId="185" fontId="12" fillId="0" borderId="0" xfId="3" applyNumberFormat="1" applyFont="1" applyBorder="1">
      <protection locked="0"/>
    </xf>
    <xf numFmtId="37" fontId="2" fillId="0" borderId="11" xfId="0" applyNumberFormat="1" applyFont="1" applyBorder="1" applyAlignment="1" applyProtection="1">
      <alignment horizontal="left"/>
    </xf>
    <xf numFmtId="37" fontId="2" fillId="0" borderId="11" xfId="0" applyNumberFormat="1" applyFont="1" applyBorder="1" applyProtection="1"/>
    <xf numFmtId="37" fontId="4" fillId="0" borderId="2" xfId="0" applyNumberFormat="1" applyFont="1" applyBorder="1" applyAlignment="1" applyProtection="1">
      <alignment horizontal="fill"/>
    </xf>
    <xf numFmtId="185" fontId="4" fillId="0" borderId="2" xfId="0" applyNumberFormat="1" applyFont="1" applyBorder="1" applyProtection="1"/>
    <xf numFmtId="188" fontId="6" fillId="0" borderId="0" xfId="6" applyNumberFormat="1" applyFont="1" applyBorder="1" applyAlignment="1" applyProtection="1"/>
    <xf numFmtId="187" fontId="4" fillId="0" borderId="0" xfId="3" applyNumberFormat="1" applyFont="1" applyBorder="1">
      <protection locked="0"/>
    </xf>
    <xf numFmtId="188" fontId="4" fillId="0" borderId="0" xfId="3" applyNumberFormat="1" applyFont="1" applyBorder="1" applyAlignment="1">
      <alignment horizontal="right"/>
      <protection locked="0"/>
    </xf>
    <xf numFmtId="37" fontId="4" fillId="0" borderId="0" xfId="0" applyNumberFormat="1" applyFont="1" applyBorder="1" applyAlignment="1" applyProtection="1">
      <alignment horizontal="right"/>
      <protection locked="0"/>
    </xf>
    <xf numFmtId="10" fontId="4" fillId="0" borderId="0" xfId="3" applyNumberFormat="1" applyFont="1" applyBorder="1">
      <protection locked="0"/>
    </xf>
    <xf numFmtId="188" fontId="4" fillId="0" borderId="0" xfId="0" applyNumberFormat="1" applyFont="1" applyBorder="1" applyProtection="1">
      <protection locked="0"/>
    </xf>
    <xf numFmtId="10" fontId="4" fillId="0" borderId="0" xfId="0" applyNumberFormat="1" applyFont="1" applyBorder="1" applyProtection="1">
      <protection locked="0"/>
    </xf>
    <xf numFmtId="14" fontId="2" fillId="0" borderId="0" xfId="0" applyNumberFormat="1" applyFont="1" applyAlignment="1" applyProtection="1">
      <alignment horizontal="right"/>
      <protection locked="0"/>
    </xf>
    <xf numFmtId="185" fontId="4" fillId="0" borderId="0" xfId="3" applyNumberFormat="1" applyFont="1" applyAlignment="1">
      <alignment horizontal="left"/>
      <protection locked="0"/>
    </xf>
    <xf numFmtId="188" fontId="4" fillId="0" borderId="0" xfId="0" applyNumberFormat="1" applyFont="1" applyBorder="1" applyAlignment="1" applyProtection="1">
      <alignment horizontal="right"/>
      <protection locked="0"/>
    </xf>
    <xf numFmtId="188" fontId="4" fillId="0" borderId="0" xfId="0" applyNumberFormat="1" applyFont="1" applyProtection="1">
      <protection locked="0"/>
    </xf>
    <xf numFmtId="10" fontId="4" fillId="0" borderId="0" xfId="0" applyNumberFormat="1" applyFont="1" applyProtection="1">
      <protection locked="0"/>
    </xf>
    <xf numFmtId="185" fontId="4" fillId="0" borderId="0" xfId="0" applyNumberFormat="1" applyFont="1" applyProtection="1">
      <protection locked="0"/>
    </xf>
    <xf numFmtId="188" fontId="4" fillId="0" borderId="10" xfId="3" applyNumberFormat="1" applyFont="1" applyBorder="1">
      <protection locked="0"/>
    </xf>
    <xf numFmtId="188" fontId="6" fillId="0" borderId="10" xfId="3" applyNumberFormat="1" applyFont="1" applyBorder="1">
      <protection locked="0"/>
    </xf>
    <xf numFmtId="188" fontId="6" fillId="0" borderId="0" xfId="3" applyNumberFormat="1" applyFont="1">
      <protection locked="0"/>
    </xf>
    <xf numFmtId="188" fontId="4" fillId="0" borderId="15" xfId="3" applyNumberFormat="1" applyFont="1" applyBorder="1">
      <protection locked="0"/>
    </xf>
    <xf numFmtId="201" fontId="4" fillId="0" borderId="13" xfId="0" applyFont="1" applyBorder="1" applyAlignment="1">
      <alignment vertical="center"/>
    </xf>
    <xf numFmtId="201" fontId="4" fillId="0" borderId="6" xfId="0" applyFont="1" applyBorder="1" applyAlignment="1">
      <alignment vertical="center"/>
    </xf>
    <xf numFmtId="37" fontId="4" fillId="0" borderId="6" xfId="0" applyNumberFormat="1" applyFont="1" applyBorder="1" applyAlignment="1" applyProtection="1">
      <alignment horizontal="right" vertical="center"/>
    </xf>
    <xf numFmtId="185" fontId="4" fillId="0" borderId="6" xfId="0" applyNumberFormat="1" applyFont="1" applyBorder="1" applyAlignment="1">
      <alignment vertical="center"/>
    </xf>
    <xf numFmtId="185" fontId="4" fillId="0" borderId="14" xfId="0" applyNumberFormat="1" applyFont="1" applyBorder="1" applyAlignment="1">
      <alignment vertical="center"/>
    </xf>
    <xf numFmtId="201" fontId="4" fillId="0" borderId="6" xfId="0" applyFont="1" applyBorder="1" applyAlignment="1">
      <alignment horizontal="left" vertical="center"/>
    </xf>
    <xf numFmtId="37" fontId="4" fillId="0" borderId="6" xfId="0" applyNumberFormat="1" applyFont="1" applyBorder="1" applyAlignment="1" applyProtection="1">
      <alignment horizontal="left" vertical="center"/>
    </xf>
    <xf numFmtId="188" fontId="4" fillId="0" borderId="6" xfId="6" applyNumberFormat="1" applyFont="1" applyBorder="1" applyAlignment="1">
      <alignment horizontal="right" vertical="center"/>
    </xf>
    <xf numFmtId="185" fontId="4" fillId="0" borderId="6" xfId="0" applyNumberFormat="1" applyFont="1" applyBorder="1" applyAlignment="1">
      <alignment horizontal="right" vertical="center"/>
    </xf>
    <xf numFmtId="185" fontId="4" fillId="0" borderId="14" xfId="0" applyNumberFormat="1" applyFont="1" applyBorder="1" applyAlignment="1">
      <alignment horizontal="right" vertical="center"/>
    </xf>
    <xf numFmtId="185" fontId="3" fillId="0" borderId="0" xfId="0" applyNumberFormat="1" applyFont="1" applyBorder="1" applyAlignment="1" applyProtection="1">
      <alignment horizontal="centerContinuous"/>
    </xf>
    <xf numFmtId="187" fontId="4" fillId="0" borderId="0" xfId="0" applyNumberFormat="1" applyFont="1" applyAlignment="1" applyProtection="1">
      <alignment horizontal="centerContinuous"/>
    </xf>
    <xf numFmtId="201" fontId="3" fillId="0" borderId="0" xfId="0" applyFont="1" applyBorder="1" applyAlignment="1">
      <alignment horizontal="centerContinuous"/>
    </xf>
    <xf numFmtId="1" fontId="2" fillId="0" borderId="2" xfId="0" applyNumberFormat="1" applyFont="1" applyBorder="1"/>
    <xf numFmtId="184" fontId="2" fillId="0" borderId="3" xfId="0" applyNumberFormat="1" applyFont="1" applyBorder="1" applyProtection="1"/>
    <xf numFmtId="40" fontId="4" fillId="0" borderId="0" xfId="4" applyFont="1" applyAlignment="1">
      <alignment horizontal="right"/>
    </xf>
    <xf numFmtId="201" fontId="4" fillId="2" borderId="9" xfId="0" applyFont="1" applyFill="1" applyBorder="1"/>
    <xf numFmtId="201" fontId="4" fillId="2" borderId="15" xfId="0" applyFont="1" applyFill="1" applyBorder="1"/>
    <xf numFmtId="193" fontId="4" fillId="0" borderId="0" xfId="4" quotePrefix="1" applyNumberFormat="1" applyFont="1" applyAlignment="1" applyProtection="1">
      <alignment horizontal="right"/>
    </xf>
    <xf numFmtId="201" fontId="19" fillId="0" borderId="4" xfId="0" applyFont="1" applyFill="1" applyBorder="1" applyAlignment="1">
      <alignment horizontal="right"/>
    </xf>
    <xf numFmtId="201" fontId="4" fillId="0" borderId="4" xfId="0" applyFont="1" applyFill="1" applyBorder="1"/>
    <xf numFmtId="201" fontId="4" fillId="0" borderId="0" xfId="0" applyFont="1" applyFill="1" applyBorder="1"/>
    <xf numFmtId="183" fontId="4" fillId="0" borderId="10" xfId="0" applyNumberFormat="1" applyFont="1" applyFill="1" applyBorder="1" applyProtection="1"/>
    <xf numFmtId="183" fontId="4" fillId="0" borderId="9" xfId="0" applyNumberFormat="1" applyFont="1" applyFill="1" applyBorder="1" applyProtection="1"/>
    <xf numFmtId="201" fontId="4" fillId="0" borderId="8" xfId="0" applyFont="1" applyFill="1" applyBorder="1"/>
    <xf numFmtId="201" fontId="4" fillId="0" borderId="12" xfId="0" applyFont="1" applyFill="1" applyBorder="1"/>
    <xf numFmtId="201" fontId="4" fillId="0" borderId="14" xfId="0" applyFont="1" applyFill="1" applyBorder="1"/>
    <xf numFmtId="201" fontId="3" fillId="0" borderId="3" xfId="0" quotePrefix="1" applyFont="1" applyFill="1" applyBorder="1" applyAlignment="1">
      <alignment horizontal="left"/>
    </xf>
    <xf numFmtId="201" fontId="4" fillId="0" borderId="9" xfId="0" applyFont="1" applyFill="1" applyBorder="1"/>
    <xf numFmtId="201" fontId="4" fillId="0" borderId="15" xfId="0" applyFont="1" applyFill="1" applyBorder="1"/>
    <xf numFmtId="201" fontId="3" fillId="2" borderId="10" xfId="0" applyFont="1" applyFill="1" applyBorder="1"/>
    <xf numFmtId="201" fontId="3" fillId="0" borderId="12" xfId="0" applyFont="1" applyFill="1" applyBorder="1"/>
    <xf numFmtId="201" fontId="3" fillId="0" borderId="4" xfId="0" applyFont="1" applyFill="1" applyBorder="1"/>
    <xf numFmtId="201" fontId="3" fillId="0" borderId="14" xfId="0" applyFont="1" applyFill="1" applyBorder="1"/>
    <xf numFmtId="201" fontId="4" fillId="2" borderId="3" xfId="0" applyFont="1" applyFill="1" applyBorder="1"/>
    <xf numFmtId="201" fontId="4" fillId="0" borderId="7" xfId="0" applyFont="1" applyFill="1" applyBorder="1"/>
    <xf numFmtId="201" fontId="3" fillId="0" borderId="13" xfId="0" quotePrefix="1" applyFont="1" applyBorder="1" applyAlignment="1">
      <alignment horizontal="left"/>
    </xf>
    <xf numFmtId="201" fontId="3" fillId="0" borderId="11" xfId="0" quotePrefix="1" applyFont="1" applyBorder="1" applyAlignment="1">
      <alignment horizontal="left"/>
    </xf>
    <xf numFmtId="201" fontId="3" fillId="0" borderId="5" xfId="0" applyFont="1" applyFill="1" applyBorder="1"/>
    <xf numFmtId="201" fontId="3" fillId="0" borderId="5" xfId="0" quotePrefix="1" applyFont="1" applyFill="1" applyBorder="1" applyAlignment="1">
      <alignment horizontal="left"/>
    </xf>
    <xf numFmtId="201" fontId="3" fillId="0" borderId="6" xfId="0" applyFont="1" applyBorder="1" applyAlignment="1">
      <alignment horizontal="left"/>
    </xf>
    <xf numFmtId="201" fontId="3" fillId="0" borderId="6" xfId="0" applyFont="1" applyBorder="1"/>
    <xf numFmtId="201" fontId="19" fillId="0" borderId="12" xfId="0" applyFont="1" applyFill="1" applyBorder="1" applyAlignment="1">
      <alignment horizontal="right"/>
    </xf>
    <xf numFmtId="37" fontId="3" fillId="0" borderId="5" xfId="0" quotePrefix="1" applyNumberFormat="1" applyFont="1" applyBorder="1" applyAlignment="1" applyProtection="1">
      <alignment horizontal="left"/>
    </xf>
    <xf numFmtId="201" fontId="0" fillId="2" borderId="10" xfId="0" applyFill="1" applyBorder="1"/>
    <xf numFmtId="201" fontId="0" fillId="2" borderId="15" xfId="0" applyFill="1" applyBorder="1"/>
    <xf numFmtId="185" fontId="4" fillId="2" borderId="10" xfId="0" applyNumberFormat="1" applyFont="1" applyFill="1" applyBorder="1" applyProtection="1"/>
    <xf numFmtId="37" fontId="4" fillId="2" borderId="10" xfId="0" applyNumberFormat="1" applyFont="1" applyFill="1" applyBorder="1" applyAlignment="1" applyProtection="1">
      <alignment horizontal="fill"/>
    </xf>
    <xf numFmtId="39" fontId="4" fillId="2" borderId="10" xfId="0" applyNumberFormat="1" applyFont="1" applyFill="1" applyBorder="1" applyProtection="1"/>
    <xf numFmtId="188" fontId="4" fillId="2" borderId="10" xfId="0" applyNumberFormat="1" applyFont="1" applyFill="1" applyBorder="1" applyProtection="1"/>
    <xf numFmtId="185" fontId="4" fillId="2" borderId="15" xfId="0" applyNumberFormat="1" applyFont="1" applyFill="1" applyBorder="1" applyProtection="1"/>
    <xf numFmtId="201" fontId="4" fillId="2" borderId="0" xfId="0" applyFont="1" applyFill="1" applyBorder="1"/>
    <xf numFmtId="201" fontId="4" fillId="2" borderId="1" xfId="0" applyFont="1" applyFill="1" applyBorder="1"/>
    <xf numFmtId="201" fontId="4" fillId="2" borderId="2" xfId="0" applyFont="1" applyFill="1" applyBorder="1"/>
    <xf numFmtId="193" fontId="0" fillId="0" borderId="0" xfId="4" applyNumberFormat="1" applyFont="1"/>
    <xf numFmtId="39" fontId="3" fillId="0" borderId="0" xfId="0" applyNumberFormat="1" applyFont="1" applyBorder="1" applyAlignment="1">
      <alignment vertical="center"/>
    </xf>
    <xf numFmtId="201" fontId="3" fillId="0" borderId="11" xfId="0" applyFont="1" applyFill="1" applyBorder="1"/>
    <xf numFmtId="188" fontId="2" fillId="0" borderId="0" xfId="6" applyNumberFormat="1" applyFont="1" applyBorder="1" applyAlignment="1">
      <alignment horizontal="right"/>
    </xf>
    <xf numFmtId="188" fontId="2" fillId="0" borderId="2" xfId="6" applyNumberFormat="1" applyFont="1" applyBorder="1" applyAlignment="1">
      <alignment horizontal="right"/>
    </xf>
    <xf numFmtId="188" fontId="3" fillId="0" borderId="0" xfId="6" applyNumberFormat="1" applyFont="1" applyAlignment="1">
      <alignment horizontal="right"/>
    </xf>
    <xf numFmtId="185" fontId="4" fillId="0" borderId="14" xfId="0" applyNumberFormat="1" applyFont="1" applyBorder="1"/>
    <xf numFmtId="189" fontId="6" fillId="0" borderId="0" xfId="0" applyNumberFormat="1" applyFont="1" applyProtection="1"/>
    <xf numFmtId="201" fontId="3" fillId="5" borderId="0" xfId="0" applyFont="1" applyFill="1" applyBorder="1" applyAlignment="1">
      <alignment horizontal="center"/>
    </xf>
    <xf numFmtId="188" fontId="4" fillId="0" borderId="0" xfId="6" applyNumberFormat="1" applyFont="1" applyAlignment="1">
      <alignment horizontal="right"/>
    </xf>
    <xf numFmtId="188" fontId="4" fillId="0" borderId="9" xfId="6" applyNumberFormat="1" applyFont="1" applyBorder="1" applyAlignment="1">
      <alignment horizontal="right"/>
    </xf>
    <xf numFmtId="188" fontId="4" fillId="0" borderId="10" xfId="6" applyNumberFormat="1" applyFont="1" applyBorder="1" applyAlignment="1">
      <alignment horizontal="right"/>
    </xf>
    <xf numFmtId="188" fontId="4" fillId="0" borderId="15" xfId="6" applyNumberFormat="1" applyFont="1" applyBorder="1" applyAlignment="1">
      <alignment horizontal="right"/>
    </xf>
    <xf numFmtId="188" fontId="4" fillId="0" borderId="0" xfId="0" applyNumberFormat="1" applyFont="1" applyAlignment="1">
      <alignment horizontal="right"/>
    </xf>
    <xf numFmtId="191" fontId="7" fillId="0" borderId="0" xfId="0" applyNumberFormat="1" applyFont="1" applyBorder="1"/>
    <xf numFmtId="201" fontId="7" fillId="0" borderId="0" xfId="0" quotePrefix="1" applyFont="1" applyBorder="1" applyAlignment="1">
      <alignment horizontal="left"/>
    </xf>
    <xf numFmtId="201" fontId="7" fillId="0" borderId="0" xfId="0" applyFont="1" applyBorder="1" applyAlignment="1">
      <alignment horizontal="left"/>
    </xf>
    <xf numFmtId="201" fontId="7" fillId="0" borderId="0" xfId="0" applyFont="1" applyBorder="1"/>
    <xf numFmtId="184" fontId="10" fillId="0" borderId="9" xfId="0" applyNumberFormat="1" applyFont="1" applyFill="1" applyBorder="1" applyAlignment="1" applyProtection="1">
      <alignment horizontal="right"/>
    </xf>
    <xf numFmtId="184" fontId="10" fillId="0" borderId="10" xfId="0" applyNumberFormat="1" applyFont="1" applyFill="1" applyBorder="1" applyAlignment="1" applyProtection="1">
      <alignment horizontal="right"/>
    </xf>
    <xf numFmtId="184" fontId="10" fillId="0" borderId="15" xfId="0" applyNumberFormat="1" applyFont="1" applyFill="1" applyBorder="1" applyAlignment="1" applyProtection="1">
      <alignment horizontal="right"/>
    </xf>
    <xf numFmtId="195" fontId="4" fillId="0" borderId="0" xfId="5" applyNumberFormat="1" applyFont="1" applyProtection="1">
      <protection locked="0"/>
    </xf>
    <xf numFmtId="199" fontId="4" fillId="6" borderId="8" xfId="0" applyNumberFormat="1" applyFont="1" applyFill="1" applyBorder="1" applyAlignment="1">
      <alignment horizontal="centerContinuous"/>
    </xf>
    <xf numFmtId="199" fontId="4" fillId="6" borderId="0" xfId="0" applyNumberFormat="1" applyFont="1" applyFill="1" applyBorder="1" applyAlignment="1">
      <alignment horizontal="centerContinuous"/>
    </xf>
    <xf numFmtId="199" fontId="4" fillId="0" borderId="7" xfId="0" applyNumberFormat="1" applyFont="1" applyBorder="1"/>
    <xf numFmtId="201" fontId="3" fillId="0" borderId="10" xfId="0" applyFont="1" applyFill="1" applyBorder="1"/>
    <xf numFmtId="201" fontId="3" fillId="0" borderId="10" xfId="0" quotePrefix="1" applyFont="1" applyFill="1" applyBorder="1" applyAlignment="1">
      <alignment horizontal="left"/>
    </xf>
    <xf numFmtId="188" fontId="4" fillId="6" borderId="7" xfId="0" applyNumberFormat="1" applyFont="1" applyFill="1" applyBorder="1" applyAlignment="1">
      <alignment horizontal="center"/>
    </xf>
    <xf numFmtId="188" fontId="4" fillId="0" borderId="13" xfId="6" applyNumberFormat="1" applyFont="1" applyBorder="1" applyAlignment="1">
      <alignment horizontal="right" vertical="center"/>
    </xf>
    <xf numFmtId="188" fontId="4" fillId="0" borderId="8" xfId="6" applyNumberFormat="1" applyFont="1" applyBorder="1" applyAlignment="1">
      <alignment horizontal="right" vertical="center"/>
    </xf>
    <xf numFmtId="188" fontId="4" fillId="0" borderId="7" xfId="6" applyNumberFormat="1" applyFont="1" applyBorder="1" applyAlignment="1">
      <alignment horizontal="right" vertical="center"/>
    </xf>
    <xf numFmtId="1" fontId="2" fillId="0" borderId="0" xfId="0" applyNumberFormat="1" applyFont="1" applyAlignment="1">
      <alignment horizontal="right"/>
    </xf>
    <xf numFmtId="1" fontId="2" fillId="0" borderId="9" xfId="0" applyNumberFormat="1" applyFont="1" applyBorder="1" applyAlignment="1">
      <alignment horizontal="right"/>
    </xf>
    <xf numFmtId="185" fontId="4" fillId="0" borderId="10" xfId="0" applyNumberFormat="1" applyFont="1" applyBorder="1"/>
    <xf numFmtId="189" fontId="6" fillId="0" borderId="10" xfId="0" applyNumberFormat="1" applyFont="1" applyBorder="1" applyProtection="1"/>
    <xf numFmtId="189" fontId="4" fillId="0" borderId="15" xfId="0" applyNumberFormat="1" applyFont="1" applyBorder="1" applyProtection="1"/>
    <xf numFmtId="199" fontId="7" fillId="0" borderId="0" xfId="0" applyNumberFormat="1" applyFont="1" applyBorder="1" applyAlignment="1">
      <alignment horizontal="center"/>
    </xf>
    <xf numFmtId="190" fontId="7" fillId="0" borderId="0" xfId="0" applyNumberFormat="1" applyFont="1" applyBorder="1" applyAlignment="1">
      <alignment horizontal="center"/>
    </xf>
    <xf numFmtId="10" fontId="7" fillId="0" borderId="0" xfId="0" applyNumberFormat="1" applyFont="1" applyBorder="1" applyAlignment="1">
      <alignment horizontal="center"/>
    </xf>
    <xf numFmtId="201" fontId="7" fillId="0" borderId="0" xfId="0" applyFont="1" applyBorder="1" applyAlignment="1">
      <alignment horizontal="center"/>
    </xf>
    <xf numFmtId="188" fontId="7" fillId="0" borderId="4" xfId="0" applyNumberFormat="1" applyFont="1" applyBorder="1" applyAlignment="1">
      <alignment horizontal="center"/>
    </xf>
    <xf numFmtId="201" fontId="7" fillId="0" borderId="2" xfId="0" applyFont="1" applyBorder="1"/>
    <xf numFmtId="201" fontId="7" fillId="0" borderId="3" xfId="0" applyFont="1" applyBorder="1"/>
    <xf numFmtId="201" fontId="7" fillId="0" borderId="4" xfId="0" applyFont="1" applyBorder="1"/>
    <xf numFmtId="201" fontId="7" fillId="0" borderId="5" xfId="0" applyFont="1" applyBorder="1"/>
    <xf numFmtId="201" fontId="7" fillId="0" borderId="1" xfId="0" applyFont="1" applyBorder="1"/>
    <xf numFmtId="201" fontId="7" fillId="0" borderId="14" xfId="0" applyFont="1" applyBorder="1"/>
    <xf numFmtId="38" fontId="4" fillId="8" borderId="8" xfId="4" applyNumberFormat="1" applyFont="1" applyFill="1" applyBorder="1" applyAlignment="1">
      <alignment horizontal="right"/>
    </xf>
    <xf numFmtId="201" fontId="3" fillId="0" borderId="8" xfId="0" applyFont="1" applyFill="1" applyBorder="1"/>
    <xf numFmtId="10" fontId="4" fillId="8" borderId="8" xfId="6" applyNumberFormat="1" applyFont="1" applyFill="1" applyBorder="1" applyAlignment="1">
      <alignment horizontal="center"/>
    </xf>
    <xf numFmtId="188" fontId="4" fillId="5" borderId="8" xfId="6" quotePrefix="1" applyNumberFormat="1" applyFont="1" applyFill="1" applyBorder="1" applyAlignment="1">
      <alignment horizontal="center"/>
    </xf>
    <xf numFmtId="201" fontId="14" fillId="0" borderId="0" xfId="0" quotePrefix="1" applyFont="1" applyAlignment="1">
      <alignment horizontal="left"/>
    </xf>
    <xf numFmtId="201" fontId="14" fillId="0" borderId="0" xfId="0" applyFont="1"/>
    <xf numFmtId="188" fontId="4" fillId="0" borderId="13" xfId="6" applyNumberFormat="1" applyFont="1" applyBorder="1" applyAlignment="1">
      <alignment horizontal="right"/>
    </xf>
    <xf numFmtId="188" fontId="4" fillId="0" borderId="6" xfId="6" applyNumberFormat="1" applyFont="1" applyBorder="1" applyAlignment="1">
      <alignment horizontal="right"/>
    </xf>
    <xf numFmtId="188" fontId="4" fillId="0" borderId="7" xfId="6" applyNumberFormat="1" applyFont="1" applyBorder="1" applyAlignment="1">
      <alignment horizontal="right"/>
    </xf>
    <xf numFmtId="199" fontId="3" fillId="0" borderId="7" xfId="0" applyNumberFormat="1" applyFont="1" applyBorder="1"/>
    <xf numFmtId="185" fontId="0" fillId="0" borderId="0" xfId="0" applyNumberFormat="1"/>
    <xf numFmtId="188" fontId="6" fillId="0" borderId="0" xfId="6" applyNumberFormat="1" applyFont="1" applyBorder="1"/>
    <xf numFmtId="188" fontId="4" fillId="0" borderId="0" xfId="6" applyNumberFormat="1" applyFont="1" applyBorder="1" applyProtection="1"/>
    <xf numFmtId="201" fontId="4" fillId="0" borderId="0" xfId="0" applyFont="1" applyFill="1" applyBorder="1" applyAlignment="1">
      <alignment horizontal="centerContinuous"/>
    </xf>
    <xf numFmtId="188" fontId="2" fillId="0" borderId="0" xfId="0" applyNumberFormat="1" applyFont="1" applyFill="1" applyBorder="1" applyProtection="1"/>
    <xf numFmtId="10" fontId="4" fillId="0" borderId="0" xfId="0" applyNumberFormat="1" applyFont="1" applyBorder="1"/>
    <xf numFmtId="185" fontId="3" fillId="0" borderId="0" xfId="0" applyNumberFormat="1" applyFont="1" applyBorder="1" applyProtection="1"/>
    <xf numFmtId="191" fontId="4" fillId="0" borderId="0" xfId="0" applyNumberFormat="1" applyFont="1" applyBorder="1" applyProtection="1"/>
    <xf numFmtId="185" fontId="4" fillId="0" borderId="0" xfId="0" applyNumberFormat="1" applyFont="1" applyBorder="1" applyAlignment="1" applyProtection="1">
      <alignment horizontal="centerContinuous" vertical="top"/>
    </xf>
    <xf numFmtId="39" fontId="4" fillId="0" borderId="0" xfId="0" applyNumberFormat="1" applyFont="1" applyBorder="1" applyAlignment="1" applyProtection="1">
      <alignment horizontal="right"/>
    </xf>
    <xf numFmtId="195" fontId="4" fillId="0" borderId="0" xfId="5" applyNumberFormat="1" applyFont="1" applyBorder="1" applyAlignment="1" applyProtection="1"/>
    <xf numFmtId="193" fontId="0" fillId="0" borderId="0" xfId="4" applyNumberFormat="1" applyFont="1" applyBorder="1"/>
    <xf numFmtId="37" fontId="4" fillId="0" borderId="0" xfId="3" quotePrefix="1" applyNumberFormat="1" applyFont="1" applyBorder="1" applyAlignment="1">
      <alignment horizontal="right"/>
      <protection locked="0"/>
    </xf>
    <xf numFmtId="185" fontId="0" fillId="0" borderId="0" xfId="0" applyNumberFormat="1" applyBorder="1"/>
    <xf numFmtId="1" fontId="2" fillId="0" borderId="0" xfId="0" applyNumberFormat="1" applyFont="1" applyBorder="1"/>
    <xf numFmtId="37" fontId="3" fillId="0" borderId="0" xfId="0" applyNumberFormat="1" applyFont="1" applyBorder="1" applyAlignment="1" applyProtection="1">
      <alignment horizontal="right"/>
    </xf>
    <xf numFmtId="201" fontId="4" fillId="2" borderId="12" xfId="0" applyFont="1" applyFill="1" applyBorder="1"/>
    <xf numFmtId="201" fontId="4" fillId="2" borderId="4" xfId="0" applyFont="1" applyFill="1" applyBorder="1"/>
    <xf numFmtId="201" fontId="4" fillId="2" borderId="14" xfId="0" applyFont="1" applyFill="1" applyBorder="1"/>
    <xf numFmtId="1" fontId="2" fillId="0" borderId="0" xfId="0" applyNumberFormat="1" applyFont="1" applyBorder="1" applyAlignment="1">
      <alignment horizontal="right"/>
    </xf>
    <xf numFmtId="189" fontId="6" fillId="0" borderId="0" xfId="0" applyNumberFormat="1" applyFont="1" applyBorder="1" applyProtection="1"/>
    <xf numFmtId="189" fontId="4" fillId="0" borderId="0" xfId="0" applyNumberFormat="1" applyFont="1" applyBorder="1" applyProtection="1"/>
    <xf numFmtId="185" fontId="4" fillId="0" borderId="0" xfId="0" applyNumberFormat="1" applyFont="1" applyBorder="1" applyAlignment="1">
      <alignment horizontal="centerContinuous"/>
    </xf>
    <xf numFmtId="201" fontId="4" fillId="0" borderId="0" xfId="0" quotePrefix="1" applyFont="1" applyBorder="1" applyAlignment="1">
      <alignment horizontal="fill"/>
    </xf>
    <xf numFmtId="187" fontId="5" fillId="0" borderId="0" xfId="0" applyNumberFormat="1" applyFont="1" applyProtection="1"/>
    <xf numFmtId="185" fontId="5" fillId="0" borderId="0" xfId="0" applyNumberFormat="1" applyFont="1" applyProtection="1"/>
    <xf numFmtId="201" fontId="3" fillId="0" borderId="0" xfId="0" quotePrefix="1" applyFont="1" applyBorder="1" applyAlignment="1">
      <alignment horizontal="left"/>
    </xf>
    <xf numFmtId="201" fontId="3" fillId="6" borderId="0" xfId="0" quotePrefix="1" applyFont="1" applyFill="1" applyBorder="1" applyAlignment="1">
      <alignment horizontal="left"/>
    </xf>
    <xf numFmtId="201" fontId="3" fillId="0" borderId="0" xfId="0" quotePrefix="1" applyFont="1" applyFill="1" applyBorder="1" applyAlignment="1">
      <alignment horizontal="left"/>
    </xf>
    <xf numFmtId="187" fontId="5" fillId="0" borderId="0" xfId="3" applyNumberFormat="1" applyFont="1" applyBorder="1">
      <protection locked="0"/>
    </xf>
    <xf numFmtId="185" fontId="5" fillId="0" borderId="0" xfId="3" applyNumberFormat="1" applyFont="1" applyBorder="1" applyAlignment="1">
      <alignment horizontal="right"/>
      <protection locked="0"/>
    </xf>
    <xf numFmtId="191" fontId="4" fillId="0" borderId="0" xfId="0" applyNumberFormat="1" applyFont="1" applyAlignment="1" applyProtection="1">
      <alignment horizontal="right"/>
    </xf>
    <xf numFmtId="188" fontId="4" fillId="0" borderId="0" xfId="0" applyNumberFormat="1" applyFont="1" applyFill="1" applyAlignment="1">
      <alignment horizontal="right"/>
    </xf>
    <xf numFmtId="188" fontId="4" fillId="0" borderId="0" xfId="0" applyNumberFormat="1" applyFont="1" applyFill="1" applyBorder="1" applyAlignment="1">
      <alignment horizontal="right"/>
    </xf>
    <xf numFmtId="10" fontId="5" fillId="0" borderId="8" xfId="6" applyNumberFormat="1" applyFont="1" applyBorder="1"/>
    <xf numFmtId="10" fontId="5" fillId="0" borderId="8" xfId="6" applyNumberFormat="1" applyFont="1" applyBorder="1" applyAlignment="1" applyProtection="1">
      <alignment horizontal="right"/>
    </xf>
    <xf numFmtId="10" fontId="5" fillId="0" borderId="8" xfId="0" applyNumberFormat="1" applyFont="1" applyBorder="1"/>
    <xf numFmtId="188" fontId="5" fillId="0" borderId="8" xfId="6" applyNumberFormat="1" applyFont="1" applyBorder="1"/>
    <xf numFmtId="10" fontId="5" fillId="0" borderId="8" xfId="6" applyNumberFormat="1" applyFont="1" applyBorder="1" applyProtection="1"/>
    <xf numFmtId="10" fontId="5" fillId="0" borderId="8" xfId="6" applyNumberFormat="1" applyFont="1" applyBorder="1" applyAlignment="1">
      <alignment horizontal="right"/>
    </xf>
    <xf numFmtId="187" fontId="5" fillId="0" borderId="0" xfId="3" applyNumberFormat="1" applyFont="1">
      <protection locked="0"/>
    </xf>
    <xf numFmtId="185" fontId="5" fillId="0" borderId="0" xfId="3" applyNumberFormat="1" applyFont="1">
      <protection locked="0"/>
    </xf>
    <xf numFmtId="185" fontId="5" fillId="0" borderId="0" xfId="0" applyNumberFormat="1" applyFont="1" applyBorder="1" applyAlignment="1" applyProtection="1">
      <alignment horizontal="right"/>
    </xf>
    <xf numFmtId="202" fontId="4" fillId="0" borderId="0" xfId="0" applyNumberFormat="1" applyFont="1" applyBorder="1" applyAlignment="1" applyProtection="1">
      <alignment horizontal="right"/>
    </xf>
    <xf numFmtId="203" fontId="4" fillId="0" borderId="0" xfId="0" applyNumberFormat="1" applyFont="1" applyBorder="1" applyAlignment="1" applyProtection="1">
      <alignment horizontal="right"/>
    </xf>
    <xf numFmtId="204" fontId="0" fillId="0" borderId="0" xfId="0" applyNumberFormat="1" applyFont="1" applyBorder="1" applyAlignment="1">
      <alignment horizontal="right"/>
    </xf>
    <xf numFmtId="205" fontId="3" fillId="0" borderId="0" xfId="0" applyNumberFormat="1" applyFont="1" applyFill="1" applyAlignment="1" applyProtection="1">
      <alignment horizontal="right"/>
    </xf>
    <xf numFmtId="206" fontId="4" fillId="0" borderId="0" xfId="0" applyNumberFormat="1" applyFont="1" applyProtection="1"/>
    <xf numFmtId="205" fontId="4" fillId="0" borderId="0" xfId="0" applyNumberFormat="1" applyFont="1" applyFill="1" applyAlignment="1" applyProtection="1">
      <alignment horizontal="right"/>
    </xf>
    <xf numFmtId="205" fontId="3" fillId="0" borderId="0" xfId="0" applyNumberFormat="1" applyFont="1" applyFill="1" applyAlignment="1" applyProtection="1">
      <alignment horizontal="right" vertical="center"/>
    </xf>
    <xf numFmtId="185" fontId="5" fillId="0" borderId="0" xfId="0" applyNumberFormat="1" applyFont="1" applyBorder="1" applyProtection="1"/>
    <xf numFmtId="185" fontId="5" fillId="0" borderId="0" xfId="3" applyNumberFormat="1" applyFont="1" applyBorder="1">
      <protection locked="0"/>
    </xf>
    <xf numFmtId="37" fontId="5" fillId="0" borderId="0" xfId="0" applyNumberFormat="1" applyFont="1" applyAlignment="1" applyProtection="1">
      <alignment horizontal="left"/>
    </xf>
    <xf numFmtId="37" fontId="5" fillId="0" borderId="0" xfId="0" quotePrefix="1" applyNumberFormat="1" applyFont="1" applyAlignment="1" applyProtection="1">
      <alignment horizontal="left"/>
    </xf>
    <xf numFmtId="201" fontId="5" fillId="0" borderId="0" xfId="0" applyFont="1"/>
    <xf numFmtId="201" fontId="5" fillId="0" borderId="0" xfId="0" applyFont="1" applyProtection="1"/>
    <xf numFmtId="201" fontId="11" fillId="6" borderId="13" xfId="0" applyFont="1" applyFill="1" applyBorder="1"/>
    <xf numFmtId="201" fontId="11" fillId="6" borderId="13" xfId="0" quotePrefix="1" applyFont="1" applyFill="1" applyBorder="1" applyAlignment="1">
      <alignment horizontal="left"/>
    </xf>
    <xf numFmtId="201" fontId="11" fillId="6" borderId="8" xfId="0" applyFont="1" applyFill="1" applyBorder="1" applyAlignment="1">
      <alignment horizontal="left"/>
    </xf>
    <xf numFmtId="201" fontId="11" fillId="6" borderId="8" xfId="0" quotePrefix="1" applyFont="1" applyFill="1" applyBorder="1" applyAlignment="1">
      <alignment horizontal="left"/>
    </xf>
    <xf numFmtId="188" fontId="11" fillId="0" borderId="8" xfId="3" applyFont="1" applyBorder="1">
      <protection locked="0"/>
    </xf>
    <xf numFmtId="188" fontId="11" fillId="0" borderId="8" xfId="3" applyFont="1" applyBorder="1" applyAlignment="1">
      <alignment horizontal="left"/>
      <protection locked="0"/>
    </xf>
    <xf numFmtId="188" fontId="11" fillId="0" borderId="8" xfId="3" quotePrefix="1" applyFont="1" applyBorder="1" applyAlignment="1">
      <alignment horizontal="left"/>
      <protection locked="0"/>
    </xf>
    <xf numFmtId="201" fontId="11" fillId="6" borderId="13" xfId="0" applyFont="1" applyFill="1" applyBorder="1" applyAlignment="1">
      <alignment horizontal="left"/>
    </xf>
    <xf numFmtId="201" fontId="11" fillId="0" borderId="9" xfId="0" quotePrefix="1" applyFont="1" applyFill="1" applyBorder="1" applyAlignment="1">
      <alignment horizontal="center"/>
    </xf>
    <xf numFmtId="201" fontId="20" fillId="0" borderId="0" xfId="0" applyFont="1" applyAlignment="1">
      <alignment horizontal="centerContinuous"/>
    </xf>
    <xf numFmtId="201" fontId="11" fillId="0" borderId="10" xfId="0" quotePrefix="1" applyFont="1" applyFill="1" applyBorder="1" applyAlignment="1">
      <alignment horizontal="center"/>
    </xf>
    <xf numFmtId="201" fontId="11" fillId="0" borderId="15" xfId="0" applyFont="1" applyFill="1" applyBorder="1" applyAlignment="1">
      <alignment horizontal="center"/>
    </xf>
    <xf numFmtId="201" fontId="21" fillId="0" borderId="2" xfId="0" applyFont="1" applyBorder="1"/>
    <xf numFmtId="201" fontId="22" fillId="0" borderId="2" xfId="0" quotePrefix="1" applyFont="1" applyFill="1" applyBorder="1" applyAlignment="1">
      <alignment horizontal="center"/>
    </xf>
    <xf numFmtId="201" fontId="21" fillId="0" borderId="0" xfId="0" quotePrefix="1" applyFont="1" applyFill="1" applyBorder="1" applyAlignment="1">
      <alignment horizontal="center" vertical="top"/>
    </xf>
    <xf numFmtId="201" fontId="22" fillId="0" borderId="12" xfId="0" applyFont="1" applyFill="1" applyBorder="1" applyAlignment="1">
      <alignment horizontal="center"/>
    </xf>
    <xf numFmtId="201" fontId="21" fillId="0" borderId="4" xfId="0" applyFont="1" applyFill="1" applyBorder="1" applyAlignment="1">
      <alignment horizontal="center" vertical="top"/>
    </xf>
    <xf numFmtId="201" fontId="22" fillId="0" borderId="0" xfId="0" quotePrefix="1" applyFont="1" applyBorder="1" applyAlignment="1">
      <alignment horizontal="center"/>
    </xf>
    <xf numFmtId="201" fontId="22" fillId="0" borderId="4" xfId="0" quotePrefix="1" applyFont="1" applyBorder="1" applyAlignment="1">
      <alignment horizontal="center"/>
    </xf>
    <xf numFmtId="201" fontId="21" fillId="0" borderId="2" xfId="0" quotePrefix="1" applyFont="1" applyBorder="1" applyAlignment="1">
      <alignment horizontal="left"/>
    </xf>
    <xf numFmtId="201" fontId="22" fillId="0" borderId="0" xfId="0" quotePrefix="1" applyFont="1" applyBorder="1" applyAlignment="1">
      <alignment horizontal="left"/>
    </xf>
    <xf numFmtId="201" fontId="21" fillId="0" borderId="11" xfId="0" applyFont="1" applyBorder="1"/>
    <xf numFmtId="201" fontId="22" fillId="0" borderId="3" xfId="0" quotePrefix="1" applyFont="1" applyBorder="1" applyAlignment="1">
      <alignment horizontal="left"/>
    </xf>
    <xf numFmtId="201" fontId="22" fillId="0" borderId="3" xfId="0" applyFont="1" applyBorder="1" applyAlignment="1">
      <alignment horizontal="left"/>
    </xf>
    <xf numFmtId="201" fontId="22" fillId="0" borderId="0" xfId="0" applyFont="1" applyBorder="1" applyAlignment="1">
      <alignment horizontal="left"/>
    </xf>
    <xf numFmtId="201" fontId="21" fillId="0" borderId="0" xfId="0" applyFont="1" applyBorder="1" applyAlignment="1">
      <alignment horizontal="left"/>
    </xf>
    <xf numFmtId="201" fontId="22" fillId="0" borderId="0" xfId="0" applyFont="1" applyBorder="1"/>
    <xf numFmtId="201" fontId="11" fillId="0" borderId="6" xfId="0" quotePrefix="1" applyFont="1" applyBorder="1" applyAlignment="1">
      <alignment horizontal="left"/>
    </xf>
    <xf numFmtId="201" fontId="11" fillId="0" borderId="1" xfId="0" quotePrefix="1" applyFont="1" applyBorder="1" applyAlignment="1">
      <alignment horizontal="left"/>
    </xf>
    <xf numFmtId="185" fontId="23" fillId="0" borderId="0" xfId="0" applyNumberFormat="1" applyFont="1" applyAlignment="1" applyProtection="1">
      <alignment horizontal="left"/>
    </xf>
    <xf numFmtId="201" fontId="23" fillId="0" borderId="0" xfId="0" applyFont="1" applyAlignment="1">
      <alignment horizontal="right"/>
    </xf>
    <xf numFmtId="37" fontId="23" fillId="0" borderId="0" xfId="0" applyNumberFormat="1" applyFont="1" applyBorder="1" applyAlignment="1" applyProtection="1">
      <alignment horizontal="right"/>
    </xf>
    <xf numFmtId="37" fontId="24" fillId="0" borderId="0" xfId="0" applyNumberFormat="1" applyFont="1" applyAlignment="1" applyProtection="1">
      <alignment horizontal="right"/>
    </xf>
    <xf numFmtId="37" fontId="23" fillId="0" borderId="0" xfId="0" applyNumberFormat="1" applyFont="1" applyAlignment="1" applyProtection="1">
      <alignment horizontal="right"/>
    </xf>
    <xf numFmtId="37" fontId="23" fillId="0" borderId="0" xfId="0" applyNumberFormat="1" applyFont="1" applyBorder="1" applyAlignment="1" applyProtection="1">
      <alignment horizontal="left"/>
    </xf>
    <xf numFmtId="185" fontId="5" fillId="0" borderId="0" xfId="0" quotePrefix="1" applyNumberFormat="1" applyFont="1" applyAlignment="1" applyProtection="1">
      <alignment horizontal="right"/>
    </xf>
    <xf numFmtId="201" fontId="23" fillId="0" borderId="0" xfId="0" quotePrefix="1" applyFont="1" applyAlignment="1">
      <alignment horizontal="right"/>
    </xf>
    <xf numFmtId="37" fontId="5" fillId="0" borderId="0" xfId="0" quotePrefix="1" applyNumberFormat="1" applyFont="1" applyAlignment="1" applyProtection="1">
      <alignment horizontal="right"/>
    </xf>
    <xf numFmtId="185" fontId="24" fillId="0" borderId="0" xfId="0" quotePrefix="1" applyNumberFormat="1" applyFont="1" applyAlignment="1" applyProtection="1">
      <alignment horizontal="right"/>
    </xf>
    <xf numFmtId="201" fontId="25" fillId="0" borderId="11" xfId="0" applyFont="1" applyBorder="1"/>
    <xf numFmtId="201" fontId="11" fillId="0" borderId="3" xfId="0" quotePrefix="1" applyFont="1" applyBorder="1" applyAlignment="1">
      <alignment horizontal="left"/>
    </xf>
    <xf numFmtId="201" fontId="11" fillId="0" borderId="3" xfId="0" applyFont="1" applyBorder="1" applyAlignment="1">
      <alignment horizontal="left"/>
    </xf>
    <xf numFmtId="201" fontId="11" fillId="0" borderId="5" xfId="0" applyFont="1" applyBorder="1"/>
    <xf numFmtId="184" fontId="5" fillId="0" borderId="0" xfId="0" quotePrefix="1" applyNumberFormat="1" applyFont="1" applyAlignment="1" applyProtection="1">
      <alignment horizontal="right"/>
    </xf>
    <xf numFmtId="201" fontId="5" fillId="0" borderId="0" xfId="0" quotePrefix="1" applyFont="1" applyAlignment="1">
      <alignment horizontal="left"/>
    </xf>
    <xf numFmtId="185" fontId="5" fillId="0" borderId="0" xfId="0" quotePrefix="1" applyNumberFormat="1" applyFont="1" applyAlignment="1" applyProtection="1">
      <alignment horizontal="left"/>
    </xf>
    <xf numFmtId="201" fontId="23" fillId="0" borderId="0" xfId="0" applyFont="1" applyAlignment="1">
      <alignment horizontal="left"/>
    </xf>
    <xf numFmtId="201" fontId="11" fillId="0" borderId="2" xfId="0" applyFont="1" applyBorder="1" applyAlignment="1">
      <alignment horizontal="right"/>
    </xf>
    <xf numFmtId="37" fontId="11" fillId="0" borderId="0" xfId="0" applyNumberFormat="1" applyFont="1" applyFill="1" applyAlignment="1" applyProtection="1">
      <alignment horizontal="left"/>
    </xf>
    <xf numFmtId="37" fontId="16" fillId="0" borderId="0" xfId="0" applyNumberFormat="1" applyFont="1" applyFill="1" applyAlignment="1" applyProtection="1">
      <alignment horizontal="left"/>
    </xf>
    <xf numFmtId="37" fontId="24" fillId="0" borderId="0" xfId="0" applyNumberFormat="1" applyFont="1" applyFill="1" applyAlignment="1" applyProtection="1">
      <alignment horizontal="centerContinuous"/>
    </xf>
    <xf numFmtId="201" fontId="24" fillId="0" borderId="0" xfId="0" applyFont="1"/>
    <xf numFmtId="37" fontId="11" fillId="0" borderId="0" xfId="0" applyNumberFormat="1" applyFont="1" applyAlignment="1" applyProtection="1">
      <alignment horizontal="right"/>
    </xf>
    <xf numFmtId="37" fontId="5" fillId="0" borderId="0" xfId="0" applyNumberFormat="1" applyFont="1" applyBorder="1" applyAlignment="1" applyProtection="1">
      <alignment horizontal="left"/>
    </xf>
    <xf numFmtId="201" fontId="16" fillId="0" borderId="0" xfId="0" applyFont="1" applyBorder="1" applyAlignment="1">
      <alignment horizontal="right"/>
    </xf>
    <xf numFmtId="37" fontId="5" fillId="0" borderId="0" xfId="0" quotePrefix="1" applyNumberFormat="1" applyFont="1" applyBorder="1" applyAlignment="1" applyProtection="1">
      <alignment horizontal="left"/>
    </xf>
    <xf numFmtId="195" fontId="5" fillId="0" borderId="0" xfId="5" quotePrefix="1" applyNumberFormat="1" applyFont="1" applyAlignment="1" applyProtection="1">
      <alignment horizontal="right"/>
    </xf>
    <xf numFmtId="40" fontId="5" fillId="0" borderId="0" xfId="4" quotePrefix="1" applyFont="1" applyAlignment="1" applyProtection="1">
      <alignment horizontal="right"/>
    </xf>
    <xf numFmtId="37" fontId="11" fillId="0" borderId="3" xfId="0" applyNumberFormat="1" applyFont="1" applyBorder="1" applyAlignment="1" applyProtection="1">
      <alignment horizontal="left"/>
    </xf>
    <xf numFmtId="37" fontId="11" fillId="0" borderId="3" xfId="0" quotePrefix="1" applyNumberFormat="1" applyFont="1" applyBorder="1" applyAlignment="1" applyProtection="1">
      <alignment horizontal="left"/>
    </xf>
    <xf numFmtId="37" fontId="20" fillId="0" borderId="0" xfId="0" quotePrefix="1" applyNumberFormat="1" applyFont="1" applyAlignment="1" applyProtection="1">
      <alignment horizontal="centerContinuous" vertical="top"/>
    </xf>
    <xf numFmtId="183" fontId="5" fillId="0" borderId="0" xfId="3" applyNumberFormat="1" applyFont="1" applyBorder="1">
      <protection locked="0"/>
    </xf>
    <xf numFmtId="188" fontId="5" fillId="0" borderId="0" xfId="0" quotePrefix="1" applyNumberFormat="1" applyFont="1" applyBorder="1" applyAlignment="1" applyProtection="1">
      <alignment horizontal="right"/>
    </xf>
    <xf numFmtId="37" fontId="5" fillId="0" borderId="0" xfId="0" applyNumberFormat="1" applyFont="1" applyAlignment="1" applyProtection="1">
      <alignment horizontal="fill"/>
    </xf>
    <xf numFmtId="37" fontId="5" fillId="0" borderId="0" xfId="0" quotePrefix="1" applyNumberFormat="1" applyFont="1" applyBorder="1" applyAlignment="1" applyProtection="1">
      <alignment horizontal="right"/>
    </xf>
    <xf numFmtId="37" fontId="5" fillId="0" borderId="0" xfId="0" applyNumberFormat="1" applyFont="1" applyBorder="1" applyAlignment="1" applyProtection="1">
      <alignment horizontal="right"/>
    </xf>
    <xf numFmtId="201" fontId="20" fillId="0" borderId="0" xfId="0" applyFont="1" applyAlignment="1">
      <alignment horizontal="centerContinuous" vertical="top"/>
    </xf>
    <xf numFmtId="183" fontId="5" fillId="0" borderId="0" xfId="3" applyNumberFormat="1" applyFont="1">
      <protection locked="0"/>
    </xf>
    <xf numFmtId="185" fontId="20" fillId="0" borderId="0" xfId="0" applyNumberFormat="1" applyFont="1" applyBorder="1" applyAlignment="1" applyProtection="1">
      <alignment horizontal="centerContinuous" vertical="top"/>
    </xf>
    <xf numFmtId="185" fontId="11" fillId="0" borderId="1" xfId="0" applyNumberFormat="1" applyFont="1" applyBorder="1" applyAlignment="1" applyProtection="1">
      <alignment horizontal="centerContinuous" vertical="center"/>
    </xf>
    <xf numFmtId="185" fontId="11" fillId="0" borderId="0" xfId="0" applyNumberFormat="1" applyFont="1" applyAlignment="1" applyProtection="1">
      <alignment horizontal="right"/>
    </xf>
    <xf numFmtId="185" fontId="16" fillId="0" borderId="0" xfId="0" applyNumberFormat="1" applyFont="1" applyAlignment="1" applyProtection="1">
      <alignment horizontal="right"/>
    </xf>
    <xf numFmtId="185" fontId="16" fillId="0" borderId="0" xfId="0" applyNumberFormat="1" applyFont="1" applyBorder="1" applyAlignment="1" applyProtection="1">
      <alignment horizontal="right"/>
    </xf>
    <xf numFmtId="185" fontId="16" fillId="0" borderId="0" xfId="0" applyNumberFormat="1" applyFont="1" applyAlignment="1" applyProtection="1">
      <alignment horizontal="left"/>
    </xf>
    <xf numFmtId="185" fontId="24" fillId="0" borderId="0" xfId="0" applyNumberFormat="1" applyFont="1" applyAlignment="1" applyProtection="1">
      <alignment horizontal="left"/>
    </xf>
    <xf numFmtId="185" fontId="5" fillId="0" borderId="0" xfId="0" applyNumberFormat="1" applyFont="1" applyAlignment="1" applyProtection="1">
      <alignment horizontal="left"/>
    </xf>
    <xf numFmtId="198" fontId="5" fillId="0" borderId="0" xfId="0" applyNumberFormat="1" applyFont="1"/>
    <xf numFmtId="185" fontId="23" fillId="0" borderId="0" xfId="0" applyNumberFormat="1" applyFont="1" applyBorder="1" applyAlignment="1" applyProtection="1">
      <alignment horizontal="left"/>
    </xf>
    <xf numFmtId="185" fontId="5" fillId="0" borderId="0" xfId="0" quotePrefix="1" applyNumberFormat="1" applyFont="1" applyBorder="1" applyAlignment="1" applyProtection="1">
      <alignment horizontal="left"/>
    </xf>
    <xf numFmtId="185" fontId="5" fillId="0" borderId="0" xfId="0" quotePrefix="1" applyNumberFormat="1" applyFont="1" applyBorder="1" applyAlignment="1" applyProtection="1">
      <alignment horizontal="right"/>
    </xf>
    <xf numFmtId="185" fontId="20" fillId="0" borderId="0" xfId="0" applyNumberFormat="1" applyFont="1" applyAlignment="1" applyProtection="1">
      <alignment horizontal="centerContinuous" vertical="top"/>
    </xf>
    <xf numFmtId="201" fontId="11" fillId="0" borderId="8" xfId="0" applyFont="1" applyBorder="1" applyAlignment="1">
      <alignment horizontal="right"/>
    </xf>
    <xf numFmtId="37" fontId="24" fillId="0" borderId="0" xfId="0" applyNumberFormat="1" applyFont="1" applyAlignment="1" applyProtection="1">
      <alignment horizontal="left"/>
    </xf>
    <xf numFmtId="201" fontId="11" fillId="0" borderId="13" xfId="0" quotePrefix="1" applyFont="1" applyBorder="1" applyAlignment="1">
      <alignment horizontal="left"/>
    </xf>
    <xf numFmtId="201" fontId="5" fillId="0" borderId="0" xfId="0" applyFont="1" applyBorder="1"/>
    <xf numFmtId="185" fontId="11" fillId="0" borderId="8" xfId="0" applyNumberFormat="1" applyFont="1" applyBorder="1" applyAlignment="1" applyProtection="1">
      <alignment horizontal="right"/>
    </xf>
    <xf numFmtId="185" fontId="5" fillId="0" borderId="0" xfId="0" applyNumberFormat="1" applyFont="1" applyAlignment="1" applyProtection="1">
      <alignment horizontal="right"/>
    </xf>
    <xf numFmtId="37" fontId="20" fillId="0" borderId="0" xfId="0" applyNumberFormat="1" applyFont="1" applyAlignment="1" applyProtection="1">
      <alignment horizontal="centerContinuous" vertical="top"/>
    </xf>
    <xf numFmtId="39" fontId="5" fillId="0" borderId="0" xfId="0" applyNumberFormat="1" applyFont="1" applyProtection="1"/>
    <xf numFmtId="37" fontId="16" fillId="0" borderId="0" xfId="0" quotePrefix="1" applyNumberFormat="1" applyFont="1" applyAlignment="1" applyProtection="1">
      <alignment horizontal="left"/>
    </xf>
    <xf numFmtId="201" fontId="16" fillId="0" borderId="0" xfId="0" applyFont="1"/>
    <xf numFmtId="201" fontId="16" fillId="0" borderId="0" xfId="0" quotePrefix="1" applyFont="1" applyAlignment="1">
      <alignment horizontal="left"/>
    </xf>
    <xf numFmtId="37" fontId="24" fillId="0" borderId="0" xfId="0" quotePrefix="1" applyNumberFormat="1" applyFont="1" applyAlignment="1" applyProtection="1">
      <alignment horizontal="left"/>
    </xf>
    <xf numFmtId="37" fontId="11" fillId="0" borderId="8" xfId="0" applyNumberFormat="1" applyFont="1" applyBorder="1" applyAlignment="1" applyProtection="1">
      <alignment horizontal="right"/>
    </xf>
    <xf numFmtId="201" fontId="16" fillId="0" borderId="0" xfId="0" applyFont="1" applyAlignment="1">
      <alignment horizontal="left" vertical="center"/>
    </xf>
    <xf numFmtId="201" fontId="5" fillId="0" borderId="1" xfId="0" applyFont="1" applyBorder="1"/>
    <xf numFmtId="39" fontId="5" fillId="0" borderId="0" xfId="0" quotePrefix="1" applyNumberFormat="1" applyFont="1" applyAlignment="1" applyProtection="1">
      <alignment horizontal="right"/>
    </xf>
    <xf numFmtId="37" fontId="20" fillId="0" borderId="0" xfId="0" quotePrefix="1" applyNumberFormat="1" applyFont="1" applyBorder="1" applyAlignment="1" applyProtection="1">
      <alignment horizontal="centerContinuous" vertical="top"/>
    </xf>
    <xf numFmtId="37" fontId="23" fillId="0" borderId="0" xfId="0" applyNumberFormat="1" applyFont="1" applyAlignment="1" applyProtection="1">
      <alignment horizontal="left"/>
    </xf>
    <xf numFmtId="37" fontId="5" fillId="0" borderId="1" xfId="0" applyNumberFormat="1" applyFont="1" applyBorder="1" applyAlignment="1" applyProtection="1">
      <alignment horizontal="left"/>
    </xf>
    <xf numFmtId="37" fontId="20" fillId="0" borderId="0" xfId="0" applyNumberFormat="1" applyFont="1" applyBorder="1" applyAlignment="1" applyProtection="1">
      <alignment horizontal="centerContinuous" vertical="top"/>
    </xf>
    <xf numFmtId="201" fontId="24" fillId="0" borderId="0" xfId="0" quotePrefix="1" applyFont="1" applyAlignment="1">
      <alignment horizontal="left"/>
    </xf>
    <xf numFmtId="37" fontId="11" fillId="0" borderId="11" xfId="0" applyNumberFormat="1" applyFont="1" applyBorder="1" applyAlignment="1" applyProtection="1">
      <alignment horizontal="left"/>
    </xf>
    <xf numFmtId="37" fontId="5" fillId="0" borderId="3" xfId="0" applyNumberFormat="1" applyFont="1" applyBorder="1" applyAlignment="1" applyProtection="1">
      <alignment horizontal="left"/>
    </xf>
    <xf numFmtId="37" fontId="5" fillId="0" borderId="5" xfId="0" applyNumberFormat="1" applyFont="1" applyBorder="1" applyAlignment="1" applyProtection="1">
      <alignment horizontal="left"/>
    </xf>
    <xf numFmtId="37" fontId="11" fillId="0" borderId="11" xfId="0" quotePrefix="1" applyNumberFormat="1" applyFont="1" applyBorder="1" applyAlignment="1" applyProtection="1">
      <alignment horizontal="left"/>
    </xf>
    <xf numFmtId="184" fontId="16" fillId="0" borderId="10" xfId="0" applyNumberFormat="1" applyFont="1" applyBorder="1" applyAlignment="1" applyProtection="1">
      <alignment horizontal="right"/>
    </xf>
    <xf numFmtId="184" fontId="16" fillId="0" borderId="0" xfId="0" applyNumberFormat="1" applyFont="1" applyProtection="1"/>
    <xf numFmtId="184" fontId="16" fillId="0" borderId="0" xfId="0" applyNumberFormat="1" applyFont="1" applyBorder="1" applyProtection="1"/>
    <xf numFmtId="201" fontId="5" fillId="0" borderId="13" xfId="0" quotePrefix="1" applyFont="1" applyBorder="1" applyAlignment="1">
      <alignment horizontal="left"/>
    </xf>
    <xf numFmtId="37" fontId="5" fillId="0" borderId="3" xfId="0" quotePrefix="1" applyNumberFormat="1" applyFont="1" applyBorder="1" applyAlignment="1" applyProtection="1">
      <alignment horizontal="left"/>
    </xf>
    <xf numFmtId="37" fontId="5" fillId="0" borderId="2" xfId="0" applyNumberFormat="1" applyFont="1" applyBorder="1" applyAlignment="1" applyProtection="1">
      <alignment horizontal="left"/>
    </xf>
    <xf numFmtId="37" fontId="16" fillId="0" borderId="11" xfId="0" applyNumberFormat="1" applyFont="1" applyBorder="1" applyAlignment="1" applyProtection="1">
      <alignment horizontal="left"/>
    </xf>
    <xf numFmtId="37" fontId="5" fillId="0" borderId="5" xfId="0" quotePrefix="1" applyNumberFormat="1" applyFont="1" applyBorder="1" applyAlignment="1" applyProtection="1">
      <alignment horizontal="left"/>
    </xf>
    <xf numFmtId="201" fontId="5" fillId="0" borderId="0" xfId="0" quotePrefix="1" applyFont="1" applyBorder="1" applyAlignment="1">
      <alignment horizontal="left"/>
    </xf>
    <xf numFmtId="201" fontId="5" fillId="0" borderId="1" xfId="0" quotePrefix="1" applyFont="1" applyBorder="1" applyAlignment="1">
      <alignment horizontal="left"/>
    </xf>
    <xf numFmtId="201" fontId="5" fillId="0" borderId="2" xfId="0" quotePrefix="1" applyFont="1" applyBorder="1" applyAlignment="1">
      <alignment horizontal="left"/>
    </xf>
    <xf numFmtId="201" fontId="5" fillId="0" borderId="13" xfId="0" applyFont="1" applyBorder="1" applyAlignment="1">
      <alignment horizontal="center"/>
    </xf>
    <xf numFmtId="201" fontId="5" fillId="0" borderId="8" xfId="0" applyFont="1" applyBorder="1" applyAlignment="1">
      <alignment horizontal="center"/>
    </xf>
    <xf numFmtId="201" fontId="5" fillId="0" borderId="8" xfId="0" applyFont="1" applyBorder="1" applyAlignment="1">
      <alignment horizontal="right"/>
    </xf>
    <xf numFmtId="201" fontId="11" fillId="0" borderId="11" xfId="0" applyFont="1" applyBorder="1"/>
    <xf numFmtId="201" fontId="5" fillId="0" borderId="0" xfId="0" quotePrefix="1" applyFont="1" applyBorder="1" applyAlignment="1">
      <alignment horizontal="right"/>
    </xf>
    <xf numFmtId="37" fontId="20" fillId="0" borderId="0" xfId="0" applyNumberFormat="1" applyFont="1" applyBorder="1" applyAlignment="1" applyProtection="1">
      <alignment horizontal="centerContinuous"/>
    </xf>
    <xf numFmtId="201" fontId="16" fillId="0" borderId="0" xfId="0" applyFont="1" applyAlignment="1">
      <alignment horizontal="right"/>
    </xf>
    <xf numFmtId="185" fontId="16" fillId="0" borderId="0" xfId="0" applyNumberFormat="1" applyFont="1" applyAlignment="1">
      <alignment horizontal="right"/>
    </xf>
    <xf numFmtId="185" fontId="16" fillId="0" borderId="0" xfId="0" quotePrefix="1" applyNumberFormat="1" applyFont="1" applyAlignment="1">
      <alignment horizontal="right"/>
    </xf>
    <xf numFmtId="201" fontId="11" fillId="0" borderId="11" xfId="0" quotePrefix="1" applyFont="1" applyBorder="1" applyAlignment="1">
      <alignment horizontal="left"/>
    </xf>
    <xf numFmtId="201" fontId="11" fillId="0" borderId="1" xfId="0" applyFont="1" applyBorder="1" applyAlignment="1">
      <alignment horizontal="centerContinuous"/>
    </xf>
    <xf numFmtId="201" fontId="11" fillId="0" borderId="0" xfId="0" quotePrefix="1" applyFont="1" applyAlignment="1">
      <alignment horizontal="right"/>
    </xf>
    <xf numFmtId="1" fontId="5" fillId="0" borderId="8" xfId="0" applyNumberFormat="1" applyFont="1" applyBorder="1" applyAlignment="1">
      <alignment horizontal="right"/>
    </xf>
    <xf numFmtId="1" fontId="5" fillId="0" borderId="8" xfId="0" applyNumberFormat="1" applyFont="1" applyBorder="1" applyAlignment="1" applyProtection="1">
      <alignment horizontal="right"/>
      <protection locked="0"/>
    </xf>
    <xf numFmtId="1" fontId="5" fillId="0" borderId="8" xfId="0" applyNumberFormat="1" applyFont="1" applyBorder="1" applyAlignment="1" applyProtection="1">
      <alignment horizontal="right"/>
    </xf>
    <xf numFmtId="1" fontId="5" fillId="0" borderId="0" xfId="0" quotePrefix="1" applyNumberFormat="1" applyFont="1" applyAlignment="1">
      <alignment horizontal="left"/>
    </xf>
    <xf numFmtId="201" fontId="11" fillId="0" borderId="0" xfId="0" applyFont="1" applyAlignment="1">
      <alignment horizontal="right"/>
    </xf>
    <xf numFmtId="201" fontId="11" fillId="0" borderId="0" xfId="0" applyFont="1" applyBorder="1" applyAlignment="1">
      <alignment horizontal="left"/>
    </xf>
    <xf numFmtId="187" fontId="5" fillId="0" borderId="0" xfId="0" applyNumberFormat="1" applyFont="1" applyBorder="1" applyAlignment="1" applyProtection="1">
      <alignment horizontal="right"/>
    </xf>
    <xf numFmtId="39" fontId="5" fillId="0" borderId="1" xfId="0" applyNumberFormat="1" applyFont="1" applyBorder="1" applyAlignment="1" applyProtection="1">
      <alignment horizontal="right"/>
    </xf>
    <xf numFmtId="37" fontId="11" fillId="0" borderId="9" xfId="0" applyNumberFormat="1" applyFont="1" applyBorder="1" applyAlignment="1" applyProtection="1">
      <alignment horizontal="right"/>
    </xf>
    <xf numFmtId="37" fontId="11" fillId="0" borderId="10" xfId="0" quotePrefix="1" applyNumberFormat="1" applyFont="1" applyBorder="1" applyAlignment="1" applyProtection="1">
      <alignment horizontal="right"/>
    </xf>
    <xf numFmtId="37" fontId="16" fillId="0" borderId="10" xfId="0" applyNumberFormat="1" applyFont="1" applyBorder="1" applyAlignment="1" applyProtection="1">
      <alignment horizontal="right"/>
    </xf>
    <xf numFmtId="37" fontId="16" fillId="0" borderId="0" xfId="0" applyNumberFormat="1" applyFont="1" applyAlignment="1" applyProtection="1">
      <alignment horizontal="right"/>
    </xf>
    <xf numFmtId="201" fontId="11" fillId="0" borderId="9" xfId="0" applyFont="1" applyBorder="1" applyAlignment="1">
      <alignment horizontal="right"/>
    </xf>
    <xf numFmtId="201" fontId="11" fillId="0" borderId="10" xfId="0" applyFont="1" applyBorder="1" applyAlignment="1">
      <alignment horizontal="right"/>
    </xf>
    <xf numFmtId="201" fontId="16" fillId="0" borderId="10" xfId="0" applyFont="1" applyBorder="1" applyAlignment="1">
      <alignment horizontal="right"/>
    </xf>
    <xf numFmtId="201" fontId="11" fillId="0" borderId="9" xfId="0" quotePrefix="1" applyFont="1" applyBorder="1" applyAlignment="1">
      <alignment horizontal="right"/>
    </xf>
    <xf numFmtId="201" fontId="23" fillId="0" borderId="0" xfId="0" applyFont="1"/>
    <xf numFmtId="37" fontId="5" fillId="0" borderId="0" xfId="0" applyNumberFormat="1" applyFont="1" applyProtection="1"/>
    <xf numFmtId="37" fontId="5" fillId="0" borderId="0" xfId="0" applyNumberFormat="1" applyFont="1" applyBorder="1" applyAlignment="1" applyProtection="1"/>
    <xf numFmtId="187" fontId="5" fillId="0" borderId="0" xfId="0" quotePrefix="1" applyNumberFormat="1" applyFont="1" applyAlignment="1" applyProtection="1">
      <alignment horizontal="right"/>
    </xf>
    <xf numFmtId="187" fontId="5" fillId="0" borderId="10" xfId="0" quotePrefix="1" applyNumberFormat="1" applyFont="1" applyBorder="1" applyAlignment="1" applyProtection="1">
      <alignment horizontal="right"/>
    </xf>
    <xf numFmtId="187" fontId="5" fillId="0" borderId="0" xfId="0" quotePrefix="1" applyNumberFormat="1" applyFont="1" applyBorder="1" applyAlignment="1" applyProtection="1">
      <alignment horizontal="right"/>
    </xf>
    <xf numFmtId="37" fontId="5" fillId="0" borderId="10" xfId="0" quotePrefix="1" applyNumberFormat="1" applyFont="1" applyBorder="1" applyAlignment="1" applyProtection="1">
      <alignment horizontal="right"/>
    </xf>
    <xf numFmtId="185" fontId="5" fillId="0" borderId="0" xfId="0" applyNumberFormat="1" applyFont="1"/>
    <xf numFmtId="185" fontId="5" fillId="0" borderId="6" xfId="0" applyNumberFormat="1" applyFont="1" applyBorder="1" applyAlignment="1">
      <alignment vertical="center"/>
    </xf>
    <xf numFmtId="188" fontId="11" fillId="0" borderId="1" xfId="6" applyNumberFormat="1" applyFont="1" applyBorder="1" applyAlignment="1">
      <alignment horizontal="centerContinuous"/>
    </xf>
    <xf numFmtId="201" fontId="11" fillId="0" borderId="0" xfId="0" applyFont="1" applyAlignment="1">
      <alignment horizontal="center"/>
    </xf>
    <xf numFmtId="201" fontId="11" fillId="0" borderId="0" xfId="0" applyFont="1" applyAlignment="1">
      <alignment horizontal="center" vertical="center"/>
    </xf>
    <xf numFmtId="201" fontId="11" fillId="0" borderId="5" xfId="0" quotePrefix="1" applyFont="1" applyFill="1" applyBorder="1" applyAlignment="1">
      <alignment horizontal="left"/>
    </xf>
    <xf numFmtId="185" fontId="5" fillId="0" borderId="6" xfId="0" applyNumberFormat="1" applyFont="1" applyBorder="1" applyAlignment="1">
      <alignment horizontal="right" vertical="center"/>
    </xf>
    <xf numFmtId="201" fontId="5" fillId="0" borderId="0" xfId="0" applyFont="1" applyAlignment="1">
      <alignment horizontal="left"/>
    </xf>
    <xf numFmtId="201" fontId="5" fillId="0" borderId="0" xfId="0" quotePrefix="1" applyFont="1" applyAlignment="1">
      <alignment horizontal="fill"/>
    </xf>
    <xf numFmtId="201" fontId="5" fillId="2" borderId="10" xfId="0" quotePrefix="1" applyFont="1" applyFill="1" applyBorder="1" applyAlignment="1">
      <alignment horizontal="fill"/>
    </xf>
    <xf numFmtId="201" fontId="5" fillId="0" borderId="0" xfId="0" quotePrefix="1" applyFont="1" applyBorder="1" applyAlignment="1">
      <alignment horizontal="fill"/>
    </xf>
    <xf numFmtId="201" fontId="11" fillId="0" borderId="11" xfId="0" quotePrefix="1" applyFont="1" applyFill="1" applyBorder="1" applyAlignment="1">
      <alignment horizontal="left"/>
    </xf>
    <xf numFmtId="201" fontId="11" fillId="0" borderId="3" xfId="0" quotePrefix="1" applyFont="1" applyFill="1" applyBorder="1" applyAlignment="1">
      <alignment horizontal="left"/>
    </xf>
    <xf numFmtId="201" fontId="11" fillId="0" borderId="13" xfId="0" quotePrefix="1" applyFont="1" applyFill="1" applyBorder="1" applyAlignment="1">
      <alignment horizontal="left"/>
    </xf>
    <xf numFmtId="201" fontId="5" fillId="0" borderId="8" xfId="0" applyFont="1" applyBorder="1" applyAlignment="1">
      <alignment horizontal="centerContinuous"/>
    </xf>
    <xf numFmtId="1" fontId="5" fillId="0" borderId="8" xfId="0" applyNumberFormat="1" applyFont="1" applyBorder="1" applyAlignment="1">
      <alignment horizontal="centerContinuous"/>
    </xf>
    <xf numFmtId="1" fontId="5" fillId="0" borderId="8" xfId="0" applyNumberFormat="1" applyFont="1" applyBorder="1" applyAlignment="1">
      <alignment horizontal="center"/>
    </xf>
    <xf numFmtId="201" fontId="5" fillId="3" borderId="8" xfId="0" applyFont="1" applyFill="1" applyBorder="1" applyAlignment="1">
      <alignment horizontal="center"/>
    </xf>
    <xf numFmtId="39" fontId="5" fillId="3" borderId="8" xfId="0" applyNumberFormat="1" applyFont="1" applyFill="1" applyBorder="1" applyAlignment="1">
      <alignment horizontal="center"/>
    </xf>
    <xf numFmtId="40" fontId="5" fillId="3" borderId="8" xfId="4" applyNumberFormat="1" applyFont="1" applyFill="1" applyBorder="1" applyAlignment="1">
      <alignment horizontal="center"/>
    </xf>
    <xf numFmtId="188" fontId="5" fillId="3" borderId="8" xfId="6" applyNumberFormat="1" applyFont="1" applyFill="1" applyBorder="1" applyAlignment="1">
      <alignment horizontal="center"/>
    </xf>
    <xf numFmtId="201" fontId="11" fillId="5" borderId="8" xfId="0" applyFont="1" applyFill="1" applyBorder="1" applyAlignment="1">
      <alignment horizontal="centerContinuous" vertical="center"/>
    </xf>
    <xf numFmtId="201" fontId="11" fillId="5" borderId="8" xfId="0" applyFont="1" applyFill="1" applyBorder="1" applyAlignment="1">
      <alignment horizontal="center" vertical="center"/>
    </xf>
    <xf numFmtId="201" fontId="22" fillId="4" borderId="8" xfId="0" applyFont="1" applyFill="1" applyBorder="1" applyAlignment="1">
      <alignment horizontal="centerContinuous"/>
    </xf>
    <xf numFmtId="201" fontId="11" fillId="9" borderId="13" xfId="0" quotePrefix="1" applyFont="1" applyFill="1" applyBorder="1" applyAlignment="1">
      <alignment horizontal="left"/>
    </xf>
    <xf numFmtId="201" fontId="11" fillId="6" borderId="8" xfId="0" applyFont="1" applyFill="1" applyBorder="1"/>
    <xf numFmtId="201" fontId="11" fillId="6" borderId="8" xfId="0" applyFont="1" applyFill="1" applyBorder="1" applyAlignment="1">
      <alignment horizontal="center"/>
    </xf>
    <xf numFmtId="199" fontId="5" fillId="3" borderId="8" xfId="0" applyNumberFormat="1" applyFont="1" applyFill="1" applyBorder="1" applyAlignment="1">
      <alignment horizontal="center"/>
    </xf>
    <xf numFmtId="200" fontId="5" fillId="0" borderId="8" xfId="6" applyNumberFormat="1" applyFont="1" applyBorder="1" applyAlignment="1">
      <alignment horizontal="right"/>
    </xf>
    <xf numFmtId="201" fontId="11" fillId="5" borderId="9" xfId="0" applyFont="1" applyFill="1" applyBorder="1" applyAlignment="1">
      <alignment horizontal="center"/>
    </xf>
    <xf numFmtId="201" fontId="11" fillId="5" borderId="10" xfId="0" applyFont="1" applyFill="1" applyBorder="1" applyAlignment="1">
      <alignment horizontal="center"/>
    </xf>
    <xf numFmtId="201" fontId="11" fillId="5" borderId="15" xfId="0" applyFont="1" applyFill="1" applyBorder="1" applyAlignment="1">
      <alignment horizontal="center"/>
    </xf>
    <xf numFmtId="188" fontId="5" fillId="0" borderId="8" xfId="6" applyNumberFormat="1" applyFont="1" applyBorder="1" applyAlignment="1">
      <alignment horizontal="center"/>
    </xf>
    <xf numFmtId="188" fontId="5" fillId="6" borderId="7" xfId="0" applyNumberFormat="1" applyFont="1" applyFill="1" applyBorder="1" applyAlignment="1">
      <alignment horizontal="center"/>
    </xf>
    <xf numFmtId="10" fontId="5" fillId="0" borderId="8" xfId="6" applyNumberFormat="1" applyFont="1" applyBorder="1" applyAlignment="1">
      <alignment horizontal="center"/>
    </xf>
    <xf numFmtId="201" fontId="11" fillId="5" borderId="15" xfId="0" quotePrefix="1" applyFont="1" applyFill="1" applyBorder="1" applyAlignment="1">
      <alignment horizontal="center"/>
    </xf>
    <xf numFmtId="199" fontId="5" fillId="10" borderId="8" xfId="0" applyNumberFormat="1" applyFont="1" applyFill="1" applyBorder="1" applyAlignment="1">
      <alignment horizontal="center"/>
    </xf>
    <xf numFmtId="199" fontId="5" fillId="0" borderId="8" xfId="0" applyNumberFormat="1" applyFont="1" applyBorder="1" applyAlignment="1">
      <alignment horizontal="center"/>
    </xf>
    <xf numFmtId="201" fontId="11" fillId="5" borderId="10" xfId="0" quotePrefix="1" applyFont="1" applyFill="1" applyBorder="1" applyAlignment="1">
      <alignment horizontal="center"/>
    </xf>
    <xf numFmtId="201" fontId="11" fillId="5" borderId="12" xfId="0" applyFont="1" applyFill="1" applyBorder="1" applyAlignment="1">
      <alignment horizontal="center"/>
    </xf>
    <xf numFmtId="201" fontId="11" fillId="5" borderId="14" xfId="0" applyFont="1" applyFill="1" applyBorder="1" applyAlignment="1">
      <alignment horizontal="center"/>
    </xf>
    <xf numFmtId="10" fontId="5" fillId="0" borderId="8" xfId="6" quotePrefix="1" applyNumberFormat="1" applyFont="1" applyBorder="1" applyAlignment="1">
      <alignment horizontal="center"/>
    </xf>
    <xf numFmtId="10" fontId="5" fillId="0" borderId="7" xfId="6" applyNumberFormat="1" applyFont="1" applyBorder="1" applyAlignment="1" applyProtection="1">
      <alignment horizontal="center"/>
      <protection locked="0"/>
    </xf>
    <xf numFmtId="201" fontId="11" fillId="5" borderId="9" xfId="0" quotePrefix="1" applyFont="1" applyFill="1" applyBorder="1" applyAlignment="1">
      <alignment horizontal="center"/>
    </xf>
    <xf numFmtId="201" fontId="11" fillId="0" borderId="9" xfId="0" applyFont="1" applyFill="1" applyBorder="1" applyAlignment="1">
      <alignment horizontal="left"/>
    </xf>
    <xf numFmtId="201" fontId="11" fillId="0" borderId="10" xfId="0" applyFont="1" applyFill="1" applyBorder="1"/>
    <xf numFmtId="201" fontId="11" fillId="0" borderId="10" xfId="0" quotePrefix="1" applyFont="1" applyFill="1" applyBorder="1" applyAlignment="1">
      <alignment horizontal="left"/>
    </xf>
    <xf numFmtId="201" fontId="11" fillId="5" borderId="9" xfId="0" quotePrefix="1" applyFont="1" applyFill="1" applyBorder="1" applyAlignment="1">
      <alignment horizontal="center" wrapText="1"/>
    </xf>
    <xf numFmtId="188" fontId="5" fillId="0" borderId="8" xfId="6" applyNumberFormat="1" applyFont="1" applyFill="1" applyBorder="1" applyAlignment="1">
      <alignment horizontal="center"/>
    </xf>
    <xf numFmtId="201" fontId="11" fillId="5" borderId="8" xfId="0" quotePrefix="1" applyFont="1" applyFill="1" applyBorder="1" applyAlignment="1">
      <alignment horizontal="center"/>
    </xf>
    <xf numFmtId="10" fontId="5" fillId="0" borderId="8" xfId="6" applyNumberFormat="1" applyFont="1" applyFill="1" applyBorder="1" applyAlignment="1">
      <alignment horizontal="center"/>
    </xf>
    <xf numFmtId="201" fontId="22" fillId="5" borderId="15" xfId="0" applyFont="1" applyFill="1" applyBorder="1" applyAlignment="1">
      <alignment horizontal="left"/>
    </xf>
    <xf numFmtId="201" fontId="11" fillId="5" borderId="13" xfId="0" applyFont="1" applyFill="1" applyBorder="1" applyAlignment="1">
      <alignment horizontal="left"/>
    </xf>
    <xf numFmtId="201" fontId="11" fillId="0" borderId="3" xfId="0" applyFont="1" applyFill="1" applyBorder="1" applyAlignment="1">
      <alignment horizontal="left"/>
    </xf>
    <xf numFmtId="201" fontId="11" fillId="0" borderId="5" xfId="0" applyFont="1" applyFill="1" applyBorder="1" applyAlignment="1">
      <alignment horizontal="left"/>
    </xf>
    <xf numFmtId="201" fontId="5" fillId="4" borderId="6" xfId="0" applyFont="1" applyFill="1" applyBorder="1" applyAlignment="1">
      <alignment horizontal="centerContinuous"/>
    </xf>
    <xf numFmtId="201" fontId="22" fillId="4" borderId="13" xfId="0" applyFont="1" applyFill="1" applyBorder="1" applyAlignment="1">
      <alignment horizontal="centerContinuous" vertical="center"/>
    </xf>
    <xf numFmtId="188" fontId="5" fillId="0" borderId="8" xfId="6" applyNumberFormat="1" applyFont="1" applyBorder="1" applyAlignment="1">
      <alignment horizontal="right"/>
    </xf>
    <xf numFmtId="201" fontId="11" fillId="0" borderId="11" xfId="0" applyFont="1" applyFill="1" applyBorder="1" applyAlignment="1">
      <alignment horizontal="left"/>
    </xf>
    <xf numFmtId="201" fontId="5" fillId="6" borderId="6" xfId="0" quotePrefix="1" applyFont="1" applyFill="1" applyBorder="1" applyAlignment="1">
      <alignment horizontal="left"/>
    </xf>
    <xf numFmtId="201" fontId="11" fillId="5" borderId="8" xfId="0" applyFont="1" applyFill="1" applyBorder="1" applyAlignment="1">
      <alignment horizontal="centerContinuous"/>
    </xf>
    <xf numFmtId="201" fontId="11" fillId="5" borderId="8" xfId="0" applyFont="1" applyFill="1" applyBorder="1"/>
    <xf numFmtId="184" fontId="11" fillId="6" borderId="8" xfId="3" applyNumberFormat="1" applyFont="1" applyFill="1" applyBorder="1">
      <protection locked="0"/>
    </xf>
    <xf numFmtId="188" fontId="5" fillId="0" borderId="8" xfId="0" applyNumberFormat="1" applyFont="1" applyBorder="1" applyProtection="1">
      <protection locked="0"/>
    </xf>
    <xf numFmtId="201" fontId="22" fillId="4" borderId="13" xfId="0" applyFont="1" applyFill="1" applyBorder="1" applyAlignment="1">
      <alignment horizontal="centerContinuous"/>
    </xf>
    <xf numFmtId="201" fontId="11" fillId="7" borderId="11" xfId="0" applyFont="1" applyFill="1" applyBorder="1" applyAlignment="1">
      <alignment horizontal="centerContinuous"/>
    </xf>
    <xf numFmtId="201" fontId="11" fillId="5" borderId="8" xfId="0" applyFont="1" applyFill="1" applyBorder="1" applyAlignment="1">
      <alignment horizontal="left"/>
    </xf>
    <xf numFmtId="37" fontId="11" fillId="0" borderId="8" xfId="0" applyNumberFormat="1" applyFont="1" applyBorder="1" applyAlignment="1" applyProtection="1">
      <alignment horizontal="left"/>
    </xf>
    <xf numFmtId="37" fontId="11" fillId="0" borderId="8" xfId="0" quotePrefix="1" applyNumberFormat="1" applyFont="1" applyBorder="1" applyAlignment="1" applyProtection="1">
      <alignment horizontal="left"/>
    </xf>
    <xf numFmtId="201" fontId="11" fillId="7" borderId="9" xfId="0" applyFont="1" applyFill="1" applyBorder="1" applyAlignment="1">
      <alignment horizontal="centerContinuous"/>
    </xf>
    <xf numFmtId="201" fontId="11" fillId="6" borderId="8" xfId="0" applyFont="1" applyFill="1" applyBorder="1" applyAlignment="1">
      <alignment horizontal="right"/>
    </xf>
    <xf numFmtId="201" fontId="11" fillId="5" borderId="13" xfId="0" applyFont="1" applyFill="1" applyBorder="1"/>
    <xf numFmtId="201" fontId="11" fillId="8" borderId="7" xfId="0" applyFont="1" applyFill="1" applyBorder="1"/>
    <xf numFmtId="193" fontId="5" fillId="0" borderId="8" xfId="4" applyNumberFormat="1" applyFont="1" applyBorder="1" applyAlignment="1"/>
    <xf numFmtId="201" fontId="5" fillId="6" borderId="0" xfId="0" applyFont="1" applyFill="1"/>
    <xf numFmtId="201" fontId="11" fillId="6" borderId="14" xfId="0" applyFont="1" applyFill="1" applyBorder="1"/>
    <xf numFmtId="201" fontId="11" fillId="6" borderId="5" xfId="0" applyFont="1" applyFill="1" applyBorder="1"/>
    <xf numFmtId="201" fontId="11" fillId="6" borderId="5" xfId="0" quotePrefix="1" applyFont="1" applyFill="1" applyBorder="1" applyAlignment="1">
      <alignment horizontal="left"/>
    </xf>
    <xf numFmtId="201" fontId="11" fillId="6" borderId="5" xfId="0" applyFont="1" applyFill="1" applyBorder="1" applyAlignment="1">
      <alignment horizontal="left"/>
    </xf>
    <xf numFmtId="193" fontId="11" fillId="6" borderId="13" xfId="4" applyNumberFormat="1" applyFont="1" applyFill="1" applyBorder="1" applyAlignment="1">
      <alignment horizontal="left"/>
    </xf>
    <xf numFmtId="193" fontId="5" fillId="0" borderId="8" xfId="4" applyNumberFormat="1" applyFont="1" applyBorder="1" applyAlignment="1">
      <alignment horizontal="right"/>
    </xf>
    <xf numFmtId="201" fontId="11" fillId="5" borderId="12" xfId="0" quotePrefix="1" applyFont="1" applyFill="1" applyBorder="1" applyAlignment="1">
      <alignment horizontal="center"/>
    </xf>
    <xf numFmtId="201" fontId="11" fillId="6" borderId="9" xfId="0" applyFont="1" applyFill="1" applyBorder="1" applyAlignment="1">
      <alignment horizontal="center"/>
    </xf>
    <xf numFmtId="193" fontId="5" fillId="0" borderId="8" xfId="4" applyNumberFormat="1" applyFont="1" applyFill="1" applyBorder="1" applyAlignment="1">
      <alignment horizontal="center"/>
    </xf>
    <xf numFmtId="201" fontId="11" fillId="6" borderId="8" xfId="0" quotePrefix="1" applyFont="1" applyFill="1" applyBorder="1" applyAlignment="1">
      <alignment horizontal="center"/>
    </xf>
    <xf numFmtId="201" fontId="5" fillId="6" borderId="2" xfId="0" applyFont="1" applyFill="1" applyBorder="1" applyAlignment="1">
      <alignment horizontal="center"/>
    </xf>
    <xf numFmtId="201" fontId="5" fillId="6" borderId="12" xfId="0" applyFont="1" applyFill="1" applyBorder="1" applyAlignment="1">
      <alignment horizontal="center"/>
    </xf>
    <xf numFmtId="195" fontId="5" fillId="0" borderId="8" xfId="5" applyNumberFormat="1" applyFont="1" applyBorder="1" applyAlignment="1">
      <alignment horizontal="right"/>
    </xf>
    <xf numFmtId="38" fontId="5" fillId="0" borderId="8" xfId="4" applyNumberFormat="1" applyFont="1" applyBorder="1" applyAlignment="1">
      <alignment horizontal="right"/>
    </xf>
    <xf numFmtId="201" fontId="11" fillId="0" borderId="13" xfId="0" applyFont="1" applyFill="1" applyBorder="1"/>
    <xf numFmtId="201" fontId="11" fillId="5" borderId="3" xfId="0" quotePrefix="1" applyFont="1" applyFill="1" applyBorder="1" applyAlignment="1">
      <alignment horizontal="center"/>
    </xf>
    <xf numFmtId="198" fontId="5" fillId="0" borderId="0" xfId="0" quotePrefix="1" applyNumberFormat="1" applyFont="1" applyAlignment="1">
      <alignment horizontal="fill"/>
    </xf>
    <xf numFmtId="9" fontId="26" fillId="0" borderId="0" xfId="6" applyFont="1" applyBorder="1" applyAlignment="1">
      <alignment horizontal="centerContinuous"/>
    </xf>
    <xf numFmtId="201" fontId="3" fillId="0" borderId="4" xfId="0" applyFont="1" applyBorder="1"/>
    <xf numFmtId="0" fontId="4" fillId="0" borderId="8" xfId="0" applyNumberFormat="1" applyFont="1" applyBorder="1" applyAlignment="1">
      <alignment horizontal="center"/>
    </xf>
    <xf numFmtId="37" fontId="4" fillId="0" borderId="0" xfId="0" applyNumberFormat="1" applyFont="1" applyAlignment="1" applyProtection="1">
      <alignment horizontal="left" vertical="center"/>
    </xf>
    <xf numFmtId="37" fontId="5" fillId="0" borderId="0" xfId="0" applyNumberFormat="1" applyFont="1" applyAlignment="1" applyProtection="1">
      <alignment horizontal="left" vertical="center"/>
    </xf>
    <xf numFmtId="183" fontId="4" fillId="0" borderId="0" xfId="0" applyNumberFormat="1" applyFont="1" applyAlignment="1">
      <alignment horizontal="centerContinuous" vertical="top"/>
    </xf>
    <xf numFmtId="183" fontId="4" fillId="0" borderId="0" xfId="0" applyNumberFormat="1" applyFont="1"/>
    <xf numFmtId="183" fontId="5" fillId="0" borderId="0" xfId="0" applyNumberFormat="1" applyFont="1"/>
    <xf numFmtId="183" fontId="4" fillId="0" borderId="0" xfId="0" applyNumberFormat="1" applyFont="1" applyAlignment="1">
      <alignment horizontal="centerContinuous"/>
    </xf>
    <xf numFmtId="183" fontId="4" fillId="0" borderId="0" xfId="0" applyNumberFormat="1" applyFont="1" applyAlignment="1" applyProtection="1">
      <alignment horizontal="centerContinuous"/>
    </xf>
    <xf numFmtId="183" fontId="5" fillId="0" borderId="0" xfId="0" applyNumberFormat="1" applyFont="1" applyProtection="1"/>
    <xf numFmtId="183" fontId="5" fillId="0" borderId="0" xfId="0" quotePrefix="1" applyNumberFormat="1" applyFont="1" applyAlignment="1" applyProtection="1">
      <alignment horizontal="left"/>
    </xf>
    <xf numFmtId="183" fontId="5" fillId="0" borderId="0" xfId="0" applyNumberFormat="1" applyFont="1" applyAlignment="1" applyProtection="1">
      <alignment horizontal="fill"/>
    </xf>
    <xf numFmtId="183" fontId="5" fillId="0" borderId="0" xfId="0" quotePrefix="1" applyNumberFormat="1" applyFont="1" applyAlignment="1" applyProtection="1">
      <alignment horizontal="left" vertical="top"/>
    </xf>
    <xf numFmtId="183" fontId="5" fillId="0" borderId="0" xfId="0" quotePrefix="1" applyNumberFormat="1" applyFont="1" applyAlignment="1">
      <alignment horizontal="left"/>
    </xf>
    <xf numFmtId="183" fontId="4" fillId="0" borderId="0" xfId="0" applyNumberFormat="1" applyFont="1" applyAlignment="1" applyProtection="1">
      <alignment horizontal="fill"/>
    </xf>
    <xf numFmtId="183" fontId="5" fillId="0" borderId="0" xfId="0" applyNumberFormat="1" applyFont="1" applyAlignment="1" applyProtection="1"/>
    <xf numFmtId="185" fontId="4" fillId="0" borderId="0" xfId="5" applyNumberFormat="1" applyFont="1" applyProtection="1">
      <protection locked="0"/>
    </xf>
    <xf numFmtId="10" fontId="4" fillId="0" borderId="8" xfId="3" applyNumberFormat="1" applyFont="1" applyBorder="1" applyAlignment="1">
      <alignment horizontal="right" vertical="top"/>
      <protection locked="0"/>
    </xf>
    <xf numFmtId="207" fontId="4" fillId="0" borderId="8" xfId="3" applyNumberFormat="1" applyFont="1" applyBorder="1">
      <protection locked="0"/>
    </xf>
    <xf numFmtId="201" fontId="2" fillId="6" borderId="11" xfId="0" applyFont="1" applyFill="1" applyBorder="1" applyAlignment="1">
      <alignment horizontal="centerContinuous"/>
    </xf>
    <xf numFmtId="201" fontId="2" fillId="6" borderId="2" xfId="0" applyFont="1" applyFill="1" applyBorder="1" applyAlignment="1">
      <alignment horizontal="centerContinuous"/>
    </xf>
    <xf numFmtId="201" fontId="2" fillId="6" borderId="12" xfId="0" applyFont="1" applyFill="1" applyBorder="1" applyAlignment="1">
      <alignment horizontal="centerContinuous"/>
    </xf>
    <xf numFmtId="10" fontId="4" fillId="0" borderId="8" xfId="3" applyNumberFormat="1" applyFont="1" applyBorder="1" applyAlignment="1">
      <alignment horizontal="right" vertical="top" wrapText="1"/>
      <protection locked="0"/>
    </xf>
    <xf numFmtId="37" fontId="5" fillId="0" borderId="0" xfId="0" applyNumberFormat="1" applyFont="1"/>
    <xf numFmtId="39" fontId="4" fillId="0" borderId="0" xfId="0" applyNumberFormat="1" applyFont="1"/>
    <xf numFmtId="198" fontId="27" fillId="0" borderId="0" xfId="0" applyNumberFormat="1" applyFont="1"/>
    <xf numFmtId="201" fontId="28" fillId="0" borderId="0" xfId="0" applyFont="1" applyBorder="1"/>
    <xf numFmtId="10" fontId="29" fillId="0" borderId="8" xfId="3" applyNumberFormat="1" applyFont="1" applyBorder="1">
      <protection locked="0"/>
    </xf>
    <xf numFmtId="196" fontId="29" fillId="0" borderId="8" xfId="4" applyNumberFormat="1" applyFont="1" applyBorder="1" applyProtection="1">
      <protection locked="0"/>
    </xf>
    <xf numFmtId="201" fontId="28" fillId="6" borderId="0" xfId="0" applyFont="1" applyFill="1" applyBorder="1"/>
    <xf numFmtId="201" fontId="28" fillId="0" borderId="2" xfId="0" applyFont="1" applyBorder="1"/>
    <xf numFmtId="201" fontId="28" fillId="0" borderId="1" xfId="0" applyFont="1" applyBorder="1"/>
    <xf numFmtId="187" fontId="28" fillId="0" borderId="0" xfId="0" applyNumberFormat="1" applyFont="1" applyBorder="1" applyProtection="1"/>
    <xf numFmtId="185" fontId="28" fillId="0" borderId="0" xfId="0" applyNumberFormat="1" applyFont="1" applyBorder="1" applyProtection="1"/>
    <xf numFmtId="185" fontId="28" fillId="0" borderId="1" xfId="0" applyNumberFormat="1" applyFont="1" applyBorder="1" applyProtection="1"/>
    <xf numFmtId="10" fontId="5" fillId="0" borderId="13" xfId="6" applyNumberFormat="1" applyFont="1" applyFill="1" applyBorder="1" applyAlignment="1">
      <alignment horizontal="center"/>
    </xf>
    <xf numFmtId="201" fontId="30" fillId="0" borderId="0" xfId="0" applyFont="1"/>
    <xf numFmtId="201" fontId="25" fillId="0" borderId="5" xfId="0" applyFont="1" applyBorder="1" applyAlignment="1">
      <alignment horizontal="left"/>
    </xf>
    <xf numFmtId="201" fontId="11" fillId="0" borderId="5" xfId="0" applyFont="1" applyBorder="1" applyAlignment="1">
      <alignment horizontal="left"/>
    </xf>
    <xf numFmtId="196" fontId="5" fillId="3" borderId="8" xfId="4" applyNumberFormat="1" applyFont="1" applyFill="1" applyBorder="1" applyAlignment="1">
      <alignment horizontal="center"/>
    </xf>
    <xf numFmtId="188" fontId="31" fillId="0" borderId="1" xfId="6" applyNumberFormat="1" applyFont="1" applyBorder="1" applyAlignment="1">
      <alignment horizontal="centerContinuous"/>
    </xf>
    <xf numFmtId="184" fontId="5" fillId="0" borderId="0" xfId="0" applyNumberFormat="1" applyFont="1" applyAlignment="1" applyProtection="1">
      <alignment horizontal="left"/>
    </xf>
    <xf numFmtId="185" fontId="5" fillId="0" borderId="2" xfId="3" applyNumberFormat="1" applyFont="1" applyBorder="1" applyAlignment="1">
      <alignment horizontal="left"/>
      <protection locked="0"/>
    </xf>
    <xf numFmtId="9" fontId="11" fillId="0" borderId="0" xfId="6" applyFont="1" applyFill="1" applyAlignment="1" applyProtection="1">
      <alignment horizontal="centerContinuous"/>
    </xf>
    <xf numFmtId="9" fontId="34" fillId="0" borderId="0" xfId="6" applyFont="1" applyFill="1" applyAlignment="1" applyProtection="1">
      <alignment horizontal="centerContinuous"/>
    </xf>
    <xf numFmtId="193" fontId="32" fillId="6" borderId="6" xfId="4" applyNumberFormat="1" applyFont="1" applyFill="1" applyBorder="1" applyAlignment="1">
      <alignment horizontal="center"/>
    </xf>
    <xf numFmtId="201" fontId="34" fillId="0" borderId="0" xfId="0" applyFont="1"/>
    <xf numFmtId="201" fontId="36" fillId="0" borderId="0" xfId="0" applyFont="1"/>
    <xf numFmtId="201" fontId="36" fillId="0" borderId="0" xfId="0" applyFont="1" applyBorder="1"/>
    <xf numFmtId="195" fontId="33" fillId="0" borderId="0" xfId="5" applyNumberFormat="1" applyFont="1" applyBorder="1"/>
    <xf numFmtId="201" fontId="36" fillId="0" borderId="2" xfId="0" quotePrefix="1" applyFont="1" applyBorder="1"/>
    <xf numFmtId="37" fontId="33" fillId="0" borderId="0" xfId="0" quotePrefix="1" applyNumberFormat="1" applyFont="1" applyAlignment="1" applyProtection="1">
      <alignment horizontal="left"/>
    </xf>
    <xf numFmtId="199" fontId="36" fillId="3" borderId="8" xfId="0" applyNumberFormat="1" applyFont="1" applyFill="1" applyBorder="1" applyAlignment="1">
      <alignment horizontal="center"/>
    </xf>
    <xf numFmtId="201" fontId="32" fillId="6" borderId="13" xfId="0" applyFont="1" applyFill="1" applyBorder="1"/>
    <xf numFmtId="185" fontId="33" fillId="0" borderId="0" xfId="0" applyNumberFormat="1" applyFont="1" applyBorder="1" applyProtection="1"/>
    <xf numFmtId="15" fontId="7" fillId="0" borderId="0" xfId="0" applyNumberFormat="1" applyFont="1" applyBorder="1" applyAlignment="1">
      <alignment horizontal="centerContinuous"/>
    </xf>
    <xf numFmtId="201" fontId="7" fillId="0" borderId="0" xfId="0" applyFont="1" applyBorder="1" applyAlignment="1">
      <alignment horizontal="centerContinuous"/>
    </xf>
    <xf numFmtId="18" fontId="7" fillId="0" borderId="0" xfId="0" applyNumberFormat="1" applyFont="1" applyBorder="1" applyAlignment="1">
      <alignment horizontal="centerContinuous"/>
    </xf>
    <xf numFmtId="10" fontId="4" fillId="0" borderId="0" xfId="3" quotePrefix="1" applyNumberFormat="1" applyFont="1">
      <protection locked="0"/>
    </xf>
    <xf numFmtId="37" fontId="11" fillId="0" borderId="9" xfId="0" applyNumberFormat="1" applyFont="1" applyFill="1" applyBorder="1" applyAlignment="1" applyProtection="1">
      <alignment horizontal="right"/>
    </xf>
    <xf numFmtId="37" fontId="11" fillId="0" borderId="10" xfId="0" applyNumberFormat="1" applyFont="1" applyFill="1" applyBorder="1" applyAlignment="1" applyProtection="1">
      <alignment horizontal="right"/>
    </xf>
    <xf numFmtId="37" fontId="16" fillId="0" borderId="10" xfId="0" applyNumberFormat="1" applyFont="1" applyFill="1" applyBorder="1" applyAlignment="1" applyProtection="1">
      <alignment horizontal="right"/>
    </xf>
    <xf numFmtId="188" fontId="4" fillId="0" borderId="10" xfId="0" applyNumberFormat="1" applyFont="1" applyFill="1" applyBorder="1" applyProtection="1"/>
    <xf numFmtId="185" fontId="5" fillId="0" borderId="0" xfId="3" applyNumberFormat="1" applyFont="1" applyBorder="1" applyAlignment="1">
      <alignment horizontal="left"/>
      <protection locked="0"/>
    </xf>
    <xf numFmtId="185" fontId="33" fillId="0" borderId="8" xfId="0" applyNumberFormat="1" applyFont="1" applyFill="1" applyBorder="1"/>
    <xf numFmtId="201" fontId="32" fillId="11" borderId="6" xfId="0" applyFont="1" applyFill="1" applyBorder="1" applyAlignment="1">
      <alignment horizontal="left"/>
    </xf>
    <xf numFmtId="188" fontId="33" fillId="0" borderId="8" xfId="6" applyNumberFormat="1" applyFont="1" applyBorder="1" applyAlignment="1">
      <alignment horizontal="right"/>
    </xf>
    <xf numFmtId="201" fontId="11" fillId="6" borderId="6" xfId="0" quotePrefix="1" applyFont="1" applyFill="1" applyBorder="1" applyAlignment="1"/>
    <xf numFmtId="201" fontId="33" fillId="0" borderId="8" xfId="0" applyFont="1" applyBorder="1" applyAlignment="1">
      <alignment horizontal="center"/>
    </xf>
    <xf numFmtId="201" fontId="33" fillId="0" borderId="0" xfId="0" applyFont="1" applyBorder="1"/>
    <xf numFmtId="201" fontId="33" fillId="0" borderId="0" xfId="0" applyFont="1"/>
    <xf numFmtId="198" fontId="3" fillId="6" borderId="0" xfId="0" applyNumberFormat="1" applyFont="1" applyFill="1"/>
    <xf numFmtId="201" fontId="3" fillId="6" borderId="0" xfId="0" applyFont="1" applyFill="1"/>
    <xf numFmtId="188" fontId="37" fillId="0" borderId="8" xfId="0" applyNumberFormat="1" applyFont="1" applyBorder="1" applyProtection="1">
      <protection locked="0"/>
    </xf>
    <xf numFmtId="184" fontId="37" fillId="6" borderId="8" xfId="3" applyNumberFormat="1" applyFont="1" applyFill="1" applyBorder="1">
      <protection locked="0"/>
    </xf>
    <xf numFmtId="37" fontId="37" fillId="0" borderId="8" xfId="0" quotePrefix="1" applyNumberFormat="1" applyFont="1" applyBorder="1" applyAlignment="1" applyProtection="1">
      <alignment horizontal="left"/>
    </xf>
    <xf numFmtId="201" fontId="37" fillId="0" borderId="6" xfId="0" applyFont="1" applyBorder="1"/>
    <xf numFmtId="201" fontId="33" fillId="0" borderId="6" xfId="0" applyFont="1" applyBorder="1"/>
    <xf numFmtId="201" fontId="33" fillId="0" borderId="7" xfId="0" applyFont="1" applyBorder="1"/>
    <xf numFmtId="201" fontId="32" fillId="6" borderId="8" xfId="0" applyFont="1" applyFill="1" applyBorder="1" applyAlignment="1">
      <alignment horizontal="center"/>
    </xf>
    <xf numFmtId="201" fontId="32" fillId="0" borderId="0" xfId="0" applyFont="1" applyAlignment="1">
      <alignment horizontal="center"/>
    </xf>
    <xf numFmtId="201" fontId="37" fillId="6" borderId="8" xfId="0" applyFont="1" applyFill="1" applyBorder="1" applyAlignment="1">
      <alignment horizontal="right"/>
    </xf>
    <xf numFmtId="193" fontId="33" fillId="0" borderId="8" xfId="4" applyNumberFormat="1" applyFont="1" applyBorder="1" applyAlignment="1"/>
    <xf numFmtId="185" fontId="37" fillId="5" borderId="8" xfId="0" applyNumberFormat="1" applyFont="1" applyFill="1" applyBorder="1"/>
    <xf numFmtId="193" fontId="33" fillId="0" borderId="8" xfId="4" applyNumberFormat="1" applyFont="1" applyFill="1" applyBorder="1"/>
    <xf numFmtId="193" fontId="37" fillId="5" borderId="8" xfId="4" applyNumberFormat="1" applyFont="1" applyFill="1" applyBorder="1"/>
    <xf numFmtId="191" fontId="37" fillId="6" borderId="8" xfId="0" applyNumberFormat="1" applyFont="1" applyFill="1" applyBorder="1"/>
    <xf numFmtId="201" fontId="11" fillId="12" borderId="13" xfId="0" applyFont="1" applyFill="1" applyBorder="1" applyAlignment="1" applyProtection="1">
      <alignment horizontal="centerContinuous"/>
    </xf>
    <xf numFmtId="201" fontId="3" fillId="12" borderId="6" xfId="0" applyFont="1" applyFill="1" applyBorder="1" applyAlignment="1" applyProtection="1">
      <alignment horizontal="centerContinuous"/>
    </xf>
    <xf numFmtId="201" fontId="4" fillId="12" borderId="6" xfId="0" applyFont="1" applyFill="1" applyBorder="1" applyAlignment="1">
      <alignment horizontal="centerContinuous"/>
    </xf>
    <xf numFmtId="201" fontId="4" fillId="12" borderId="7" xfId="0" applyFont="1" applyFill="1" applyBorder="1" applyAlignment="1">
      <alignment horizontal="centerContinuous"/>
    </xf>
    <xf numFmtId="198" fontId="15" fillId="0" borderId="0" xfId="0" applyNumberFormat="1" applyFont="1"/>
    <xf numFmtId="201" fontId="15" fillId="2" borderId="10" xfId="0" applyFont="1" applyFill="1" applyBorder="1"/>
    <xf numFmtId="188" fontId="24" fillId="0" borderId="0" xfId="0" quotePrefix="1" applyNumberFormat="1" applyFont="1" applyBorder="1" applyAlignment="1" applyProtection="1">
      <alignment horizontal="right"/>
    </xf>
    <xf numFmtId="188" fontId="15" fillId="0" borderId="0" xfId="0" applyNumberFormat="1" applyFont="1" applyBorder="1" applyAlignment="1" applyProtection="1">
      <alignment horizontal="right"/>
    </xf>
    <xf numFmtId="188" fontId="15" fillId="0" borderId="0" xfId="3" applyNumberFormat="1" applyFont="1" applyBorder="1" applyAlignment="1">
      <alignment horizontal="right"/>
      <protection locked="0"/>
    </xf>
    <xf numFmtId="188" fontId="24" fillId="0" borderId="0" xfId="0" applyNumberFormat="1" applyFont="1" applyBorder="1" applyAlignment="1" applyProtection="1">
      <alignment horizontal="right"/>
    </xf>
    <xf numFmtId="10" fontId="33" fillId="0" borderId="0" xfId="3" applyNumberFormat="1" applyFont="1" applyBorder="1">
      <protection locked="0"/>
    </xf>
    <xf numFmtId="37" fontId="4" fillId="0" borderId="2" xfId="0" applyNumberFormat="1" applyFont="1" applyBorder="1" applyAlignment="1" applyProtection="1">
      <alignment horizontal="left"/>
    </xf>
    <xf numFmtId="201" fontId="37" fillId="5" borderId="13" xfId="0" applyFont="1" applyFill="1" applyBorder="1"/>
    <xf numFmtId="201" fontId="37" fillId="6" borderId="13" xfId="0" applyFont="1" applyFill="1" applyBorder="1"/>
    <xf numFmtId="201" fontId="37" fillId="6" borderId="5" xfId="0" applyFont="1" applyFill="1" applyBorder="1"/>
    <xf numFmtId="201" fontId="37" fillId="6" borderId="5" xfId="0" quotePrefix="1" applyFont="1" applyFill="1" applyBorder="1" applyAlignment="1">
      <alignment horizontal="left"/>
    </xf>
    <xf numFmtId="201" fontId="37" fillId="6" borderId="5" xfId="0" applyFont="1" applyFill="1" applyBorder="1" applyAlignment="1">
      <alignment horizontal="left"/>
    </xf>
    <xf numFmtId="201" fontId="32" fillId="6" borderId="14" xfId="0" applyFont="1" applyFill="1" applyBorder="1"/>
    <xf numFmtId="201" fontId="11" fillId="2" borderId="10" xfId="0" applyFont="1" applyFill="1" applyBorder="1"/>
    <xf numFmtId="201" fontId="33" fillId="3" borderId="8" xfId="0" applyFont="1" applyFill="1" applyBorder="1" applyAlignment="1">
      <alignment horizontal="center"/>
    </xf>
    <xf numFmtId="201" fontId="33" fillId="6" borderId="6" xfId="0" applyFont="1" applyFill="1" applyBorder="1"/>
    <xf numFmtId="201" fontId="37" fillId="6" borderId="14" xfId="0" applyFont="1" applyFill="1" applyBorder="1"/>
    <xf numFmtId="209" fontId="37" fillId="0" borderId="0" xfId="6" applyNumberFormat="1" applyFont="1" applyBorder="1" applyAlignment="1">
      <alignment horizontal="left"/>
    </xf>
    <xf numFmtId="185" fontId="37" fillId="0" borderId="6" xfId="0" applyNumberFormat="1" applyFont="1" applyFill="1" applyBorder="1" applyAlignment="1" applyProtection="1">
      <alignment horizontal="centerContinuous"/>
    </xf>
    <xf numFmtId="188" fontId="35" fillId="0" borderId="0" xfId="6" applyNumberFormat="1" applyFont="1" applyFill="1" applyAlignment="1" applyProtection="1">
      <alignment horizontal="right"/>
    </xf>
    <xf numFmtId="201" fontId="32" fillId="0" borderId="0" xfId="0" applyFont="1"/>
    <xf numFmtId="188" fontId="4" fillId="0" borderId="8" xfId="0" applyNumberFormat="1" applyFont="1" applyFill="1" applyBorder="1" applyAlignment="1" applyProtection="1">
      <alignment horizontal="right"/>
    </xf>
    <xf numFmtId="188" fontId="4" fillId="0" borderId="8" xfId="0" applyNumberFormat="1" applyFont="1" applyFill="1" applyBorder="1" applyAlignment="1">
      <alignment horizontal="right"/>
    </xf>
    <xf numFmtId="201" fontId="0" fillId="0" borderId="0" xfId="0" quotePrefix="1"/>
    <xf numFmtId="208" fontId="0" fillId="0" borderId="0" xfId="0" applyNumberFormat="1" applyAlignment="1">
      <alignment horizontal="right"/>
    </xf>
    <xf numFmtId="187" fontId="33" fillId="0" borderId="0" xfId="3" applyNumberFormat="1" applyFont="1">
      <protection locked="0"/>
    </xf>
    <xf numFmtId="188" fontId="34" fillId="0" borderId="0" xfId="6" applyNumberFormat="1" applyFont="1" applyBorder="1"/>
    <xf numFmtId="188" fontId="32" fillId="0" borderId="1" xfId="6" applyNumberFormat="1" applyFont="1" applyBorder="1" applyAlignment="1">
      <alignment horizontal="centerContinuous"/>
    </xf>
    <xf numFmtId="185" fontId="36" fillId="0" borderId="0" xfId="3" applyNumberFormat="1" applyFont="1">
      <protection locked="0"/>
    </xf>
    <xf numFmtId="201" fontId="21" fillId="0" borderId="0" xfId="0" applyFont="1" applyBorder="1"/>
    <xf numFmtId="201" fontId="3" fillId="0" borderId="0" xfId="0" quotePrefix="1" applyFont="1" applyAlignment="1">
      <alignment horizontal="right"/>
    </xf>
    <xf numFmtId="191" fontId="7" fillId="0" borderId="0" xfId="0" applyNumberFormat="1" applyFont="1" applyBorder="1" applyAlignment="1">
      <alignment horizontal="right"/>
    </xf>
    <xf numFmtId="201" fontId="7" fillId="0" borderId="0" xfId="0" applyNumberFormat="1" applyFont="1" applyBorder="1" applyAlignment="1">
      <alignment horizontal="right"/>
    </xf>
    <xf numFmtId="201" fontId="7" fillId="0" borderId="0" xfId="0" applyFont="1" applyBorder="1" applyAlignment="1">
      <alignment horizontal="right"/>
    </xf>
    <xf numFmtId="37" fontId="36" fillId="0" borderId="0" xfId="0" applyNumberFormat="1" applyFont="1" applyAlignment="1" applyProtection="1">
      <alignment horizontal="left"/>
    </xf>
    <xf numFmtId="37" fontId="38" fillId="0" borderId="0" xfId="0" applyNumberFormat="1" applyFont="1" applyAlignment="1" applyProtection="1">
      <alignment horizontal="left"/>
    </xf>
    <xf numFmtId="37" fontId="39" fillId="0" borderId="0" xfId="0" applyNumberFormat="1" applyFont="1" applyAlignment="1" applyProtection="1">
      <alignment horizontal="left"/>
    </xf>
    <xf numFmtId="201" fontId="36" fillId="0" borderId="0" xfId="0" applyFont="1" applyAlignment="1">
      <alignment horizontal="left"/>
    </xf>
    <xf numFmtId="185" fontId="32" fillId="12" borderId="13" xfId="0" applyNumberFormat="1" applyFont="1" applyFill="1" applyBorder="1" applyAlignment="1" applyProtection="1">
      <alignment horizontal="centerContinuous"/>
    </xf>
    <xf numFmtId="185" fontId="4" fillId="12" borderId="6" xfId="0" applyNumberFormat="1" applyFont="1" applyFill="1" applyBorder="1" applyAlignment="1" applyProtection="1">
      <alignment horizontal="centerContinuous"/>
    </xf>
    <xf numFmtId="185" fontId="4" fillId="12" borderId="7" xfId="0" applyNumberFormat="1" applyFont="1" applyFill="1" applyBorder="1" applyAlignment="1" applyProtection="1">
      <alignment horizontal="centerContinuous"/>
    </xf>
    <xf numFmtId="185" fontId="4" fillId="0" borderId="4" xfId="0" applyNumberFormat="1" applyFont="1" applyBorder="1" applyProtection="1"/>
    <xf numFmtId="185" fontId="23" fillId="0" borderId="3" xfId="0" quotePrefix="1" applyNumberFormat="1" applyFont="1" applyBorder="1" applyAlignment="1" applyProtection="1">
      <alignment horizontal="left"/>
    </xf>
    <xf numFmtId="39" fontId="4" fillId="0" borderId="4" xfId="0" applyNumberFormat="1" applyFont="1" applyBorder="1" applyProtection="1"/>
    <xf numFmtId="185" fontId="5" fillId="0" borderId="3" xfId="0" applyNumberFormat="1" applyFont="1" applyBorder="1" applyAlignment="1" applyProtection="1">
      <alignment horizontal="left"/>
    </xf>
    <xf numFmtId="185" fontId="4" fillId="0" borderId="3" xfId="0" applyNumberFormat="1" applyFont="1" applyBorder="1" applyProtection="1"/>
    <xf numFmtId="185" fontId="5" fillId="0" borderId="4" xfId="3" applyNumberFormat="1" applyFont="1" applyBorder="1">
      <protection locked="0"/>
    </xf>
    <xf numFmtId="185" fontId="5" fillId="0" borderId="4" xfId="0" applyNumberFormat="1" applyFont="1" applyBorder="1" applyAlignment="1" applyProtection="1">
      <alignment horizontal="right"/>
    </xf>
    <xf numFmtId="187" fontId="4" fillId="0" borderId="4" xfId="0" applyNumberFormat="1" applyFont="1" applyBorder="1" applyProtection="1"/>
    <xf numFmtId="185" fontId="5" fillId="0" borderId="4" xfId="0" quotePrefix="1" applyNumberFormat="1" applyFont="1" applyBorder="1" applyAlignment="1" applyProtection="1">
      <alignment horizontal="right"/>
    </xf>
    <xf numFmtId="201" fontId="0" fillId="0" borderId="0" xfId="0" applyBorder="1"/>
    <xf numFmtId="201" fontId="0" fillId="0" borderId="4" xfId="0" applyBorder="1"/>
    <xf numFmtId="185" fontId="5" fillId="0" borderId="3" xfId="0" quotePrefix="1" applyNumberFormat="1" applyFont="1" applyBorder="1" applyAlignment="1" applyProtection="1">
      <alignment horizontal="left"/>
    </xf>
    <xf numFmtId="185" fontId="5" fillId="0" borderId="1" xfId="0" quotePrefix="1" applyNumberFormat="1" applyFont="1" applyBorder="1" applyAlignment="1" applyProtection="1">
      <alignment horizontal="right"/>
    </xf>
    <xf numFmtId="185" fontId="4" fillId="0" borderId="14" xfId="0" applyNumberFormat="1" applyFont="1" applyBorder="1" applyProtection="1"/>
    <xf numFmtId="185" fontId="36" fillId="0" borderId="0" xfId="0" applyNumberFormat="1" applyFont="1" applyBorder="1" applyProtection="1"/>
    <xf numFmtId="37" fontId="24" fillId="0" borderId="0" xfId="0" applyNumberFormat="1" applyFont="1" applyBorder="1" applyAlignment="1" applyProtection="1">
      <alignment horizontal="left"/>
    </xf>
    <xf numFmtId="188" fontId="15" fillId="0" borderId="0" xfId="0" applyNumberFormat="1" applyFont="1" applyBorder="1" applyProtection="1"/>
    <xf numFmtId="37" fontId="24" fillId="0" borderId="0" xfId="0" quotePrefix="1" applyNumberFormat="1" applyFont="1" applyBorder="1" applyAlignment="1" applyProtection="1">
      <alignment horizontal="left"/>
    </xf>
    <xf numFmtId="188" fontId="15" fillId="0" borderId="0" xfId="6" applyNumberFormat="1" applyFont="1" applyBorder="1"/>
    <xf numFmtId="188" fontId="4" fillId="0" borderId="0" xfId="0" applyNumberFormat="1" applyFont="1" applyFill="1" applyBorder="1" applyAlignment="1" applyProtection="1">
      <alignment horizontal="right"/>
    </xf>
    <xf numFmtId="184" fontId="36" fillId="0" borderId="0" xfId="0" applyNumberFormat="1" applyFont="1" applyAlignment="1" applyProtection="1">
      <alignment horizontal="left"/>
    </xf>
    <xf numFmtId="201" fontId="40" fillId="0" borderId="0" xfId="0" applyFont="1" applyAlignment="1">
      <alignment horizontal="centerContinuous" vertical="center"/>
    </xf>
    <xf numFmtId="210" fontId="0" fillId="0" borderId="0" xfId="0" applyNumberFormat="1"/>
    <xf numFmtId="37" fontId="41" fillId="0" borderId="0" xfId="0" applyNumberFormat="1" applyFont="1" applyAlignment="1" applyProtection="1">
      <alignment horizontal="left"/>
    </xf>
    <xf numFmtId="185" fontId="24" fillId="0" borderId="0" xfId="0" quotePrefix="1" applyNumberFormat="1" applyFont="1" applyAlignment="1" applyProtection="1">
      <alignment horizontal="left"/>
    </xf>
    <xf numFmtId="37" fontId="2" fillId="0" borderId="0" xfId="0" quotePrefix="1" applyNumberFormat="1" applyFont="1" applyBorder="1" applyAlignment="1" applyProtection="1"/>
    <xf numFmtId="185" fontId="33" fillId="0" borderId="0" xfId="3" quotePrefix="1" applyNumberFormat="1" applyFont="1" applyBorder="1" applyAlignment="1">
      <alignment horizontal="right"/>
      <protection locked="0"/>
    </xf>
    <xf numFmtId="202" fontId="4" fillId="0" borderId="0" xfId="0" applyNumberFormat="1" applyFont="1" applyAlignment="1" applyProtection="1">
      <alignment horizontal="right"/>
    </xf>
    <xf numFmtId="202" fontId="4" fillId="0" borderId="0" xfId="4" applyNumberFormat="1" applyFont="1" applyAlignment="1">
      <alignment horizontal="right"/>
    </xf>
    <xf numFmtId="186" fontId="32" fillId="0" borderId="0" xfId="0" applyNumberFormat="1" applyFont="1" applyBorder="1" applyAlignment="1" applyProtection="1">
      <alignment horizontal="centerContinuous"/>
    </xf>
    <xf numFmtId="201" fontId="32" fillId="0" borderId="0" xfId="0" quotePrefix="1" applyFont="1" applyAlignment="1">
      <alignment horizontal="centerContinuous"/>
    </xf>
    <xf numFmtId="201" fontId="32" fillId="0" borderId="0" xfId="0" applyFont="1" applyAlignment="1">
      <alignment horizontal="centerContinuous"/>
    </xf>
    <xf numFmtId="210" fontId="4" fillId="0" borderId="0" xfId="0" applyNumberFormat="1" applyFont="1"/>
    <xf numFmtId="210" fontId="4" fillId="2" borderId="10" xfId="0" applyNumberFormat="1" applyFont="1" applyFill="1" applyBorder="1"/>
    <xf numFmtId="210" fontId="5" fillId="0" borderId="0" xfId="0" applyNumberFormat="1" applyFont="1" applyAlignment="1" applyProtection="1">
      <alignment horizontal="left"/>
    </xf>
    <xf numFmtId="210" fontId="5" fillId="0" borderId="0" xfId="0" applyNumberFormat="1" applyFont="1"/>
    <xf numFmtId="210" fontId="4" fillId="0" borderId="0" xfId="0" applyNumberFormat="1" applyFont="1" applyProtection="1"/>
    <xf numFmtId="210" fontId="4" fillId="0" borderId="10" xfId="0" applyNumberFormat="1" applyFont="1" applyBorder="1" applyProtection="1"/>
    <xf numFmtId="210" fontId="4" fillId="0" borderId="0" xfId="0" applyNumberFormat="1" applyFont="1" applyBorder="1" applyProtection="1"/>
    <xf numFmtId="201" fontId="36" fillId="0" borderId="0" xfId="0" quotePrefix="1" applyFont="1" applyBorder="1"/>
    <xf numFmtId="201" fontId="41" fillId="0" borderId="0" xfId="0" applyFont="1"/>
  </cellXfs>
  <cellStyles count="7">
    <cellStyle name="Currency [0]_Macro1" xfId="1"/>
    <cellStyle name="Currency_Macro1" xfId="2"/>
    <cellStyle name="Input" xfId="3"/>
    <cellStyle name="Millares" xfId="4" builtinId="3"/>
    <cellStyle name="Moneda" xfId="5" builtinId="4"/>
    <cellStyle name="Normal" xfId="0" builtinId="0"/>
    <cellStyle name="Porcentaje" xfId="6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FFF"/>
      <rgbColor rgb="0069FFFF"/>
      <rgbColor rgb="00E0FFE0"/>
      <rgbColor rgb="00FFFF80"/>
      <rgbColor rgb="00A6CAF0"/>
      <rgbColor rgb="00DD9CB3"/>
      <rgbColor rgb="00B38FEE"/>
      <rgbColor rgb="00E3E3E3"/>
      <rgbColor rgb="002A6FF9"/>
      <rgbColor rgb="003FB8CD"/>
      <rgbColor rgb="00488436"/>
      <rgbColor rgb="00958C41"/>
      <rgbColor rgb="008E5E42"/>
      <rgbColor rgb="00A0627A"/>
      <rgbColor rgb="00624FAC"/>
      <rgbColor rgb="00969696"/>
      <rgbColor rgb="001D2FBE"/>
      <rgbColor rgb="00286676"/>
      <rgbColor rgb="00004500"/>
      <rgbColor rgb="00453E01"/>
      <rgbColor rgb="006A2813"/>
      <rgbColor rgb="0085396A"/>
      <rgbColor rgb="004A3285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615"/>
  <sheetViews>
    <sheetView showGridLines="0" tabSelected="1" topLeftCell="A316" zoomScale="75" workbookViewId="0">
      <selection activeCell="H332" sqref="H332"/>
    </sheetView>
  </sheetViews>
  <sheetFormatPr baseColWidth="10" defaultColWidth="12.77734375" defaultRowHeight="13.2" outlineLevelRow="1" x14ac:dyDescent="0.25"/>
  <cols>
    <col min="1" max="1" width="4.6640625" customWidth="1"/>
    <col min="2" max="2" width="17.6640625" style="1" customWidth="1"/>
    <col min="3" max="3" width="14.77734375" style="410" customWidth="1"/>
    <col min="4" max="4" width="17.109375" style="1" customWidth="1"/>
    <col min="5" max="14" width="11.77734375" style="1" customWidth="1"/>
    <col min="15" max="15" width="11.77734375" style="41" customWidth="1"/>
    <col min="16" max="19" width="11.77734375" style="1" customWidth="1"/>
    <col min="20" max="20" width="14.77734375" style="312" customWidth="1"/>
    <col min="21" max="16384" width="12.77734375" style="1"/>
  </cols>
  <sheetData>
    <row r="1" spans="1:21" ht="15.6" x14ac:dyDescent="0.3">
      <c r="A1" s="826"/>
      <c r="B1" s="564" t="s">
        <v>0</v>
      </c>
      <c r="C1" s="564" t="s">
        <v>0</v>
      </c>
      <c r="D1" s="565" t="s">
        <v>1</v>
      </c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213"/>
      <c r="P1" s="170"/>
      <c r="Q1" s="170"/>
      <c r="R1" s="170"/>
      <c r="S1" s="170"/>
      <c r="T1" s="423"/>
      <c r="U1" s="847" t="s">
        <v>2</v>
      </c>
    </row>
    <row r="2" spans="1:21" x14ac:dyDescent="0.25">
      <c r="A2" s="302"/>
      <c r="B2" s="566" t="s">
        <v>3</v>
      </c>
      <c r="C2" s="566" t="s">
        <v>3</v>
      </c>
      <c r="T2" s="423"/>
      <c r="U2" s="848"/>
    </row>
    <row r="3" spans="1:21" ht="13.8" x14ac:dyDescent="0.25">
      <c r="A3" s="302"/>
      <c r="B3" s="567" t="s">
        <v>4</v>
      </c>
      <c r="C3" s="567" t="s">
        <v>5</v>
      </c>
      <c r="D3" s="577" t="s">
        <v>6</v>
      </c>
      <c r="E3" s="484"/>
      <c r="F3" s="484"/>
      <c r="G3" s="484"/>
      <c r="H3" s="575" t="s">
        <v>7</v>
      </c>
      <c r="I3" s="484"/>
      <c r="J3" s="484"/>
      <c r="K3" s="484"/>
      <c r="L3" s="484"/>
      <c r="M3" s="568" t="s">
        <v>8</v>
      </c>
      <c r="N3" s="484"/>
      <c r="O3" s="569" t="s">
        <v>9</v>
      </c>
      <c r="P3" s="569" t="s">
        <v>10</v>
      </c>
      <c r="Q3" s="569" t="s">
        <v>11</v>
      </c>
      <c r="R3" s="569" t="s">
        <v>12</v>
      </c>
      <c r="S3" s="571" t="s">
        <v>13</v>
      </c>
      <c r="T3" s="423"/>
      <c r="U3" s="848"/>
    </row>
    <row r="4" spans="1:21" ht="18.75" customHeight="1" x14ac:dyDescent="0.25">
      <c r="A4" s="302"/>
      <c r="C4" s="405"/>
      <c r="D4" s="578" t="s">
        <v>14</v>
      </c>
      <c r="E4" s="460"/>
      <c r="F4" s="924" t="str">
        <f ca="1">IF(+S329&lt;=0.0005,"OK","ERROR")</f>
        <v>OK</v>
      </c>
      <c r="G4" s="460">
        <f ca="1">IF(F4="OK",0,1)</f>
        <v>0</v>
      </c>
      <c r="H4" s="576" t="s">
        <v>15</v>
      </c>
      <c r="I4" s="460"/>
      <c r="J4" s="460"/>
      <c r="K4" s="480">
        <f>H1375</f>
        <v>5.5</v>
      </c>
      <c r="L4" s="460"/>
      <c r="M4" s="460"/>
      <c r="N4" s="460"/>
      <c r="O4" s="570" t="s">
        <v>16</v>
      </c>
      <c r="P4" s="570" t="s">
        <v>17</v>
      </c>
      <c r="Q4" s="570" t="s">
        <v>18</v>
      </c>
      <c r="R4" s="570" t="s">
        <v>19</v>
      </c>
      <c r="S4" s="572" t="s">
        <v>20</v>
      </c>
      <c r="T4" s="423"/>
      <c r="U4" s="848"/>
    </row>
    <row r="5" spans="1:21" ht="13.8" x14ac:dyDescent="0.25">
      <c r="A5" s="302"/>
      <c r="C5" s="294"/>
      <c r="D5" s="578" t="s">
        <v>21</v>
      </c>
      <c r="E5" s="460"/>
      <c r="F5" s="924" t="str">
        <f ca="1">IF(AND(P217="=====",S217="====="),"OK","ERROR")</f>
        <v>OK</v>
      </c>
      <c r="G5" s="460">
        <f t="shared" ref="G5:G14" ca="1" si="0">IF(F5="OK",0,1)</f>
        <v>0</v>
      </c>
      <c r="H5" s="576" t="s">
        <v>22</v>
      </c>
      <c r="I5" s="460"/>
      <c r="J5" s="460"/>
      <c r="K5" s="481">
        <f>Q919</f>
        <v>0</v>
      </c>
      <c r="L5" s="460"/>
      <c r="M5" s="458" t="str">
        <f t="shared" ref="M5:M10" si="1">D1407</f>
        <v>Short Term Debt</v>
      </c>
      <c r="N5" s="460"/>
      <c r="O5" s="479">
        <f t="shared" ref="O5:Q10" si="2">G1407</f>
        <v>0</v>
      </c>
      <c r="P5" s="479">
        <f t="shared" si="2"/>
        <v>0</v>
      </c>
      <c r="Q5" s="479">
        <f t="shared" si="2"/>
        <v>1</v>
      </c>
      <c r="R5" s="573" t="s">
        <v>23</v>
      </c>
      <c r="S5" s="574" t="s">
        <v>23</v>
      </c>
      <c r="T5" s="423"/>
      <c r="U5" s="848"/>
    </row>
    <row r="6" spans="1:21" ht="13.8" x14ac:dyDescent="0.25">
      <c r="A6" s="302"/>
      <c r="C6" s="294"/>
      <c r="D6" s="579" t="s">
        <v>24</v>
      </c>
      <c r="E6" s="460"/>
      <c r="F6" s="924" t="str">
        <f ca="1">IF(ROUND(MIN(I272:S273),3)&gt;=0,"OK",MIN(I272:S273))</f>
        <v>OK</v>
      </c>
      <c r="G6" s="460">
        <f t="shared" ca="1" si="0"/>
        <v>0</v>
      </c>
      <c r="H6" s="460"/>
      <c r="I6" s="460"/>
      <c r="J6" s="460"/>
      <c r="K6" s="460"/>
      <c r="L6" s="460"/>
      <c r="M6" s="458" t="str">
        <f t="shared" si="1"/>
        <v>Existing Debt</v>
      </c>
      <c r="N6" s="460"/>
      <c r="O6" s="479">
        <f t="shared" si="2"/>
        <v>0</v>
      </c>
      <c r="P6" s="479">
        <f t="shared" si="2"/>
        <v>0</v>
      </c>
      <c r="Q6" s="479">
        <f t="shared" si="2"/>
        <v>1</v>
      </c>
      <c r="R6" s="573" t="s">
        <v>23</v>
      </c>
      <c r="S6" s="574" t="s">
        <v>23</v>
      </c>
      <c r="T6" s="423"/>
      <c r="U6" s="848"/>
    </row>
    <row r="7" spans="1:21" ht="13.8" x14ac:dyDescent="0.25">
      <c r="A7" s="302"/>
      <c r="C7" s="294"/>
      <c r="D7" s="578" t="s">
        <v>25</v>
      </c>
      <c r="E7" s="460"/>
      <c r="F7" s="924" t="str">
        <f ca="1">IF(ROUND(MIN(I274:S291),3)&lt;-0.0001,MIN(I274:S291),"OK")</f>
        <v>OK</v>
      </c>
      <c r="G7" s="460">
        <f t="shared" ca="1" si="0"/>
        <v>0</v>
      </c>
      <c r="H7" s="581" t="s">
        <v>26</v>
      </c>
      <c r="I7" s="460"/>
      <c r="J7" s="460"/>
      <c r="K7"/>
      <c r="L7" s="460"/>
      <c r="M7" s="458" t="str">
        <f t="shared" si="1"/>
        <v>Revolver</v>
      </c>
      <c r="N7" s="457"/>
      <c r="O7" s="479">
        <f t="shared" si="2"/>
        <v>1</v>
      </c>
      <c r="P7" s="479">
        <f t="shared" si="2"/>
        <v>0</v>
      </c>
      <c r="Q7" s="479">
        <f t="shared" si="2"/>
        <v>1</v>
      </c>
      <c r="R7" s="573" t="s">
        <v>23</v>
      </c>
      <c r="S7" s="574" t="s">
        <v>23</v>
      </c>
      <c r="T7" s="423"/>
      <c r="U7" s="848"/>
    </row>
    <row r="8" spans="1:21" ht="13.8" x14ac:dyDescent="0.25">
      <c r="A8" s="302"/>
      <c r="B8" s="425" t="str">
        <f ca="1">"Cell ("&amp;CELL("Address",F8)&amp;") excl. Def. Tax + Equity"</f>
        <v>Cell ($F$8) excl. Def. Tax + Equity</v>
      </c>
      <c r="C8" s="413"/>
      <c r="D8" s="578" t="s">
        <v>27</v>
      </c>
      <c r="E8" s="460"/>
      <c r="F8" s="925" t="str">
        <f ca="1">IF(MIN(I295:S317,I319:S321)&lt;-0.0005,"ERROR","OK")</f>
        <v>OK</v>
      </c>
      <c r="G8" s="460">
        <f t="shared" ca="1" si="0"/>
        <v>0</v>
      </c>
      <c r="H8" s="582" t="s">
        <v>28</v>
      </c>
      <c r="I8" s="856">
        <f ca="1">NOW()</f>
        <v>44858.790758564814</v>
      </c>
      <c r="J8" s="857"/>
      <c r="K8"/>
      <c r="L8" s="460"/>
      <c r="M8" s="458" t="str">
        <f t="shared" si="1"/>
        <v>Term Loan</v>
      </c>
      <c r="N8" s="460"/>
      <c r="O8" s="479">
        <f t="shared" si="2"/>
        <v>1</v>
      </c>
      <c r="P8" s="479">
        <f t="shared" si="2"/>
        <v>1</v>
      </c>
      <c r="Q8" s="479">
        <f t="shared" si="2"/>
        <v>1</v>
      </c>
      <c r="R8" s="573" t="s">
        <v>23</v>
      </c>
      <c r="S8" s="574" t="s">
        <v>23</v>
      </c>
      <c r="T8" s="423"/>
      <c r="U8" s="848"/>
    </row>
    <row r="9" spans="1:21" ht="13.8" x14ac:dyDescent="0.25">
      <c r="A9" s="302"/>
      <c r="C9" s="294"/>
      <c r="D9" s="578" t="s">
        <v>29</v>
      </c>
      <c r="E9" s="460"/>
      <c r="F9" s="926" t="str">
        <f ca="1">IF(F55=J57,"OK","ERROR")</f>
        <v>OK</v>
      </c>
      <c r="G9" s="460">
        <f t="shared" ca="1" si="0"/>
        <v>0</v>
      </c>
      <c r="H9" s="582" t="s">
        <v>30</v>
      </c>
      <c r="I9" s="858">
        <f ca="1">NOW()</f>
        <v>44858.790758564814</v>
      </c>
      <c r="J9" s="857"/>
      <c r="K9" s="460"/>
      <c r="L9" s="460"/>
      <c r="M9" s="458" t="str">
        <f t="shared" si="1"/>
        <v>Evergreen Revolver</v>
      </c>
      <c r="N9" s="460"/>
      <c r="O9" s="479">
        <f t="shared" si="2"/>
        <v>1</v>
      </c>
      <c r="P9" s="479">
        <f t="shared" si="2"/>
        <v>0</v>
      </c>
      <c r="Q9" s="479">
        <f t="shared" si="2"/>
        <v>1</v>
      </c>
      <c r="R9" s="573" t="s">
        <v>23</v>
      </c>
      <c r="S9" s="574" t="s">
        <v>23</v>
      </c>
      <c r="T9" s="423"/>
      <c r="U9" s="848"/>
    </row>
    <row r="10" spans="1:21" ht="13.8" x14ac:dyDescent="0.25">
      <c r="A10" s="302"/>
      <c r="C10" s="294"/>
      <c r="D10" s="576" t="s">
        <v>31</v>
      </c>
      <c r="E10" s="460"/>
      <c r="F10" s="924" t="str">
        <f ca="1">IF(N941&lt;N944,"OK","ERROR")</f>
        <v>OK</v>
      </c>
      <c r="G10" s="460">
        <f t="shared" ca="1" si="0"/>
        <v>0</v>
      </c>
      <c r="H10" s="458"/>
      <c r="I10" s="460"/>
      <c r="J10" s="460"/>
      <c r="K10" s="460"/>
      <c r="L10" s="460"/>
      <c r="M10" s="458" t="str">
        <f t="shared" si="1"/>
        <v>Debt 1</v>
      </c>
      <c r="N10" s="460"/>
      <c r="O10" s="479">
        <f t="shared" si="2"/>
        <v>1</v>
      </c>
      <c r="P10" s="479">
        <f t="shared" si="2"/>
        <v>0</v>
      </c>
      <c r="Q10" s="479">
        <f t="shared" si="2"/>
        <v>0</v>
      </c>
      <c r="R10" s="482">
        <f>J1412</f>
        <v>0</v>
      </c>
      <c r="S10" s="483">
        <f>O1412</f>
        <v>5.0000000000000001E-3</v>
      </c>
      <c r="T10" s="423"/>
      <c r="U10" s="848"/>
    </row>
    <row r="11" spans="1:21" ht="13.8" x14ac:dyDescent="0.25">
      <c r="A11" s="302"/>
      <c r="C11" s="294"/>
      <c r="D11" s="576" t="s">
        <v>32</v>
      </c>
      <c r="E11" s="457"/>
      <c r="F11" s="924" t="str">
        <f>IF(S927=1,"OK","ERROR")</f>
        <v>OK</v>
      </c>
      <c r="G11" s="460">
        <f t="shared" si="0"/>
        <v>0</v>
      </c>
      <c r="H11" s="922" t="s">
        <v>33</v>
      </c>
      <c r="I11" s="460"/>
      <c r="J11"/>
      <c r="K11" s="460"/>
      <c r="L11" s="460"/>
      <c r="M11" s="458"/>
      <c r="N11" s="460"/>
      <c r="O11" s="479"/>
      <c r="P11" s="479"/>
      <c r="Q11" s="479"/>
      <c r="R11" s="482"/>
      <c r="S11" s="483"/>
      <c r="T11" s="423"/>
      <c r="U11" s="848"/>
    </row>
    <row r="12" spans="1:21" ht="13.8" x14ac:dyDescent="0.25">
      <c r="A12" s="302"/>
      <c r="C12" s="294"/>
      <c r="D12" s="580" t="s">
        <v>34</v>
      </c>
      <c r="E12" s="460"/>
      <c r="F12" s="926" t="str">
        <f ca="1">IF(J97&gt;J109,"OK","ERROR")</f>
        <v>OK</v>
      </c>
      <c r="G12" s="460">
        <f t="shared" ca="1" si="0"/>
        <v>0</v>
      </c>
      <c r="H12" s="576" t="s">
        <v>35</v>
      </c>
      <c r="I12" s="460"/>
      <c r="J12"/>
      <c r="K12" s="459">
        <f>G1382</f>
        <v>1</v>
      </c>
      <c r="L12" s="460"/>
      <c r="M12" s="458" t="str">
        <f t="shared" ref="M12:M17" si="3">D1413</f>
        <v>Debt 2</v>
      </c>
      <c r="N12" s="460"/>
      <c r="O12" s="479">
        <f t="shared" ref="O12:R17" si="4">G1413</f>
        <v>1</v>
      </c>
      <c r="P12" s="479">
        <f t="shared" si="4"/>
        <v>0</v>
      </c>
      <c r="Q12" s="479">
        <f t="shared" si="4"/>
        <v>0</v>
      </c>
      <c r="R12" s="482">
        <f t="shared" si="4"/>
        <v>0</v>
      </c>
      <c r="S12" s="483">
        <f t="shared" ref="S12:S17" si="5">O1413</f>
        <v>5.0000000000000001E-3</v>
      </c>
      <c r="T12" s="423"/>
      <c r="U12" s="848"/>
    </row>
    <row r="13" spans="1:21" ht="13.8" x14ac:dyDescent="0.25">
      <c r="A13" s="302"/>
      <c r="C13" s="294"/>
      <c r="D13" s="576" t="s">
        <v>36</v>
      </c>
      <c r="E13" s="460"/>
      <c r="F13" s="926" t="str">
        <f ca="1">IF(AND(J97=J226,J109=J234,O109=O234),"OK","ERROR")</f>
        <v>OK</v>
      </c>
      <c r="G13" s="460">
        <f t="shared" ca="1" si="0"/>
        <v>0</v>
      </c>
      <c r="H13" s="576" t="s">
        <v>37</v>
      </c>
      <c r="I13" s="460"/>
      <c r="J13"/>
      <c r="K13" s="459">
        <f>G1383</f>
        <v>1</v>
      </c>
      <c r="L13" s="460"/>
      <c r="M13" s="458" t="str">
        <f t="shared" si="3"/>
        <v>Debt 3</v>
      </c>
      <c r="N13" s="460"/>
      <c r="O13" s="479">
        <f t="shared" si="4"/>
        <v>1</v>
      </c>
      <c r="P13" s="479">
        <f t="shared" si="4"/>
        <v>0</v>
      </c>
      <c r="Q13" s="479">
        <f t="shared" si="4"/>
        <v>0</v>
      </c>
      <c r="R13" s="482">
        <f t="shared" si="4"/>
        <v>0</v>
      </c>
      <c r="S13" s="483">
        <f t="shared" si="5"/>
        <v>5.0000000000000001E-3</v>
      </c>
      <c r="T13" s="423"/>
      <c r="U13" s="848"/>
    </row>
    <row r="14" spans="1:21" ht="13.8" x14ac:dyDescent="0.25">
      <c r="A14" s="302"/>
      <c r="C14" s="294"/>
      <c r="D14" s="580" t="s">
        <v>38</v>
      </c>
      <c r="E14" s="460"/>
      <c r="F14" s="926" t="str">
        <f ca="1">IF(MIN(J563:S563)&lt;-0.00001,"ERROR","OK")</f>
        <v>OK</v>
      </c>
      <c r="G14" s="460">
        <f t="shared" ca="1" si="0"/>
        <v>0</v>
      </c>
      <c r="H14" s="580" t="s">
        <v>39</v>
      </c>
      <c r="I14" s="460"/>
      <c r="J14"/>
      <c r="K14" s="459" t="str">
        <f>UPPER(G33)</f>
        <v/>
      </c>
      <c r="L14" s="460"/>
      <c r="M14" s="458" t="str">
        <f t="shared" si="3"/>
        <v>Debt 4</v>
      </c>
      <c r="N14" s="460"/>
      <c r="O14" s="479">
        <f t="shared" si="4"/>
        <v>1</v>
      </c>
      <c r="P14" s="479">
        <f t="shared" si="4"/>
        <v>0</v>
      </c>
      <c r="Q14" s="479">
        <f t="shared" si="4"/>
        <v>0</v>
      </c>
      <c r="R14" s="482">
        <f t="shared" si="4"/>
        <v>0</v>
      </c>
      <c r="S14" s="483">
        <f t="shared" si="5"/>
        <v>5.0000000000000001E-3</v>
      </c>
      <c r="T14" s="423"/>
      <c r="U14" s="848"/>
    </row>
    <row r="15" spans="1:21" ht="13.8" x14ac:dyDescent="0.25">
      <c r="A15" s="302"/>
      <c r="C15" s="294"/>
      <c r="D15" s="580"/>
      <c r="E15" s="460"/>
      <c r="F15" s="926"/>
      <c r="G15" s="923" t="s">
        <v>40</v>
      </c>
      <c r="H15" s="580" t="s">
        <v>41</v>
      </c>
      <c r="I15" s="460"/>
      <c r="J15"/>
      <c r="K15" s="459" t="str">
        <f>UPPER(G34)</f>
        <v/>
      </c>
      <c r="L15" s="460"/>
      <c r="M15" s="458" t="str">
        <f t="shared" si="3"/>
        <v>Debt 5</v>
      </c>
      <c r="N15" s="460"/>
      <c r="O15" s="479">
        <f t="shared" si="4"/>
        <v>1</v>
      </c>
      <c r="P15" s="479">
        <f t="shared" si="4"/>
        <v>0</v>
      </c>
      <c r="Q15" s="479">
        <f t="shared" si="4"/>
        <v>0</v>
      </c>
      <c r="R15" s="482">
        <f t="shared" si="4"/>
        <v>0</v>
      </c>
      <c r="S15" s="483">
        <f t="shared" si="5"/>
        <v>5.0000000000000001E-3</v>
      </c>
      <c r="T15" s="423"/>
      <c r="U15" s="848"/>
    </row>
    <row r="16" spans="1:21" ht="13.8" x14ac:dyDescent="0.25">
      <c r="A16" s="302"/>
      <c r="C16" s="294"/>
      <c r="D16" s="580" t="s">
        <v>42</v>
      </c>
      <c r="E16" s="460"/>
      <c r="F16" s="926" t="str">
        <f ca="1">IF(G16=0,"OK","ERROR")</f>
        <v>OK</v>
      </c>
      <c r="G16" s="460">
        <f ca="1">SUM(G4:G15)</f>
        <v>0</v>
      </c>
      <c r="H16" s="580" t="s">
        <v>43</v>
      </c>
      <c r="I16" s="460"/>
      <c r="J16"/>
      <c r="K16" s="459" t="str">
        <f>IF(G1389=1,"ON","OFF")</f>
        <v>OFF</v>
      </c>
      <c r="L16" s="460"/>
      <c r="M16" s="458" t="str">
        <f t="shared" si="3"/>
        <v>Preferred 1</v>
      </c>
      <c r="N16" s="460"/>
      <c r="O16" s="479">
        <f t="shared" si="4"/>
        <v>0</v>
      </c>
      <c r="P16" s="479">
        <f t="shared" si="4"/>
        <v>0</v>
      </c>
      <c r="Q16" s="479">
        <f t="shared" si="4"/>
        <v>0</v>
      </c>
      <c r="R16" s="482">
        <f t="shared" si="4"/>
        <v>0</v>
      </c>
      <c r="S16" s="483">
        <f t="shared" si="5"/>
        <v>5.0000000000000001E-3</v>
      </c>
      <c r="T16" s="423"/>
      <c r="U16" s="848"/>
    </row>
    <row r="17" spans="1:21" ht="18.75" customHeight="1" x14ac:dyDescent="0.25">
      <c r="A17" s="302"/>
      <c r="C17" s="294"/>
      <c r="D17"/>
      <c r="E17"/>
      <c r="F17"/>
      <c r="G17" s="460"/>
      <c r="H17" s="580" t="s">
        <v>44</v>
      </c>
      <c r="I17" s="460"/>
      <c r="J17"/>
      <c r="K17" s="459" t="str">
        <f>IF(H1374=12,"NONE",TEXT(H1374,"#")&amp;" MONTHS")</f>
        <v>NONE</v>
      </c>
      <c r="L17" s="460"/>
      <c r="M17" s="458" t="str">
        <f t="shared" si="3"/>
        <v>Preferred 2</v>
      </c>
      <c r="N17" s="460"/>
      <c r="O17" s="479">
        <f t="shared" si="4"/>
        <v>0</v>
      </c>
      <c r="P17" s="479">
        <f t="shared" si="4"/>
        <v>0</v>
      </c>
      <c r="Q17" s="479">
        <f t="shared" si="4"/>
        <v>0</v>
      </c>
      <c r="R17" s="482">
        <f t="shared" si="4"/>
        <v>0</v>
      </c>
      <c r="S17" s="483">
        <f t="shared" si="5"/>
        <v>5.0000000000000001E-3</v>
      </c>
      <c r="T17" s="423"/>
      <c r="U17" s="848"/>
    </row>
    <row r="18" spans="1:21" ht="13.8" x14ac:dyDescent="0.25">
      <c r="A18" s="302"/>
      <c r="C18" s="294"/>
      <c r="D18"/>
      <c r="E18"/>
      <c r="F18"/>
      <c r="G18" s="460"/>
      <c r="H18" s="576" t="s">
        <v>45</v>
      </c>
      <c r="I18" s="460"/>
      <c r="J18"/>
      <c r="K18" s="459" t="str">
        <f>IF(G1392=1,"YES","NO")</f>
        <v>YES</v>
      </c>
      <c r="L18" s="460"/>
      <c r="M18" s="458" t="str">
        <f>D1406</f>
        <v>Int. on Cash Bal.</v>
      </c>
      <c r="N18" s="460"/>
      <c r="O18" s="479">
        <f>G1406</f>
        <v>0</v>
      </c>
      <c r="P18" s="479">
        <f>H1406</f>
        <v>0</v>
      </c>
      <c r="Q18" s="479">
        <f>I1406</f>
        <v>0</v>
      </c>
      <c r="R18" s="573" t="s">
        <v>23</v>
      </c>
      <c r="S18" s="574" t="s">
        <v>23</v>
      </c>
      <c r="T18" s="423"/>
      <c r="U18" s="848"/>
    </row>
    <row r="19" spans="1:21" ht="13.8" x14ac:dyDescent="0.25">
      <c r="A19" s="302"/>
      <c r="C19" s="294"/>
      <c r="D19"/>
      <c r="E19"/>
      <c r="F19"/>
      <c r="G19" s="460"/>
      <c r="H19"/>
      <c r="I19"/>
      <c r="J19"/>
      <c r="K19"/>
      <c r="L19" s="460"/>
      <c r="M19"/>
      <c r="N19"/>
      <c r="O19"/>
      <c r="P19"/>
      <c r="Q19"/>
      <c r="R19"/>
      <c r="S19"/>
      <c r="T19" s="423"/>
      <c r="U19" s="848"/>
    </row>
    <row r="20" spans="1:21" ht="13.8" x14ac:dyDescent="0.25">
      <c r="A20" s="302"/>
      <c r="C20" s="294"/>
      <c r="D20"/>
      <c r="E20"/>
      <c r="F20"/>
      <c r="G20" s="460"/>
      <c r="H20" s="576"/>
      <c r="I20" s="460"/>
      <c r="J20" s="460"/>
      <c r="K20" s="460"/>
      <c r="L20" s="460"/>
      <c r="M20"/>
      <c r="N20"/>
      <c r="O20"/>
      <c r="P20"/>
      <c r="Q20"/>
      <c r="R20"/>
      <c r="S20"/>
      <c r="T20" s="423"/>
      <c r="U20" s="848"/>
    </row>
    <row r="21" spans="1:21" ht="13.8" x14ac:dyDescent="0.25">
      <c r="A21" s="302"/>
      <c r="C21" s="294"/>
      <c r="D21"/>
      <c r="E21"/>
      <c r="F21"/>
      <c r="G21" s="460"/>
      <c r="H21"/>
      <c r="I21"/>
      <c r="J21"/>
      <c r="K21"/>
      <c r="L21" s="460"/>
      <c r="M21"/>
      <c r="N21"/>
      <c r="O21"/>
      <c r="P21"/>
      <c r="Q21"/>
      <c r="R21"/>
      <c r="S21"/>
      <c r="T21" s="423"/>
      <c r="U21" s="848"/>
    </row>
    <row r="22" spans="1:21" ht="13.8" x14ac:dyDescent="0.25">
      <c r="A22" s="302"/>
      <c r="C22" s="294"/>
      <c r="D22"/>
      <c r="E22"/>
      <c r="F22"/>
      <c r="G22" s="460"/>
      <c r="H22"/>
      <c r="I22"/>
      <c r="J22"/>
      <c r="K22" s="460"/>
      <c r="L22" s="460"/>
      <c r="M22"/>
      <c r="N22"/>
      <c r="O22"/>
      <c r="P22"/>
      <c r="Q22"/>
      <c r="R22"/>
      <c r="S22"/>
      <c r="T22" s="423"/>
      <c r="U22" s="848"/>
    </row>
    <row r="23" spans="1:21" ht="13.8" x14ac:dyDescent="0.25">
      <c r="A23" s="302"/>
      <c r="C23" s="294"/>
      <c r="D23"/>
      <c r="E23"/>
      <c r="F23"/>
      <c r="G23" s="460"/>
      <c r="H23"/>
      <c r="I23"/>
      <c r="J23"/>
      <c r="K23" s="460"/>
      <c r="L23" s="460"/>
      <c r="M23" s="460"/>
      <c r="N23" s="460"/>
      <c r="O23" s="460"/>
      <c r="P23" s="460"/>
      <c r="Q23" s="460"/>
      <c r="R23" s="460"/>
      <c r="S23" s="486"/>
      <c r="T23" s="423"/>
      <c r="U23" s="848"/>
    </row>
    <row r="24" spans="1:21" ht="13.8" x14ac:dyDescent="0.25">
      <c r="A24" s="302"/>
      <c r="C24" s="294"/>
      <c r="D24" s="485"/>
      <c r="E24" s="460"/>
      <c r="F24" s="460"/>
      <c r="G24" s="460"/>
      <c r="H24"/>
      <c r="I24"/>
      <c r="J24"/>
      <c r="K24" s="460"/>
      <c r="L24" s="460"/>
      <c r="M24" s="460"/>
      <c r="N24" s="460"/>
      <c r="O24" s="460"/>
      <c r="P24" s="460"/>
      <c r="Q24" s="460"/>
      <c r="R24" s="460"/>
      <c r="S24" s="486"/>
      <c r="T24" s="423"/>
      <c r="U24" s="848"/>
    </row>
    <row r="25" spans="1:21" ht="13.8" x14ac:dyDescent="0.25">
      <c r="A25" s="302"/>
      <c r="C25" s="294"/>
      <c r="D25" s="487"/>
      <c r="E25" s="488"/>
      <c r="F25" s="488"/>
      <c r="G25" s="488"/>
      <c r="H25" s="488"/>
      <c r="I25" s="488"/>
      <c r="J25" s="488"/>
      <c r="K25" s="488"/>
      <c r="L25" s="488"/>
      <c r="M25" s="488"/>
      <c r="N25" s="488"/>
      <c r="O25" s="488"/>
      <c r="P25" s="488"/>
      <c r="Q25" s="488"/>
      <c r="R25" s="488"/>
      <c r="S25" s="489"/>
      <c r="T25" s="423"/>
      <c r="U25" s="848"/>
    </row>
    <row r="26" spans="1:21" x14ac:dyDescent="0.25">
      <c r="A26" s="302"/>
      <c r="C26" s="294"/>
      <c r="S26" s="42"/>
      <c r="T26" s="423"/>
      <c r="U26" s="848"/>
    </row>
    <row r="27" spans="1:21" x14ac:dyDescent="0.25">
      <c r="A27" s="302"/>
      <c r="C27" s="294"/>
      <c r="S27" s="42"/>
      <c r="T27" s="423"/>
      <c r="U27" s="848"/>
    </row>
    <row r="28" spans="1:21" s="41" customFormat="1" x14ac:dyDescent="0.25">
      <c r="A28" s="302"/>
      <c r="B28" s="1"/>
      <c r="C28" s="423"/>
      <c r="D28" s="442"/>
      <c r="E28" s="442"/>
      <c r="F28" s="442"/>
      <c r="G28" s="442"/>
      <c r="H28" s="442"/>
      <c r="I28" s="442"/>
      <c r="J28" s="442"/>
      <c r="K28" s="442"/>
      <c r="L28" s="442"/>
      <c r="M28" s="442"/>
      <c r="N28" s="442"/>
      <c r="O28" s="442"/>
      <c r="P28" s="442"/>
      <c r="Q28" s="442"/>
      <c r="R28" s="442"/>
      <c r="S28" s="516"/>
      <c r="T28" s="440"/>
      <c r="U28" s="849"/>
    </row>
    <row r="29" spans="1:21" x14ac:dyDescent="0.25">
      <c r="A29" s="302"/>
      <c r="C29" s="423"/>
      <c r="D29" s="440"/>
      <c r="E29" s="440"/>
      <c r="F29" s="440"/>
      <c r="G29" s="440"/>
      <c r="H29" s="440"/>
      <c r="I29" s="440"/>
      <c r="J29" s="440"/>
      <c r="K29" s="440"/>
      <c r="L29" s="440"/>
      <c r="M29" s="440"/>
      <c r="N29" s="440"/>
      <c r="O29" s="440"/>
      <c r="P29" s="440"/>
      <c r="Q29" s="440"/>
      <c r="R29" s="440"/>
      <c r="S29" s="517"/>
      <c r="T29" s="440"/>
      <c r="U29" s="848"/>
    </row>
    <row r="30" spans="1:21" x14ac:dyDescent="0.25">
      <c r="A30" s="302"/>
      <c r="C30" s="423"/>
      <c r="D30" s="440"/>
      <c r="E30" s="440"/>
      <c r="F30" s="440"/>
      <c r="G30" s="440"/>
      <c r="H30" s="440"/>
      <c r="I30" s="440"/>
      <c r="J30" s="440"/>
      <c r="K30" s="440"/>
      <c r="L30" s="440"/>
      <c r="M30" s="440"/>
      <c r="N30" s="440"/>
      <c r="O30" s="440"/>
      <c r="P30" s="440"/>
      <c r="Q30" s="440"/>
      <c r="R30" s="440"/>
      <c r="S30" s="517"/>
      <c r="T30" s="440"/>
      <c r="U30" s="848"/>
    </row>
    <row r="31" spans="1:21" x14ac:dyDescent="0.25">
      <c r="A31" s="302"/>
      <c r="C31" s="423"/>
      <c r="D31" s="440"/>
      <c r="E31" s="440"/>
      <c r="F31" s="440"/>
      <c r="G31" s="440"/>
      <c r="H31" s="440"/>
      <c r="I31" s="440"/>
      <c r="J31" s="440"/>
      <c r="K31" s="440"/>
      <c r="L31" s="440"/>
      <c r="M31" s="440"/>
      <c r="N31" s="440"/>
      <c r="O31" s="440"/>
      <c r="P31" s="440"/>
      <c r="Q31" s="440"/>
      <c r="R31" s="440"/>
      <c r="S31" s="517"/>
      <c r="T31" s="440"/>
      <c r="U31" s="848"/>
    </row>
    <row r="32" spans="1:21" x14ac:dyDescent="0.25">
      <c r="A32" s="302"/>
      <c r="C32" s="423"/>
      <c r="D32" s="441"/>
      <c r="E32" s="441"/>
      <c r="F32" s="441"/>
      <c r="G32" s="441"/>
      <c r="H32" s="441"/>
      <c r="I32" s="441"/>
      <c r="J32" s="441"/>
      <c r="K32" s="441"/>
      <c r="L32" s="441"/>
      <c r="M32" s="441"/>
      <c r="N32" s="441"/>
      <c r="O32" s="441"/>
      <c r="P32" s="441"/>
      <c r="Q32" s="441"/>
      <c r="R32" s="441"/>
      <c r="S32" s="518"/>
      <c r="T32" s="440"/>
      <c r="U32" s="848"/>
    </row>
    <row r="33" spans="1:23" ht="17.399999999999999" x14ac:dyDescent="0.25">
      <c r="A33" s="306"/>
      <c r="B33"/>
      <c r="C33" s="433"/>
      <c r="D33" s="583" t="s">
        <v>46</v>
      </c>
      <c r="E33" s="215" t="str">
        <f ca="1">OFFSET(D1451,G1382,0)</f>
        <v>Case 1</v>
      </c>
      <c r="F33"/>
      <c r="G33"/>
      <c r="H33" s="955" t="str">
        <f ca="1">IF(G16=0,UPPER(H1366),"ERROR")</f>
        <v>PROJECT MEZZANINE</v>
      </c>
      <c r="I33" s="170"/>
      <c r="J33" s="170"/>
      <c r="K33" s="170"/>
      <c r="L33" s="170"/>
      <c r="M33" s="170"/>
      <c r="N33" s="170"/>
      <c r="O33" s="170"/>
      <c r="Q33"/>
      <c r="R33"/>
      <c r="S33"/>
      <c r="T33" s="906" t="s">
        <v>47</v>
      </c>
      <c r="U33" s="848"/>
    </row>
    <row r="34" spans="1:23" ht="15.6" x14ac:dyDescent="0.25">
      <c r="A34" s="302"/>
      <c r="B34"/>
      <c r="C34" s="433"/>
      <c r="D34" s="584" t="s">
        <v>48</v>
      </c>
      <c r="E34" s="214" t="str">
        <f ca="1">E1501</f>
        <v>Case 1</v>
      </c>
      <c r="F34"/>
      <c r="G34"/>
      <c r="H34" s="282" t="str">
        <f>UPPER(H1367&amp;" Analysis")</f>
        <v>LEVERAGED BUYOUT ANALYSIS</v>
      </c>
      <c r="I34" s="170"/>
      <c r="J34" s="170"/>
      <c r="K34" s="170"/>
      <c r="L34" s="170"/>
      <c r="M34" s="170"/>
      <c r="N34" s="170"/>
      <c r="O34" s="170"/>
      <c r="Q34" s="913"/>
      <c r="R34"/>
      <c r="S34"/>
      <c r="T34" s="294"/>
      <c r="U34" s="848"/>
    </row>
    <row r="35" spans="1:23" x14ac:dyDescent="0.25">
      <c r="A35" s="302"/>
      <c r="B35"/>
      <c r="C35" s="434"/>
      <c r="D35" s="184" t="str">
        <f ca="1">IF(ISNONTEXT(E35),"","Case Notes:")</f>
        <v>Case Notes:</v>
      </c>
      <c r="E35" s="293" t="str">
        <f ca="1">E1462</f>
        <v>Base Case</v>
      </c>
      <c r="H35" s="963" t="s">
        <v>49</v>
      </c>
      <c r="I35" s="170"/>
      <c r="J35" s="170"/>
      <c r="K35" s="170"/>
      <c r="L35" s="170"/>
      <c r="M35" s="170"/>
      <c r="N35" s="170"/>
      <c r="O35" s="170"/>
      <c r="Q35"/>
      <c r="R35"/>
      <c r="S35"/>
      <c r="T35" s="294"/>
      <c r="U35" s="848"/>
    </row>
    <row r="36" spans="1:23" x14ac:dyDescent="0.25">
      <c r="A36" s="302"/>
      <c r="B36" s="251" t="str">
        <f ca="1">"HIDDEN TEXT ("&amp;CELL("Address",D35)&amp;":"&amp;CELL("address",E35)&amp;")"</f>
        <v>HIDDEN TEXT ($D$35:$E$35)</v>
      </c>
      <c r="C36" s="431"/>
      <c r="D36" s="184" t="str">
        <f ca="1">IF(ISNONTEXT(E36),"","Cap. Struc. Notes:")</f>
        <v>Cap. Struc. Notes:</v>
      </c>
      <c r="E36" s="293" t="str">
        <f ca="1">F1501</f>
        <v>No Transaction</v>
      </c>
      <c r="G36" s="193"/>
      <c r="H36" s="964" t="s">
        <v>50</v>
      </c>
      <c r="I36" s="170"/>
      <c r="J36" s="170"/>
      <c r="K36" s="170"/>
      <c r="L36" s="170"/>
      <c r="M36" s="170"/>
      <c r="N36" s="170"/>
      <c r="O36" s="170"/>
      <c r="Q36"/>
      <c r="R36"/>
      <c r="S36"/>
      <c r="T36" s="294"/>
    </row>
    <row r="37" spans="1:23" x14ac:dyDescent="0.25">
      <c r="A37" s="302"/>
      <c r="B37" s="252" t="str">
        <f ca="1">"HIDDEN TEXT ("&amp;CELL("Address",D36)&amp;":"&amp;CELL("address",E36)&amp;")"</f>
        <v>HIDDEN TEXT ($D$36:$E$36)</v>
      </c>
      <c r="C37" s="408"/>
      <c r="D37" s="187" t="str">
        <f>IF(ISTEXT(E1384),E1384,"")</f>
        <v/>
      </c>
      <c r="E37" s="910" t="str">
        <f>IF(ISNONTEXT(E1384),"",G1384)</f>
        <v/>
      </c>
      <c r="F37"/>
      <c r="H37" s="965" t="s">
        <v>51</v>
      </c>
      <c r="I37" s="170"/>
      <c r="J37" s="170"/>
      <c r="K37" s="170"/>
      <c r="L37" s="170"/>
      <c r="M37" s="170"/>
      <c r="N37" s="170"/>
      <c r="O37" s="170"/>
      <c r="Q37"/>
      <c r="R37"/>
      <c r="S37"/>
      <c r="T37" s="294"/>
    </row>
    <row r="38" spans="1:23" x14ac:dyDescent="0.25">
      <c r="A38" s="302"/>
      <c r="B38" s="252" t="str">
        <f ca="1">"HIDDEN TEXT ("&amp;CELL("Address",D37)&amp;":"&amp;CELL("address",E37)&amp;")"</f>
        <v>HIDDEN TEXT ($D$37:$E$37)</v>
      </c>
      <c r="C38" s="409"/>
      <c r="D38" s="187" t="str">
        <f>IF(ISTEXT(E1385),E1385,"")</f>
        <v/>
      </c>
      <c r="E38" s="910" t="str">
        <f>IF(ISNONTEXT(E1385),"",G1385)</f>
        <v/>
      </c>
      <c r="F38"/>
      <c r="G38" s="70"/>
      <c r="H38" s="800"/>
      <c r="I38" s="170"/>
      <c r="J38" s="170"/>
      <c r="K38" s="170"/>
      <c r="L38" s="170"/>
      <c r="M38" s="170"/>
      <c r="N38" s="170"/>
      <c r="O38" s="170"/>
      <c r="Q38"/>
      <c r="R38"/>
      <c r="S38"/>
      <c r="T38" s="294"/>
    </row>
    <row r="39" spans="1:23" x14ac:dyDescent="0.25">
      <c r="A39" s="302"/>
      <c r="B39" s="432" t="str">
        <f ca="1">"HIDDEN TEXT ("&amp;CELL("Address",D38)&amp;":"&amp;CELL("address",E38)&amp;")"</f>
        <v>HIDDEN TEXT ($D$38:$E$38)</v>
      </c>
      <c r="C39" s="415"/>
      <c r="D39" s="187" t="str">
        <f>IF(ISTEXT(E1386),E1386,"")</f>
        <v/>
      </c>
      <c r="E39" s="910" t="str">
        <f>IF(ISNONTEXT(E1386),"",G1386)</f>
        <v/>
      </c>
      <c r="F39"/>
      <c r="I39" s="170"/>
      <c r="J39" s="399"/>
      <c r="K39" s="399"/>
      <c r="L39" s="400"/>
      <c r="M39" s="170"/>
      <c r="N39" s="170"/>
      <c r="O39" s="170"/>
      <c r="Q39"/>
      <c r="R39"/>
      <c r="S39"/>
      <c r="T39" s="294"/>
    </row>
    <row r="40" spans="1:23" x14ac:dyDescent="0.25">
      <c r="A40" s="302"/>
      <c r="B40" s="185"/>
      <c r="C40" s="409"/>
      <c r="D40" s="187" t="str">
        <f>IF(ISTEXT(E1387),E1387,"")</f>
        <v/>
      </c>
      <c r="E40" s="910" t="str">
        <f>IF(ISNONTEXT(E1387),"",G1387)</f>
        <v/>
      </c>
      <c r="F40"/>
      <c r="I40" s="170"/>
      <c r="J40" s="399"/>
      <c r="K40" s="399"/>
      <c r="L40" s="400"/>
      <c r="M40" s="170"/>
      <c r="N40" s="170"/>
      <c r="O40" s="170"/>
      <c r="Q40" s="187"/>
      <c r="R40"/>
      <c r="S40" s="910"/>
      <c r="T40" s="294"/>
    </row>
    <row r="41" spans="1:23" x14ac:dyDescent="0.25">
      <c r="A41" s="302"/>
      <c r="B41" s="185"/>
      <c r="C41" s="409"/>
      <c r="D41" s="187" t="str">
        <f>IF(ISTEXT(E1388),E1388,"")</f>
        <v/>
      </c>
      <c r="E41" s="910" t="str">
        <f>IF(ISNONTEXT(E1388),"",G1388)</f>
        <v/>
      </c>
      <c r="F41"/>
      <c r="I41" s="170"/>
      <c r="J41" s="399"/>
      <c r="K41" s="399"/>
      <c r="L41" s="400"/>
      <c r="M41" s="170"/>
      <c r="N41" s="170"/>
      <c r="O41" s="170"/>
      <c r="Q41" s="187"/>
      <c r="R41"/>
      <c r="S41" s="910"/>
      <c r="T41" s="294"/>
    </row>
    <row r="42" spans="1:23" x14ac:dyDescent="0.25">
      <c r="A42" s="302"/>
      <c r="B42" s="401"/>
      <c r="C42" s="294"/>
      <c r="D42" s="888" t="str">
        <f>UPPER("SOURCES AND USES OF FUNDS AT CLOSING - ASSUMED TO BE "&amp;TEXT(H1373,"MMM. dd, yyyy"))</f>
        <v>SOURCES AND USES OF FUNDS AT CLOSING - ASSUMED TO BE DEC. 31, 1997</v>
      </c>
      <c r="E42" s="889"/>
      <c r="F42" s="890"/>
      <c r="G42" s="890"/>
      <c r="H42" s="890"/>
      <c r="I42" s="890"/>
      <c r="J42" s="890"/>
      <c r="K42" s="891"/>
      <c r="L42" s="888"/>
      <c r="M42" s="889"/>
      <c r="N42" s="890"/>
      <c r="O42" s="891"/>
      <c r="Q42" s="888" t="s">
        <v>52</v>
      </c>
      <c r="R42" s="889"/>
      <c r="S42" s="891"/>
      <c r="T42" s="294"/>
    </row>
    <row r="43" spans="1:23" x14ac:dyDescent="0.25">
      <c r="A43" s="302"/>
      <c r="C43" s="294"/>
      <c r="D43" s="585" t="s">
        <v>53</v>
      </c>
      <c r="E43" s="182"/>
      <c r="F43" s="182"/>
      <c r="G43" s="182"/>
      <c r="H43" s="585" t="s">
        <v>54</v>
      </c>
      <c r="K43" s="586" t="s">
        <v>55</v>
      </c>
      <c r="L43" s="592" t="s">
        <v>56</v>
      </c>
      <c r="M43" s="588" t="s">
        <v>57</v>
      </c>
      <c r="N43" s="594" t="s">
        <v>58</v>
      </c>
      <c r="O43" s="958" t="s">
        <v>59</v>
      </c>
      <c r="Q43" s="590" t="s">
        <v>60</v>
      </c>
      <c r="S43" s="587" t="s">
        <v>61</v>
      </c>
      <c r="T43" s="294"/>
    </row>
    <row r="44" spans="1:23" x14ac:dyDescent="0.25">
      <c r="A44" s="302"/>
      <c r="C44" s="294"/>
      <c r="D44" s="6" t="str">
        <f>D1518&amp;".........................................................................."</f>
        <v>Purchase Price - Common..........................................................................</v>
      </c>
      <c r="F44" s="464">
        <f ca="1">U1518</f>
        <v>0</v>
      </c>
      <c r="G44" s="5"/>
      <c r="H44" s="552" t="s">
        <v>62</v>
      </c>
      <c r="I44" s="5"/>
      <c r="J44" s="253">
        <f t="shared" ref="J44:J55" ca="1" si="6">U1504</f>
        <v>0</v>
      </c>
      <c r="K44" s="23" t="str">
        <f t="shared" ref="K44:K55" ca="1" si="7">IF($J$57=0,"NA",J44/$J$57)</f>
        <v>NA</v>
      </c>
      <c r="L44" s="593" t="s">
        <v>63</v>
      </c>
      <c r="M44" s="589" t="s">
        <v>64</v>
      </c>
      <c r="N44" s="589" t="s">
        <v>65</v>
      </c>
      <c r="O44" s="957" t="str">
        <f ca="1">N77&amp;" EBITDA "&amp;LEFT(D90,4)</f>
        <v xml:space="preserve">1997 EBITDA (2) </v>
      </c>
      <c r="Q44" s="842" t="str">
        <f>"Adjusted Purchase Price "&amp;LEFT(D89,4)&amp;"......................."</f>
        <v>Adjusted Purchase Price (1) .......................</v>
      </c>
      <c r="S44" s="464">
        <f ca="1">IF(F44=0,0,F44+F49+P182+P202-F182-F183)</f>
        <v>0</v>
      </c>
      <c r="T44" s="294"/>
    </row>
    <row r="45" spans="1:23" x14ac:dyDescent="0.25">
      <c r="A45" s="302"/>
      <c r="C45" s="294"/>
      <c r="D45" s="6" t="str">
        <f>D1519&amp;".........................................................................."</f>
        <v>Transaction Expenses..........................................................................</v>
      </c>
      <c r="F45" s="817">
        <f ca="1">U1519</f>
        <v>0</v>
      </c>
      <c r="G45" s="12"/>
      <c r="H45" s="380" t="str">
        <f t="shared" ref="H45:H51" si="8">D1505&amp;"......................................................................"</f>
        <v>Revolver......................................................................</v>
      </c>
      <c r="I45" s="5"/>
      <c r="J45" s="255">
        <f t="shared" ca="1" si="6"/>
        <v>0</v>
      </c>
      <c r="K45" s="23" t="str">
        <f t="shared" ca="1" si="7"/>
        <v>NA</v>
      </c>
      <c r="L45" s="593" t="s">
        <v>63</v>
      </c>
      <c r="M45" s="17" t="str">
        <f t="shared" ref="M45:M54" ca="1" si="9">IF(J45=0,"--    ",J1425)</f>
        <v xml:space="preserve">--    </v>
      </c>
      <c r="N45" s="593" t="s">
        <v>63</v>
      </c>
      <c r="O45" s="956">
        <f ca="1">(SUM(J$45:J45)-$I$182-$I$183)/$N$84</f>
        <v>-1.0683760683760684</v>
      </c>
      <c r="Q45" s="14" t="str">
        <f>"   / "&amp;FIXED($I$224,0,TRUE)&amp;" EBITDA........................"</f>
        <v xml:space="preserve">   / 1997 EBITDA........................</v>
      </c>
      <c r="S45" s="543">
        <f ca="1">S$44/$I$234</f>
        <v>0</v>
      </c>
      <c r="T45" s="294"/>
    </row>
    <row r="46" spans="1:23" x14ac:dyDescent="0.25">
      <c r="A46" s="302"/>
      <c r="C46" s="294"/>
      <c r="F46" s="591" t="s">
        <v>66</v>
      </c>
      <c r="G46" s="16"/>
      <c r="H46" s="380" t="str">
        <f t="shared" si="8"/>
        <v>Term Loan......................................................................</v>
      </c>
      <c r="J46" s="255">
        <f t="shared" ca="1" si="6"/>
        <v>0</v>
      </c>
      <c r="K46" s="23" t="str">
        <f t="shared" ca="1" si="7"/>
        <v>NA</v>
      </c>
      <c r="L46" s="593" t="s">
        <v>63</v>
      </c>
      <c r="M46" s="17" t="str">
        <f t="shared" ca="1" si="9"/>
        <v xml:space="preserve">--    </v>
      </c>
      <c r="N46" s="593" t="s">
        <v>63</v>
      </c>
      <c r="O46" s="956">
        <f ca="1">(SUM(J$45:J46)-$I$182-$I$183)/$N$84</f>
        <v>-1.0683760683760684</v>
      </c>
      <c r="Q46" s="14" t="str">
        <f>"   / "&amp;FIXED($J$224,0,TRUE)&amp;" EBITDA........................"</f>
        <v xml:space="preserve">   / 1998 EBITDA........................</v>
      </c>
      <c r="S46" s="544">
        <f ca="1">S$44/$J$234</f>
        <v>0</v>
      </c>
      <c r="T46" s="294"/>
    </row>
    <row r="47" spans="1:23" x14ac:dyDescent="0.25">
      <c r="A47" s="302"/>
      <c r="C47" s="294"/>
      <c r="D47" s="6" t="str">
        <f>D1520&amp;".........................................................................."</f>
        <v xml:space="preserve">    Total Purchase Price..........................................................................</v>
      </c>
      <c r="E47" s="5"/>
      <c r="F47" s="464">
        <f ca="1">SUM(F44:F46)</f>
        <v>0</v>
      </c>
      <c r="G47" s="5"/>
      <c r="H47" s="380" t="str">
        <f t="shared" si="8"/>
        <v>Evergreen Revolver......................................................................</v>
      </c>
      <c r="I47" s="5"/>
      <c r="J47" s="255">
        <f t="shared" ca="1" si="6"/>
        <v>0</v>
      </c>
      <c r="K47" s="23" t="str">
        <f t="shared" ca="1" si="7"/>
        <v>NA</v>
      </c>
      <c r="L47" s="593" t="s">
        <v>63</v>
      </c>
      <c r="M47" s="17" t="str">
        <f t="shared" ca="1" si="9"/>
        <v xml:space="preserve">--    </v>
      </c>
      <c r="N47" s="593" t="s">
        <v>63</v>
      </c>
      <c r="O47" s="956">
        <f ca="1">(SUM(J$45:J47)-$I$182-$I$183)/$N$84</f>
        <v>-1.0683760683760684</v>
      </c>
      <c r="Q47" s="948"/>
      <c r="R47" s="41"/>
      <c r="S47" s="154"/>
      <c r="T47" s="294"/>
    </row>
    <row r="48" spans="1:23" x14ac:dyDescent="0.25">
      <c r="A48" s="302"/>
      <c r="B48" s="595" t="s">
        <v>67</v>
      </c>
      <c r="C48" s="461">
        <f t="array" ref="C48">MIN(IF(J1442:S1442&gt;0,$J$1440:$S$1440,""))</f>
        <v>0</v>
      </c>
      <c r="D48"/>
      <c r="E48"/>
      <c r="F48"/>
      <c r="G48" s="5"/>
      <c r="H48" s="380" t="str">
        <f t="shared" si="8"/>
        <v>Debt 1......................................................................</v>
      </c>
      <c r="J48" s="255">
        <f t="shared" ca="1" si="6"/>
        <v>0</v>
      </c>
      <c r="K48" s="23" t="str">
        <f t="shared" ca="1" si="7"/>
        <v>NA</v>
      </c>
      <c r="L48" s="354" t="str">
        <f t="shared" ref="L48:L54" si="10">IF(S920&gt;0,S920,"--    ")</f>
        <v xml:space="preserve">--    </v>
      </c>
      <c r="M48" s="17" t="str">
        <f t="shared" ca="1" si="9"/>
        <v xml:space="preserve">--    </v>
      </c>
      <c r="N48" s="33" t="str">
        <f>IF(C48&gt;0,C48,"--")</f>
        <v>--</v>
      </c>
      <c r="O48" s="956">
        <f ca="1">(SUM(J$45:J48)-$I$182-$I$183)/$N$84</f>
        <v>-1.0683760683760684</v>
      </c>
      <c r="Q48" s="954" t="s">
        <v>68</v>
      </c>
      <c r="S48" s="464">
        <f ca="1">+F55-J44-F183</f>
        <v>0</v>
      </c>
      <c r="T48" s="294"/>
      <c r="U48"/>
      <c r="V48"/>
      <c r="W48"/>
    </row>
    <row r="49" spans="1:23" x14ac:dyDescent="0.25">
      <c r="A49" s="302"/>
      <c r="B49" s="246" t="str">
        <f ca="1">"("&amp;CELL("address",C49)&amp;" : "&amp;CELL("address",C54)&amp;")"</f>
        <v>($C$49 : $C$54)</v>
      </c>
      <c r="C49" s="462">
        <f t="array" ref="C49">MIN(IF(J1443:S1443&gt;0,$J$1440:$S$1440,""))</f>
        <v>0</v>
      </c>
      <c r="D49" s="6" t="str">
        <f>D1521&amp;".........................................................................."</f>
        <v>Existing Preferred..........................................................................</v>
      </c>
      <c r="E49"/>
      <c r="F49" s="464">
        <f ca="1">U1521</f>
        <v>0</v>
      </c>
      <c r="H49" s="380" t="str">
        <f t="shared" si="8"/>
        <v>Debt 2......................................................................</v>
      </c>
      <c r="I49" s="5"/>
      <c r="J49" s="255">
        <f t="shared" ca="1" si="6"/>
        <v>0</v>
      </c>
      <c r="K49" s="23" t="str">
        <f t="shared" ca="1" si="7"/>
        <v>NA</v>
      </c>
      <c r="L49" s="354" t="str">
        <f t="shared" si="10"/>
        <v xml:space="preserve">--    </v>
      </c>
      <c r="M49" s="17" t="str">
        <f t="shared" ca="1" si="9"/>
        <v xml:space="preserve">--    </v>
      </c>
      <c r="N49" s="33" t="str">
        <f t="shared" ref="N49:N54" si="11">IF(C49&gt;0,C49,"--    ")</f>
        <v xml:space="preserve">--    </v>
      </c>
      <c r="O49" s="956">
        <f ca="1">(SUM(J$45:J49)-$I$182-$I$183)/$N$84</f>
        <v>-1.0683760683760684</v>
      </c>
      <c r="Q49" s="14" t="str">
        <f>"   / "&amp;FIXED($I$224,0,TRUE)&amp;" EBITDA........................."</f>
        <v xml:space="preserve">   / 1997 EBITDA.........................</v>
      </c>
      <c r="S49" s="543">
        <f ca="1">S$48/$I$234</f>
        <v>0</v>
      </c>
      <c r="T49" s="294"/>
      <c r="U49"/>
      <c r="V49"/>
      <c r="W49"/>
    </row>
    <row r="50" spans="1:23" x14ac:dyDescent="0.25">
      <c r="A50" s="302"/>
      <c r="B50" s="596" t="s">
        <v>69</v>
      </c>
      <c r="C50" s="462">
        <f t="array" ref="C50">MIN(IF(J1444:S1444&gt;0,$J$1440:$S$1440,""))</f>
        <v>0</v>
      </c>
      <c r="D50" s="6" t="str">
        <f>D1522&amp;".........................................................................."</f>
        <v>Refinance STD..........................................................................</v>
      </c>
      <c r="E50" s="5"/>
      <c r="F50" s="254">
        <f ca="1">U1522</f>
        <v>0</v>
      </c>
      <c r="H50" s="380" t="str">
        <f t="shared" si="8"/>
        <v>Debt 3......................................................................</v>
      </c>
      <c r="J50" s="255">
        <f t="shared" ca="1" si="6"/>
        <v>0</v>
      </c>
      <c r="K50" s="23" t="str">
        <f t="shared" ca="1" si="7"/>
        <v>NA</v>
      </c>
      <c r="L50" s="354" t="str">
        <f t="shared" si="10"/>
        <v xml:space="preserve">--    </v>
      </c>
      <c r="M50" s="17" t="str">
        <f t="shared" ca="1" si="9"/>
        <v xml:space="preserve">--    </v>
      </c>
      <c r="N50" s="33" t="str">
        <f t="shared" si="11"/>
        <v xml:space="preserve">--    </v>
      </c>
      <c r="O50" s="956">
        <f ca="1">(SUM(J$45:J50)-$I$182-$I$183)/$N$84</f>
        <v>-1.0683760683760684</v>
      </c>
      <c r="Q50" s="14" t="str">
        <f>"   / "&amp;FIXED($J$224,0,TRUE)&amp;" EBITDA.........................."</f>
        <v xml:space="preserve">   / 1998 EBITDA..........................</v>
      </c>
      <c r="S50" s="544">
        <f ca="1">S$48/$J$234</f>
        <v>0</v>
      </c>
      <c r="T50" s="294"/>
      <c r="U50"/>
      <c r="V50"/>
      <c r="W50"/>
    </row>
    <row r="51" spans="1:23" x14ac:dyDescent="0.25">
      <c r="A51" s="302"/>
      <c r="B51" s="596" t="s">
        <v>70</v>
      </c>
      <c r="C51" s="462">
        <f t="array" ref="C51">MIN(IF(J1445:S1445&gt;0,$J$1440:$S$1440,""))</f>
        <v>0</v>
      </c>
      <c r="D51" s="6" t="str">
        <f>D1523&amp;".........................................................................."</f>
        <v>Refinance LTD..........................................................................</v>
      </c>
      <c r="E51" s="5"/>
      <c r="F51" s="254">
        <f ca="1">U1523</f>
        <v>0</v>
      </c>
      <c r="H51" s="380" t="str">
        <f t="shared" si="8"/>
        <v>Debt 4......................................................................</v>
      </c>
      <c r="I51" s="5"/>
      <c r="J51" s="255">
        <f t="shared" ca="1" si="6"/>
        <v>0</v>
      </c>
      <c r="K51" s="23" t="str">
        <f t="shared" ca="1" si="7"/>
        <v>NA</v>
      </c>
      <c r="L51" s="354" t="str">
        <f t="shared" si="10"/>
        <v xml:space="preserve">--    </v>
      </c>
      <c r="M51" s="17" t="str">
        <f t="shared" ca="1" si="9"/>
        <v xml:space="preserve">--    </v>
      </c>
      <c r="N51" s="33" t="str">
        <f t="shared" si="11"/>
        <v xml:space="preserve">--    </v>
      </c>
      <c r="O51" s="956">
        <f ca="1">(SUM(J$45:J51)-$I$182-$I$183)/$N$84</f>
        <v>-1.0683760683760684</v>
      </c>
      <c r="Q51" s="849"/>
      <c r="R51" s="943"/>
      <c r="S51" s="943"/>
      <c r="T51" s="294"/>
    </row>
    <row r="52" spans="1:23" x14ac:dyDescent="0.25">
      <c r="A52" s="302"/>
      <c r="B52" s="246" t="str">
        <f ca="1">"("&amp;CELL("address",N49)&amp;" : "&amp;CELL("address",N54)&amp;")"</f>
        <v>($N$49 : $N$54)</v>
      </c>
      <c r="C52" s="462">
        <f t="array" ref="C52">MIN(IF(J1446:S1446&gt;0,$J$1440:$S$1440,""))</f>
        <v>0</v>
      </c>
      <c r="D52" s="6" t="str">
        <f>D1524&amp;".........................................................................."</f>
        <v>Prepayment Penalties..........................................................................</v>
      </c>
      <c r="F52" s="254">
        <f ca="1">U1524</f>
        <v>0</v>
      </c>
      <c r="H52" s="380" t="str">
        <f>D1416&amp;"......................................................................"</f>
        <v>Debt 5......................................................................</v>
      </c>
      <c r="J52" s="255">
        <f t="shared" ca="1" si="6"/>
        <v>0</v>
      </c>
      <c r="K52" s="23" t="str">
        <f t="shared" ca="1" si="7"/>
        <v>NA</v>
      </c>
      <c r="L52" s="354" t="str">
        <f t="shared" si="10"/>
        <v xml:space="preserve">--    </v>
      </c>
      <c r="M52" s="17" t="str">
        <f t="shared" ca="1" si="9"/>
        <v xml:space="preserve">--    </v>
      </c>
      <c r="N52" s="33" t="str">
        <f t="shared" si="11"/>
        <v xml:space="preserve">--    </v>
      </c>
      <c r="O52" s="956">
        <f ca="1">(SUM(J$45:J52)-$I$182-$I$183)/$N$84</f>
        <v>-1.0683760683760684</v>
      </c>
      <c r="Q52" s="41"/>
      <c r="R52" s="41"/>
      <c r="S52" s="41"/>
      <c r="T52" s="435"/>
    </row>
    <row r="53" spans="1:23" x14ac:dyDescent="0.25">
      <c r="A53" s="302"/>
      <c r="B53" s="597" t="s">
        <v>71</v>
      </c>
      <c r="C53" s="462">
        <f t="array" ref="C53">MIN(IF(J1447:S1447&gt;0,$J$1440:$S$1440,""))</f>
        <v>0</v>
      </c>
      <c r="D53" s="6" t="str">
        <f>D1525&amp;".........................................................................."</f>
        <v>Excess Cash for W.C...........................................................................</v>
      </c>
      <c r="F53" s="254">
        <f ca="1">U1525</f>
        <v>0</v>
      </c>
      <c r="H53" s="380" t="str">
        <f>D1513&amp;"......................................................................"</f>
        <v>Preferred 1......................................................................</v>
      </c>
      <c r="J53" s="255">
        <f t="shared" ca="1" si="6"/>
        <v>0</v>
      </c>
      <c r="K53" s="23" t="str">
        <f t="shared" ca="1" si="7"/>
        <v>NA</v>
      </c>
      <c r="L53" s="354" t="str">
        <f t="shared" si="10"/>
        <v xml:space="preserve">--    </v>
      </c>
      <c r="M53" s="17" t="str">
        <f t="shared" ca="1" si="9"/>
        <v xml:space="preserve">--    </v>
      </c>
      <c r="N53" s="33" t="str">
        <f t="shared" si="11"/>
        <v xml:space="preserve">--    </v>
      </c>
      <c r="O53"/>
      <c r="Q53" s="888" t="s">
        <v>72</v>
      </c>
      <c r="R53" s="889"/>
      <c r="S53" s="891"/>
      <c r="T53" s="294"/>
      <c r="U53"/>
      <c r="V53"/>
      <c r="W53"/>
    </row>
    <row r="54" spans="1:23" x14ac:dyDescent="0.25">
      <c r="A54" s="302"/>
      <c r="B54" s="598" t="s">
        <v>73</v>
      </c>
      <c r="C54" s="463">
        <f t="array" ref="C54">MIN(IF(J1448:S1448&gt;0,$J$1440:$S$1440,""))</f>
        <v>0</v>
      </c>
      <c r="D54" s="5"/>
      <c r="E54" s="5"/>
      <c r="F54" s="591" t="s">
        <v>66</v>
      </c>
      <c r="H54" s="380" t="str">
        <f>D1418&amp;"......................................................................"</f>
        <v>Preferred 2......................................................................</v>
      </c>
      <c r="J54" s="255">
        <f t="shared" ca="1" si="6"/>
        <v>0</v>
      </c>
      <c r="K54" s="23" t="str">
        <f t="shared" ca="1" si="7"/>
        <v>NA</v>
      </c>
      <c r="L54" s="354" t="str">
        <f t="shared" si="10"/>
        <v xml:space="preserve">--    </v>
      </c>
      <c r="M54" s="17" t="str">
        <f t="shared" ca="1" si="9"/>
        <v xml:space="preserve">--    </v>
      </c>
      <c r="N54" s="33" t="str">
        <f t="shared" si="11"/>
        <v xml:space="preserve">--    </v>
      </c>
      <c r="O54"/>
      <c r="Q54" s="600" t="s">
        <v>74</v>
      </c>
      <c r="S54" s="545">
        <f>H1371+4</f>
        <v>2002</v>
      </c>
      <c r="T54" s="435"/>
      <c r="U54"/>
      <c r="V54"/>
      <c r="W54"/>
    </row>
    <row r="55" spans="1:23" x14ac:dyDescent="0.25">
      <c r="A55" s="302"/>
      <c r="C55" s="294"/>
      <c r="D55" s="6" t="str">
        <f>D1526&amp;".........................................................................."</f>
        <v xml:space="preserve">    Total Uses..........................................................................</v>
      </c>
      <c r="E55" s="5"/>
      <c r="F55" s="256">
        <f ca="1">SUM(F49:F53)+F47</f>
        <v>0</v>
      </c>
      <c r="H55" s="380" t="str">
        <f>D1515&amp;"..............................................................................................................."</f>
        <v>Common...............................................................................................................</v>
      </c>
      <c r="I55" s="5"/>
      <c r="J55" s="255">
        <f t="shared" ca="1" si="6"/>
        <v>0</v>
      </c>
      <c r="K55" s="23" t="str">
        <f t="shared" ca="1" si="7"/>
        <v>NA</v>
      </c>
      <c r="L55" s="354">
        <f>IF(S919&gt;0,S919,"--    ")</f>
        <v>1</v>
      </c>
      <c r="M55" s="599" t="s">
        <v>63</v>
      </c>
      <c r="N55" s="599" t="s">
        <v>63</v>
      </c>
      <c r="O55"/>
      <c r="P55" s="300"/>
      <c r="Q55" s="601" t="s">
        <v>75</v>
      </c>
      <c r="R55" s="5"/>
      <c r="S55" s="543">
        <f>H1375</f>
        <v>5.5</v>
      </c>
      <c r="T55" s="435"/>
      <c r="U55"/>
      <c r="V55"/>
      <c r="W55"/>
    </row>
    <row r="56" spans="1:23" x14ac:dyDescent="0.25">
      <c r="A56" s="302"/>
      <c r="C56" s="294"/>
      <c r="D56" s="5"/>
      <c r="E56" s="5"/>
      <c r="F56" s="591" t="s">
        <v>76</v>
      </c>
      <c r="J56" s="591" t="s">
        <v>66</v>
      </c>
      <c r="K56" s="591" t="s">
        <v>66</v>
      </c>
      <c r="L56" s="591" t="s">
        <v>66</v>
      </c>
      <c r="O56"/>
      <c r="Q56" s="602" t="s">
        <v>77</v>
      </c>
      <c r="S56" s="41"/>
      <c r="T56" s="435"/>
      <c r="U56"/>
      <c r="V56"/>
      <c r="W56"/>
    </row>
    <row r="57" spans="1:23" x14ac:dyDescent="0.25">
      <c r="A57" s="302"/>
      <c r="C57" s="294"/>
      <c r="D57"/>
      <c r="E57"/>
      <c r="F57"/>
      <c r="H57" s="601" t="s">
        <v>78</v>
      </c>
      <c r="I57" s="5"/>
      <c r="J57" s="62">
        <f ca="1">SUM(J44:J56)</f>
        <v>0</v>
      </c>
      <c r="K57" s="11">
        <f ca="1">SUM(K44:K55)</f>
        <v>0</v>
      </c>
      <c r="L57" s="11">
        <f>SUM(L44:L55)</f>
        <v>1</v>
      </c>
      <c r="O57"/>
      <c r="Q57" s="1" t="str">
        <f>+"    "&amp;D933</f>
        <v xml:space="preserve">    Promote to Sponsor.......................................................................................................................</v>
      </c>
      <c r="S57" s="212">
        <f>+H933</f>
        <v>0</v>
      </c>
      <c r="T57" s="435"/>
      <c r="U57"/>
      <c r="V57"/>
      <c r="W57"/>
    </row>
    <row r="58" spans="1:23" x14ac:dyDescent="0.25">
      <c r="A58" s="302"/>
      <c r="C58" s="294"/>
      <c r="D58"/>
      <c r="E58"/>
      <c r="F58"/>
      <c r="H58" s="6"/>
      <c r="I58" s="5"/>
      <c r="J58" s="591" t="s">
        <v>76</v>
      </c>
      <c r="K58" s="591" t="s">
        <v>76</v>
      </c>
      <c r="L58" s="591" t="s">
        <v>76</v>
      </c>
      <c r="O58"/>
      <c r="Q58" s="1" t="str">
        <f>+"    "&amp;D934</f>
        <v xml:space="preserve">    Promote to DLJ..........................................................................................................................................</v>
      </c>
      <c r="S58" s="212">
        <f>+H934</f>
        <v>0</v>
      </c>
      <c r="T58" s="435"/>
      <c r="U58"/>
      <c r="V58"/>
      <c r="W58"/>
    </row>
    <row r="59" spans="1:23" x14ac:dyDescent="0.25">
      <c r="A59" s="302"/>
      <c r="C59" s="294"/>
      <c r="D59"/>
      <c r="E59"/>
      <c r="F59"/>
      <c r="G59" s="2"/>
      <c r="H59" s="5"/>
      <c r="I59" s="5"/>
      <c r="J59" s="5"/>
      <c r="L59" s="2"/>
      <c r="M59" s="2"/>
      <c r="N59" s="2"/>
      <c r="O59" s="2"/>
      <c r="P59" s="2"/>
      <c r="Q59" s="1" t="str">
        <f>+"    "&amp;D935</f>
        <v xml:space="preserve">    Promote to Management........................................................................................................</v>
      </c>
      <c r="S59" s="501">
        <f>+H935</f>
        <v>0</v>
      </c>
      <c r="T59" s="436"/>
      <c r="U59"/>
      <c r="V59"/>
      <c r="W59"/>
    </row>
    <row r="60" spans="1:23" x14ac:dyDescent="0.25">
      <c r="A60" s="302"/>
      <c r="C60" s="294"/>
      <c r="D60"/>
      <c r="E60"/>
      <c r="F60"/>
      <c r="H60" s="5"/>
      <c r="O60" s="1"/>
      <c r="Q60" s="601" t="s">
        <v>79</v>
      </c>
      <c r="R60" s="5"/>
      <c r="S60" s="502">
        <f>H936</f>
        <v>0</v>
      </c>
      <c r="T60" s="294"/>
      <c r="U60"/>
      <c r="V60"/>
      <c r="W60"/>
    </row>
    <row r="61" spans="1:23" x14ac:dyDescent="0.25">
      <c r="A61" s="302"/>
      <c r="C61" s="294"/>
      <c r="D61"/>
      <c r="E61"/>
      <c r="F61"/>
      <c r="H61" s="5"/>
      <c r="O61" s="1"/>
      <c r="S61" s="41"/>
      <c r="T61" s="294"/>
    </row>
    <row r="62" spans="1:23" x14ac:dyDescent="0.25">
      <c r="A62" s="302"/>
      <c r="C62" s="294"/>
      <c r="F62" s="5"/>
      <c r="H62" s="5"/>
      <c r="O62" s="1"/>
      <c r="S62" s="41"/>
      <c r="T62" s="294"/>
    </row>
    <row r="63" spans="1:23" x14ac:dyDescent="0.25">
      <c r="A63" s="302"/>
      <c r="C63" s="301"/>
      <c r="D63" s="888" t="s">
        <v>80</v>
      </c>
      <c r="E63" s="889"/>
      <c r="F63" s="890"/>
      <c r="G63" s="890"/>
      <c r="H63" s="890"/>
      <c r="I63" s="890"/>
      <c r="J63" s="890"/>
      <c r="K63" s="891"/>
      <c r="M63" s="888" t="s">
        <v>81</v>
      </c>
      <c r="N63" s="889"/>
      <c r="O63" s="890"/>
      <c r="P63" s="890"/>
      <c r="Q63" s="890"/>
      <c r="R63" s="890"/>
      <c r="S63" s="891"/>
      <c r="T63" s="294"/>
    </row>
    <row r="64" spans="1:23" x14ac:dyDescent="0.25">
      <c r="A64" s="302"/>
      <c r="C64" s="294"/>
      <c r="D64" s="39"/>
      <c r="E64" s="39"/>
      <c r="F64" s="603" t="s">
        <v>82</v>
      </c>
      <c r="G64" s="158" t="str">
        <f>"Projected Fiscal Year Ending "&amp;H1372</f>
        <v>Projected Fiscal Year Ending December 31,</v>
      </c>
      <c r="H64" s="165"/>
      <c r="I64" s="165"/>
      <c r="J64" s="165"/>
      <c r="K64" s="165"/>
      <c r="M64" s="308"/>
      <c r="N64" s="911" t="str">
        <f>"To "&amp;sponsor</f>
        <v>To Sponsor</v>
      </c>
      <c r="O64" s="310"/>
      <c r="P64" s="311"/>
      <c r="Q64" s="309" t="str">
        <f>"To "&amp;D1412</f>
        <v>To Debt 1</v>
      </c>
      <c r="R64" s="309"/>
      <c r="S64" s="310"/>
      <c r="T64" s="294"/>
    </row>
    <row r="65" spans="1:20" x14ac:dyDescent="0.25">
      <c r="A65" s="302"/>
      <c r="C65" s="296"/>
      <c r="D65" s="186"/>
      <c r="E65" s="216"/>
      <c r="F65" s="178">
        <f>G65-1</f>
        <v>1997</v>
      </c>
      <c r="G65" s="178">
        <f>year</f>
        <v>1998</v>
      </c>
      <c r="H65" s="178">
        <f>G65+1</f>
        <v>1999</v>
      </c>
      <c r="I65" s="178">
        <f>H65+1</f>
        <v>2000</v>
      </c>
      <c r="J65" s="178">
        <f>I65+1</f>
        <v>2001</v>
      </c>
      <c r="K65" s="178">
        <f>J65+1</f>
        <v>2002</v>
      </c>
      <c r="M65" s="604" t="s">
        <v>83</v>
      </c>
      <c r="N65" s="845" t="s">
        <v>84</v>
      </c>
      <c r="O65" s="844"/>
      <c r="P65" s="312"/>
      <c r="Q65" s="606" t="s">
        <v>85</v>
      </c>
      <c r="R65" s="313"/>
      <c r="S65" s="503"/>
      <c r="T65" s="294"/>
    </row>
    <row r="66" spans="1:20" x14ac:dyDescent="0.25">
      <c r="A66" s="302"/>
      <c r="C66" s="295"/>
      <c r="D66" s="607" t="s">
        <v>86</v>
      </c>
      <c r="M66" s="605" t="s">
        <v>61</v>
      </c>
      <c r="N66" s="912">
        <f>K1017</f>
        <v>1</v>
      </c>
      <c r="O66" s="912">
        <f>L1017</f>
        <v>0.95</v>
      </c>
      <c r="P66" s="312"/>
      <c r="Q66" s="314">
        <f>J1097</f>
        <v>0</v>
      </c>
      <c r="R66" s="314">
        <f>K1097</f>
        <v>0</v>
      </c>
      <c r="S66" s="504">
        <f>L1097</f>
        <v>5.0000000000000001E-3</v>
      </c>
      <c r="T66" s="294"/>
    </row>
    <row r="67" spans="1:20" x14ac:dyDescent="0.25">
      <c r="A67" s="302"/>
      <c r="C67" s="296"/>
      <c r="D67" s="1" t="str">
        <f>D416</f>
        <v>Cash Interest Expense..............................................................................</v>
      </c>
      <c r="E67" s="20"/>
      <c r="F67" s="961">
        <f t="shared" ref="F67:K69" ca="1" si="12">I416</f>
        <v>7.8</v>
      </c>
      <c r="G67" s="961">
        <f t="shared" ca="1" si="12"/>
        <v>8.9700000000000006</v>
      </c>
      <c r="H67" s="961">
        <f t="shared" ca="1" si="12"/>
        <v>10.315499999999998</v>
      </c>
      <c r="I67" s="961">
        <f t="shared" ca="1" si="12"/>
        <v>11.862824999999997</v>
      </c>
      <c r="J67" s="961">
        <f t="shared" ca="1" si="12"/>
        <v>13.642248749999997</v>
      </c>
      <c r="K67" s="962">
        <f t="shared" ca="1" si="12"/>
        <v>15.688586062499995</v>
      </c>
      <c r="M67" s="315"/>
      <c r="N67" s="316"/>
      <c r="O67" s="315"/>
      <c r="P67" s="312"/>
      <c r="Q67"/>
      <c r="R67" s="312"/>
      <c r="S67" s="410"/>
      <c r="T67" s="294"/>
    </row>
    <row r="68" spans="1:20" x14ac:dyDescent="0.25">
      <c r="A68" s="302"/>
      <c r="C68" s="297"/>
      <c r="D68" s="1" t="str">
        <f>D417</f>
        <v>Total Interest Expense..............................................................................</v>
      </c>
      <c r="E68" s="20"/>
      <c r="F68" s="20">
        <f t="shared" ca="1" si="12"/>
        <v>7.8</v>
      </c>
      <c r="G68" s="20">
        <f t="shared" ca="1" si="12"/>
        <v>8.9700000000000006</v>
      </c>
      <c r="H68" s="20">
        <f t="shared" ca="1" si="12"/>
        <v>10.315499999999998</v>
      </c>
      <c r="I68" s="20">
        <f t="shared" ca="1" si="12"/>
        <v>11.862824999999997</v>
      </c>
      <c r="J68" s="20">
        <f t="shared" ca="1" si="12"/>
        <v>13.642248749999997</v>
      </c>
      <c r="K68" s="404">
        <f t="shared" ca="1" si="12"/>
        <v>15.688586062499995</v>
      </c>
      <c r="M68" s="546">
        <f>M69-H1376</f>
        <v>4.5</v>
      </c>
      <c r="N68" s="317" t="str">
        <f t="shared" ref="N68:O72" ca="1" si="13">K1018</f>
        <v>NM</v>
      </c>
      <c r="O68" s="317" t="str">
        <f t="shared" ca="1" si="13"/>
        <v>NM</v>
      </c>
      <c r="P68" s="312"/>
      <c r="Q68" s="532" t="str">
        <f t="shared" ref="Q68:S72" si="14">J1098</f>
        <v>NA</v>
      </c>
      <c r="R68" s="532" t="str">
        <f t="shared" si="14"/>
        <v>NA</v>
      </c>
      <c r="S68" s="533" t="str">
        <f t="shared" si="14"/>
        <v>NA</v>
      </c>
      <c r="T68" s="294"/>
    </row>
    <row r="69" spans="1:20" x14ac:dyDescent="0.25">
      <c r="A69" s="302"/>
      <c r="C69" s="297"/>
      <c r="D69" s="1" t="str">
        <f>D418</f>
        <v>Total Fixed Charges.............................................................................................</v>
      </c>
      <c r="E69" s="20"/>
      <c r="F69" s="20">
        <f t="shared" ca="1" si="12"/>
        <v>7.8</v>
      </c>
      <c r="G69" s="20">
        <f t="shared" ca="1" si="12"/>
        <v>8.9700000000000006</v>
      </c>
      <c r="H69" s="20">
        <f t="shared" ca="1" si="12"/>
        <v>10.315499999999998</v>
      </c>
      <c r="I69" s="20">
        <f t="shared" ca="1" si="12"/>
        <v>11.862824999999997</v>
      </c>
      <c r="J69" s="20">
        <f t="shared" ca="1" si="12"/>
        <v>13.642248749999997</v>
      </c>
      <c r="K69" s="404">
        <f t="shared" ca="1" si="12"/>
        <v>15.688586062499995</v>
      </c>
      <c r="M69" s="546">
        <f>H1375-H1376</f>
        <v>5</v>
      </c>
      <c r="N69" s="317" t="str">
        <f t="shared" ca="1" si="13"/>
        <v>NM</v>
      </c>
      <c r="O69" s="317" t="str">
        <f t="shared" ca="1" si="13"/>
        <v>NM</v>
      </c>
      <c r="P69" s="312"/>
      <c r="Q69" s="532" t="str">
        <f t="shared" si="14"/>
        <v>NA</v>
      </c>
      <c r="R69" s="532" t="str">
        <f t="shared" si="14"/>
        <v>NA</v>
      </c>
      <c r="S69" s="533" t="str">
        <f t="shared" si="14"/>
        <v>NA</v>
      </c>
      <c r="T69" s="294"/>
    </row>
    <row r="70" spans="1:20" x14ac:dyDescent="0.25">
      <c r="A70" s="302"/>
      <c r="C70" s="297"/>
      <c r="E70" s="21"/>
      <c r="F70" s="21"/>
      <c r="G70" s="21"/>
      <c r="H70" s="21"/>
      <c r="I70" s="21"/>
      <c r="J70" s="21"/>
      <c r="K70" s="404"/>
      <c r="M70" s="546">
        <f>H1375</f>
        <v>5.5</v>
      </c>
      <c r="N70" s="953" t="str">
        <f t="shared" ca="1" si="13"/>
        <v>NM</v>
      </c>
      <c r="O70" s="914" t="str">
        <f t="shared" ca="1" si="13"/>
        <v>NM</v>
      </c>
      <c r="P70" s="312"/>
      <c r="Q70" s="532" t="str">
        <f t="shared" si="14"/>
        <v>NA</v>
      </c>
      <c r="R70" s="915" t="str">
        <f t="shared" si="14"/>
        <v>NA</v>
      </c>
      <c r="S70" s="533" t="str">
        <f t="shared" si="14"/>
        <v>NA</v>
      </c>
      <c r="T70" s="294"/>
    </row>
    <row r="71" spans="1:20" x14ac:dyDescent="0.25">
      <c r="A71" s="302"/>
      <c r="C71" s="294"/>
      <c r="D71" s="607" t="s">
        <v>87</v>
      </c>
      <c r="E71" s="21"/>
      <c r="F71" s="21"/>
      <c r="G71" s="21"/>
      <c r="H71" s="21"/>
      <c r="I71" s="21"/>
      <c r="J71" s="21"/>
      <c r="K71" s="404"/>
      <c r="M71" s="546">
        <f>M70+H1376</f>
        <v>6</v>
      </c>
      <c r="N71" s="317" t="str">
        <f t="shared" ca="1" si="13"/>
        <v>NM</v>
      </c>
      <c r="O71" s="317" t="str">
        <f t="shared" ca="1" si="13"/>
        <v>NM</v>
      </c>
      <c r="P71" s="312"/>
      <c r="Q71" s="532" t="str">
        <f t="shared" si="14"/>
        <v>NA</v>
      </c>
      <c r="R71" s="532" t="str">
        <f t="shared" si="14"/>
        <v>NA</v>
      </c>
      <c r="S71" s="533" t="str">
        <f t="shared" si="14"/>
        <v>NA</v>
      </c>
      <c r="T71" s="294"/>
    </row>
    <row r="72" spans="1:20" x14ac:dyDescent="0.25">
      <c r="A72" s="302"/>
      <c r="C72" s="296"/>
      <c r="D72" s="1" t="str">
        <f>D416</f>
        <v>Cash Interest Expense..............................................................................</v>
      </c>
      <c r="E72" s="20"/>
      <c r="F72" s="961">
        <f t="shared" ref="F72:K74" ca="1" si="15">I423</f>
        <v>5.8</v>
      </c>
      <c r="G72" s="961">
        <f t="shared" ca="1" si="15"/>
        <v>6.9700000000000006</v>
      </c>
      <c r="H72" s="961">
        <f t="shared" ca="1" si="15"/>
        <v>8.3154999999999983</v>
      </c>
      <c r="I72" s="961">
        <f t="shared" ca="1" si="15"/>
        <v>9.8628249999999973</v>
      </c>
      <c r="J72" s="961">
        <f t="shared" ca="1" si="15"/>
        <v>11.642248749999997</v>
      </c>
      <c r="K72" s="962">
        <f t="shared" ca="1" si="15"/>
        <v>13.688586062499995</v>
      </c>
      <c r="M72" s="546">
        <f>M71+H1376</f>
        <v>6.5</v>
      </c>
      <c r="N72" s="317" t="str">
        <f t="shared" ca="1" si="13"/>
        <v>NM</v>
      </c>
      <c r="O72" s="317" t="str">
        <f t="shared" ca="1" si="13"/>
        <v>NM</v>
      </c>
      <c r="P72" s="312"/>
      <c r="Q72" s="532" t="str">
        <f t="shared" si="14"/>
        <v>NA</v>
      </c>
      <c r="R72" s="532" t="str">
        <f t="shared" si="14"/>
        <v>NA</v>
      </c>
      <c r="S72" s="533" t="str">
        <f t="shared" si="14"/>
        <v>NA</v>
      </c>
      <c r="T72" s="294"/>
    </row>
    <row r="73" spans="1:20" x14ac:dyDescent="0.25">
      <c r="A73" s="302"/>
      <c r="C73" s="297"/>
      <c r="D73" s="1" t="str">
        <f>D417</f>
        <v>Total Interest Expense..............................................................................</v>
      </c>
      <c r="E73" s="20"/>
      <c r="F73" s="20">
        <f t="shared" ca="1" si="15"/>
        <v>5.8</v>
      </c>
      <c r="G73" s="20">
        <f t="shared" ca="1" si="15"/>
        <v>6.9700000000000006</v>
      </c>
      <c r="H73" s="20">
        <f t="shared" ca="1" si="15"/>
        <v>8.3154999999999983</v>
      </c>
      <c r="I73" s="20">
        <f t="shared" ca="1" si="15"/>
        <v>9.8628249999999973</v>
      </c>
      <c r="J73" s="20">
        <f t="shared" ca="1" si="15"/>
        <v>11.642248749999997</v>
      </c>
      <c r="K73" s="404">
        <f t="shared" ca="1" si="15"/>
        <v>13.688586062499995</v>
      </c>
      <c r="O73" s="1"/>
      <c r="S73" s="41"/>
      <c r="T73" s="294"/>
    </row>
    <row r="74" spans="1:20" x14ac:dyDescent="0.25">
      <c r="A74" s="302"/>
      <c r="C74" s="297"/>
      <c r="D74" s="1" t="str">
        <f>D418</f>
        <v>Total Fixed Charges.............................................................................................</v>
      </c>
      <c r="E74" s="20"/>
      <c r="F74" s="20">
        <f t="shared" ca="1" si="15"/>
        <v>5.8</v>
      </c>
      <c r="G74" s="20">
        <f t="shared" ca="1" si="15"/>
        <v>6.9700000000000006</v>
      </c>
      <c r="H74" s="20">
        <f t="shared" ca="1" si="15"/>
        <v>8.3154999999999983</v>
      </c>
      <c r="I74" s="20">
        <f t="shared" ca="1" si="15"/>
        <v>9.8628249999999973</v>
      </c>
      <c r="J74" s="20">
        <f t="shared" ca="1" si="15"/>
        <v>11.642248749999997</v>
      </c>
      <c r="K74" s="404">
        <f t="shared" ca="1" si="15"/>
        <v>13.688586062499995</v>
      </c>
      <c r="O74" s="1"/>
      <c r="S74" s="41"/>
      <c r="T74" s="294"/>
    </row>
    <row r="75" spans="1:20" x14ac:dyDescent="0.25">
      <c r="A75" s="302"/>
      <c r="C75" s="297"/>
      <c r="E75" s="21"/>
      <c r="F75" s="21"/>
      <c r="G75" s="9"/>
      <c r="H75" s="9"/>
      <c r="I75" s="21"/>
      <c r="J75" s="21"/>
      <c r="M75" s="888" t="s">
        <v>88</v>
      </c>
      <c r="N75" s="889"/>
      <c r="O75" s="890"/>
      <c r="P75" s="890"/>
      <c r="Q75" s="890"/>
      <c r="R75" s="890"/>
      <c r="S75" s="891"/>
      <c r="T75" s="294"/>
    </row>
    <row r="76" spans="1:20" x14ac:dyDescent="0.25">
      <c r="A76" s="302"/>
      <c r="C76" s="294"/>
      <c r="D76" s="554" t="s">
        <v>89</v>
      </c>
      <c r="E76" s="21"/>
      <c r="F76" s="21"/>
      <c r="G76" s="21"/>
      <c r="H76" s="21"/>
      <c r="I76" s="21"/>
      <c r="J76" s="21"/>
      <c r="M76" s="2"/>
      <c r="N76" s="608" t="s">
        <v>90</v>
      </c>
      <c r="O76" s="189" t="str">
        <f>"Projected Fiscal Year Ending "&amp;H1372</f>
        <v>Projected Fiscal Year Ending December 31,</v>
      </c>
      <c r="P76" s="195"/>
      <c r="Q76" s="195"/>
      <c r="R76" s="195"/>
      <c r="S76" s="190"/>
      <c r="T76" s="436"/>
    </row>
    <row r="77" spans="1:20" x14ac:dyDescent="0.25">
      <c r="A77" s="302"/>
      <c r="C77" s="296"/>
      <c r="D77" s="554" t="s">
        <v>91</v>
      </c>
      <c r="E77" s="9"/>
      <c r="F77" s="961">
        <f t="shared" ref="F77:K77" ca="1" si="16">I470</f>
        <v>0.21367521367521367</v>
      </c>
      <c r="G77" s="961" t="str">
        <f t="shared" ca="1" si="16"/>
        <v>NA</v>
      </c>
      <c r="H77" s="961" t="str">
        <f t="shared" ca="1" si="16"/>
        <v>NA</v>
      </c>
      <c r="I77" s="961" t="str">
        <f t="shared" ca="1" si="16"/>
        <v>NA</v>
      </c>
      <c r="J77" s="961" t="str">
        <f t="shared" ca="1" si="16"/>
        <v>NA</v>
      </c>
      <c r="K77" s="962" t="str">
        <f t="shared" ca="1" si="16"/>
        <v>NA</v>
      </c>
      <c r="N77" s="197">
        <f>O77-1</f>
        <v>1997</v>
      </c>
      <c r="O77" s="76">
        <f>G65</f>
        <v>1998</v>
      </c>
      <c r="P77" s="76">
        <f>O77+1</f>
        <v>1999</v>
      </c>
      <c r="Q77" s="76">
        <f>P77+1</f>
        <v>2000</v>
      </c>
      <c r="R77" s="76">
        <f>Q77+1</f>
        <v>2001</v>
      </c>
      <c r="S77" s="181">
        <f>R77+1</f>
        <v>2002</v>
      </c>
      <c r="T77" s="294"/>
    </row>
    <row r="78" spans="1:20" x14ac:dyDescent="0.25">
      <c r="A78" s="302"/>
      <c r="C78" s="294"/>
      <c r="E78" s="21"/>
      <c r="F78" s="21"/>
      <c r="G78" s="21"/>
      <c r="H78" s="21"/>
      <c r="I78" s="21"/>
      <c r="J78" s="21"/>
      <c r="M78" s="552" t="s">
        <v>92</v>
      </c>
      <c r="N78" s="7">
        <f t="shared" ref="N78:S78" si="17">I97</f>
        <v>250</v>
      </c>
      <c r="O78" s="7">
        <f t="shared" ca="1" si="17"/>
        <v>287.5</v>
      </c>
      <c r="P78" s="7">
        <f t="shared" ca="1" si="17"/>
        <v>330.625</v>
      </c>
      <c r="Q78" s="7">
        <f t="shared" ca="1" si="17"/>
        <v>380.21874999999994</v>
      </c>
      <c r="R78" s="7">
        <f t="shared" ca="1" si="17"/>
        <v>437.25156249999992</v>
      </c>
      <c r="S78" s="62">
        <f t="shared" ca="1" si="17"/>
        <v>502.83929687499989</v>
      </c>
      <c r="T78" s="294"/>
    </row>
    <row r="79" spans="1:20" x14ac:dyDescent="0.25">
      <c r="A79" s="302"/>
      <c r="C79" s="296"/>
      <c r="D79" s="888" t="s">
        <v>93</v>
      </c>
      <c r="E79" s="889"/>
      <c r="F79" s="890"/>
      <c r="G79" s="890"/>
      <c r="H79" s="890"/>
      <c r="I79" s="890"/>
      <c r="J79" s="890"/>
      <c r="K79" s="891"/>
      <c r="M79" s="949" t="s">
        <v>94</v>
      </c>
      <c r="N79" s="895">
        <f>I98</f>
        <v>0.25</v>
      </c>
      <c r="O79" s="950">
        <f ca="1">O78/N78-1</f>
        <v>0.14999999999999991</v>
      </c>
      <c r="P79" s="950">
        <f ca="1">P78/O78-1</f>
        <v>0.14999999999999991</v>
      </c>
      <c r="Q79" s="950">
        <f ca="1">Q78/P78-1</f>
        <v>0.14999999999999991</v>
      </c>
      <c r="R79" s="950">
        <f ca="1">R78/Q78-1</f>
        <v>0.14999999999999991</v>
      </c>
      <c r="S79" s="950">
        <f ca="1">S78/R78-1</f>
        <v>0.14999999999999991</v>
      </c>
      <c r="T79" s="294"/>
    </row>
    <row r="80" spans="1:20" x14ac:dyDescent="0.25">
      <c r="A80" s="302"/>
      <c r="C80" s="296"/>
      <c r="D80" s="257"/>
      <c r="E80" s="257"/>
      <c r="F80" s="610" t="s">
        <v>95</v>
      </c>
      <c r="G80" s="194">
        <f>G65</f>
        <v>1998</v>
      </c>
      <c r="H80" s="194">
        <f>H65</f>
        <v>1999</v>
      </c>
      <c r="I80" s="194">
        <f>I65</f>
        <v>2000</v>
      </c>
      <c r="J80" s="194">
        <f>J65</f>
        <v>2001</v>
      </c>
      <c r="K80" s="194">
        <f>K65</f>
        <v>2002</v>
      </c>
      <c r="O80" s="1"/>
      <c r="S80" s="41"/>
      <c r="T80" s="294"/>
    </row>
    <row r="81" spans="1:20" x14ac:dyDescent="0.25">
      <c r="A81" s="302"/>
      <c r="C81" s="297"/>
      <c r="D81" s="600" t="s">
        <v>96</v>
      </c>
      <c r="E81" s="21"/>
      <c r="F81" s="218">
        <f t="shared" ref="F81:K81" ca="1" si="18">I451</f>
        <v>0</v>
      </c>
      <c r="G81" s="218">
        <f t="shared" ca="1" si="18"/>
        <v>0</v>
      </c>
      <c r="H81" s="218">
        <f t="shared" ca="1" si="18"/>
        <v>0</v>
      </c>
      <c r="I81" s="218">
        <f t="shared" ca="1" si="18"/>
        <v>0</v>
      </c>
      <c r="J81" s="218">
        <f t="shared" ca="1" si="18"/>
        <v>0</v>
      </c>
      <c r="K81" s="218">
        <f t="shared" ca="1" si="18"/>
        <v>0</v>
      </c>
      <c r="M81" s="554" t="s">
        <v>97</v>
      </c>
      <c r="N81" s="198">
        <f t="shared" ref="N81:S81" si="19">I103</f>
        <v>135</v>
      </c>
      <c r="O81" s="198">
        <f t="shared" ca="1" si="19"/>
        <v>155.25</v>
      </c>
      <c r="P81" s="198">
        <f t="shared" ca="1" si="19"/>
        <v>178.53749999999999</v>
      </c>
      <c r="Q81" s="198">
        <f t="shared" ca="1" si="19"/>
        <v>205.31812499999995</v>
      </c>
      <c r="R81" s="198">
        <f t="shared" ca="1" si="19"/>
        <v>236.11584374999995</v>
      </c>
      <c r="S81" s="199">
        <f t="shared" ca="1" si="19"/>
        <v>271.53322031249991</v>
      </c>
      <c r="T81" s="294"/>
    </row>
    <row r="82" spans="1:20" x14ac:dyDescent="0.25">
      <c r="A82" s="302"/>
      <c r="B82" s="12"/>
      <c r="C82" s="298"/>
      <c r="D82" s="600" t="s">
        <v>98</v>
      </c>
      <c r="E82" s="22"/>
      <c r="F82" s="599" t="s">
        <v>63</v>
      </c>
      <c r="G82" s="23" t="str">
        <f ca="1">J453</f>
        <v>NA</v>
      </c>
      <c r="H82" s="23" t="str">
        <f ca="1">K453</f>
        <v>NA</v>
      </c>
      <c r="I82" s="23" t="str">
        <f ca="1">L453</f>
        <v>NA</v>
      </c>
      <c r="J82" s="23" t="str">
        <f ca="1">M453</f>
        <v>NA</v>
      </c>
      <c r="K82" s="23" t="str">
        <f ca="1">N453</f>
        <v>NA</v>
      </c>
      <c r="M82" s="951" t="s">
        <v>99</v>
      </c>
      <c r="N82" s="952">
        <f t="shared" ref="N82:S82" si="20">N81/N78</f>
        <v>0.54</v>
      </c>
      <c r="O82" s="952">
        <f t="shared" ca="1" si="20"/>
        <v>0.54</v>
      </c>
      <c r="P82" s="952">
        <f t="shared" ca="1" si="20"/>
        <v>0.54</v>
      </c>
      <c r="Q82" s="952">
        <f t="shared" ca="1" si="20"/>
        <v>0.53999999999999992</v>
      </c>
      <c r="R82" s="952">
        <f t="shared" ca="1" si="20"/>
        <v>0.54</v>
      </c>
      <c r="S82" s="952">
        <f t="shared" ca="1" si="20"/>
        <v>0.53999999999999992</v>
      </c>
      <c r="T82" s="294"/>
    </row>
    <row r="83" spans="1:20" x14ac:dyDescent="0.25">
      <c r="A83" s="302"/>
      <c r="B83" s="12"/>
      <c r="C83" s="298"/>
      <c r="D83" s="257"/>
      <c r="E83" s="257"/>
      <c r="O83" s="1"/>
      <c r="S83" s="41"/>
      <c r="T83" s="294"/>
    </row>
    <row r="84" spans="1:20" x14ac:dyDescent="0.25">
      <c r="A84" s="302"/>
      <c r="B84" s="12"/>
      <c r="C84" s="298"/>
      <c r="D84" s="70"/>
      <c r="E84" s="70"/>
      <c r="G84" s="194">
        <f>1+K80</f>
        <v>2003</v>
      </c>
      <c r="H84" s="194">
        <f>G84+1</f>
        <v>2004</v>
      </c>
      <c r="I84" s="194">
        <f>H84+1</f>
        <v>2005</v>
      </c>
      <c r="J84" s="194">
        <f>I84+1</f>
        <v>2006</v>
      </c>
      <c r="K84" s="194">
        <f>J84+1</f>
        <v>2007</v>
      </c>
      <c r="M84" s="600" t="s">
        <v>100</v>
      </c>
      <c r="N84" s="199">
        <f t="shared" ref="N84:S84" si="21">I109</f>
        <v>117</v>
      </c>
      <c r="O84" s="199">
        <f t="shared" ca="1" si="21"/>
        <v>134.55000000000001</v>
      </c>
      <c r="P84" s="199">
        <f t="shared" ca="1" si="21"/>
        <v>154.73249999999999</v>
      </c>
      <c r="Q84" s="199">
        <f t="shared" ca="1" si="21"/>
        <v>177.94237499999997</v>
      </c>
      <c r="R84" s="199">
        <f t="shared" ca="1" si="21"/>
        <v>204.63373124999995</v>
      </c>
      <c r="S84" s="199">
        <f t="shared" ca="1" si="21"/>
        <v>235.32879093749992</v>
      </c>
      <c r="T84" s="294"/>
    </row>
    <row r="85" spans="1:20" x14ac:dyDescent="0.25">
      <c r="A85" s="302"/>
      <c r="B85" s="12"/>
      <c r="C85" s="298"/>
      <c r="D85" s="600" t="s">
        <v>96</v>
      </c>
      <c r="E85" s="70"/>
      <c r="F85" s="612" t="s">
        <v>63</v>
      </c>
      <c r="G85" s="205">
        <f ca="1">O451</f>
        <v>0</v>
      </c>
      <c r="H85" s="205">
        <f ca="1">P451</f>
        <v>0</v>
      </c>
      <c r="I85" s="205">
        <f ca="1">Q451</f>
        <v>0</v>
      </c>
      <c r="J85" s="205">
        <f ca="1">R451</f>
        <v>0</v>
      </c>
      <c r="K85" s="205">
        <f ca="1">S451</f>
        <v>0</v>
      </c>
      <c r="M85" s="951" t="s">
        <v>99</v>
      </c>
      <c r="N85" s="952">
        <f t="shared" ref="N85:S85" si="22">N84/N78</f>
        <v>0.46800000000000003</v>
      </c>
      <c r="O85" s="952">
        <f t="shared" ca="1" si="22"/>
        <v>0.46800000000000003</v>
      </c>
      <c r="P85" s="952">
        <f t="shared" ca="1" si="22"/>
        <v>0.46799999999999997</v>
      </c>
      <c r="Q85" s="952">
        <f t="shared" ca="1" si="22"/>
        <v>0.46799999999999997</v>
      </c>
      <c r="R85" s="952">
        <f t="shared" ca="1" si="22"/>
        <v>0.46799999999999997</v>
      </c>
      <c r="S85" s="952">
        <f t="shared" ca="1" si="22"/>
        <v>0.46799999999999992</v>
      </c>
      <c r="T85" s="294"/>
    </row>
    <row r="86" spans="1:20" x14ac:dyDescent="0.25">
      <c r="A86" s="302"/>
      <c r="B86" s="12"/>
      <c r="C86" s="298"/>
      <c r="D86" s="600" t="s">
        <v>98</v>
      </c>
      <c r="E86" s="70"/>
      <c r="F86" s="599" t="s">
        <v>63</v>
      </c>
      <c r="G86" s="452" t="str">
        <f ca="1">O453</f>
        <v>NA</v>
      </c>
      <c r="H86" s="452" t="str">
        <f ca="1">P453</f>
        <v>NA</v>
      </c>
      <c r="I86" s="452" t="str">
        <f ca="1">Q453</f>
        <v>NA</v>
      </c>
      <c r="J86" s="452" t="str">
        <f ca="1">R453</f>
        <v>NA</v>
      </c>
      <c r="K86" s="452" t="str">
        <f ca="1">S453</f>
        <v>NA</v>
      </c>
      <c r="M86" s="949" t="s">
        <v>94</v>
      </c>
      <c r="N86" s="952">
        <f>I111</f>
        <v>0.39285714285714279</v>
      </c>
      <c r="O86" s="952">
        <f ca="1">O84/N84-1</f>
        <v>0.15000000000000013</v>
      </c>
      <c r="P86" s="952">
        <f ca="1">P84/O84-1</f>
        <v>0.14999999999999991</v>
      </c>
      <c r="Q86" s="952">
        <f ca="1">Q84/P84-1</f>
        <v>0.14999999999999991</v>
      </c>
      <c r="R86" s="952">
        <f ca="1">R84/Q84-1</f>
        <v>0.14999999999999991</v>
      </c>
      <c r="S86" s="952">
        <f ca="1">S84/R84-1</f>
        <v>0.14999999999999991</v>
      </c>
      <c r="T86" s="294"/>
    </row>
    <row r="87" spans="1:20" x14ac:dyDescent="0.25">
      <c r="A87" s="302"/>
      <c r="B87" s="12"/>
      <c r="C87" s="298"/>
      <c r="O87" s="1"/>
      <c r="S87" s="41"/>
      <c r="T87" s="294"/>
    </row>
    <row r="88" spans="1:20" x14ac:dyDescent="0.25">
      <c r="A88" s="302"/>
      <c r="B88" s="251" t="str">
        <f ca="1">"Cell ("&amp;CELL("address",D88)&amp;") contains hidden text"</f>
        <v>Cell ($D$88) contains hidden text</v>
      </c>
      <c r="C88" s="412"/>
      <c r="D88" s="959" t="s">
        <v>101</v>
      </c>
      <c r="E88" s="237"/>
      <c r="M88" s="554" t="s">
        <v>102</v>
      </c>
      <c r="N88" s="613" t="s">
        <v>63</v>
      </c>
      <c r="O88" s="198">
        <f ca="1">J253</f>
        <v>15</v>
      </c>
      <c r="P88" s="198">
        <f ca="1">K253</f>
        <v>15</v>
      </c>
      <c r="Q88" s="198">
        <f ca="1">L253</f>
        <v>15</v>
      </c>
      <c r="R88" s="198">
        <f ca="1">M253</f>
        <v>15</v>
      </c>
      <c r="S88" s="199">
        <f ca="1">N253</f>
        <v>15</v>
      </c>
      <c r="T88" s="294"/>
    </row>
    <row r="89" spans="1:20" x14ac:dyDescent="0.25">
      <c r="A89" s="302"/>
      <c r="B89" s="614" t="s">
        <v>103</v>
      </c>
      <c r="C89" s="411"/>
      <c r="D89" s="843" t="s">
        <v>104</v>
      </c>
      <c r="E89" s="70"/>
      <c r="M89" s="930" t="s">
        <v>105</v>
      </c>
      <c r="N89" s="198">
        <f t="shared" ref="N89:S89" si="23">I117</f>
        <v>30</v>
      </c>
      <c r="O89" s="198">
        <f t="shared" si="23"/>
        <v>30</v>
      </c>
      <c r="P89" s="198">
        <f t="shared" si="23"/>
        <v>30</v>
      </c>
      <c r="Q89" s="198">
        <f t="shared" si="23"/>
        <v>30</v>
      </c>
      <c r="R89" s="198">
        <f t="shared" si="23"/>
        <v>30</v>
      </c>
      <c r="S89" s="198">
        <f t="shared" si="23"/>
        <v>30</v>
      </c>
      <c r="T89" s="294"/>
    </row>
    <row r="90" spans="1:20" x14ac:dyDescent="0.25">
      <c r="A90" s="302"/>
      <c r="B90" s="615" t="s">
        <v>106</v>
      </c>
      <c r="C90" s="411"/>
      <c r="D90" s="350" t="str">
        <f ca="1">"(2) Net Debt is net of $"&amp;FIXED(I182+I183,1,0)&amp;" million of cash."</f>
        <v>(2) Net Debt is net of $125,0 million of cash.</v>
      </c>
      <c r="E90" s="70"/>
      <c r="M90" s="930" t="s">
        <v>107</v>
      </c>
      <c r="N90" s="318">
        <f t="shared" ref="N90:S90" si="24">I117+I118</f>
        <v>30</v>
      </c>
      <c r="O90" s="318">
        <f t="shared" si="24"/>
        <v>30</v>
      </c>
      <c r="P90" s="318">
        <f t="shared" si="24"/>
        <v>30</v>
      </c>
      <c r="Q90" s="318">
        <f t="shared" si="24"/>
        <v>30</v>
      </c>
      <c r="R90" s="318">
        <f t="shared" si="24"/>
        <v>30</v>
      </c>
      <c r="S90" s="318">
        <f t="shared" si="24"/>
        <v>30</v>
      </c>
      <c r="T90" s="294"/>
    </row>
    <row r="91" spans="1:20" x14ac:dyDescent="0.25">
      <c r="A91" s="302"/>
      <c r="B91" s="185"/>
      <c r="C91" s="294"/>
      <c r="D91" s="864"/>
      <c r="E91" s="41"/>
      <c r="F91" s="41"/>
      <c r="G91" s="41"/>
      <c r="H91" s="41"/>
      <c r="I91" s="41"/>
      <c r="J91" s="41"/>
      <c r="K91" s="41"/>
      <c r="O91" s="1"/>
      <c r="S91" s="41"/>
      <c r="T91" s="294"/>
    </row>
    <row r="92" spans="1:20" ht="24.75" customHeight="1" x14ac:dyDescent="0.25">
      <c r="A92" s="302"/>
      <c r="B92" s="4"/>
      <c r="C92" s="299"/>
      <c r="D92" s="616" t="s">
        <v>108</v>
      </c>
      <c r="E92" s="170"/>
      <c r="F92" s="170"/>
      <c r="G92" s="170"/>
      <c r="H92" s="170"/>
      <c r="I92" s="170"/>
      <c r="J92" s="170"/>
      <c r="K92" s="170"/>
      <c r="L92" s="170"/>
      <c r="M92" s="170"/>
      <c r="N92" s="170"/>
      <c r="O92" s="170"/>
      <c r="P92" s="170"/>
      <c r="Q92" s="170"/>
      <c r="R92" s="170"/>
      <c r="S92" s="213"/>
      <c r="T92" s="294"/>
    </row>
    <row r="93" spans="1:20" x14ac:dyDescent="0.25">
      <c r="A93" s="302"/>
      <c r="C93" s="294"/>
      <c r="E93" s="155" t="str">
        <f>"Historical FYE "&amp;$H$1372</f>
        <v>Historical FYE December 31,</v>
      </c>
      <c r="F93" s="156"/>
      <c r="G93" s="156"/>
      <c r="H93" s="156"/>
      <c r="I93" s="159"/>
      <c r="J93" s="284" t="str">
        <f>IF($H$1374&lt;12,"   "&amp;FIXED($H$1374,0,TRUE)&amp;" Months Ending","")</f>
        <v/>
      </c>
      <c r="K93" s="39"/>
      <c r="L93" s="157" t="str">
        <f>"Projected Fiscal Years Ending "&amp;$H$1372</f>
        <v>Projected Fiscal Years Ending December 31,</v>
      </c>
      <c r="M93" s="157"/>
      <c r="N93" s="157"/>
      <c r="O93" s="158"/>
      <c r="P93" s="158"/>
      <c r="Q93" s="158"/>
      <c r="R93" s="158"/>
      <c r="S93" s="158"/>
      <c r="T93" s="294"/>
    </row>
    <row r="94" spans="1:20" x14ac:dyDescent="0.25">
      <c r="A94" s="302"/>
      <c r="C94" s="294"/>
      <c r="E94" s="72">
        <f>F94-1</f>
        <v>1993</v>
      </c>
      <c r="F94" s="74">
        <f>G94-1</f>
        <v>1994</v>
      </c>
      <c r="G94" s="74">
        <f>H94-1</f>
        <v>1995</v>
      </c>
      <c r="H94" s="74">
        <f>I94-1</f>
        <v>1996</v>
      </c>
      <c r="I94" s="75">
        <f>J94-1</f>
        <v>1997</v>
      </c>
      <c r="J94" s="153">
        <f>$H$1371</f>
        <v>1998</v>
      </c>
      <c r="K94" s="73">
        <f t="shared" ref="K94:S94" si="25">J94+1</f>
        <v>1999</v>
      </c>
      <c r="L94" s="73">
        <f t="shared" si="25"/>
        <v>2000</v>
      </c>
      <c r="M94" s="73">
        <f t="shared" si="25"/>
        <v>2001</v>
      </c>
      <c r="N94" s="73">
        <f t="shared" si="25"/>
        <v>2002</v>
      </c>
      <c r="O94" s="73">
        <f t="shared" si="25"/>
        <v>2003</v>
      </c>
      <c r="P94" s="73">
        <f t="shared" si="25"/>
        <v>2004</v>
      </c>
      <c r="Q94" s="73">
        <f t="shared" si="25"/>
        <v>2005</v>
      </c>
      <c r="R94" s="73">
        <f t="shared" si="25"/>
        <v>2006</v>
      </c>
      <c r="S94" s="73">
        <f t="shared" si="25"/>
        <v>2007</v>
      </c>
      <c r="T94" s="294"/>
    </row>
    <row r="95" spans="1:20" x14ac:dyDescent="0.25">
      <c r="A95" s="302"/>
      <c r="C95" s="294"/>
      <c r="E95" s="149"/>
      <c r="F95" s="149"/>
      <c r="G95" s="149"/>
      <c r="H95" s="149"/>
      <c r="I95" s="149"/>
      <c r="L95" s="149"/>
      <c r="M95" s="149"/>
      <c r="N95" s="149"/>
      <c r="O95" s="149"/>
      <c r="P95" s="149"/>
      <c r="Q95" s="149"/>
      <c r="R95" s="41"/>
      <c r="S95" s="41"/>
      <c r="T95" s="294"/>
    </row>
    <row r="96" spans="1:20" x14ac:dyDescent="0.25">
      <c r="A96" s="302"/>
      <c r="C96" s="294"/>
      <c r="E96" s="41"/>
      <c r="J96" s="617"/>
      <c r="K96" s="617"/>
      <c r="L96" s="617"/>
      <c r="M96" s="617"/>
      <c r="N96" s="617"/>
      <c r="O96" s="617"/>
      <c r="P96" s="617"/>
      <c r="Q96" s="617"/>
      <c r="R96" s="617"/>
      <c r="S96" s="617"/>
      <c r="T96" s="294"/>
    </row>
    <row r="97" spans="1:20" x14ac:dyDescent="0.25">
      <c r="A97" s="302"/>
      <c r="C97" s="294"/>
      <c r="D97" s="927" t="s">
        <v>109</v>
      </c>
      <c r="E97" s="529">
        <v>100</v>
      </c>
      <c r="F97" s="529">
        <v>100</v>
      </c>
      <c r="G97" s="529">
        <v>150</v>
      </c>
      <c r="H97" s="529">
        <v>200</v>
      </c>
      <c r="I97" s="529">
        <v>250</v>
      </c>
      <c r="J97" s="62">
        <f ca="1">I97*(12/stub*(1+J98))</f>
        <v>287.5</v>
      </c>
      <c r="K97" s="62">
        <f t="shared" ref="K97:S97" ca="1" si="26">J97*(1+K98)</f>
        <v>330.625</v>
      </c>
      <c r="L97" s="62">
        <f t="shared" ca="1" si="26"/>
        <v>380.21874999999994</v>
      </c>
      <c r="M97" s="62">
        <f t="shared" ca="1" si="26"/>
        <v>437.25156249999992</v>
      </c>
      <c r="N97" s="62">
        <f t="shared" ca="1" si="26"/>
        <v>502.83929687499989</v>
      </c>
      <c r="O97" s="62">
        <f t="shared" ca="1" si="26"/>
        <v>578.26519140624987</v>
      </c>
      <c r="P97" s="62">
        <f t="shared" ca="1" si="26"/>
        <v>665.00497011718733</v>
      </c>
      <c r="Q97" s="62">
        <f t="shared" ca="1" si="26"/>
        <v>764.75571563476535</v>
      </c>
      <c r="R97" s="62">
        <f t="shared" ca="1" si="26"/>
        <v>879.46907297998007</v>
      </c>
      <c r="S97" s="62">
        <f t="shared" ca="1" si="26"/>
        <v>1011.3894339269769</v>
      </c>
      <c r="T97" s="294"/>
    </row>
    <row r="98" spans="1:20" s="169" customFormat="1" x14ac:dyDescent="0.25">
      <c r="A98" s="892"/>
      <c r="C98" s="893"/>
      <c r="D98" s="928" t="s">
        <v>110</v>
      </c>
      <c r="E98" s="894" t="s">
        <v>111</v>
      </c>
      <c r="F98" s="895">
        <f>IF(E97=0,"NA",(F97-E97)/E97)</f>
        <v>0</v>
      </c>
      <c r="G98" s="895">
        <f>IF(F97=0,"NA",(G97-F97)/F97)</f>
        <v>0.5</v>
      </c>
      <c r="H98" s="895">
        <f>IF(G97=0,"NA",(H97-G97)/G97)</f>
        <v>0.33333333333333331</v>
      </c>
      <c r="I98" s="895">
        <f>IF(H97=0,"NA",(I97-H97)/H97)</f>
        <v>0.25</v>
      </c>
      <c r="J98" s="895">
        <f t="shared" ref="J98:S98" ca="1" si="27">J1462</f>
        <v>0.15</v>
      </c>
      <c r="K98" s="895">
        <f t="shared" ca="1" si="27"/>
        <v>0.15</v>
      </c>
      <c r="L98" s="895">
        <f t="shared" ca="1" si="27"/>
        <v>0.15</v>
      </c>
      <c r="M98" s="895">
        <f t="shared" ca="1" si="27"/>
        <v>0.15</v>
      </c>
      <c r="N98" s="895">
        <f t="shared" ca="1" si="27"/>
        <v>0.15</v>
      </c>
      <c r="O98" s="895">
        <f t="shared" ca="1" si="27"/>
        <v>0.15</v>
      </c>
      <c r="P98" s="895">
        <f t="shared" ca="1" si="27"/>
        <v>0.15</v>
      </c>
      <c r="Q98" s="895">
        <f t="shared" ca="1" si="27"/>
        <v>0.15</v>
      </c>
      <c r="R98" s="895">
        <f t="shared" ca="1" si="27"/>
        <v>0.15</v>
      </c>
      <c r="S98" s="895">
        <f t="shared" ca="1" si="27"/>
        <v>0.15</v>
      </c>
      <c r="T98" s="893"/>
    </row>
    <row r="99" spans="1:20" x14ac:dyDescent="0.25">
      <c r="A99" s="302"/>
      <c r="C99" s="294"/>
      <c r="D99" s="554"/>
      <c r="E99" s="151"/>
      <c r="F99" s="151"/>
      <c r="G99" s="151"/>
      <c r="H99" s="151"/>
      <c r="I99" s="151"/>
      <c r="J99" s="151"/>
      <c r="K99" s="151"/>
      <c r="L99" s="151"/>
      <c r="M99" s="151"/>
      <c r="N99" s="151"/>
      <c r="O99" s="151"/>
      <c r="P99" s="151"/>
      <c r="Q99" s="151"/>
      <c r="R99" s="151"/>
      <c r="S99" s="151"/>
      <c r="T99" s="294"/>
    </row>
    <row r="100" spans="1:20" x14ac:dyDescent="0.25">
      <c r="A100" s="302"/>
      <c r="C100" s="294"/>
      <c r="D100" s="927" t="s">
        <v>112</v>
      </c>
      <c r="E100" s="530">
        <v>50</v>
      </c>
      <c r="F100" s="530">
        <v>50</v>
      </c>
      <c r="G100" s="530">
        <v>75</v>
      </c>
      <c r="H100" s="530">
        <v>100</v>
      </c>
      <c r="I100" s="530">
        <v>115</v>
      </c>
      <c r="J100" s="154">
        <f t="shared" ref="J100:S100" ca="1" si="28">J101*J$97</f>
        <v>132.25</v>
      </c>
      <c r="K100" s="154">
        <f t="shared" ca="1" si="28"/>
        <v>152.08750000000001</v>
      </c>
      <c r="L100" s="154">
        <f t="shared" ca="1" si="28"/>
        <v>174.90062499999999</v>
      </c>
      <c r="M100" s="154">
        <f t="shared" ca="1" si="28"/>
        <v>201.13571874999997</v>
      </c>
      <c r="N100" s="154">
        <f t="shared" ca="1" si="28"/>
        <v>231.30607656249995</v>
      </c>
      <c r="O100" s="154">
        <f t="shared" ca="1" si="28"/>
        <v>266.00198804687494</v>
      </c>
      <c r="P100" s="154">
        <f t="shared" ca="1" si="28"/>
        <v>305.9022862539062</v>
      </c>
      <c r="Q100" s="154">
        <f t="shared" ca="1" si="28"/>
        <v>351.7876291919921</v>
      </c>
      <c r="R100" s="154">
        <f t="shared" ca="1" si="28"/>
        <v>404.55577357079085</v>
      </c>
      <c r="S100" s="154">
        <f t="shared" ca="1" si="28"/>
        <v>465.23913960640942</v>
      </c>
      <c r="T100" s="294"/>
    </row>
    <row r="101" spans="1:20" s="169" customFormat="1" x14ac:dyDescent="0.25">
      <c r="A101" s="892"/>
      <c r="C101" s="893"/>
      <c r="D101" s="928" t="s">
        <v>113</v>
      </c>
      <c r="E101" s="895">
        <f>IF(E97=0,"NA",E100/E97)</f>
        <v>0.5</v>
      </c>
      <c r="F101" s="895">
        <f>IF(F97=0,"NA",F100/F97)</f>
        <v>0.5</v>
      </c>
      <c r="G101" s="895">
        <f>IF(G97=0,"NA",G100/G97)</f>
        <v>0.5</v>
      </c>
      <c r="H101" s="895">
        <f>IF(H97=0,"NA",H100/H97)</f>
        <v>0.5</v>
      </c>
      <c r="I101" s="895">
        <f>IF(I97=0,"NA",I100/I97)</f>
        <v>0.46</v>
      </c>
      <c r="J101" s="895">
        <f t="shared" ref="J101:S101" ca="1" si="29">J1475</f>
        <v>0.46</v>
      </c>
      <c r="K101" s="895">
        <f t="shared" ca="1" si="29"/>
        <v>0.46</v>
      </c>
      <c r="L101" s="895">
        <f t="shared" ca="1" si="29"/>
        <v>0.46</v>
      </c>
      <c r="M101" s="895">
        <f t="shared" ca="1" si="29"/>
        <v>0.46</v>
      </c>
      <c r="N101" s="895">
        <f t="shared" ca="1" si="29"/>
        <v>0.46</v>
      </c>
      <c r="O101" s="895">
        <f t="shared" ca="1" si="29"/>
        <v>0.46</v>
      </c>
      <c r="P101" s="895">
        <f t="shared" ca="1" si="29"/>
        <v>0.46</v>
      </c>
      <c r="Q101" s="895">
        <f t="shared" ca="1" si="29"/>
        <v>0.46</v>
      </c>
      <c r="R101" s="895">
        <f t="shared" ca="1" si="29"/>
        <v>0.46</v>
      </c>
      <c r="S101" s="895">
        <f t="shared" ca="1" si="29"/>
        <v>0.46</v>
      </c>
      <c r="T101" s="893"/>
    </row>
    <row r="102" spans="1:20" ht="8.1" customHeight="1" x14ac:dyDescent="0.25">
      <c r="A102" s="302"/>
      <c r="C102" s="294"/>
      <c r="D102" s="554"/>
      <c r="E102" s="542" t="s">
        <v>66</v>
      </c>
      <c r="F102" s="542" t="s">
        <v>66</v>
      </c>
      <c r="G102" s="542" t="s">
        <v>66</v>
      </c>
      <c r="H102" s="542" t="s">
        <v>66</v>
      </c>
      <c r="I102" s="542" t="s">
        <v>66</v>
      </c>
      <c r="J102" s="542" t="s">
        <v>66</v>
      </c>
      <c r="K102" s="542" t="s">
        <v>66</v>
      </c>
      <c r="L102" s="542" t="s">
        <v>66</v>
      </c>
      <c r="M102" s="542" t="s">
        <v>66</v>
      </c>
      <c r="N102" s="542" t="s">
        <v>66</v>
      </c>
      <c r="O102" s="542" t="s">
        <v>66</v>
      </c>
      <c r="P102" s="542" t="s">
        <v>66</v>
      </c>
      <c r="Q102" s="542" t="s">
        <v>66</v>
      </c>
      <c r="R102" s="542" t="s">
        <v>66</v>
      </c>
      <c r="S102" s="542" t="s">
        <v>66</v>
      </c>
      <c r="T102" s="294"/>
    </row>
    <row r="103" spans="1:20" x14ac:dyDescent="0.25">
      <c r="A103" s="302"/>
      <c r="C103" s="294"/>
      <c r="D103" s="552" t="s">
        <v>114</v>
      </c>
      <c r="E103" s="152">
        <f t="shared" ref="E103:S103" si="30">E97-E100</f>
        <v>50</v>
      </c>
      <c r="F103" s="152">
        <f t="shared" si="30"/>
        <v>50</v>
      </c>
      <c r="G103" s="152">
        <f t="shared" si="30"/>
        <v>75</v>
      </c>
      <c r="H103" s="152">
        <f t="shared" si="30"/>
        <v>100</v>
      </c>
      <c r="I103" s="152">
        <f t="shared" si="30"/>
        <v>135</v>
      </c>
      <c r="J103" s="152">
        <f t="shared" ca="1" si="30"/>
        <v>155.25</v>
      </c>
      <c r="K103" s="152">
        <f t="shared" ca="1" si="30"/>
        <v>178.53749999999999</v>
      </c>
      <c r="L103" s="152">
        <f t="shared" ca="1" si="30"/>
        <v>205.31812499999995</v>
      </c>
      <c r="M103" s="152">
        <f t="shared" ca="1" si="30"/>
        <v>236.11584374999995</v>
      </c>
      <c r="N103" s="152">
        <f t="shared" ca="1" si="30"/>
        <v>271.53322031249991</v>
      </c>
      <c r="O103" s="152">
        <f t="shared" ca="1" si="30"/>
        <v>312.26320335937493</v>
      </c>
      <c r="P103" s="152">
        <f t="shared" ca="1" si="30"/>
        <v>359.10268386328113</v>
      </c>
      <c r="Q103" s="152">
        <f t="shared" ca="1" si="30"/>
        <v>412.96808644277326</v>
      </c>
      <c r="R103" s="152">
        <f t="shared" ca="1" si="30"/>
        <v>474.91329940918922</v>
      </c>
      <c r="S103" s="152">
        <f t="shared" ca="1" si="30"/>
        <v>546.15029432056758</v>
      </c>
      <c r="T103" s="294"/>
    </row>
    <row r="104" spans="1:20" s="169" customFormat="1" x14ac:dyDescent="0.25">
      <c r="A104" s="892"/>
      <c r="C104" s="893"/>
      <c r="D104" s="638" t="s">
        <v>115</v>
      </c>
      <c r="E104" s="895">
        <f t="shared" ref="E104:S104" si="31">IF(E97=0,"NA",E103/E97)</f>
        <v>0.5</v>
      </c>
      <c r="F104" s="895">
        <f t="shared" si="31"/>
        <v>0.5</v>
      </c>
      <c r="G104" s="895">
        <f t="shared" si="31"/>
        <v>0.5</v>
      </c>
      <c r="H104" s="895">
        <f t="shared" si="31"/>
        <v>0.5</v>
      </c>
      <c r="I104" s="895">
        <f t="shared" si="31"/>
        <v>0.54</v>
      </c>
      <c r="J104" s="895">
        <f t="shared" ca="1" si="31"/>
        <v>0.54</v>
      </c>
      <c r="K104" s="895">
        <f t="shared" ca="1" si="31"/>
        <v>0.54</v>
      </c>
      <c r="L104" s="895">
        <f t="shared" ca="1" si="31"/>
        <v>0.53999999999999992</v>
      </c>
      <c r="M104" s="895">
        <f t="shared" ca="1" si="31"/>
        <v>0.54</v>
      </c>
      <c r="N104" s="895">
        <f t="shared" ca="1" si="31"/>
        <v>0.53999999999999992</v>
      </c>
      <c r="O104" s="895">
        <f t="shared" ca="1" si="31"/>
        <v>0.54</v>
      </c>
      <c r="P104" s="895">
        <f t="shared" ca="1" si="31"/>
        <v>0.53999999999999992</v>
      </c>
      <c r="Q104" s="895">
        <f t="shared" ca="1" si="31"/>
        <v>0.53999999999999992</v>
      </c>
      <c r="R104" s="895">
        <f t="shared" ca="1" si="31"/>
        <v>0.54</v>
      </c>
      <c r="S104" s="895">
        <f t="shared" ca="1" si="31"/>
        <v>0.54</v>
      </c>
      <c r="T104" s="893"/>
    </row>
    <row r="105" spans="1:20" x14ac:dyDescent="0.25">
      <c r="A105" s="302"/>
      <c r="C105" s="294"/>
      <c r="D105" s="55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294"/>
    </row>
    <row r="106" spans="1:20" x14ac:dyDescent="0.25">
      <c r="A106" s="302"/>
      <c r="C106" s="294"/>
      <c r="D106" s="927" t="s">
        <v>116</v>
      </c>
      <c r="E106" s="530">
        <v>12</v>
      </c>
      <c r="F106" s="530">
        <v>12</v>
      </c>
      <c r="G106" s="530">
        <v>14</v>
      </c>
      <c r="H106" s="530">
        <v>16</v>
      </c>
      <c r="I106" s="530">
        <v>18</v>
      </c>
      <c r="J106" s="154">
        <f t="shared" ref="J106:S106" ca="1" si="32">J97*J107</f>
        <v>20.7</v>
      </c>
      <c r="K106" s="154">
        <f t="shared" ca="1" si="32"/>
        <v>23.805</v>
      </c>
      <c r="L106" s="154">
        <f t="shared" ca="1" si="32"/>
        <v>27.375749999999993</v>
      </c>
      <c r="M106" s="154">
        <f t="shared" ca="1" si="32"/>
        <v>31.482112499999992</v>
      </c>
      <c r="N106" s="154">
        <f t="shared" ca="1" si="32"/>
        <v>36.204429374999989</v>
      </c>
      <c r="O106" s="154">
        <f t="shared" ca="1" si="32"/>
        <v>41.635093781249985</v>
      </c>
      <c r="P106" s="154">
        <f t="shared" ca="1" si="32"/>
        <v>47.880357848437484</v>
      </c>
      <c r="Q106" s="154">
        <f t="shared" ca="1" si="32"/>
        <v>55.062411525703098</v>
      </c>
      <c r="R106" s="154">
        <f t="shared" ca="1" si="32"/>
        <v>63.321773254558558</v>
      </c>
      <c r="S106" s="154">
        <f t="shared" ca="1" si="32"/>
        <v>72.82003924274234</v>
      </c>
      <c r="T106" s="294"/>
    </row>
    <row r="107" spans="1:20" s="169" customFormat="1" x14ac:dyDescent="0.25">
      <c r="A107" s="892"/>
      <c r="C107" s="893"/>
      <c r="D107" s="928" t="s">
        <v>113</v>
      </c>
      <c r="E107" s="895">
        <f>IF(E97=0,"NA",E106/E97)</f>
        <v>0.12</v>
      </c>
      <c r="F107" s="895">
        <f>IF(F97=0,"NA",F106/F97)</f>
        <v>0.12</v>
      </c>
      <c r="G107" s="895">
        <f>IF(G97=0,"NA",G106/G97)</f>
        <v>9.3333333333333338E-2</v>
      </c>
      <c r="H107" s="895">
        <f>IF(H97=0,"NA",H106/H97)</f>
        <v>0.08</v>
      </c>
      <c r="I107" s="895">
        <f>IF(I97=0,"NA",I106/I97)</f>
        <v>7.1999999999999995E-2</v>
      </c>
      <c r="J107" s="895">
        <f t="shared" ref="J107:S107" ca="1" si="33">J1488</f>
        <v>7.1999999999999995E-2</v>
      </c>
      <c r="K107" s="895">
        <f t="shared" ca="1" si="33"/>
        <v>7.1999999999999995E-2</v>
      </c>
      <c r="L107" s="895">
        <f t="shared" ca="1" si="33"/>
        <v>7.1999999999999995E-2</v>
      </c>
      <c r="M107" s="895">
        <f t="shared" ca="1" si="33"/>
        <v>7.1999999999999995E-2</v>
      </c>
      <c r="N107" s="895">
        <f t="shared" ca="1" si="33"/>
        <v>7.1999999999999995E-2</v>
      </c>
      <c r="O107" s="895">
        <f t="shared" ca="1" si="33"/>
        <v>7.1999999999999995E-2</v>
      </c>
      <c r="P107" s="895">
        <f t="shared" ca="1" si="33"/>
        <v>7.1999999999999995E-2</v>
      </c>
      <c r="Q107" s="895">
        <f t="shared" ca="1" si="33"/>
        <v>7.1999999999999995E-2</v>
      </c>
      <c r="R107" s="895">
        <f t="shared" ca="1" si="33"/>
        <v>7.1999999999999995E-2</v>
      </c>
      <c r="S107" s="895">
        <f t="shared" ca="1" si="33"/>
        <v>7.1999999999999995E-2</v>
      </c>
      <c r="T107" s="893"/>
    </row>
    <row r="108" spans="1:20" x14ac:dyDescent="0.25">
      <c r="A108" s="302"/>
      <c r="C108" s="294"/>
      <c r="D108" s="554"/>
      <c r="E108" s="542" t="s">
        <v>66</v>
      </c>
      <c r="F108" s="542" t="s">
        <v>66</v>
      </c>
      <c r="G108" s="542" t="s">
        <v>66</v>
      </c>
      <c r="H108" s="542" t="s">
        <v>66</v>
      </c>
      <c r="I108" s="542" t="s">
        <v>66</v>
      </c>
      <c r="J108" s="542" t="s">
        <v>66</v>
      </c>
      <c r="K108" s="542" t="s">
        <v>66</v>
      </c>
      <c r="L108" s="542" t="s">
        <v>66</v>
      </c>
      <c r="M108" s="542" t="s">
        <v>66</v>
      </c>
      <c r="N108" s="542" t="s">
        <v>66</v>
      </c>
      <c r="O108" s="542" t="s">
        <v>66</v>
      </c>
      <c r="P108" s="542" t="s">
        <v>66</v>
      </c>
      <c r="Q108" s="542" t="s">
        <v>66</v>
      </c>
      <c r="R108" s="542" t="s">
        <v>66</v>
      </c>
      <c r="S108" s="542" t="s">
        <v>66</v>
      </c>
      <c r="T108" s="294"/>
    </row>
    <row r="109" spans="1:20" x14ac:dyDescent="0.25">
      <c r="A109" s="302"/>
      <c r="C109" s="294"/>
      <c r="D109" s="927" t="s">
        <v>117</v>
      </c>
      <c r="E109" s="152">
        <f t="shared" ref="E109:S109" si="34">E103-E106</f>
        <v>38</v>
      </c>
      <c r="F109" s="152">
        <f t="shared" si="34"/>
        <v>38</v>
      </c>
      <c r="G109" s="152">
        <f t="shared" si="34"/>
        <v>61</v>
      </c>
      <c r="H109" s="152">
        <f t="shared" si="34"/>
        <v>84</v>
      </c>
      <c r="I109" s="152">
        <f t="shared" si="34"/>
        <v>117</v>
      </c>
      <c r="J109" s="152">
        <f t="shared" ca="1" si="34"/>
        <v>134.55000000000001</v>
      </c>
      <c r="K109" s="152">
        <f t="shared" ca="1" si="34"/>
        <v>154.73249999999999</v>
      </c>
      <c r="L109" s="152">
        <f t="shared" ca="1" si="34"/>
        <v>177.94237499999997</v>
      </c>
      <c r="M109" s="152">
        <f t="shared" ca="1" si="34"/>
        <v>204.63373124999995</v>
      </c>
      <c r="N109" s="152">
        <f t="shared" ca="1" si="34"/>
        <v>235.32879093749992</v>
      </c>
      <c r="O109" s="152">
        <f t="shared" ca="1" si="34"/>
        <v>270.62810957812496</v>
      </c>
      <c r="P109" s="152">
        <f t="shared" ca="1" si="34"/>
        <v>311.22232601484365</v>
      </c>
      <c r="Q109" s="152">
        <f t="shared" ca="1" si="34"/>
        <v>357.90567491707014</v>
      </c>
      <c r="R109" s="152">
        <f t="shared" ca="1" si="34"/>
        <v>411.59152615463069</v>
      </c>
      <c r="S109" s="152">
        <f t="shared" ca="1" si="34"/>
        <v>473.33025507782526</v>
      </c>
      <c r="T109" s="294"/>
    </row>
    <row r="110" spans="1:20" s="169" customFormat="1" x14ac:dyDescent="0.25">
      <c r="A110" s="892"/>
      <c r="C110" s="893"/>
      <c r="D110" s="928" t="s">
        <v>113</v>
      </c>
      <c r="E110" s="895">
        <f t="shared" ref="E110:S110" si="35">IF(E97=0,"NA",E109/E97)</f>
        <v>0.38</v>
      </c>
      <c r="F110" s="895">
        <f t="shared" si="35"/>
        <v>0.38</v>
      </c>
      <c r="G110" s="895">
        <f t="shared" si="35"/>
        <v>0.40666666666666668</v>
      </c>
      <c r="H110" s="895">
        <f t="shared" si="35"/>
        <v>0.42</v>
      </c>
      <c r="I110" s="895">
        <f t="shared" si="35"/>
        <v>0.46800000000000003</v>
      </c>
      <c r="J110" s="895">
        <f t="shared" ca="1" si="35"/>
        <v>0.46800000000000003</v>
      </c>
      <c r="K110" s="895">
        <f t="shared" ca="1" si="35"/>
        <v>0.46799999999999997</v>
      </c>
      <c r="L110" s="895">
        <f t="shared" ca="1" si="35"/>
        <v>0.46799999999999997</v>
      </c>
      <c r="M110" s="895">
        <f t="shared" ca="1" si="35"/>
        <v>0.46799999999999997</v>
      </c>
      <c r="N110" s="895">
        <f t="shared" ca="1" si="35"/>
        <v>0.46799999999999992</v>
      </c>
      <c r="O110" s="895">
        <f t="shared" ca="1" si="35"/>
        <v>0.46800000000000003</v>
      </c>
      <c r="P110" s="895">
        <f t="shared" ca="1" si="35"/>
        <v>0.46799999999999997</v>
      </c>
      <c r="Q110" s="895">
        <f t="shared" ca="1" si="35"/>
        <v>0.46799999999999997</v>
      </c>
      <c r="R110" s="895">
        <f t="shared" ca="1" si="35"/>
        <v>0.46800000000000003</v>
      </c>
      <c r="S110" s="895">
        <f t="shared" ca="1" si="35"/>
        <v>0.46800000000000003</v>
      </c>
      <c r="T110" s="893"/>
    </row>
    <row r="111" spans="1:20" s="169" customFormat="1" x14ac:dyDescent="0.25">
      <c r="A111" s="892"/>
      <c r="C111" s="893"/>
      <c r="D111" s="928" t="s">
        <v>110</v>
      </c>
      <c r="E111" s="894" t="s">
        <v>111</v>
      </c>
      <c r="F111" s="895">
        <f>IF(ISERROR(F109/E109-1),"--",F109/E109-1)</f>
        <v>0</v>
      </c>
      <c r="G111" s="895">
        <f>IF(ISERROR(G109/F109-1),"--",G109/F109-1)</f>
        <v>0.60526315789473695</v>
      </c>
      <c r="H111" s="895">
        <f>IF(ISERROR(H109/G109-1),"--",H109/G109-1)</f>
        <v>0.37704918032786883</v>
      </c>
      <c r="I111" s="895">
        <f t="shared" ref="I111:S111" si="36">IF(ISERROR(I109/H109-1),"--",I109/H109-1)</f>
        <v>0.39285714285714279</v>
      </c>
      <c r="J111" s="895">
        <f t="shared" ca="1" si="36"/>
        <v>0.15000000000000013</v>
      </c>
      <c r="K111" s="895">
        <f t="shared" ca="1" si="36"/>
        <v>0.14999999999999991</v>
      </c>
      <c r="L111" s="895">
        <f t="shared" ca="1" si="36"/>
        <v>0.14999999999999991</v>
      </c>
      <c r="M111" s="895">
        <f t="shared" ca="1" si="36"/>
        <v>0.14999999999999991</v>
      </c>
      <c r="N111" s="895">
        <f t="shared" ca="1" si="36"/>
        <v>0.14999999999999991</v>
      </c>
      <c r="O111" s="895">
        <f t="shared" ca="1" si="36"/>
        <v>0.15000000000000036</v>
      </c>
      <c r="P111" s="895">
        <f t="shared" ca="1" si="36"/>
        <v>0.14999999999999969</v>
      </c>
      <c r="Q111" s="895">
        <f t="shared" ca="1" si="36"/>
        <v>0.14999999999999991</v>
      </c>
      <c r="R111" s="895">
        <f t="shared" ca="1" si="36"/>
        <v>0.15000000000000013</v>
      </c>
      <c r="S111" s="895">
        <f t="shared" ca="1" si="36"/>
        <v>0.14999999999999991</v>
      </c>
      <c r="T111" s="893"/>
    </row>
    <row r="112" spans="1:20" s="169" customFormat="1" x14ac:dyDescent="0.25">
      <c r="A112" s="892"/>
      <c r="C112" s="893"/>
      <c r="D112" s="928"/>
      <c r="E112" s="618" t="s">
        <v>118</v>
      </c>
      <c r="F112" s="618" t="s">
        <v>118</v>
      </c>
      <c r="G112" s="618" t="s">
        <v>118</v>
      </c>
      <c r="H112" s="618" t="s">
        <v>118</v>
      </c>
      <c r="I112" s="618" t="s">
        <v>118</v>
      </c>
      <c r="J112" s="618" t="s">
        <v>118</v>
      </c>
      <c r="K112" s="618" t="s">
        <v>118</v>
      </c>
      <c r="L112" s="618" t="s">
        <v>118</v>
      </c>
      <c r="M112" s="618" t="s">
        <v>118</v>
      </c>
      <c r="N112" s="618" t="s">
        <v>118</v>
      </c>
      <c r="O112" s="618" t="s">
        <v>118</v>
      </c>
      <c r="P112" s="618" t="s">
        <v>118</v>
      </c>
      <c r="Q112" s="618" t="s">
        <v>118</v>
      </c>
      <c r="R112" s="618" t="s">
        <v>118</v>
      </c>
      <c r="S112" s="618" t="s">
        <v>118</v>
      </c>
      <c r="T112" s="893"/>
    </row>
    <row r="113" spans="1:20" x14ac:dyDescent="0.25">
      <c r="A113" s="302"/>
      <c r="C113" s="294"/>
      <c r="D113" s="554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P113" s="41"/>
      <c r="Q113" s="41"/>
      <c r="R113" s="41"/>
      <c r="S113" s="41"/>
      <c r="T113" s="294"/>
    </row>
    <row r="114" spans="1:20" x14ac:dyDescent="0.25">
      <c r="A114" s="302"/>
      <c r="C114" s="294"/>
      <c r="D114" s="927" t="s">
        <v>119</v>
      </c>
      <c r="E114" s="706">
        <v>25</v>
      </c>
      <c r="F114" s="706">
        <v>25</v>
      </c>
      <c r="G114" s="706">
        <v>25</v>
      </c>
      <c r="H114" s="706">
        <v>25</v>
      </c>
      <c r="I114" s="706">
        <v>25</v>
      </c>
      <c r="J114" s="62">
        <f>J783*(H1374/12)</f>
        <v>25</v>
      </c>
      <c r="K114" s="62">
        <f t="shared" ref="K114:S114" si="37">K783</f>
        <v>25</v>
      </c>
      <c r="L114" s="62">
        <f t="shared" si="37"/>
        <v>25</v>
      </c>
      <c r="M114" s="62">
        <f t="shared" si="37"/>
        <v>25</v>
      </c>
      <c r="N114" s="62">
        <f t="shared" si="37"/>
        <v>25</v>
      </c>
      <c r="O114" s="62">
        <f t="shared" si="37"/>
        <v>25</v>
      </c>
      <c r="P114" s="62">
        <f t="shared" si="37"/>
        <v>25</v>
      </c>
      <c r="Q114" s="62">
        <f t="shared" si="37"/>
        <v>25</v>
      </c>
      <c r="R114" s="62">
        <f t="shared" si="37"/>
        <v>25</v>
      </c>
      <c r="S114" s="62">
        <f t="shared" si="37"/>
        <v>25</v>
      </c>
      <c r="T114" s="294"/>
    </row>
    <row r="115" spans="1:20" x14ac:dyDescent="0.25">
      <c r="A115" s="302"/>
      <c r="C115" s="294"/>
      <c r="D115" s="552" t="s">
        <v>120</v>
      </c>
      <c r="E115" s="635" t="s">
        <v>111</v>
      </c>
      <c r="F115" s="635" t="s">
        <v>111</v>
      </c>
      <c r="G115" s="635" t="s">
        <v>111</v>
      </c>
      <c r="H115" s="635" t="s">
        <v>111</v>
      </c>
      <c r="I115" s="635" t="s">
        <v>111</v>
      </c>
      <c r="J115" s="60">
        <f>IF($G$1392=1,J114,J908)*(H1374/12)</f>
        <v>25</v>
      </c>
      <c r="K115" s="60">
        <f t="shared" ref="K115:S115" si="38">IF($G$1392=1,K114,K908)</f>
        <v>25</v>
      </c>
      <c r="L115" s="60">
        <f t="shared" si="38"/>
        <v>25</v>
      </c>
      <c r="M115" s="60">
        <f t="shared" si="38"/>
        <v>25</v>
      </c>
      <c r="N115" s="60">
        <f t="shared" si="38"/>
        <v>25</v>
      </c>
      <c r="O115" s="60">
        <f t="shared" si="38"/>
        <v>25</v>
      </c>
      <c r="P115" s="60">
        <f t="shared" si="38"/>
        <v>25</v>
      </c>
      <c r="Q115" s="60">
        <f t="shared" si="38"/>
        <v>25</v>
      </c>
      <c r="R115" s="60">
        <f t="shared" si="38"/>
        <v>25</v>
      </c>
      <c r="S115" s="60">
        <f t="shared" si="38"/>
        <v>25</v>
      </c>
      <c r="T115" s="294"/>
    </row>
    <row r="116" spans="1:20" s="19" customFormat="1" x14ac:dyDescent="0.25">
      <c r="A116" s="303"/>
      <c r="C116" s="297"/>
      <c r="D116" s="555"/>
      <c r="E116" s="201"/>
      <c r="F116" s="229"/>
      <c r="G116" s="229"/>
      <c r="H116" s="229"/>
      <c r="I116" s="229"/>
      <c r="J116" s="229"/>
      <c r="K116" s="202"/>
      <c r="L116" s="202"/>
      <c r="M116" s="202"/>
      <c r="N116" s="202"/>
      <c r="O116" s="202"/>
      <c r="P116" s="202"/>
      <c r="Q116" s="202"/>
      <c r="R116" s="201"/>
      <c r="S116" s="201"/>
      <c r="T116" s="294"/>
    </row>
    <row r="117" spans="1:20" x14ac:dyDescent="0.25">
      <c r="A117" s="302"/>
      <c r="C117" s="294"/>
      <c r="D117" s="927" t="s">
        <v>105</v>
      </c>
      <c r="E117" s="529">
        <v>30</v>
      </c>
      <c r="F117" s="529">
        <v>30</v>
      </c>
      <c r="G117" s="529">
        <v>30</v>
      </c>
      <c r="H117" s="529">
        <v>30</v>
      </c>
      <c r="I117" s="529">
        <v>30</v>
      </c>
      <c r="J117" s="373">
        <f t="shared" ref="J117:S117" si="39">J1536</f>
        <v>30</v>
      </c>
      <c r="K117" s="373">
        <f t="shared" si="39"/>
        <v>30</v>
      </c>
      <c r="L117" s="373">
        <f t="shared" si="39"/>
        <v>30</v>
      </c>
      <c r="M117" s="373">
        <f t="shared" si="39"/>
        <v>30</v>
      </c>
      <c r="N117" s="373">
        <f t="shared" si="39"/>
        <v>30</v>
      </c>
      <c r="O117" s="373">
        <f t="shared" si="39"/>
        <v>30</v>
      </c>
      <c r="P117" s="373">
        <f t="shared" si="39"/>
        <v>30</v>
      </c>
      <c r="Q117" s="373">
        <f t="shared" si="39"/>
        <v>30</v>
      </c>
      <c r="R117" s="373">
        <f t="shared" si="39"/>
        <v>30</v>
      </c>
      <c r="S117" s="373">
        <f t="shared" si="39"/>
        <v>30</v>
      </c>
      <c r="T117" s="294"/>
    </row>
    <row r="118" spans="1:20" x14ac:dyDescent="0.25">
      <c r="A118" s="302"/>
      <c r="C118" s="294"/>
      <c r="D118" s="927" t="s">
        <v>121</v>
      </c>
      <c r="E118" s="551">
        <v>0</v>
      </c>
      <c r="F118" s="551">
        <v>0</v>
      </c>
      <c r="G118" s="551">
        <v>0</v>
      </c>
      <c r="H118" s="551">
        <v>0</v>
      </c>
      <c r="I118" s="551">
        <v>0</v>
      </c>
      <c r="J118" s="168">
        <f t="shared" ref="J118:S118" si="40">J1556</f>
        <v>0</v>
      </c>
      <c r="K118" s="168">
        <f t="shared" si="40"/>
        <v>0</v>
      </c>
      <c r="L118" s="168">
        <f t="shared" si="40"/>
        <v>0</v>
      </c>
      <c r="M118" s="168">
        <f t="shared" si="40"/>
        <v>0</v>
      </c>
      <c r="N118" s="168">
        <f t="shared" si="40"/>
        <v>0</v>
      </c>
      <c r="O118" s="168">
        <f t="shared" si="40"/>
        <v>0</v>
      </c>
      <c r="P118" s="168">
        <f t="shared" si="40"/>
        <v>0</v>
      </c>
      <c r="Q118" s="168">
        <f t="shared" si="40"/>
        <v>0</v>
      </c>
      <c r="R118" s="168">
        <f t="shared" si="40"/>
        <v>0</v>
      </c>
      <c r="S118" s="168">
        <f t="shared" si="40"/>
        <v>0</v>
      </c>
      <c r="T118" s="294"/>
    </row>
    <row r="119" spans="1:20" x14ac:dyDescent="0.25">
      <c r="A119" s="302"/>
      <c r="C119" s="294"/>
      <c r="D119" s="554"/>
      <c r="G119" s="41"/>
      <c r="H119" s="41"/>
      <c r="I119" s="41"/>
      <c r="J119" s="41"/>
      <c r="K119" s="41"/>
      <c r="L119" s="41"/>
      <c r="M119" s="41"/>
      <c r="N119" s="41"/>
      <c r="P119" s="41"/>
      <c r="Q119" s="41"/>
      <c r="R119" s="41"/>
      <c r="S119" s="41"/>
      <c r="T119" s="294"/>
    </row>
    <row r="120" spans="1:20" x14ac:dyDescent="0.25">
      <c r="A120" s="302"/>
      <c r="C120" s="294"/>
      <c r="D120" s="554"/>
      <c r="G120" s="41"/>
      <c r="H120" s="41"/>
      <c r="I120" s="41"/>
      <c r="J120" s="41"/>
      <c r="K120" s="41"/>
      <c r="L120" s="41"/>
      <c r="M120" s="41"/>
      <c r="N120" s="41"/>
      <c r="P120" s="41"/>
      <c r="Q120" s="41"/>
      <c r="R120" s="41"/>
      <c r="S120" s="41"/>
      <c r="T120" s="294"/>
    </row>
    <row r="121" spans="1:20" x14ac:dyDescent="0.25">
      <c r="A121" s="302"/>
      <c r="C121" s="294"/>
      <c r="D121" s="4"/>
      <c r="F121" s="2"/>
      <c r="G121" s="200"/>
      <c r="H121" s="200"/>
      <c r="I121" s="200"/>
      <c r="J121" s="60"/>
      <c r="K121" s="60"/>
      <c r="L121" s="60"/>
      <c r="M121" s="60"/>
      <c r="N121" s="60"/>
      <c r="O121" s="60"/>
      <c r="P121" s="60"/>
      <c r="Q121" s="60"/>
      <c r="R121" s="60"/>
      <c r="S121" s="60"/>
      <c r="T121" s="294"/>
    </row>
    <row r="122" spans="1:20" x14ac:dyDescent="0.25">
      <c r="A122" s="302"/>
      <c r="C122" s="294"/>
      <c r="D122" s="929" t="s">
        <v>122</v>
      </c>
      <c r="G122" s="41"/>
      <c r="H122" s="41"/>
      <c r="J122" s="289" t="str">
        <f>IF(H1374&lt;12,"    Stub Period","")</f>
        <v/>
      </c>
      <c r="K122" s="41"/>
      <c r="L122" s="41"/>
      <c r="M122" s="41"/>
      <c r="N122" s="41"/>
      <c r="P122" s="41"/>
      <c r="Q122" s="41"/>
      <c r="R122" s="41"/>
      <c r="S122" s="41"/>
      <c r="T122" s="294"/>
    </row>
    <row r="123" spans="1:20" s="169" customFormat="1" x14ac:dyDescent="0.25">
      <c r="A123" s="892"/>
      <c r="C123" s="893"/>
      <c r="D123" s="3" t="str">
        <f>D184</f>
        <v xml:space="preserve">  Accounts Receivable..............................................................</v>
      </c>
      <c r="E123" s="1"/>
      <c r="F123" s="552" t="s">
        <v>123</v>
      </c>
      <c r="G123" s="894" t="s">
        <v>111</v>
      </c>
      <c r="H123" s="894" t="s">
        <v>111</v>
      </c>
      <c r="I123" s="895">
        <f>IF(I97=0,"NA",I184/I97)</f>
        <v>0.08</v>
      </c>
      <c r="J123" s="895">
        <f>I123*(12/H1374)</f>
        <v>0.08</v>
      </c>
      <c r="K123" s="896">
        <f>I123</f>
        <v>0.08</v>
      </c>
      <c r="L123" s="896">
        <f t="shared" ref="L123:S123" si="41">K123</f>
        <v>0.08</v>
      </c>
      <c r="M123" s="896">
        <f t="shared" si="41"/>
        <v>0.08</v>
      </c>
      <c r="N123" s="896">
        <f t="shared" si="41"/>
        <v>0.08</v>
      </c>
      <c r="O123" s="896">
        <f t="shared" si="41"/>
        <v>0.08</v>
      </c>
      <c r="P123" s="896">
        <f t="shared" si="41"/>
        <v>0.08</v>
      </c>
      <c r="Q123" s="896">
        <f t="shared" si="41"/>
        <v>0.08</v>
      </c>
      <c r="R123" s="896">
        <f t="shared" si="41"/>
        <v>0.08</v>
      </c>
      <c r="S123" s="896">
        <f t="shared" si="41"/>
        <v>0.08</v>
      </c>
      <c r="T123" s="893"/>
    </row>
    <row r="124" spans="1:20" x14ac:dyDescent="0.25">
      <c r="A124" s="302"/>
      <c r="C124" s="294"/>
      <c r="D124" s="552" t="s">
        <v>124</v>
      </c>
      <c r="G124" s="618" t="s">
        <v>111</v>
      </c>
      <c r="H124" s="618" t="s">
        <v>111</v>
      </c>
      <c r="I124" s="161">
        <f>IF(H274+I274=0,"NA",365/(I226/I274))</f>
        <v>29.2</v>
      </c>
      <c r="J124" s="161">
        <f ca="1">IF(I274+J274=0,"NA",365/(J226/J274))</f>
        <v>29.2</v>
      </c>
      <c r="K124" s="161">
        <f t="shared" ref="K124:S124" ca="1" si="42">IF(J274+K274=0,"NA",365/(K226/K274))</f>
        <v>29.2</v>
      </c>
      <c r="L124" s="161">
        <f t="shared" ca="1" si="42"/>
        <v>29.2</v>
      </c>
      <c r="M124" s="161">
        <f t="shared" ca="1" si="42"/>
        <v>29.2</v>
      </c>
      <c r="N124" s="161">
        <f t="shared" ca="1" si="42"/>
        <v>29.2</v>
      </c>
      <c r="O124" s="161">
        <f t="shared" ca="1" si="42"/>
        <v>29.2</v>
      </c>
      <c r="P124" s="161">
        <f t="shared" ca="1" si="42"/>
        <v>29.2</v>
      </c>
      <c r="Q124" s="161">
        <f t="shared" ca="1" si="42"/>
        <v>29.2</v>
      </c>
      <c r="R124" s="161">
        <f t="shared" ca="1" si="42"/>
        <v>29.2</v>
      </c>
      <c r="S124" s="161">
        <f t="shared" ca="1" si="42"/>
        <v>29.2</v>
      </c>
      <c r="T124" s="294"/>
    </row>
    <row r="125" spans="1:20" s="169" customFormat="1" x14ac:dyDescent="0.25">
      <c r="A125" s="892"/>
      <c r="C125" s="893"/>
      <c r="D125" s="3" t="str">
        <f>D185</f>
        <v xml:space="preserve">  Inventories...................................................................................................</v>
      </c>
      <c r="E125" s="1"/>
      <c r="F125" s="552" t="s">
        <v>125</v>
      </c>
      <c r="G125" s="894" t="s">
        <v>111</v>
      </c>
      <c r="H125" s="894" t="s">
        <v>111</v>
      </c>
      <c r="I125" s="895">
        <f>IF(I100=0,"NA",I185/I100)</f>
        <v>0</v>
      </c>
      <c r="J125" s="895">
        <f>I125*(12/H1374)</f>
        <v>0</v>
      </c>
      <c r="K125" s="896">
        <f>I125</f>
        <v>0</v>
      </c>
      <c r="L125" s="896">
        <f t="shared" ref="L125:S125" si="43">K125</f>
        <v>0</v>
      </c>
      <c r="M125" s="896">
        <f t="shared" si="43"/>
        <v>0</v>
      </c>
      <c r="N125" s="896">
        <f t="shared" si="43"/>
        <v>0</v>
      </c>
      <c r="O125" s="896">
        <f t="shared" si="43"/>
        <v>0</v>
      </c>
      <c r="P125" s="896">
        <f t="shared" si="43"/>
        <v>0</v>
      </c>
      <c r="Q125" s="896">
        <f t="shared" si="43"/>
        <v>0</v>
      </c>
      <c r="R125" s="896">
        <f t="shared" si="43"/>
        <v>0</v>
      </c>
      <c r="S125" s="896">
        <f t="shared" si="43"/>
        <v>0</v>
      </c>
      <c r="T125" s="893"/>
    </row>
    <row r="126" spans="1:20" x14ac:dyDescent="0.25">
      <c r="A126" s="302"/>
      <c r="C126" s="294"/>
      <c r="D126" s="552" t="s">
        <v>126</v>
      </c>
      <c r="G126" s="618" t="s">
        <v>111</v>
      </c>
      <c r="H126" s="618" t="s">
        <v>111</v>
      </c>
      <c r="I126" s="917" t="str">
        <f>IF(H275+I275=0,"NA",I100/I275)</f>
        <v>NA</v>
      </c>
      <c r="J126" s="917" t="str">
        <f ca="1">IF(I275+J275=0,"NA",J100/J275)</f>
        <v>NA</v>
      </c>
      <c r="K126" s="917" t="str">
        <f t="shared" ref="K126:S126" ca="1" si="44">IF(J275+K275=0,"NA",K100/K275)</f>
        <v>NA</v>
      </c>
      <c r="L126" s="917" t="str">
        <f t="shared" ca="1" si="44"/>
        <v>NA</v>
      </c>
      <c r="M126" s="917" t="str">
        <f t="shared" ca="1" si="44"/>
        <v>NA</v>
      </c>
      <c r="N126" s="917" t="str">
        <f t="shared" ca="1" si="44"/>
        <v>NA</v>
      </c>
      <c r="O126" s="917" t="str">
        <f t="shared" ca="1" si="44"/>
        <v>NA</v>
      </c>
      <c r="P126" s="917" t="str">
        <f t="shared" ca="1" si="44"/>
        <v>NA</v>
      </c>
      <c r="Q126" s="917" t="str">
        <f t="shared" ca="1" si="44"/>
        <v>NA</v>
      </c>
      <c r="R126" s="917" t="str">
        <f t="shared" ca="1" si="44"/>
        <v>NA</v>
      </c>
      <c r="S126" s="917" t="str">
        <f t="shared" ca="1" si="44"/>
        <v>NA</v>
      </c>
      <c r="T126" s="294"/>
    </row>
    <row r="127" spans="1:20" x14ac:dyDescent="0.25">
      <c r="A127" s="302"/>
      <c r="C127" s="294"/>
      <c r="D127" s="3" t="str">
        <f>D186</f>
        <v xml:space="preserve">  Prepaid Expenses...........................................................................</v>
      </c>
      <c r="F127" s="552" t="s">
        <v>123</v>
      </c>
      <c r="G127" s="618" t="s">
        <v>111</v>
      </c>
      <c r="H127" s="618" t="s">
        <v>111</v>
      </c>
      <c r="I127" s="895">
        <f>IF(I97=0,"NA",I186/I97)</f>
        <v>0</v>
      </c>
      <c r="J127" s="895">
        <f>I127*(12/H1374)</f>
        <v>0</v>
      </c>
      <c r="K127" s="896">
        <f>I127</f>
        <v>0</v>
      </c>
      <c r="L127" s="896">
        <f t="shared" ref="L127:S127" si="45">K127</f>
        <v>0</v>
      </c>
      <c r="M127" s="896">
        <f t="shared" si="45"/>
        <v>0</v>
      </c>
      <c r="N127" s="896">
        <f t="shared" si="45"/>
        <v>0</v>
      </c>
      <c r="O127" s="896">
        <f t="shared" si="45"/>
        <v>0</v>
      </c>
      <c r="P127" s="896">
        <f t="shared" si="45"/>
        <v>0</v>
      </c>
      <c r="Q127" s="896">
        <f t="shared" si="45"/>
        <v>0</v>
      </c>
      <c r="R127" s="896">
        <f t="shared" si="45"/>
        <v>0</v>
      </c>
      <c r="S127" s="896">
        <f t="shared" si="45"/>
        <v>0</v>
      </c>
      <c r="T127" s="294"/>
    </row>
    <row r="128" spans="1:20" x14ac:dyDescent="0.25">
      <c r="A128" s="302"/>
      <c r="C128" s="294"/>
      <c r="G128" s="160"/>
      <c r="H128" s="160"/>
      <c r="I128" s="44"/>
      <c r="J128" s="44"/>
      <c r="K128" s="375"/>
      <c r="L128" s="375"/>
      <c r="M128" s="375"/>
      <c r="N128" s="375"/>
      <c r="O128" s="375"/>
      <c r="P128" s="375"/>
      <c r="Q128" s="375"/>
      <c r="R128" s="375"/>
      <c r="S128" s="375"/>
      <c r="T128" s="294"/>
    </row>
    <row r="129" spans="1:20" x14ac:dyDescent="0.25">
      <c r="A129" s="302"/>
      <c r="C129" s="294"/>
      <c r="D129" s="3" t="str">
        <f>M183</f>
        <v xml:space="preserve">  Accounts Payable......................................................................</v>
      </c>
      <c r="F129" s="552" t="s">
        <v>125</v>
      </c>
      <c r="G129" s="618" t="s">
        <v>111</v>
      </c>
      <c r="H129" s="618" t="s">
        <v>111</v>
      </c>
      <c r="I129" s="895">
        <f>IF(I97=0,"NA",S183/I100)</f>
        <v>0.13043478260869565</v>
      </c>
      <c r="J129" s="895">
        <f>I129*(12/H1374)</f>
        <v>0.13043478260869565</v>
      </c>
      <c r="K129" s="896">
        <f t="shared" ref="K129:S129" si="46">J129</f>
        <v>0.13043478260869565</v>
      </c>
      <c r="L129" s="896">
        <f t="shared" si="46"/>
        <v>0.13043478260869565</v>
      </c>
      <c r="M129" s="896">
        <f t="shared" si="46"/>
        <v>0.13043478260869565</v>
      </c>
      <c r="N129" s="896">
        <f t="shared" si="46"/>
        <v>0.13043478260869565</v>
      </c>
      <c r="O129" s="896">
        <f t="shared" si="46"/>
        <v>0.13043478260869565</v>
      </c>
      <c r="P129" s="896">
        <f t="shared" si="46"/>
        <v>0.13043478260869565</v>
      </c>
      <c r="Q129" s="896">
        <f t="shared" si="46"/>
        <v>0.13043478260869565</v>
      </c>
      <c r="R129" s="896">
        <f t="shared" si="46"/>
        <v>0.13043478260869565</v>
      </c>
      <c r="S129" s="896">
        <f t="shared" si="46"/>
        <v>0.13043478260869565</v>
      </c>
      <c r="T129" s="294"/>
    </row>
    <row r="130" spans="1:20" x14ac:dyDescent="0.25">
      <c r="A130" s="302"/>
      <c r="C130" s="294"/>
      <c r="D130" s="552" t="s">
        <v>127</v>
      </c>
      <c r="G130" s="618" t="s">
        <v>111</v>
      </c>
      <c r="H130" s="618" t="s">
        <v>111</v>
      </c>
      <c r="I130" s="161">
        <f>IF(I296=0,"NA",365/(I228/I296))</f>
        <v>47.608695652173914</v>
      </c>
      <c r="J130" s="161">
        <f t="shared" ref="J130:S130" ca="1" si="47">IF(J296=0,"NA",365/(J228/J296))</f>
        <v>47.608695652173914</v>
      </c>
      <c r="K130" s="161">
        <f t="shared" ca="1" si="47"/>
        <v>47.608695652173907</v>
      </c>
      <c r="L130" s="161">
        <f t="shared" ca="1" si="47"/>
        <v>47.608695652173914</v>
      </c>
      <c r="M130" s="161">
        <f t="shared" ca="1" si="47"/>
        <v>47.608695652173914</v>
      </c>
      <c r="N130" s="161">
        <f t="shared" ca="1" si="47"/>
        <v>47.608695652173914</v>
      </c>
      <c r="O130" s="161">
        <f t="shared" ca="1" si="47"/>
        <v>47.608695652173907</v>
      </c>
      <c r="P130" s="161">
        <f t="shared" ca="1" si="47"/>
        <v>47.608695652173914</v>
      </c>
      <c r="Q130" s="161">
        <f t="shared" ca="1" si="47"/>
        <v>47.608695652173914</v>
      </c>
      <c r="R130" s="161">
        <f t="shared" ca="1" si="47"/>
        <v>47.608695652173914</v>
      </c>
      <c r="S130" s="161">
        <f t="shared" ca="1" si="47"/>
        <v>47.608695652173914</v>
      </c>
      <c r="T130" s="294"/>
    </row>
    <row r="131" spans="1:20" x14ac:dyDescent="0.25">
      <c r="A131" s="302"/>
      <c r="C131" s="294"/>
      <c r="D131" s="3" t="str">
        <f>M184</f>
        <v xml:space="preserve">  Accrued Expenses.................................................................</v>
      </c>
      <c r="F131" s="552" t="s">
        <v>123</v>
      </c>
      <c r="G131" s="618" t="s">
        <v>111</v>
      </c>
      <c r="H131" s="618" t="s">
        <v>111</v>
      </c>
      <c r="I131" s="895">
        <f>IF(I97=0,"NA",S184/I97)</f>
        <v>0</v>
      </c>
      <c r="J131" s="895">
        <f>I131*(12/H1374)</f>
        <v>0</v>
      </c>
      <c r="K131" s="896">
        <f>I131</f>
        <v>0</v>
      </c>
      <c r="L131" s="896">
        <f t="shared" ref="L131:S132" si="48">K131</f>
        <v>0</v>
      </c>
      <c r="M131" s="896">
        <f t="shared" si="48"/>
        <v>0</v>
      </c>
      <c r="N131" s="896">
        <f t="shared" si="48"/>
        <v>0</v>
      </c>
      <c r="O131" s="896">
        <f t="shared" si="48"/>
        <v>0</v>
      </c>
      <c r="P131" s="896">
        <f t="shared" si="48"/>
        <v>0</v>
      </c>
      <c r="Q131" s="896">
        <f t="shared" si="48"/>
        <v>0</v>
      </c>
      <c r="R131" s="896">
        <f t="shared" si="48"/>
        <v>0</v>
      </c>
      <c r="S131" s="896">
        <f t="shared" si="48"/>
        <v>0</v>
      </c>
      <c r="T131" s="294"/>
    </row>
    <row r="132" spans="1:20" x14ac:dyDescent="0.25">
      <c r="A132" s="302"/>
      <c r="C132" s="294"/>
      <c r="D132" s="3" t="str">
        <f>M185</f>
        <v xml:space="preserve">  Accrued Liabilities.........................................................</v>
      </c>
      <c r="E132" s="11"/>
      <c r="F132" s="552" t="s">
        <v>123</v>
      </c>
      <c r="G132" s="618" t="s">
        <v>111</v>
      </c>
      <c r="H132" s="618" t="s">
        <v>111</v>
      </c>
      <c r="I132" s="895">
        <f>IF(I97=0,"NA",S185/I97)</f>
        <v>0</v>
      </c>
      <c r="J132" s="895">
        <f>I132*(12/H1374)</f>
        <v>0</v>
      </c>
      <c r="K132" s="896">
        <f>I132</f>
        <v>0</v>
      </c>
      <c r="L132" s="896">
        <f t="shared" si="48"/>
        <v>0</v>
      </c>
      <c r="M132" s="896">
        <f t="shared" si="48"/>
        <v>0</v>
      </c>
      <c r="N132" s="896">
        <f t="shared" si="48"/>
        <v>0</v>
      </c>
      <c r="O132" s="896">
        <f t="shared" si="48"/>
        <v>0</v>
      </c>
      <c r="P132" s="896">
        <f t="shared" si="48"/>
        <v>0</v>
      </c>
      <c r="Q132" s="896">
        <f t="shared" si="48"/>
        <v>0</v>
      </c>
      <c r="R132" s="896">
        <f t="shared" si="48"/>
        <v>0</v>
      </c>
      <c r="S132" s="896">
        <f t="shared" si="48"/>
        <v>0</v>
      </c>
      <c r="T132" s="294"/>
    </row>
    <row r="133" spans="1:20" x14ac:dyDescent="0.25">
      <c r="A133" s="302"/>
      <c r="C133" s="294"/>
      <c r="D133" s="3" t="str">
        <f>M186</f>
        <v xml:space="preserve">  Taxes Payable........................................................................</v>
      </c>
      <c r="F133" s="552" t="s">
        <v>128</v>
      </c>
      <c r="G133" s="618" t="s">
        <v>111</v>
      </c>
      <c r="H133" s="618" t="s">
        <v>111</v>
      </c>
      <c r="I133" s="897">
        <v>0</v>
      </c>
      <c r="J133" s="897">
        <v>0</v>
      </c>
      <c r="K133" s="897">
        <v>0</v>
      </c>
      <c r="L133" s="897">
        <v>0</v>
      </c>
      <c r="M133" s="897">
        <v>0</v>
      </c>
      <c r="N133" s="897">
        <v>0</v>
      </c>
      <c r="O133" s="897">
        <v>0</v>
      </c>
      <c r="P133" s="897">
        <v>0</v>
      </c>
      <c r="Q133" s="897">
        <v>0</v>
      </c>
      <c r="R133" s="897">
        <v>0</v>
      </c>
      <c r="S133" s="897">
        <v>0</v>
      </c>
      <c r="T133" s="294"/>
    </row>
    <row r="134" spans="1:20" x14ac:dyDescent="0.25">
      <c r="A134" s="302"/>
      <c r="C134" s="294"/>
      <c r="D134" s="3" t="str">
        <f>M187</f>
        <v xml:space="preserve">  Other Current Liabilities..................................................................</v>
      </c>
      <c r="F134" s="552" t="s">
        <v>123</v>
      </c>
      <c r="G134" s="618" t="s">
        <v>111</v>
      </c>
      <c r="H134" s="618" t="s">
        <v>111</v>
      </c>
      <c r="I134" s="895">
        <f>IF(I97=0,"NA",S187/I97)</f>
        <v>0</v>
      </c>
      <c r="J134" s="895">
        <f>I134*(12/H1374)</f>
        <v>0</v>
      </c>
      <c r="K134" s="896">
        <f>I134</f>
        <v>0</v>
      </c>
      <c r="L134" s="896">
        <f t="shared" ref="L134:S134" si="49">K134</f>
        <v>0</v>
      </c>
      <c r="M134" s="896">
        <f t="shared" si="49"/>
        <v>0</v>
      </c>
      <c r="N134" s="896">
        <f t="shared" si="49"/>
        <v>0</v>
      </c>
      <c r="O134" s="896">
        <f t="shared" si="49"/>
        <v>0</v>
      </c>
      <c r="P134" s="896">
        <f t="shared" si="49"/>
        <v>0</v>
      </c>
      <c r="Q134" s="896">
        <f t="shared" si="49"/>
        <v>0</v>
      </c>
      <c r="R134" s="896">
        <f t="shared" si="49"/>
        <v>0</v>
      </c>
      <c r="S134" s="896">
        <f t="shared" si="49"/>
        <v>0</v>
      </c>
      <c r="T134" s="294"/>
    </row>
    <row r="135" spans="1:20" x14ac:dyDescent="0.25">
      <c r="A135" s="302"/>
      <c r="C135" s="294"/>
      <c r="D135" s="3"/>
      <c r="F135" s="4"/>
      <c r="G135" s="200"/>
      <c r="H135" s="200"/>
      <c r="I135" s="150"/>
      <c r="J135" s="150"/>
      <c r="K135" s="374"/>
      <c r="L135" s="374"/>
      <c r="M135" s="374"/>
      <c r="N135" s="374"/>
      <c r="O135" s="374"/>
      <c r="P135" s="374"/>
      <c r="Q135" s="374"/>
      <c r="R135" s="374"/>
      <c r="S135" s="374"/>
      <c r="T135" s="294"/>
    </row>
    <row r="136" spans="1:20" x14ac:dyDescent="0.25">
      <c r="A136" s="302"/>
      <c r="C136" s="294"/>
      <c r="D136" s="3"/>
      <c r="F136" s="4"/>
      <c r="G136" s="200"/>
      <c r="H136" s="200"/>
      <c r="I136" s="150"/>
      <c r="J136" s="150"/>
      <c r="K136" s="374"/>
      <c r="L136" s="374"/>
      <c r="M136" s="374"/>
      <c r="N136" s="374"/>
      <c r="O136" s="374"/>
      <c r="P136" s="374"/>
      <c r="Q136" s="374"/>
      <c r="R136" s="374"/>
      <c r="S136" s="374"/>
      <c r="T136" s="294"/>
    </row>
    <row r="137" spans="1:20" x14ac:dyDescent="0.25">
      <c r="A137" s="302"/>
      <c r="C137" s="294"/>
      <c r="G137" s="41"/>
      <c r="H137" s="41"/>
      <c r="I137" s="381"/>
      <c r="J137" s="381"/>
      <c r="K137" s="162"/>
      <c r="L137" s="162"/>
      <c r="M137" s="162"/>
      <c r="N137" s="162"/>
      <c r="O137" s="162"/>
      <c r="P137" s="162"/>
      <c r="Q137" s="162"/>
      <c r="R137" s="162"/>
      <c r="S137" s="162"/>
      <c r="T137" s="294"/>
    </row>
    <row r="138" spans="1:20" ht="24.75" customHeight="1" x14ac:dyDescent="0.25">
      <c r="A138" s="302"/>
      <c r="C138" s="294"/>
      <c r="D138" s="622" t="s">
        <v>129</v>
      </c>
      <c r="E138" s="170"/>
      <c r="F138" s="170"/>
      <c r="G138" s="170"/>
      <c r="H138" s="170"/>
      <c r="I138" s="170"/>
      <c r="J138" s="170"/>
      <c r="K138" s="170"/>
      <c r="L138" s="170"/>
      <c r="M138" s="170"/>
      <c r="N138" s="170"/>
      <c r="O138" s="170"/>
      <c r="P138" s="170"/>
      <c r="Q138" s="170"/>
      <c r="R138" s="170"/>
      <c r="S138" s="213"/>
      <c r="T138" s="294"/>
    </row>
    <row r="139" spans="1:20" x14ac:dyDescent="0.25">
      <c r="A139" s="302"/>
      <c r="C139" s="294"/>
      <c r="G139" s="4"/>
      <c r="H139" s="5"/>
      <c r="I139" s="6"/>
      <c r="J139" s="155" t="str">
        <f>"Projected Fiscal Year Ending "&amp;H1372</f>
        <v>Projected Fiscal Year Ending December 31,</v>
      </c>
      <c r="K139" s="157"/>
      <c r="L139" s="165"/>
      <c r="M139" s="157"/>
      <c r="N139" s="157"/>
      <c r="O139" s="157"/>
      <c r="P139" s="158"/>
      <c r="Q139" s="158"/>
      <c r="R139" s="158"/>
      <c r="S139" s="165"/>
      <c r="T139" s="294"/>
    </row>
    <row r="140" spans="1:20" x14ac:dyDescent="0.25">
      <c r="A140" s="302"/>
      <c r="C140" s="294"/>
      <c r="D140" s="3"/>
      <c r="J140" s="72">
        <f>year</f>
        <v>1998</v>
      </c>
      <c r="K140" s="73">
        <f t="shared" ref="K140:S140" si="50">J140+1</f>
        <v>1999</v>
      </c>
      <c r="L140" s="73">
        <f t="shared" si="50"/>
        <v>2000</v>
      </c>
      <c r="M140" s="73">
        <f t="shared" si="50"/>
        <v>2001</v>
      </c>
      <c r="N140" s="73">
        <f t="shared" si="50"/>
        <v>2002</v>
      </c>
      <c r="O140" s="73">
        <f t="shared" si="50"/>
        <v>2003</v>
      </c>
      <c r="P140" s="73">
        <f t="shared" si="50"/>
        <v>2004</v>
      </c>
      <c r="Q140" s="73">
        <f t="shared" si="50"/>
        <v>2005</v>
      </c>
      <c r="R140" s="73">
        <f t="shared" si="50"/>
        <v>2006</v>
      </c>
      <c r="S140" s="73">
        <f t="shared" si="50"/>
        <v>2007</v>
      </c>
      <c r="T140" s="294"/>
    </row>
    <row r="141" spans="1:20" x14ac:dyDescent="0.25">
      <c r="A141" s="302"/>
      <c r="C141" s="294"/>
      <c r="I141" s="623">
        <v>1</v>
      </c>
      <c r="J141" s="617">
        <v>3</v>
      </c>
      <c r="K141" s="617">
        <v>4</v>
      </c>
      <c r="L141" s="617">
        <v>5</v>
      </c>
      <c r="M141" s="617">
        <v>6</v>
      </c>
      <c r="N141" s="617">
        <v>7</v>
      </c>
      <c r="O141" s="617">
        <v>8</v>
      </c>
      <c r="P141" s="617">
        <v>9</v>
      </c>
      <c r="Q141" s="617">
        <v>10</v>
      </c>
      <c r="R141" s="41"/>
      <c r="S141" s="41"/>
      <c r="T141" s="294"/>
    </row>
    <row r="142" spans="1:20" x14ac:dyDescent="0.25">
      <c r="A142" s="302"/>
      <c r="C142" s="294"/>
      <c r="D142" s="552" t="s">
        <v>130</v>
      </c>
      <c r="J142" s="41"/>
      <c r="K142" s="41"/>
      <c r="L142" s="41"/>
      <c r="M142" s="41"/>
      <c r="N142" s="41"/>
      <c r="P142" s="41"/>
      <c r="Q142" s="41"/>
      <c r="R142" s="41"/>
      <c r="S142" s="41"/>
      <c r="T142" s="294"/>
    </row>
    <row r="143" spans="1:20" x14ac:dyDescent="0.25">
      <c r="A143" s="302"/>
      <c r="C143" s="294"/>
      <c r="J143" s="41"/>
      <c r="K143" s="41"/>
      <c r="L143" s="41"/>
      <c r="M143" s="41"/>
      <c r="N143" s="41"/>
      <c r="P143" s="41"/>
      <c r="Q143" s="41"/>
      <c r="R143" s="41"/>
      <c r="S143" s="41"/>
      <c r="T143" s="294"/>
    </row>
    <row r="144" spans="1:20" x14ac:dyDescent="0.25">
      <c r="A144" s="302"/>
      <c r="C144" s="294"/>
      <c r="D144" s="553" t="s">
        <v>131</v>
      </c>
      <c r="G144" s="600" t="s">
        <v>101</v>
      </c>
      <c r="I144" s="266"/>
      <c r="J144" s="376">
        <f t="shared" ref="J144:S144" si="51">J1421</f>
        <v>8.2500000000000004E-2</v>
      </c>
      <c r="K144" s="376">
        <f t="shared" si="51"/>
        <v>8.2500000000000004E-2</v>
      </c>
      <c r="L144" s="376">
        <f t="shared" si="51"/>
        <v>8.2500000000000004E-2</v>
      </c>
      <c r="M144" s="376">
        <f t="shared" si="51"/>
        <v>8.2500000000000004E-2</v>
      </c>
      <c r="N144" s="376">
        <f t="shared" si="51"/>
        <v>8.2500000000000004E-2</v>
      </c>
      <c r="O144" s="376">
        <f t="shared" si="51"/>
        <v>8.2500000000000004E-2</v>
      </c>
      <c r="P144" s="376">
        <f t="shared" si="51"/>
        <v>8.2500000000000004E-2</v>
      </c>
      <c r="Q144" s="376">
        <f t="shared" si="51"/>
        <v>8.2500000000000004E-2</v>
      </c>
      <c r="R144" s="376">
        <f t="shared" si="51"/>
        <v>8.2500000000000004E-2</v>
      </c>
      <c r="S144" s="376">
        <f t="shared" si="51"/>
        <v>8.2500000000000004E-2</v>
      </c>
      <c r="T144" s="294"/>
    </row>
    <row r="145" spans="1:20" x14ac:dyDescent="0.25">
      <c r="A145" s="302"/>
      <c r="C145" s="294"/>
      <c r="D145" s="553" t="s">
        <v>132</v>
      </c>
      <c r="G145" s="600" t="s">
        <v>101</v>
      </c>
      <c r="I145" s="266"/>
      <c r="J145" s="376">
        <f t="shared" ref="J145:S145" si="52">J1422</f>
        <v>5.5E-2</v>
      </c>
      <c r="K145" s="376">
        <f t="shared" si="52"/>
        <v>5.5E-2</v>
      </c>
      <c r="L145" s="376">
        <f t="shared" si="52"/>
        <v>5.5E-2</v>
      </c>
      <c r="M145" s="376">
        <f t="shared" si="52"/>
        <v>5.5E-2</v>
      </c>
      <c r="N145" s="376">
        <f t="shared" si="52"/>
        <v>5.5E-2</v>
      </c>
      <c r="O145" s="376">
        <f t="shared" si="52"/>
        <v>5.5E-2</v>
      </c>
      <c r="P145" s="376">
        <f t="shared" si="52"/>
        <v>5.5E-2</v>
      </c>
      <c r="Q145" s="376">
        <f t="shared" si="52"/>
        <v>5.5E-2</v>
      </c>
      <c r="R145" s="376">
        <f t="shared" si="52"/>
        <v>5.5E-2</v>
      </c>
      <c r="S145" s="376">
        <f t="shared" si="52"/>
        <v>5.5E-2</v>
      </c>
      <c r="T145" s="294"/>
    </row>
    <row r="146" spans="1:20" x14ac:dyDescent="0.25">
      <c r="A146" s="302"/>
      <c r="C146" s="294"/>
      <c r="F146" s="11"/>
      <c r="G146" s="589" t="s">
        <v>133</v>
      </c>
      <c r="H146" s="589" t="s">
        <v>134</v>
      </c>
      <c r="I146" s="382"/>
      <c r="J146" s="377"/>
      <c r="K146" s="377"/>
      <c r="L146" s="377"/>
      <c r="M146" s="377"/>
      <c r="N146" s="377"/>
      <c r="O146" s="377"/>
      <c r="P146" s="377"/>
      <c r="Q146" s="377"/>
      <c r="R146" s="377"/>
      <c r="S146" s="377"/>
      <c r="T146" s="294"/>
    </row>
    <row r="147" spans="1:20" x14ac:dyDescent="0.25">
      <c r="A147" s="302"/>
      <c r="C147" s="294"/>
      <c r="D147" s="4" t="str">
        <f>"  "&amp;D1409&amp;"................................................................................................................................................."</f>
        <v xml:space="preserve">  Revolver.................................................................................................................................................</v>
      </c>
      <c r="E147" s="144"/>
      <c r="F147" s="144"/>
      <c r="G147" s="266">
        <f t="shared" ref="G147:H149" si="53">E1409</f>
        <v>1.4999999999999999E-2</v>
      </c>
      <c r="H147" s="266">
        <f t="shared" si="53"/>
        <v>1.2500000000000001E-2</v>
      </c>
      <c r="I147" s="13"/>
      <c r="J147" s="163">
        <f t="shared" ref="J147:S147" si="54">J1425</f>
        <v>0.09</v>
      </c>
      <c r="K147" s="163">
        <f t="shared" si="54"/>
        <v>0.09</v>
      </c>
      <c r="L147" s="163">
        <f t="shared" si="54"/>
        <v>0.09</v>
      </c>
      <c r="M147" s="163">
        <f t="shared" si="54"/>
        <v>0.09</v>
      </c>
      <c r="N147" s="163">
        <f t="shared" si="54"/>
        <v>0.09</v>
      </c>
      <c r="O147" s="163">
        <f t="shared" si="54"/>
        <v>0.09</v>
      </c>
      <c r="P147" s="163">
        <f t="shared" si="54"/>
        <v>0.09</v>
      </c>
      <c r="Q147" s="163">
        <f t="shared" si="54"/>
        <v>0.09</v>
      </c>
      <c r="R147" s="163">
        <f t="shared" si="54"/>
        <v>0.09</v>
      </c>
      <c r="S147" s="163">
        <f t="shared" si="54"/>
        <v>0.09</v>
      </c>
      <c r="T147" s="294"/>
    </row>
    <row r="148" spans="1:20" x14ac:dyDescent="0.25">
      <c r="A148" s="302"/>
      <c r="C148" s="294"/>
      <c r="D148" s="4" t="str">
        <f>"  "&amp;D1410&amp;".............................................................................................."</f>
        <v xml:space="preserve">  Term Loan..............................................................................................</v>
      </c>
      <c r="E148" s="59"/>
      <c r="F148" s="24"/>
      <c r="G148" s="266">
        <f t="shared" si="53"/>
        <v>1.4999999999999999E-2</v>
      </c>
      <c r="H148" s="266">
        <f t="shared" si="53"/>
        <v>1.2500000000000001E-2</v>
      </c>
      <c r="I148" s="13"/>
      <c r="J148" s="163">
        <f t="shared" ref="J148:S148" si="55">J1426</f>
        <v>0.09</v>
      </c>
      <c r="K148" s="163">
        <f t="shared" si="55"/>
        <v>0.09</v>
      </c>
      <c r="L148" s="163">
        <f t="shared" si="55"/>
        <v>0.09</v>
      </c>
      <c r="M148" s="163">
        <f t="shared" si="55"/>
        <v>0.09</v>
      </c>
      <c r="N148" s="163">
        <f t="shared" si="55"/>
        <v>0.09</v>
      </c>
      <c r="O148" s="163">
        <f t="shared" si="55"/>
        <v>0.09</v>
      </c>
      <c r="P148" s="163">
        <f t="shared" si="55"/>
        <v>0.09</v>
      </c>
      <c r="Q148" s="163">
        <f t="shared" si="55"/>
        <v>0.09</v>
      </c>
      <c r="R148" s="163">
        <f t="shared" si="55"/>
        <v>0.09</v>
      </c>
      <c r="S148" s="163">
        <f t="shared" si="55"/>
        <v>0.09</v>
      </c>
      <c r="T148" s="294"/>
    </row>
    <row r="149" spans="1:20" x14ac:dyDescent="0.25">
      <c r="A149" s="302"/>
      <c r="C149" s="294"/>
      <c r="D149" s="4" t="str">
        <f>"  "&amp;D1411&amp;".............................................................................................."</f>
        <v xml:space="preserve">  Evergreen Revolver..............................................................................................</v>
      </c>
      <c r="E149" s="59"/>
      <c r="F149" s="24"/>
      <c r="G149" s="266">
        <f t="shared" si="53"/>
        <v>1.4999999999999999E-2</v>
      </c>
      <c r="H149" s="266">
        <f t="shared" si="53"/>
        <v>1.2500000000000001E-2</v>
      </c>
      <c r="I149" s="13"/>
      <c r="J149" s="163">
        <f t="shared" ref="J149:S149" si="56">J1427</f>
        <v>9.7500000000000003E-2</v>
      </c>
      <c r="K149" s="163">
        <f t="shared" si="56"/>
        <v>9.7500000000000003E-2</v>
      </c>
      <c r="L149" s="163">
        <f t="shared" si="56"/>
        <v>9.7500000000000003E-2</v>
      </c>
      <c r="M149" s="163">
        <f t="shared" si="56"/>
        <v>9.7500000000000003E-2</v>
      </c>
      <c r="N149" s="163">
        <f t="shared" si="56"/>
        <v>9.7500000000000003E-2</v>
      </c>
      <c r="O149" s="163">
        <f t="shared" si="56"/>
        <v>9.7500000000000003E-2</v>
      </c>
      <c r="P149" s="163">
        <f t="shared" si="56"/>
        <v>9.7500000000000003E-2</v>
      </c>
      <c r="Q149" s="163">
        <f t="shared" si="56"/>
        <v>9.7500000000000003E-2</v>
      </c>
      <c r="R149" s="163">
        <f t="shared" si="56"/>
        <v>9.7500000000000003E-2</v>
      </c>
      <c r="S149" s="163">
        <f t="shared" si="56"/>
        <v>9.7500000000000003E-2</v>
      </c>
      <c r="T149" s="294"/>
    </row>
    <row r="150" spans="1:20" x14ac:dyDescent="0.25">
      <c r="A150" s="302"/>
      <c r="C150" s="294"/>
      <c r="D150" s="66">
        <f>P1411</f>
        <v>0</v>
      </c>
      <c r="E150" s="553" t="s">
        <v>135</v>
      </c>
      <c r="J150" s="41"/>
      <c r="K150" s="41"/>
      <c r="L150" s="41"/>
      <c r="M150" s="41"/>
      <c r="N150" s="41"/>
      <c r="P150" s="41"/>
      <c r="Q150" s="41"/>
      <c r="R150" s="41"/>
      <c r="S150" s="41"/>
      <c r="T150" s="294"/>
    </row>
    <row r="151" spans="1:20" x14ac:dyDescent="0.25">
      <c r="A151" s="302"/>
      <c r="C151" s="294"/>
      <c r="D151" s="66">
        <f>Q1411</f>
        <v>0</v>
      </c>
      <c r="E151" s="553" t="s">
        <v>136</v>
      </c>
      <c r="J151" s="41"/>
      <c r="K151" s="41"/>
      <c r="L151" s="41"/>
      <c r="M151" s="41"/>
      <c r="N151" s="41"/>
      <c r="P151" s="41"/>
      <c r="Q151" s="41"/>
      <c r="R151" s="41"/>
      <c r="S151" s="41"/>
      <c r="T151" s="294"/>
    </row>
    <row r="152" spans="1:20" x14ac:dyDescent="0.25">
      <c r="A152" s="302"/>
      <c r="C152" s="294"/>
      <c r="G152" s="837" t="s">
        <v>137</v>
      </c>
      <c r="J152" s="41"/>
      <c r="K152" s="41"/>
      <c r="L152" s="41"/>
      <c r="M152" s="41"/>
      <c r="N152" s="41"/>
      <c r="P152" s="41"/>
      <c r="Q152" s="41"/>
      <c r="R152" s="41"/>
      <c r="S152" s="41"/>
      <c r="T152" s="294"/>
    </row>
    <row r="153" spans="1:20" ht="26.4" customHeight="1" x14ac:dyDescent="0.25">
      <c r="A153" s="302"/>
      <c r="B153" s="4"/>
      <c r="C153" s="299"/>
      <c r="D153" s="804" t="s">
        <v>138</v>
      </c>
      <c r="G153" s="600" t="s">
        <v>101</v>
      </c>
      <c r="I153" s="266"/>
      <c r="J153" s="898">
        <f t="shared" ref="J153:S153" si="57">J1424</f>
        <v>0.1</v>
      </c>
      <c r="K153" s="898">
        <f t="shared" si="57"/>
        <v>0.1</v>
      </c>
      <c r="L153" s="898">
        <f t="shared" si="57"/>
        <v>0.1</v>
      </c>
      <c r="M153" s="898">
        <f t="shared" si="57"/>
        <v>0.1</v>
      </c>
      <c r="N153" s="898">
        <f t="shared" si="57"/>
        <v>0.1</v>
      </c>
      <c r="O153" s="898">
        <f t="shared" si="57"/>
        <v>0.1</v>
      </c>
      <c r="P153" s="898">
        <f t="shared" si="57"/>
        <v>0.1</v>
      </c>
      <c r="Q153" s="898">
        <f t="shared" si="57"/>
        <v>0.1</v>
      </c>
      <c r="R153" s="898">
        <f t="shared" si="57"/>
        <v>0.1</v>
      </c>
      <c r="S153" s="898">
        <f t="shared" si="57"/>
        <v>0.1</v>
      </c>
      <c r="T153" s="294"/>
    </row>
    <row r="154" spans="1:20" ht="18" customHeight="1" x14ac:dyDescent="0.25">
      <c r="A154" s="302"/>
      <c r="B154" s="4"/>
      <c r="C154" s="299"/>
      <c r="D154" s="803" t="str">
        <f>"  "&amp;D1412&amp;"........................................................................................................................................"</f>
        <v xml:space="preserve">  Debt 1........................................................................................................................................</v>
      </c>
      <c r="G154" s="869" t="str">
        <f>IF(J1412=0,"Cash Pay",IF(J1412&gt;0,"PIK Until "&amp;$J$1420+INT(J1412)-1,"Error"))</f>
        <v>Cash Pay</v>
      </c>
      <c r="I154" s="266"/>
      <c r="J154" s="163">
        <f t="shared" ref="J154:S154" si="58">J1428</f>
        <v>0.11</v>
      </c>
      <c r="K154" s="163">
        <f t="shared" si="58"/>
        <v>0.11</v>
      </c>
      <c r="L154" s="163">
        <f t="shared" si="58"/>
        <v>0.11</v>
      </c>
      <c r="M154" s="163">
        <f t="shared" si="58"/>
        <v>0.11</v>
      </c>
      <c r="N154" s="163">
        <f t="shared" si="58"/>
        <v>0.11</v>
      </c>
      <c r="O154" s="163">
        <f t="shared" si="58"/>
        <v>0.11</v>
      </c>
      <c r="P154" s="163">
        <f t="shared" si="58"/>
        <v>0.11</v>
      </c>
      <c r="Q154" s="163">
        <f t="shared" si="58"/>
        <v>0.11</v>
      </c>
      <c r="R154" s="163">
        <f t="shared" si="58"/>
        <v>0.11</v>
      </c>
      <c r="S154" s="163">
        <f t="shared" si="58"/>
        <v>0.11</v>
      </c>
      <c r="T154" s="294"/>
    </row>
    <row r="155" spans="1:20" ht="4.95" customHeight="1" x14ac:dyDescent="0.25">
      <c r="A155" s="302"/>
      <c r="B155" s="4"/>
      <c r="C155" s="299"/>
      <c r="D155" s="803"/>
      <c r="G155" s="870"/>
      <c r="I155" s="266"/>
      <c r="J155" s="163"/>
      <c r="K155" s="163"/>
      <c r="L155" s="163"/>
      <c r="M155" s="163"/>
      <c r="N155" s="163"/>
      <c r="O155" s="163"/>
      <c r="P155" s="163"/>
      <c r="Q155" s="163"/>
      <c r="R155" s="163"/>
      <c r="S155" s="163"/>
      <c r="T155" s="294"/>
    </row>
    <row r="156" spans="1:20" ht="18" customHeight="1" x14ac:dyDescent="0.25">
      <c r="A156" s="302"/>
      <c r="B156" s="4"/>
      <c r="C156" s="299"/>
      <c r="D156" s="803" t="str">
        <f>"  "&amp;D1413&amp;"................................................................................................................................"</f>
        <v xml:space="preserve">  Debt 2................................................................................................................................</v>
      </c>
      <c r="G156" s="869" t="str">
        <f>IF(J1413=0,"Cash Pay",IF(J1413&gt;0,"PIK Until "&amp;$J$1420+INT(J1413)-1,"Error"))</f>
        <v>Cash Pay</v>
      </c>
      <c r="I156" s="266"/>
      <c r="J156" s="163">
        <f t="shared" ref="J156:S156" si="59">J1429</f>
        <v>0.11</v>
      </c>
      <c r="K156" s="163">
        <f t="shared" si="59"/>
        <v>0.11</v>
      </c>
      <c r="L156" s="163">
        <f t="shared" si="59"/>
        <v>0.11</v>
      </c>
      <c r="M156" s="163">
        <f t="shared" si="59"/>
        <v>0.11</v>
      </c>
      <c r="N156" s="163">
        <f t="shared" si="59"/>
        <v>0.11</v>
      </c>
      <c r="O156" s="163">
        <f t="shared" si="59"/>
        <v>0.11</v>
      </c>
      <c r="P156" s="163">
        <f t="shared" si="59"/>
        <v>0.11</v>
      </c>
      <c r="Q156" s="163">
        <f t="shared" si="59"/>
        <v>0.11</v>
      </c>
      <c r="R156" s="163">
        <f t="shared" si="59"/>
        <v>0.11</v>
      </c>
      <c r="S156" s="163">
        <f t="shared" si="59"/>
        <v>0.11</v>
      </c>
      <c r="T156" s="294"/>
    </row>
    <row r="157" spans="1:20" ht="4.95" customHeight="1" x14ac:dyDescent="0.25">
      <c r="A157" s="302"/>
      <c r="B157" s="4"/>
      <c r="C157" s="299"/>
      <c r="D157" s="803"/>
      <c r="G157" s="871"/>
      <c r="I157" s="266"/>
      <c r="J157" s="163"/>
      <c r="K157" s="163"/>
      <c r="L157" s="163"/>
      <c r="M157" s="163"/>
      <c r="N157" s="163"/>
      <c r="O157" s="163"/>
      <c r="P157" s="163"/>
      <c r="Q157" s="163"/>
      <c r="R157" s="163"/>
      <c r="S157" s="163"/>
      <c r="T157" s="294"/>
    </row>
    <row r="158" spans="1:20" ht="18" customHeight="1" x14ac:dyDescent="0.25">
      <c r="A158" s="302"/>
      <c r="C158" s="294"/>
      <c r="D158" s="803" t="str">
        <f>"  "&amp;D1414&amp;"......................................................................................................................................."</f>
        <v xml:space="preserve">  Debt 3.......................................................................................................................................</v>
      </c>
      <c r="G158" s="869" t="str">
        <f>IF(J1414=0,"Cash Pay",IF(J1414&gt;0,"PIK Until "&amp;$J$1420+INT(J1414)-1,"Error"))</f>
        <v>Cash Pay</v>
      </c>
      <c r="J158" s="164">
        <f t="shared" ref="J158:S158" si="60">J1430</f>
        <v>0.11</v>
      </c>
      <c r="K158" s="164">
        <f t="shared" si="60"/>
        <v>0.11</v>
      </c>
      <c r="L158" s="164">
        <f t="shared" si="60"/>
        <v>0.11</v>
      </c>
      <c r="M158" s="164">
        <f t="shared" si="60"/>
        <v>0.11</v>
      </c>
      <c r="N158" s="164">
        <f t="shared" si="60"/>
        <v>0.11</v>
      </c>
      <c r="O158" s="164">
        <f t="shared" si="60"/>
        <v>0.11</v>
      </c>
      <c r="P158" s="164">
        <f t="shared" si="60"/>
        <v>0.11</v>
      </c>
      <c r="Q158" s="164">
        <f t="shared" si="60"/>
        <v>0.11</v>
      </c>
      <c r="R158" s="164">
        <f t="shared" si="60"/>
        <v>0.11</v>
      </c>
      <c r="S158" s="164">
        <f t="shared" si="60"/>
        <v>0.11</v>
      </c>
      <c r="T158" s="294"/>
    </row>
    <row r="159" spans="1:20" ht="4.95" customHeight="1" x14ac:dyDescent="0.25">
      <c r="A159" s="302"/>
      <c r="C159" s="294"/>
      <c r="D159" s="803"/>
      <c r="G159" s="871"/>
      <c r="J159" s="164"/>
      <c r="K159" s="164"/>
      <c r="L159" s="164"/>
      <c r="M159" s="164"/>
      <c r="N159" s="164"/>
      <c r="O159" s="164"/>
      <c r="P159" s="164"/>
      <c r="Q159" s="164"/>
      <c r="R159" s="164"/>
      <c r="S159" s="164"/>
      <c r="T159" s="294"/>
    </row>
    <row r="160" spans="1:20" ht="18" customHeight="1" x14ac:dyDescent="0.25">
      <c r="A160" s="302"/>
      <c r="C160" s="294"/>
      <c r="D160" s="803" t="str">
        <f>"  "&amp;D1415&amp;"............................................................................................................................"</f>
        <v xml:space="preserve">  Debt 4............................................................................................................................</v>
      </c>
      <c r="G160" s="869" t="str">
        <f>IF(J1415=0,"Cash Pay",IF(J1415&gt;0,"PIK Until "&amp;$J$1420+INT(J1415)-1,"Error"))</f>
        <v>Cash Pay</v>
      </c>
      <c r="J160" s="164">
        <f t="shared" ref="J160:S160" si="61">J1431</f>
        <v>0.11</v>
      </c>
      <c r="K160" s="164">
        <f t="shared" si="61"/>
        <v>0.11</v>
      </c>
      <c r="L160" s="164">
        <f t="shared" si="61"/>
        <v>0.11</v>
      </c>
      <c r="M160" s="164">
        <f t="shared" si="61"/>
        <v>0.11</v>
      </c>
      <c r="N160" s="164">
        <f t="shared" si="61"/>
        <v>0.11</v>
      </c>
      <c r="O160" s="164">
        <f t="shared" si="61"/>
        <v>0.11</v>
      </c>
      <c r="P160" s="164">
        <f t="shared" si="61"/>
        <v>0.11</v>
      </c>
      <c r="Q160" s="164">
        <f t="shared" si="61"/>
        <v>0.11</v>
      </c>
      <c r="R160" s="164">
        <f t="shared" si="61"/>
        <v>0.11</v>
      </c>
      <c r="S160" s="164">
        <f t="shared" si="61"/>
        <v>0.11</v>
      </c>
      <c r="T160" s="294"/>
    </row>
    <row r="161" spans="1:20" ht="4.95" customHeight="1" x14ac:dyDescent="0.25">
      <c r="A161" s="302"/>
      <c r="C161" s="294"/>
      <c r="D161" s="803"/>
      <c r="G161" s="871"/>
      <c r="J161" s="164"/>
      <c r="K161" s="164"/>
      <c r="L161" s="164"/>
      <c r="M161" s="164"/>
      <c r="N161" s="164"/>
      <c r="O161" s="164"/>
      <c r="P161" s="164"/>
      <c r="Q161" s="164"/>
      <c r="R161" s="164"/>
      <c r="S161" s="164"/>
      <c r="T161" s="294"/>
    </row>
    <row r="162" spans="1:20" ht="18" customHeight="1" x14ac:dyDescent="0.25">
      <c r="A162" s="302"/>
      <c r="C162" s="294"/>
      <c r="D162" s="803" t="str">
        <f>"  "&amp;D1416&amp;"................................................................................................................................"</f>
        <v xml:space="preserve">  Debt 5................................................................................................................................</v>
      </c>
      <c r="G162" s="869" t="str">
        <f>IF(J1416=0,"Cash Pay",IF(J1416&gt;0,"PIK Until "&amp;$J$1420+INT(J1416)-1,"Error"))</f>
        <v>Cash Pay</v>
      </c>
      <c r="J162" s="164">
        <f t="shared" ref="J162:S162" si="62">J1432</f>
        <v>0.11</v>
      </c>
      <c r="K162" s="164">
        <f t="shared" si="62"/>
        <v>0.11</v>
      </c>
      <c r="L162" s="164">
        <f t="shared" si="62"/>
        <v>0.11</v>
      </c>
      <c r="M162" s="164">
        <f t="shared" si="62"/>
        <v>0.11</v>
      </c>
      <c r="N162" s="164">
        <f t="shared" si="62"/>
        <v>0.11</v>
      </c>
      <c r="O162" s="164">
        <f t="shared" si="62"/>
        <v>0.11</v>
      </c>
      <c r="P162" s="164">
        <f t="shared" si="62"/>
        <v>0.11</v>
      </c>
      <c r="Q162" s="164">
        <f t="shared" si="62"/>
        <v>0.11</v>
      </c>
      <c r="R162" s="164">
        <f t="shared" si="62"/>
        <v>0.11</v>
      </c>
      <c r="S162" s="164">
        <f t="shared" si="62"/>
        <v>0.11</v>
      </c>
      <c r="T162" s="294"/>
    </row>
    <row r="163" spans="1:20" ht="4.95" customHeight="1" x14ac:dyDescent="0.25">
      <c r="A163" s="302"/>
      <c r="C163" s="294"/>
      <c r="D163" s="803"/>
      <c r="G163" s="554"/>
      <c r="J163" s="164"/>
      <c r="K163" s="164"/>
      <c r="L163" s="164"/>
      <c r="M163" s="164"/>
      <c r="N163" s="164"/>
      <c r="O163" s="164"/>
      <c r="P163" s="164"/>
      <c r="Q163" s="164"/>
      <c r="R163" s="164"/>
      <c r="S163" s="164"/>
      <c r="T163" s="294"/>
    </row>
    <row r="164" spans="1:20" ht="18" customHeight="1" x14ac:dyDescent="0.25">
      <c r="A164" s="302"/>
      <c r="C164" s="294"/>
      <c r="D164" s="803" t="str">
        <f>"  "&amp;D1417&amp;".............................................................................................."</f>
        <v xml:space="preserve">  Preferred 1..............................................................................................</v>
      </c>
      <c r="G164" s="869" t="str">
        <f>IF(J1417=0,"Cash Pay",IF(J1417&gt;0,"PIK Until "&amp;$J$1420+INT(J1417)-1,"Error"))</f>
        <v>Cash Pay</v>
      </c>
      <c r="J164" s="164">
        <f t="shared" ref="J164:S164" si="63">J1433</f>
        <v>0.1</v>
      </c>
      <c r="K164" s="164">
        <f t="shared" si="63"/>
        <v>0.1</v>
      </c>
      <c r="L164" s="164">
        <f t="shared" si="63"/>
        <v>0.1</v>
      </c>
      <c r="M164" s="164">
        <f t="shared" si="63"/>
        <v>0.1</v>
      </c>
      <c r="N164" s="164">
        <f t="shared" si="63"/>
        <v>0.1</v>
      </c>
      <c r="O164" s="164">
        <f t="shared" si="63"/>
        <v>0.1</v>
      </c>
      <c r="P164" s="164">
        <f t="shared" si="63"/>
        <v>0.1</v>
      </c>
      <c r="Q164" s="164">
        <f t="shared" si="63"/>
        <v>0.1</v>
      </c>
      <c r="R164" s="164">
        <f t="shared" si="63"/>
        <v>0.1</v>
      </c>
      <c r="S164" s="164">
        <f t="shared" si="63"/>
        <v>0.1</v>
      </c>
      <c r="T164" s="294"/>
    </row>
    <row r="165" spans="1:20" ht="4.95" customHeight="1" x14ac:dyDescent="0.25">
      <c r="A165" s="302"/>
      <c r="C165" s="294"/>
      <c r="D165" s="803"/>
      <c r="G165" s="554"/>
      <c r="J165" s="164"/>
      <c r="K165" s="164"/>
      <c r="L165" s="164"/>
      <c r="M165" s="164"/>
      <c r="N165" s="164"/>
      <c r="O165" s="164"/>
      <c r="P165" s="164"/>
      <c r="Q165" s="164"/>
      <c r="R165" s="164"/>
      <c r="S165" s="164"/>
      <c r="T165" s="294"/>
    </row>
    <row r="166" spans="1:20" ht="18" customHeight="1" x14ac:dyDescent="0.25">
      <c r="A166" s="302"/>
      <c r="C166" s="294"/>
      <c r="D166" s="803" t="str">
        <f>"  "&amp;D1418&amp;".............................................................................................."</f>
        <v xml:space="preserve">  Preferred 2..............................................................................................</v>
      </c>
      <c r="G166" s="869" t="str">
        <f>IF(J1418=0,"Cash Pay",IF(J1418&gt;0,"PIK Until "&amp;$J$1420+INT(J1418)-1,"Error"))</f>
        <v>Cash Pay</v>
      </c>
      <c r="J166" s="164">
        <f t="shared" ref="J166:S166" si="64">J1434</f>
        <v>0.1</v>
      </c>
      <c r="K166" s="164">
        <f t="shared" si="64"/>
        <v>0.1</v>
      </c>
      <c r="L166" s="164">
        <f t="shared" si="64"/>
        <v>0.1</v>
      </c>
      <c r="M166" s="164">
        <f t="shared" si="64"/>
        <v>0.1</v>
      </c>
      <c r="N166" s="164">
        <f t="shared" si="64"/>
        <v>0.1</v>
      </c>
      <c r="O166" s="164">
        <f t="shared" si="64"/>
        <v>0.1</v>
      </c>
      <c r="P166" s="164">
        <f t="shared" si="64"/>
        <v>0.1</v>
      </c>
      <c r="Q166" s="164">
        <f t="shared" si="64"/>
        <v>0.1</v>
      </c>
      <c r="R166" s="164">
        <f t="shared" si="64"/>
        <v>0.1</v>
      </c>
      <c r="S166" s="164">
        <f t="shared" si="64"/>
        <v>0.1</v>
      </c>
      <c r="T166" s="294"/>
    </row>
    <row r="167" spans="1:20" x14ac:dyDescent="0.25">
      <c r="A167" s="302"/>
      <c r="C167" s="294"/>
      <c r="D167" s="4"/>
      <c r="G167" s="554" t="s">
        <v>139</v>
      </c>
      <c r="J167" s="41"/>
      <c r="K167" s="41"/>
      <c r="L167" s="41"/>
      <c r="M167" s="41"/>
      <c r="N167" s="41"/>
      <c r="P167" s="41"/>
      <c r="Q167" s="41"/>
      <c r="R167" s="41"/>
      <c r="S167" s="41"/>
      <c r="T167" s="294"/>
    </row>
    <row r="168" spans="1:20" x14ac:dyDescent="0.25">
      <c r="A168" s="302"/>
      <c r="C168" s="294"/>
      <c r="D168" s="552" t="s">
        <v>140</v>
      </c>
      <c r="G168" s="859" t="s">
        <v>101</v>
      </c>
      <c r="I168" s="13"/>
      <c r="J168" s="163">
        <f t="shared" ref="J168:S168" si="65">J1435</f>
        <v>0.05</v>
      </c>
      <c r="K168" s="163">
        <f t="shared" si="65"/>
        <v>0.05</v>
      </c>
      <c r="L168" s="163">
        <f t="shared" si="65"/>
        <v>0.05</v>
      </c>
      <c r="M168" s="163">
        <f t="shared" si="65"/>
        <v>0.05</v>
      </c>
      <c r="N168" s="163">
        <f t="shared" si="65"/>
        <v>0.05</v>
      </c>
      <c r="O168" s="163">
        <f t="shared" si="65"/>
        <v>0.05</v>
      </c>
      <c r="P168" s="163">
        <f t="shared" si="65"/>
        <v>0.05</v>
      </c>
      <c r="Q168" s="163">
        <f t="shared" si="65"/>
        <v>0.05</v>
      </c>
      <c r="R168" s="163">
        <f t="shared" si="65"/>
        <v>0.05</v>
      </c>
      <c r="S168" s="163">
        <f t="shared" si="65"/>
        <v>0.05</v>
      </c>
      <c r="T168" s="294"/>
    </row>
    <row r="169" spans="1:20" x14ac:dyDescent="0.25">
      <c r="A169" s="302"/>
      <c r="C169" s="294"/>
      <c r="I169" s="383"/>
      <c r="J169" s="378"/>
      <c r="K169" s="378"/>
      <c r="L169" s="378"/>
      <c r="M169" s="378"/>
      <c r="N169" s="378"/>
      <c r="O169" s="378"/>
      <c r="P169" s="378"/>
      <c r="Q169" s="378"/>
      <c r="R169" s="378"/>
      <c r="S169" s="378"/>
      <c r="T169" s="294"/>
    </row>
    <row r="170" spans="1:20" x14ac:dyDescent="0.25">
      <c r="A170" s="302"/>
      <c r="C170" s="294"/>
      <c r="D170" s="552" t="s">
        <v>141</v>
      </c>
      <c r="F170" s="11"/>
      <c r="G170" s="554" t="s">
        <v>139</v>
      </c>
      <c r="H170" s="11"/>
      <c r="I170" s="266"/>
      <c r="J170" s="376">
        <f t="shared" ref="J170:S170" si="66">J1436</f>
        <v>0.35</v>
      </c>
      <c r="K170" s="376">
        <f t="shared" si="66"/>
        <v>0.35</v>
      </c>
      <c r="L170" s="376">
        <f t="shared" si="66"/>
        <v>0.35</v>
      </c>
      <c r="M170" s="376">
        <f t="shared" si="66"/>
        <v>0.35</v>
      </c>
      <c r="N170" s="376">
        <f t="shared" si="66"/>
        <v>0.35</v>
      </c>
      <c r="O170" s="376">
        <f t="shared" si="66"/>
        <v>0.35</v>
      </c>
      <c r="P170" s="376">
        <f t="shared" si="66"/>
        <v>0.35</v>
      </c>
      <c r="Q170" s="376">
        <f t="shared" si="66"/>
        <v>0.35</v>
      </c>
      <c r="R170" s="376">
        <f t="shared" si="66"/>
        <v>0.35</v>
      </c>
      <c r="S170" s="376">
        <f t="shared" si="66"/>
        <v>0.35</v>
      </c>
      <c r="T170" s="294"/>
    </row>
    <row r="171" spans="1:20" x14ac:dyDescent="0.25">
      <c r="A171" s="302"/>
      <c r="C171" s="294"/>
      <c r="D171" s="553" t="s">
        <v>142</v>
      </c>
      <c r="F171" s="11"/>
      <c r="G171" s="554" t="s">
        <v>139</v>
      </c>
      <c r="H171" s="11"/>
      <c r="I171" s="266"/>
      <c r="J171" s="376">
        <f t="shared" ref="J171:S171" si="67">J1437</f>
        <v>0</v>
      </c>
      <c r="K171" s="376">
        <f t="shared" si="67"/>
        <v>0</v>
      </c>
      <c r="L171" s="376">
        <f t="shared" si="67"/>
        <v>0</v>
      </c>
      <c r="M171" s="376">
        <f t="shared" si="67"/>
        <v>0</v>
      </c>
      <c r="N171" s="376">
        <f t="shared" si="67"/>
        <v>0</v>
      </c>
      <c r="O171" s="376">
        <f t="shared" si="67"/>
        <v>0</v>
      </c>
      <c r="P171" s="376">
        <f t="shared" si="67"/>
        <v>0</v>
      </c>
      <c r="Q171" s="376">
        <f t="shared" si="67"/>
        <v>0</v>
      </c>
      <c r="R171" s="376">
        <f t="shared" si="67"/>
        <v>0</v>
      </c>
      <c r="S171" s="376">
        <f t="shared" si="67"/>
        <v>0</v>
      </c>
      <c r="T171" s="294"/>
    </row>
    <row r="172" spans="1:20" x14ac:dyDescent="0.25">
      <c r="A172" s="302"/>
      <c r="C172" s="294"/>
      <c r="D172" s="4"/>
      <c r="G172" s="554" t="s">
        <v>139</v>
      </c>
      <c r="O172" s="1"/>
      <c r="S172" s="41"/>
      <c r="T172" s="294"/>
    </row>
    <row r="173" spans="1:20" x14ac:dyDescent="0.25">
      <c r="A173" s="302"/>
      <c r="C173" s="294"/>
      <c r="D173" s="553" t="s">
        <v>143</v>
      </c>
      <c r="G173" s="600" t="s">
        <v>101</v>
      </c>
      <c r="J173" s="267">
        <f t="shared" ref="J173:S173" si="68">J1438</f>
        <v>3.5000000000000003E-2</v>
      </c>
      <c r="K173" s="267">
        <f t="shared" si="68"/>
        <v>3.5000000000000003E-2</v>
      </c>
      <c r="L173" s="267">
        <f t="shared" si="68"/>
        <v>3.5000000000000003E-2</v>
      </c>
      <c r="M173" s="267">
        <f t="shared" si="68"/>
        <v>3.5000000000000003E-2</v>
      </c>
      <c r="N173" s="267">
        <f t="shared" si="68"/>
        <v>3.5000000000000003E-2</v>
      </c>
      <c r="O173" s="267">
        <f t="shared" si="68"/>
        <v>3.5000000000000003E-2</v>
      </c>
      <c r="P173" s="267">
        <f t="shared" si="68"/>
        <v>3.5000000000000003E-2</v>
      </c>
      <c r="Q173" s="267">
        <f t="shared" si="68"/>
        <v>3.5000000000000003E-2</v>
      </c>
      <c r="R173" s="267">
        <f t="shared" si="68"/>
        <v>3.5000000000000003E-2</v>
      </c>
      <c r="S173" s="505">
        <f t="shared" si="68"/>
        <v>3.5000000000000003E-2</v>
      </c>
      <c r="T173" s="294"/>
    </row>
    <row r="174" spans="1:20" x14ac:dyDescent="0.25">
      <c r="A174" s="302"/>
      <c r="C174" s="294"/>
      <c r="O174" s="1"/>
      <c r="S174" s="41"/>
      <c r="T174" s="294"/>
    </row>
    <row r="175" spans="1:20" x14ac:dyDescent="0.25">
      <c r="A175" s="302"/>
      <c r="C175" s="294"/>
      <c r="O175" s="1"/>
      <c r="S175" s="41"/>
      <c r="T175" s="294"/>
    </row>
    <row r="176" spans="1:20" x14ac:dyDescent="0.25">
      <c r="A176" s="302"/>
      <c r="C176" s="294"/>
      <c r="O176" s="1"/>
      <c r="S176" s="41"/>
      <c r="T176" s="294"/>
    </row>
    <row r="177" spans="1:20" ht="24.75" customHeight="1" x14ac:dyDescent="0.25">
      <c r="A177" s="304"/>
      <c r="C177" s="299"/>
      <c r="D177" s="624" t="s">
        <v>144</v>
      </c>
      <c r="E177" s="170"/>
      <c r="F177" s="170"/>
      <c r="G177" s="170"/>
      <c r="H177" s="170"/>
      <c r="I177" s="170"/>
      <c r="J177" s="170"/>
      <c r="K177" s="170"/>
      <c r="L177" s="170"/>
      <c r="M177" s="170"/>
      <c r="N177" s="170"/>
      <c r="O177" s="170"/>
      <c r="P177" s="170"/>
      <c r="Q177" s="170"/>
      <c r="R177" s="170"/>
      <c r="S177" s="213"/>
      <c r="T177" s="294"/>
    </row>
    <row r="178" spans="1:20" x14ac:dyDescent="0.25">
      <c r="A178" s="302"/>
      <c r="C178" s="294"/>
      <c r="D178" s="5"/>
      <c r="E178" s="5"/>
      <c r="F178" s="207"/>
      <c r="G178" s="625" t="s">
        <v>145</v>
      </c>
      <c r="H178" s="196"/>
      <c r="I178" s="207"/>
      <c r="L178" s="5"/>
      <c r="M178" s="5"/>
      <c r="N178" s="5"/>
      <c r="O178" s="5"/>
      <c r="P178" s="207"/>
      <c r="Q178" s="625" t="s">
        <v>145</v>
      </c>
      <c r="R178" s="196"/>
      <c r="S178" s="506"/>
      <c r="T178" s="294"/>
    </row>
    <row r="179" spans="1:20" x14ac:dyDescent="0.25">
      <c r="A179" s="302"/>
      <c r="C179" s="294"/>
      <c r="E179" s="5"/>
      <c r="F179" s="626" t="s">
        <v>146</v>
      </c>
      <c r="G179" s="175"/>
      <c r="H179" s="207"/>
      <c r="I179" s="207"/>
      <c r="L179" s="5"/>
      <c r="N179" s="5"/>
      <c r="O179" s="5"/>
      <c r="P179" s="626" t="s">
        <v>146</v>
      </c>
      <c r="Q179" s="175"/>
      <c r="R179" s="207"/>
      <c r="S179" s="506"/>
      <c r="T179" s="294"/>
    </row>
    <row r="180" spans="1:20" x14ac:dyDescent="0.25">
      <c r="A180" s="302"/>
      <c r="C180" s="294"/>
      <c r="D180" s="629" t="s">
        <v>147</v>
      </c>
      <c r="E180" s="5"/>
      <c r="F180" s="379">
        <f>P180</f>
        <v>35795</v>
      </c>
      <c r="G180" s="627" t="s">
        <v>148</v>
      </c>
      <c r="H180" s="627" t="s">
        <v>149</v>
      </c>
      <c r="I180" s="627" t="s">
        <v>82</v>
      </c>
      <c r="L180" s="5"/>
      <c r="M180" s="629" t="s">
        <v>150</v>
      </c>
      <c r="N180" s="5"/>
      <c r="O180" s="5"/>
      <c r="P180" s="379">
        <f>H1373</f>
        <v>35795</v>
      </c>
      <c r="Q180" s="627" t="s">
        <v>148</v>
      </c>
      <c r="R180" s="627" t="s">
        <v>149</v>
      </c>
      <c r="S180" s="628" t="s">
        <v>82</v>
      </c>
      <c r="T180" s="294"/>
    </row>
    <row r="181" spans="1:20" x14ac:dyDescent="0.25">
      <c r="A181" s="302"/>
      <c r="C181" s="294"/>
      <c r="D181" s="630" t="s">
        <v>151</v>
      </c>
      <c r="E181" s="5"/>
      <c r="F181" s="5"/>
      <c r="G181" s="5"/>
      <c r="H181" s="5"/>
      <c r="I181" s="5"/>
      <c r="L181" s="5"/>
      <c r="M181" s="630" t="s">
        <v>151</v>
      </c>
      <c r="N181" s="5"/>
      <c r="O181" s="5"/>
      <c r="P181" s="5"/>
      <c r="Q181" s="25"/>
      <c r="R181" s="5"/>
      <c r="S181" s="60"/>
      <c r="T181" s="294"/>
    </row>
    <row r="182" spans="1:20" x14ac:dyDescent="0.25">
      <c r="A182" s="302"/>
      <c r="C182" s="294"/>
      <c r="D182" s="631" t="s">
        <v>152</v>
      </c>
      <c r="E182" s="5"/>
      <c r="F182" s="540">
        <v>125</v>
      </c>
      <c r="G182" s="524">
        <v>0</v>
      </c>
      <c r="H182" s="7">
        <f ca="1">J44</f>
        <v>0</v>
      </c>
      <c r="I182" s="7">
        <f ca="1">F182+G182-H182</f>
        <v>125</v>
      </c>
      <c r="L182" s="7"/>
      <c r="M182" s="6" t="str">
        <f>"  "&amp;D1407&amp;"................................................................"</f>
        <v xml:space="preserve">  Short Term Debt................................................................</v>
      </c>
      <c r="N182" s="7"/>
      <c r="O182" s="7"/>
      <c r="P182" s="540">
        <v>0</v>
      </c>
      <c r="Q182" s="918">
        <f ca="1">$F$50</f>
        <v>0</v>
      </c>
      <c r="R182" s="540">
        <v>0</v>
      </c>
      <c r="S182" s="62">
        <f t="shared" ref="S182:S187" ca="1" si="69">P182+R182-Q182</f>
        <v>0</v>
      </c>
      <c r="T182" s="294"/>
    </row>
    <row r="183" spans="1:20" x14ac:dyDescent="0.25">
      <c r="A183" s="302"/>
      <c r="C183" s="294"/>
      <c r="D183" s="552" t="s">
        <v>153</v>
      </c>
      <c r="F183" s="541">
        <v>0</v>
      </c>
      <c r="G183" s="384">
        <f ca="1">F53</f>
        <v>0</v>
      </c>
      <c r="H183" s="525">
        <v>0</v>
      </c>
      <c r="I183" s="5">
        <f ca="1">F183+G183-H183</f>
        <v>0</v>
      </c>
      <c r="L183" s="5"/>
      <c r="M183" s="631" t="s">
        <v>154</v>
      </c>
      <c r="N183" s="5"/>
      <c r="O183" s="5"/>
      <c r="P183" s="541">
        <v>15</v>
      </c>
      <c r="Q183" s="541">
        <v>0</v>
      </c>
      <c r="R183" s="541">
        <v>0</v>
      </c>
      <c r="S183" s="60">
        <f t="shared" si="69"/>
        <v>15</v>
      </c>
      <c r="T183" s="294"/>
    </row>
    <row r="184" spans="1:20" x14ac:dyDescent="0.25">
      <c r="A184" s="302"/>
      <c r="C184" s="294"/>
      <c r="D184" s="631" t="s">
        <v>155</v>
      </c>
      <c r="E184" s="5"/>
      <c r="F184" s="541">
        <v>20</v>
      </c>
      <c r="G184" s="541">
        <v>0</v>
      </c>
      <c r="H184" s="541">
        <v>0</v>
      </c>
      <c r="I184" s="5">
        <f>F184+G184-H184</f>
        <v>20</v>
      </c>
      <c r="L184" s="5"/>
      <c r="M184" s="631" t="s">
        <v>156</v>
      </c>
      <c r="O184" s="1"/>
      <c r="P184" s="541">
        <v>0</v>
      </c>
      <c r="Q184" s="541">
        <v>0</v>
      </c>
      <c r="R184" s="541">
        <v>0</v>
      </c>
      <c r="S184" s="60">
        <f t="shared" si="69"/>
        <v>0</v>
      </c>
      <c r="T184" s="294"/>
    </row>
    <row r="185" spans="1:20" x14ac:dyDescent="0.25">
      <c r="A185" s="302"/>
      <c r="C185" s="294"/>
      <c r="D185" s="631" t="s">
        <v>157</v>
      </c>
      <c r="E185" s="5"/>
      <c r="F185" s="541">
        <v>0</v>
      </c>
      <c r="G185" s="541">
        <v>0</v>
      </c>
      <c r="H185" s="541">
        <v>0</v>
      </c>
      <c r="I185" s="5">
        <f>F185+G185-H185</f>
        <v>0</v>
      </c>
      <c r="L185" s="5"/>
      <c r="M185" s="631" t="s">
        <v>158</v>
      </c>
      <c r="N185" s="5"/>
      <c r="O185" s="5"/>
      <c r="P185" s="541">
        <v>0</v>
      </c>
      <c r="Q185" s="541">
        <v>0</v>
      </c>
      <c r="R185" s="541">
        <v>0</v>
      </c>
      <c r="S185" s="60">
        <f t="shared" si="69"/>
        <v>0</v>
      </c>
      <c r="T185" s="294"/>
    </row>
    <row r="186" spans="1:20" x14ac:dyDescent="0.25">
      <c r="A186" s="302"/>
      <c r="C186" s="294"/>
      <c r="D186" s="631" t="s">
        <v>159</v>
      </c>
      <c r="E186" s="5"/>
      <c r="F186" s="541">
        <v>0</v>
      </c>
      <c r="G186" s="541">
        <v>0</v>
      </c>
      <c r="H186" s="541">
        <v>0</v>
      </c>
      <c r="I186" s="5">
        <f>F186+G186-H186</f>
        <v>0</v>
      </c>
      <c r="L186" s="5"/>
      <c r="M186" s="631" t="s">
        <v>160</v>
      </c>
      <c r="N186" s="5"/>
      <c r="O186" s="5"/>
      <c r="P186" s="541">
        <v>0</v>
      </c>
      <c r="Q186" s="541">
        <v>0</v>
      </c>
      <c r="R186" s="541">
        <v>0</v>
      </c>
      <c r="S186" s="60">
        <f t="shared" si="69"/>
        <v>0</v>
      </c>
      <c r="T186" s="294"/>
    </row>
    <row r="187" spans="1:20" x14ac:dyDescent="0.25">
      <c r="A187" s="302"/>
      <c r="C187" s="294"/>
      <c r="D187" s="5"/>
      <c r="E187" s="5"/>
      <c r="F187" s="542" t="s">
        <v>66</v>
      </c>
      <c r="G187" s="542" t="s">
        <v>66</v>
      </c>
      <c r="H187" s="542" t="s">
        <v>66</v>
      </c>
      <c r="I187" s="542" t="s">
        <v>66</v>
      </c>
      <c r="L187" s="5"/>
      <c r="M187" s="631" t="s">
        <v>161</v>
      </c>
      <c r="N187" s="5"/>
      <c r="O187" s="5"/>
      <c r="P187" s="541">
        <v>0</v>
      </c>
      <c r="Q187" s="541">
        <v>0</v>
      </c>
      <c r="R187" s="541">
        <v>0</v>
      </c>
      <c r="S187" s="60">
        <f t="shared" si="69"/>
        <v>0</v>
      </c>
      <c r="T187" s="294"/>
    </row>
    <row r="188" spans="1:20" x14ac:dyDescent="0.25">
      <c r="A188" s="302"/>
      <c r="C188" s="294"/>
      <c r="D188" s="631" t="s">
        <v>162</v>
      </c>
      <c r="E188" s="5"/>
      <c r="F188" s="5">
        <f>SUM(F182:F187)</f>
        <v>145</v>
      </c>
      <c r="G188" s="5">
        <f ca="1">SUM(G182:G187)</f>
        <v>0</v>
      </c>
      <c r="H188" s="5">
        <f ca="1">SUM(H182:H187)</f>
        <v>0</v>
      </c>
      <c r="I188" s="5">
        <f ca="1">SUM(I182:I187)</f>
        <v>145</v>
      </c>
      <c r="L188" s="5"/>
      <c r="M188" s="5"/>
      <c r="N188" s="5"/>
      <c r="O188" s="5"/>
      <c r="P188" s="542" t="s">
        <v>66</v>
      </c>
      <c r="Q188" s="542" t="s">
        <v>66</v>
      </c>
      <c r="R188" s="542" t="s">
        <v>66</v>
      </c>
      <c r="S188" s="542" t="s">
        <v>66</v>
      </c>
      <c r="T188" s="294"/>
    </row>
    <row r="189" spans="1:20" x14ac:dyDescent="0.25">
      <c r="A189" s="302"/>
      <c r="C189" s="294"/>
      <c r="F189" s="5"/>
      <c r="G189" s="5"/>
      <c r="H189" s="5"/>
      <c r="I189" s="5"/>
      <c r="L189" s="5"/>
      <c r="M189" s="631" t="s">
        <v>163</v>
      </c>
      <c r="N189" s="5"/>
      <c r="O189" s="5"/>
      <c r="P189" s="5">
        <f>SUM(P182:P188)</f>
        <v>15</v>
      </c>
      <c r="Q189" s="5">
        <f ca="1">SUM(Q182:Q188)</f>
        <v>0</v>
      </c>
      <c r="R189" s="5">
        <f>SUM(R182:R188)</f>
        <v>0</v>
      </c>
      <c r="S189" s="60">
        <f ca="1">SUM(S182:S188)</f>
        <v>15</v>
      </c>
      <c r="T189" s="294"/>
    </row>
    <row r="190" spans="1:20" x14ac:dyDescent="0.25">
      <c r="A190" s="302"/>
      <c r="C190" s="294"/>
      <c r="D190" s="5"/>
      <c r="E190" s="5"/>
      <c r="F190" s="5"/>
      <c r="G190" s="5"/>
      <c r="H190" s="5"/>
      <c r="I190" s="5"/>
      <c r="L190" s="5"/>
      <c r="M190" s="5"/>
      <c r="N190" s="5"/>
      <c r="O190" s="5"/>
      <c r="P190" s="5"/>
      <c r="Q190" s="5"/>
      <c r="R190" s="5"/>
      <c r="S190" s="60"/>
      <c r="T190" s="294"/>
    </row>
    <row r="191" spans="1:20" x14ac:dyDescent="0.25">
      <c r="A191" s="302"/>
      <c r="C191" s="294"/>
      <c r="D191" s="631" t="s">
        <v>164</v>
      </c>
      <c r="E191" s="5"/>
      <c r="F191" s="541">
        <v>250</v>
      </c>
      <c r="G191" s="5">
        <f>J212</f>
        <v>0</v>
      </c>
      <c r="H191" s="541">
        <v>0</v>
      </c>
      <c r="I191" s="5">
        <f>F191+G191-H191</f>
        <v>250</v>
      </c>
      <c r="L191" s="5"/>
      <c r="M191" s="631" t="s">
        <v>165</v>
      </c>
      <c r="N191" s="5"/>
      <c r="O191" s="5"/>
      <c r="P191" s="5"/>
      <c r="Q191" s="5"/>
      <c r="R191" s="5"/>
      <c r="S191" s="60"/>
      <c r="T191" s="294"/>
    </row>
    <row r="192" spans="1:20" x14ac:dyDescent="0.25">
      <c r="A192" s="302"/>
      <c r="C192" s="294"/>
      <c r="D192" s="601" t="s">
        <v>166</v>
      </c>
      <c r="E192" s="5"/>
      <c r="F192" s="541">
        <v>75</v>
      </c>
      <c r="G192" s="541">
        <v>0</v>
      </c>
      <c r="H192" s="541">
        <v>0</v>
      </c>
      <c r="I192" s="5">
        <f>F192+G192-H192</f>
        <v>75</v>
      </c>
      <c r="L192" s="5"/>
      <c r="M192" s="6" t="str">
        <f t="shared" ref="M192:M200" si="70">"  "&amp;D1408&amp;"................................................................"</f>
        <v xml:space="preserve">  Existing Debt................................................................</v>
      </c>
      <c r="N192" s="5"/>
      <c r="O192" s="5"/>
      <c r="P192" s="541">
        <v>150</v>
      </c>
      <c r="Q192" s="5">
        <f ca="1">$F$51</f>
        <v>0</v>
      </c>
      <c r="R192" s="541">
        <v>0</v>
      </c>
      <c r="S192" s="60">
        <f t="shared" ref="S192:S200" ca="1" si="71">P192+R192-Q192</f>
        <v>150</v>
      </c>
      <c r="T192" s="294"/>
    </row>
    <row r="193" spans="1:20" x14ac:dyDescent="0.25">
      <c r="A193" s="302"/>
      <c r="C193" s="294"/>
      <c r="D193" s="5"/>
      <c r="E193" s="5"/>
      <c r="F193" s="542" t="s">
        <v>66</v>
      </c>
      <c r="G193" s="542" t="s">
        <v>66</v>
      </c>
      <c r="H193" s="542" t="s">
        <v>66</v>
      </c>
      <c r="I193" s="542" t="s">
        <v>66</v>
      </c>
      <c r="L193" s="5"/>
      <c r="M193" s="6" t="str">
        <f t="shared" si="70"/>
        <v xml:space="preserve">  Revolver................................................................</v>
      </c>
      <c r="N193" s="5"/>
      <c r="O193" s="5"/>
      <c r="P193" s="541">
        <v>0</v>
      </c>
      <c r="Q193" s="541">
        <v>0</v>
      </c>
      <c r="R193" s="29">
        <f t="shared" ref="R193:R200" ca="1" si="72">J45</f>
        <v>0</v>
      </c>
      <c r="S193" s="60">
        <f t="shared" ca="1" si="71"/>
        <v>0</v>
      </c>
      <c r="T193" s="294"/>
    </row>
    <row r="194" spans="1:20" x14ac:dyDescent="0.25">
      <c r="A194" s="302"/>
      <c r="B194" s="4"/>
      <c r="C194" s="299"/>
      <c r="D194" s="601" t="s">
        <v>167</v>
      </c>
      <c r="E194" s="5"/>
      <c r="F194" s="5">
        <f>F191-F192</f>
        <v>175</v>
      </c>
      <c r="G194" s="5">
        <f>G191-G192</f>
        <v>0</v>
      </c>
      <c r="H194" s="5">
        <f>H191-H192</f>
        <v>0</v>
      </c>
      <c r="I194" s="5">
        <f>I191-I192</f>
        <v>175</v>
      </c>
      <c r="L194" s="5"/>
      <c r="M194" s="6" t="str">
        <f t="shared" si="70"/>
        <v xml:space="preserve">  Term Loan................................................................</v>
      </c>
      <c r="O194" s="1"/>
      <c r="P194" s="541">
        <v>0</v>
      </c>
      <c r="Q194" s="541">
        <v>0</v>
      </c>
      <c r="R194" s="29">
        <f t="shared" ca="1" si="72"/>
        <v>0</v>
      </c>
      <c r="S194" s="60">
        <f t="shared" ca="1" si="71"/>
        <v>0</v>
      </c>
      <c r="T194" s="294"/>
    </row>
    <row r="195" spans="1:20" x14ac:dyDescent="0.25">
      <c r="A195" s="302"/>
      <c r="B195" s="4"/>
      <c r="C195" s="299"/>
      <c r="E195" s="5"/>
      <c r="F195" s="5"/>
      <c r="G195" s="5"/>
      <c r="H195" s="5"/>
      <c r="I195" s="5"/>
      <c r="L195" s="5"/>
      <c r="M195" s="6" t="str">
        <f t="shared" si="70"/>
        <v xml:space="preserve">  Evergreen Revolver................................................................</v>
      </c>
      <c r="O195" s="1"/>
      <c r="P195" s="541">
        <v>0</v>
      </c>
      <c r="Q195" s="541">
        <v>0</v>
      </c>
      <c r="R195" s="29">
        <f t="shared" ca="1" si="72"/>
        <v>0</v>
      </c>
      <c r="S195" s="60">
        <f t="shared" ca="1" si="71"/>
        <v>0</v>
      </c>
      <c r="T195" s="294"/>
    </row>
    <row r="196" spans="1:20" x14ac:dyDescent="0.25">
      <c r="A196" s="632"/>
      <c r="B196" s="4"/>
      <c r="C196" s="299"/>
      <c r="D196" s="631" t="s">
        <v>168</v>
      </c>
      <c r="E196" s="5"/>
      <c r="F196" s="5"/>
      <c r="G196" s="5"/>
      <c r="H196" s="5"/>
      <c r="I196" s="5"/>
      <c r="L196" s="5"/>
      <c r="M196" s="6" t="str">
        <f t="shared" si="70"/>
        <v xml:space="preserve">  Debt 1................................................................</v>
      </c>
      <c r="O196" s="1"/>
      <c r="P196" s="541">
        <v>0</v>
      </c>
      <c r="Q196" s="541">
        <v>0</v>
      </c>
      <c r="R196" s="29">
        <f t="shared" ca="1" si="72"/>
        <v>0</v>
      </c>
      <c r="S196" s="60">
        <f t="shared" ca="1" si="71"/>
        <v>0</v>
      </c>
      <c r="T196" s="294"/>
    </row>
    <row r="197" spans="1:20" x14ac:dyDescent="0.25">
      <c r="A197" s="302"/>
      <c r="B197" s="4"/>
      <c r="C197" s="299"/>
      <c r="D197" s="552" t="s">
        <v>169</v>
      </c>
      <c r="E197" s="5"/>
      <c r="F197" s="541">
        <v>0</v>
      </c>
      <c r="G197" s="541">
        <v>0</v>
      </c>
      <c r="H197" s="541">
        <v>0</v>
      </c>
      <c r="I197" s="5">
        <f>F197+G197-H197</f>
        <v>0</v>
      </c>
      <c r="L197" s="5"/>
      <c r="M197" s="6" t="str">
        <f t="shared" si="70"/>
        <v xml:space="preserve">  Debt 2................................................................</v>
      </c>
      <c r="O197" s="1"/>
      <c r="P197" s="541">
        <v>0</v>
      </c>
      <c r="Q197" s="541">
        <v>0</v>
      </c>
      <c r="R197" s="29">
        <f t="shared" ca="1" si="72"/>
        <v>0</v>
      </c>
      <c r="S197" s="60">
        <f t="shared" ca="1" si="71"/>
        <v>0</v>
      </c>
      <c r="T197" s="294"/>
    </row>
    <row r="198" spans="1:20" x14ac:dyDescent="0.25">
      <c r="A198" s="302"/>
      <c r="C198" s="294"/>
      <c r="D198" s="631" t="s">
        <v>170</v>
      </c>
      <c r="E198" s="5"/>
      <c r="F198" s="541">
        <v>0</v>
      </c>
      <c r="G198" s="541">
        <v>0</v>
      </c>
      <c r="H198" s="541">
        <v>0</v>
      </c>
      <c r="I198" s="5">
        <f>F198+G198-H198</f>
        <v>0</v>
      </c>
      <c r="L198" s="5"/>
      <c r="M198" s="6" t="str">
        <f t="shared" si="70"/>
        <v xml:space="preserve">  Debt 3................................................................</v>
      </c>
      <c r="N198" s="5"/>
      <c r="O198" s="5"/>
      <c r="P198" s="541">
        <v>0</v>
      </c>
      <c r="Q198" s="541">
        <v>0</v>
      </c>
      <c r="R198" s="29">
        <f t="shared" ca="1" si="72"/>
        <v>0</v>
      </c>
      <c r="S198" s="60">
        <f t="shared" ca="1" si="71"/>
        <v>0</v>
      </c>
      <c r="T198" s="294"/>
    </row>
    <row r="199" spans="1:20" x14ac:dyDescent="0.25">
      <c r="A199" s="302"/>
      <c r="C199" s="294"/>
      <c r="D199" s="5"/>
      <c r="E199" s="5"/>
      <c r="F199" s="525"/>
      <c r="G199" s="5"/>
      <c r="H199" s="5"/>
      <c r="I199" s="5"/>
      <c r="L199" s="5"/>
      <c r="M199" s="6" t="str">
        <f t="shared" si="70"/>
        <v xml:space="preserve">  Debt 4................................................................</v>
      </c>
      <c r="O199" s="1"/>
      <c r="P199" s="541">
        <v>0</v>
      </c>
      <c r="Q199" s="541">
        <v>0</v>
      </c>
      <c r="R199" s="29">
        <f t="shared" ca="1" si="72"/>
        <v>0</v>
      </c>
      <c r="S199" s="60">
        <f t="shared" ca="1" si="71"/>
        <v>0</v>
      </c>
      <c r="T199" s="294"/>
    </row>
    <row r="200" spans="1:20" x14ac:dyDescent="0.25">
      <c r="A200" s="302"/>
      <c r="C200" s="294"/>
      <c r="D200" s="631" t="s">
        <v>171</v>
      </c>
      <c r="E200" s="5"/>
      <c r="F200" s="541">
        <v>0</v>
      </c>
      <c r="G200" s="5">
        <f ca="1">J213</f>
        <v>0</v>
      </c>
      <c r="H200" s="541">
        <v>0</v>
      </c>
      <c r="I200" s="5">
        <f ca="1">F200+G200-H200</f>
        <v>0</v>
      </c>
      <c r="L200" s="5"/>
      <c r="M200" s="6" t="str">
        <f t="shared" si="70"/>
        <v xml:space="preserve">  Debt 5................................................................</v>
      </c>
      <c r="N200" s="5"/>
      <c r="O200" s="5"/>
      <c r="P200" s="541">
        <v>0</v>
      </c>
      <c r="Q200" s="541">
        <v>0</v>
      </c>
      <c r="R200" s="29">
        <f t="shared" ca="1" si="72"/>
        <v>0</v>
      </c>
      <c r="S200" s="60">
        <f t="shared" ca="1" si="71"/>
        <v>0</v>
      </c>
      <c r="T200" s="294"/>
    </row>
    <row r="201" spans="1:20" x14ac:dyDescent="0.25">
      <c r="A201" s="302"/>
      <c r="C201" s="294"/>
      <c r="D201" s="631" t="s">
        <v>172</v>
      </c>
      <c r="E201" s="5"/>
      <c r="F201" s="541">
        <v>0</v>
      </c>
      <c r="G201" s="5">
        <f ca="1">F45*H1380</f>
        <v>0</v>
      </c>
      <c r="H201" s="541">
        <v>0</v>
      </c>
      <c r="I201" s="5">
        <f ca="1">F201+G201-H201</f>
        <v>0</v>
      </c>
      <c r="L201" s="5"/>
      <c r="M201" s="5"/>
      <c r="N201" s="5"/>
      <c r="O201" s="5"/>
      <c r="P201" s="542" t="s">
        <v>66</v>
      </c>
      <c r="Q201" s="542" t="s">
        <v>66</v>
      </c>
      <c r="R201" s="542" t="s">
        <v>66</v>
      </c>
      <c r="S201" s="542" t="s">
        <v>66</v>
      </c>
      <c r="T201" s="294"/>
    </row>
    <row r="202" spans="1:20" x14ac:dyDescent="0.25">
      <c r="A202" s="302"/>
      <c r="C202" s="294"/>
      <c r="D202" s="5"/>
      <c r="E202" s="5"/>
      <c r="F202" s="542" t="s">
        <v>66</v>
      </c>
      <c r="G202" s="542" t="s">
        <v>66</v>
      </c>
      <c r="H202" s="542" t="s">
        <v>66</v>
      </c>
      <c r="I202" s="542" t="s">
        <v>66</v>
      </c>
      <c r="L202" s="5"/>
      <c r="M202" s="631" t="s">
        <v>173</v>
      </c>
      <c r="N202" s="5"/>
      <c r="O202" s="5"/>
      <c r="P202" s="5">
        <f>SUM(P192:P201)</f>
        <v>150</v>
      </c>
      <c r="Q202" s="5">
        <f ca="1">SUM(Q192:Q201)</f>
        <v>0</v>
      </c>
      <c r="R202" s="5">
        <f ca="1">SUM(R192:R201)</f>
        <v>0</v>
      </c>
      <c r="S202" s="60">
        <f ca="1">SUM(S192:S201)</f>
        <v>150</v>
      </c>
      <c r="T202" s="294"/>
    </row>
    <row r="203" spans="1:20" x14ac:dyDescent="0.25">
      <c r="A203" s="302"/>
      <c r="C203" s="294"/>
      <c r="D203" s="631" t="s">
        <v>174</v>
      </c>
      <c r="E203" s="5"/>
      <c r="F203" s="7">
        <f>F188+SUM(F194:F202)</f>
        <v>320</v>
      </c>
      <c r="G203" s="7">
        <f ca="1">G188+SUM(G194:G202)</f>
        <v>0</v>
      </c>
      <c r="H203" s="7">
        <f ca="1">H188+SUM(H194:H202)</f>
        <v>0</v>
      </c>
      <c r="I203" s="7">
        <f ca="1">I188+SUM(I194:I202)</f>
        <v>320</v>
      </c>
      <c r="L203" s="7"/>
      <c r="O203" s="1"/>
      <c r="S203" s="41"/>
      <c r="T203" s="294"/>
    </row>
    <row r="204" spans="1:20" x14ac:dyDescent="0.25">
      <c r="A204" s="302"/>
      <c r="C204" s="294"/>
      <c r="D204" s="5"/>
      <c r="E204" s="5"/>
      <c r="F204" s="591" t="s">
        <v>76</v>
      </c>
      <c r="G204" s="591" t="s">
        <v>76</v>
      </c>
      <c r="H204" s="591" t="s">
        <v>76</v>
      </c>
      <c r="I204" s="591" t="s">
        <v>76</v>
      </c>
      <c r="L204" s="5"/>
      <c r="M204" s="631" t="s">
        <v>175</v>
      </c>
      <c r="N204" s="5"/>
      <c r="O204" s="5"/>
      <c r="P204" s="541">
        <v>0</v>
      </c>
      <c r="Q204" s="541">
        <v>0</v>
      </c>
      <c r="R204" s="541">
        <v>0</v>
      </c>
      <c r="S204" s="60">
        <f>P204+R204-Q204</f>
        <v>0</v>
      </c>
      <c r="T204" s="294"/>
    </row>
    <row r="205" spans="1:20" x14ac:dyDescent="0.25">
      <c r="A205" s="302"/>
      <c r="C205" s="294"/>
      <c r="G205" s="525" t="s">
        <v>139</v>
      </c>
      <c r="H205" s="5"/>
      <c r="I205" s="5"/>
      <c r="J205" s="5"/>
      <c r="K205" s="5"/>
      <c r="L205" s="5"/>
      <c r="M205" s="631" t="s">
        <v>176</v>
      </c>
      <c r="N205" s="5"/>
      <c r="O205" s="5"/>
      <c r="P205" s="541">
        <v>0</v>
      </c>
      <c r="Q205" s="541">
        <v>0</v>
      </c>
      <c r="R205" s="541">
        <v>0</v>
      </c>
      <c r="S205" s="60">
        <f>P205+R205-Q205</f>
        <v>0</v>
      </c>
      <c r="T205" s="294"/>
    </row>
    <row r="206" spans="1:20" x14ac:dyDescent="0.25">
      <c r="A206" s="302"/>
      <c r="C206" s="294"/>
      <c r="D206" s="931" t="s">
        <v>177</v>
      </c>
      <c r="E206" s="932"/>
      <c r="F206" s="932"/>
      <c r="G206" s="932"/>
      <c r="H206" s="932"/>
      <c r="I206" s="932"/>
      <c r="J206" s="933"/>
      <c r="K206" s="5"/>
      <c r="L206" s="5"/>
      <c r="M206" s="631" t="s">
        <v>178</v>
      </c>
      <c r="N206" s="5"/>
      <c r="O206" s="5"/>
      <c r="P206" s="541">
        <v>0</v>
      </c>
      <c r="Q206" s="541">
        <v>0</v>
      </c>
      <c r="R206" s="541">
        <v>0</v>
      </c>
      <c r="S206" s="60">
        <f>P206+R206-Q206</f>
        <v>0</v>
      </c>
      <c r="T206" s="294"/>
    </row>
    <row r="207" spans="1:20" x14ac:dyDescent="0.25">
      <c r="A207" s="302"/>
      <c r="C207" s="294"/>
      <c r="D207" s="40"/>
      <c r="E207" s="41"/>
      <c r="F207" s="41"/>
      <c r="G207" s="60"/>
      <c r="H207" s="60"/>
      <c r="I207" s="60"/>
      <c r="J207" s="934"/>
      <c r="K207" s="5"/>
      <c r="L207" s="5"/>
      <c r="M207" s="5"/>
      <c r="N207" s="5"/>
      <c r="O207" s="5"/>
      <c r="P207" s="542" t="s">
        <v>66</v>
      </c>
      <c r="Q207" s="542" t="s">
        <v>66</v>
      </c>
      <c r="R207" s="542" t="s">
        <v>66</v>
      </c>
      <c r="S207" s="542" t="s">
        <v>66</v>
      </c>
      <c r="T207" s="294"/>
    </row>
    <row r="208" spans="1:20" x14ac:dyDescent="0.25">
      <c r="A208" s="302"/>
      <c r="C208" s="294"/>
      <c r="D208" s="935" t="s">
        <v>179</v>
      </c>
      <c r="E208" s="60"/>
      <c r="F208" s="60"/>
      <c r="G208" s="60"/>
      <c r="H208" s="633" t="s">
        <v>180</v>
      </c>
      <c r="I208" s="60"/>
      <c r="J208" s="936"/>
      <c r="K208" s="5"/>
      <c r="L208" s="5"/>
      <c r="M208" s="631" t="s">
        <v>181</v>
      </c>
      <c r="N208" s="5"/>
      <c r="O208" s="5"/>
      <c r="P208" s="5">
        <f>P189+P202+SUM(P204:P207)</f>
        <v>165</v>
      </c>
      <c r="Q208" s="5">
        <f ca="1">Q189+Q202+SUM(Q204:Q207)</f>
        <v>0</v>
      </c>
      <c r="R208" s="5">
        <f ca="1">R189+R202+SUM(R204:R207)</f>
        <v>0</v>
      </c>
      <c r="S208" s="60">
        <f ca="1">S189+S202+SUM(S204:S207)</f>
        <v>165</v>
      </c>
      <c r="T208" s="294"/>
    </row>
    <row r="209" spans="1:20" x14ac:dyDescent="0.25">
      <c r="A209" s="302"/>
      <c r="C209" s="294"/>
      <c r="D209" s="937" t="s">
        <v>182</v>
      </c>
      <c r="E209" s="67"/>
      <c r="F209" s="62">
        <f ca="1">$F$44</f>
        <v>0</v>
      </c>
      <c r="G209" s="41"/>
      <c r="H209" s="206"/>
      <c r="I209" s="60"/>
      <c r="J209" s="936"/>
      <c r="K209" s="5"/>
      <c r="L209" s="5"/>
      <c r="M209" s="5"/>
      <c r="N209" s="5"/>
      <c r="O209" s="5"/>
      <c r="P209" s="5"/>
      <c r="Q209" s="5"/>
      <c r="R209" s="5"/>
      <c r="S209" s="60"/>
      <c r="T209" s="294"/>
    </row>
    <row r="210" spans="1:20" x14ac:dyDescent="0.25">
      <c r="A210" s="302"/>
      <c r="C210" s="294"/>
      <c r="D210" s="937" t="s">
        <v>183</v>
      </c>
      <c r="E210" s="60"/>
      <c r="F210" s="60">
        <f ca="1">$F$45</f>
        <v>0</v>
      </c>
      <c r="G210" s="60"/>
      <c r="H210" s="634" t="s">
        <v>184</v>
      </c>
      <c r="I210" s="60"/>
      <c r="J210" s="934">
        <f ca="1">G201</f>
        <v>0</v>
      </c>
      <c r="K210" s="5"/>
      <c r="L210" s="5"/>
      <c r="M210" s="5" t="str">
        <f>D1417&amp;"................................................................................................."</f>
        <v>Preferred 1.................................................................................................</v>
      </c>
      <c r="N210" s="5"/>
      <c r="O210" s="5"/>
      <c r="P210" s="541">
        <v>0</v>
      </c>
      <c r="Q210" s="541">
        <v>0</v>
      </c>
      <c r="R210" s="29">
        <f ca="1">J53</f>
        <v>0</v>
      </c>
      <c r="S210" s="60">
        <f ca="1">P210+R210-Q210</f>
        <v>0</v>
      </c>
      <c r="T210" s="294"/>
    </row>
    <row r="211" spans="1:20" x14ac:dyDescent="0.25">
      <c r="A211" s="302"/>
      <c r="C211" s="294"/>
      <c r="D211" s="659" t="s">
        <v>185</v>
      </c>
      <c r="E211" s="41"/>
      <c r="F211" s="60">
        <f ca="1">$F$52</f>
        <v>0</v>
      </c>
      <c r="G211" s="60"/>
      <c r="H211" s="634" t="s">
        <v>186</v>
      </c>
      <c r="I211" s="60"/>
      <c r="J211" s="934">
        <f>Q206</f>
        <v>0</v>
      </c>
      <c r="K211" s="5"/>
      <c r="L211" s="5"/>
      <c r="M211" s="5" t="str">
        <f>D1418&amp;"................................................................................................."</f>
        <v>Preferred 2.................................................................................................</v>
      </c>
      <c r="N211" s="5"/>
      <c r="O211" s="5"/>
      <c r="P211" s="541">
        <v>0</v>
      </c>
      <c r="Q211" s="5">
        <f>P211</f>
        <v>0</v>
      </c>
      <c r="R211" s="29">
        <f ca="1">J54</f>
        <v>0</v>
      </c>
      <c r="S211" s="60">
        <f ca="1">P211+R211-Q211</f>
        <v>0</v>
      </c>
      <c r="T211" s="294"/>
    </row>
    <row r="212" spans="1:20" x14ac:dyDescent="0.25">
      <c r="A212" s="302"/>
      <c r="C212" s="294"/>
      <c r="D212" s="938"/>
      <c r="E212" s="60"/>
      <c r="F212" s="542" t="s">
        <v>66</v>
      </c>
      <c r="G212" s="60"/>
      <c r="H212" s="634" t="s">
        <v>187</v>
      </c>
      <c r="I212" s="60"/>
      <c r="J212" s="939">
        <v>0</v>
      </c>
      <c r="K212" s="5"/>
      <c r="L212" s="5"/>
      <c r="M212" s="525" t="s">
        <v>188</v>
      </c>
      <c r="O212" s="1"/>
      <c r="P212" s="541">
        <v>155</v>
      </c>
      <c r="Q212" s="29">
        <f ca="1">IF(F209&gt;0,P212,0)</f>
        <v>0</v>
      </c>
      <c r="R212" s="29">
        <f ca="1">J55</f>
        <v>0</v>
      </c>
      <c r="S212" s="60">
        <f ca="1">P212+R212-Q212</f>
        <v>155</v>
      </c>
      <c r="T212" s="294"/>
    </row>
    <row r="213" spans="1:20" x14ac:dyDescent="0.25">
      <c r="A213" s="302"/>
      <c r="C213" s="294"/>
      <c r="D213" s="937" t="s">
        <v>189</v>
      </c>
      <c r="E213" s="60"/>
      <c r="F213" s="60">
        <f ca="1">SUM(F209:F211)</f>
        <v>0</v>
      </c>
      <c r="G213" s="60"/>
      <c r="H213" s="634" t="s">
        <v>190</v>
      </c>
      <c r="I213" s="60"/>
      <c r="J213" s="934">
        <f ca="1">F218-SUM(J210:J212)</f>
        <v>0</v>
      </c>
      <c r="K213" s="5"/>
      <c r="L213" s="5"/>
      <c r="M213" s="5"/>
      <c r="N213" s="5"/>
      <c r="O213" s="5"/>
      <c r="P213" s="542" t="s">
        <v>66</v>
      </c>
      <c r="Q213" s="542" t="s">
        <v>66</v>
      </c>
      <c r="R213" s="542" t="s">
        <v>66</v>
      </c>
      <c r="S213" s="542" t="s">
        <v>66</v>
      </c>
      <c r="T213" s="294"/>
    </row>
    <row r="214" spans="1:20" x14ac:dyDescent="0.25">
      <c r="A214" s="302"/>
      <c r="C214" s="294"/>
      <c r="D214" s="40"/>
      <c r="E214" s="41"/>
      <c r="F214" s="60"/>
      <c r="G214" s="60"/>
      <c r="H214" s="60"/>
      <c r="I214" s="60"/>
      <c r="J214" s="940" t="s">
        <v>66</v>
      </c>
      <c r="K214" s="5"/>
      <c r="L214" s="5"/>
      <c r="M214" s="631" t="s">
        <v>191</v>
      </c>
      <c r="N214" s="5"/>
      <c r="O214" s="5"/>
      <c r="P214" s="5">
        <f>SUM(P210:P213)</f>
        <v>155</v>
      </c>
      <c r="Q214" s="5">
        <f ca="1">SUM(Q210:Q213)</f>
        <v>0</v>
      </c>
      <c r="R214" s="5">
        <f ca="1">SUM(R210:R213)</f>
        <v>0</v>
      </c>
      <c r="S214" s="60">
        <f ca="1">SUM(S210:S213)</f>
        <v>155</v>
      </c>
      <c r="T214" s="294"/>
    </row>
    <row r="215" spans="1:20" x14ac:dyDescent="0.25">
      <c r="A215" s="302"/>
      <c r="C215" s="294"/>
      <c r="D215" s="937" t="s">
        <v>192</v>
      </c>
      <c r="E215" s="60"/>
      <c r="F215" s="60">
        <f ca="1">Q212</f>
        <v>0</v>
      </c>
      <c r="G215" s="60"/>
      <c r="H215" s="609" t="s">
        <v>193</v>
      </c>
      <c r="I215" s="41"/>
      <c r="J215" s="941">
        <f ca="1">SUM(J210:J213)</f>
        <v>0</v>
      </c>
      <c r="K215" s="5"/>
      <c r="L215" s="5"/>
      <c r="M215" s="5"/>
      <c r="N215" s="5"/>
      <c r="O215" s="5"/>
      <c r="P215" s="542" t="s">
        <v>66</v>
      </c>
      <c r="Q215" s="542" t="s">
        <v>66</v>
      </c>
      <c r="R215" s="542" t="s">
        <v>66</v>
      </c>
      <c r="S215" s="542" t="s">
        <v>66</v>
      </c>
      <c r="T215" s="294"/>
    </row>
    <row r="216" spans="1:20" x14ac:dyDescent="0.25">
      <c r="A216" s="302"/>
      <c r="C216" s="294"/>
      <c r="D216" s="659" t="s">
        <v>194</v>
      </c>
      <c r="E216" s="41"/>
      <c r="F216" s="60">
        <f>-$Q$211</f>
        <v>0</v>
      </c>
      <c r="G216" s="60"/>
      <c r="H216" s="60"/>
      <c r="I216" s="60"/>
      <c r="J216" s="942" t="s">
        <v>76</v>
      </c>
      <c r="K216" s="5"/>
      <c r="L216" s="5"/>
      <c r="M216" s="631" t="s">
        <v>195</v>
      </c>
      <c r="N216" s="5"/>
      <c r="O216" s="5"/>
      <c r="P216" s="7">
        <f>P208+P214</f>
        <v>320</v>
      </c>
      <c r="Q216" s="7">
        <f ca="1">Q208+Q214</f>
        <v>0</v>
      </c>
      <c r="R216" s="7">
        <f ca="1">R208+R214</f>
        <v>0</v>
      </c>
      <c r="S216" s="62">
        <f ca="1">S208+S214</f>
        <v>320</v>
      </c>
      <c r="T216" s="294"/>
    </row>
    <row r="217" spans="1:20" x14ac:dyDescent="0.25">
      <c r="A217" s="302"/>
      <c r="C217" s="294"/>
      <c r="D217" s="40"/>
      <c r="E217" s="41"/>
      <c r="F217" s="542" t="s">
        <v>66</v>
      </c>
      <c r="G217" s="60"/>
      <c r="H217" s="943"/>
      <c r="I217" s="943"/>
      <c r="J217" s="944"/>
      <c r="K217" s="5"/>
      <c r="L217" s="5"/>
      <c r="M217" s="5"/>
      <c r="N217" s="5"/>
      <c r="O217" s="5"/>
      <c r="P217" s="531" t="str">
        <f>IF(ABS(F203-P216)&lt;0.00000001,"=====",F203-P216)</f>
        <v>=====</v>
      </c>
      <c r="Q217" s="591" t="s">
        <v>76</v>
      </c>
      <c r="R217" s="591" t="s">
        <v>76</v>
      </c>
      <c r="S217" s="531" t="str">
        <f ca="1">IF(ABS(I203-S216)&lt;0.00000001,"=====",I203-S216)</f>
        <v>=====</v>
      </c>
      <c r="T217" s="294"/>
    </row>
    <row r="218" spans="1:20" x14ac:dyDescent="0.25">
      <c r="A218" s="302"/>
      <c r="C218" s="294"/>
      <c r="D218" s="945" t="s">
        <v>196</v>
      </c>
      <c r="E218" s="60"/>
      <c r="F218" s="62">
        <f ca="1">F213-F215-F216</f>
        <v>0</v>
      </c>
      <c r="G218" s="60"/>
      <c r="H218" s="943"/>
      <c r="I218" s="943"/>
      <c r="J218" s="944"/>
      <c r="K218" s="5"/>
      <c r="L218" s="5"/>
      <c r="M218" s="5"/>
      <c r="N218" s="5"/>
      <c r="O218" s="5"/>
      <c r="P218"/>
      <c r="Q218" s="5"/>
      <c r="R218" s="25"/>
      <c r="S218"/>
      <c r="T218" s="294"/>
    </row>
    <row r="219" spans="1:20" x14ac:dyDescent="0.25">
      <c r="A219" s="302"/>
      <c r="C219" s="294"/>
      <c r="D219" s="43"/>
      <c r="E219" s="18"/>
      <c r="F219" s="946" t="s">
        <v>76</v>
      </c>
      <c r="G219" s="35"/>
      <c r="H219" s="35"/>
      <c r="I219" s="35"/>
      <c r="J219" s="947"/>
      <c r="K219" s="5"/>
      <c r="L219" s="5"/>
      <c r="O219" s="1"/>
      <c r="S219" s="41"/>
      <c r="T219" s="294"/>
    </row>
    <row r="220" spans="1:20" x14ac:dyDescent="0.25">
      <c r="A220" s="302"/>
      <c r="C220" s="294"/>
      <c r="D220"/>
      <c r="E220"/>
      <c r="F220"/>
      <c r="G220"/>
      <c r="H220"/>
      <c r="I220"/>
      <c r="J220"/>
      <c r="K220" s="5"/>
      <c r="L220" s="5"/>
      <c r="O220" s="1"/>
      <c r="S220" s="41"/>
      <c r="T220" s="294"/>
    </row>
    <row r="221" spans="1:20" x14ac:dyDescent="0.25">
      <c r="A221" s="302"/>
      <c r="C221" s="294"/>
      <c r="D221"/>
      <c r="E221"/>
      <c r="F221"/>
      <c r="G221"/>
      <c r="H221"/>
      <c r="I221"/>
      <c r="J221"/>
      <c r="K221" s="5"/>
      <c r="L221" s="5"/>
      <c r="M221" s="5"/>
      <c r="N221" s="5"/>
      <c r="O221" s="5"/>
      <c r="P221" s="5"/>
      <c r="Q221" s="25"/>
      <c r="R221" s="5"/>
      <c r="S221" s="68"/>
      <c r="T221" s="437"/>
    </row>
    <row r="222" spans="1:20" ht="27.75" customHeight="1" x14ac:dyDescent="0.25">
      <c r="A222" s="304"/>
      <c r="C222" s="294"/>
      <c r="D222" s="636" t="s">
        <v>197</v>
      </c>
      <c r="E222" s="173"/>
      <c r="F222" s="173"/>
      <c r="G222" s="805"/>
      <c r="H222" s="174"/>
      <c r="I222" s="174"/>
      <c r="J222" s="174"/>
      <c r="K222" s="174"/>
      <c r="L222" s="174"/>
      <c r="M222" s="174"/>
      <c r="N222" s="170"/>
      <c r="O222" s="174"/>
      <c r="P222" s="174"/>
      <c r="Q222" s="174"/>
      <c r="R222" s="173"/>
      <c r="S222" s="508"/>
      <c r="T222" s="435"/>
    </row>
    <row r="223" spans="1:20" x14ac:dyDescent="0.25">
      <c r="A223" s="304"/>
      <c r="C223" s="294"/>
      <c r="D223" s="34"/>
      <c r="E223" s="5"/>
      <c r="F223" s="5"/>
      <c r="G223" s="806"/>
      <c r="I223" s="637" t="s">
        <v>82</v>
      </c>
      <c r="J223" s="284" t="str">
        <f>IF($H$1374&lt;12,"   "&amp;FIXED($H$1374,0,TRUE)&amp;" Months Ending","")</f>
        <v/>
      </c>
      <c r="K223" s="39"/>
      <c r="L223" s="157" t="str">
        <f>"Projected Fiscal Years Ending "&amp;H1372</f>
        <v>Projected Fiscal Years Ending December 31,</v>
      </c>
      <c r="M223" s="157"/>
      <c r="N223" s="157"/>
      <c r="O223" s="157"/>
      <c r="P223" s="157"/>
      <c r="Q223" s="167"/>
      <c r="R223" s="158"/>
      <c r="S223" s="158"/>
      <c r="T223" s="294"/>
    </row>
    <row r="224" spans="1:20" x14ac:dyDescent="0.25">
      <c r="A224" s="302"/>
      <c r="C224" s="294"/>
      <c r="D224" s="5"/>
      <c r="E224" s="5"/>
      <c r="F224" s="5"/>
      <c r="G224" s="806"/>
      <c r="I224" s="238">
        <f>H1371-1</f>
        <v>1997</v>
      </c>
      <c r="J224" s="73">
        <f>H1371</f>
        <v>1998</v>
      </c>
      <c r="K224" s="73">
        <f t="shared" ref="K224:S224" si="73">J224+1</f>
        <v>1999</v>
      </c>
      <c r="L224" s="73">
        <f t="shared" si="73"/>
        <v>2000</v>
      </c>
      <c r="M224" s="73">
        <f t="shared" si="73"/>
        <v>2001</v>
      </c>
      <c r="N224" s="73">
        <f t="shared" si="73"/>
        <v>2002</v>
      </c>
      <c r="O224" s="73">
        <f t="shared" si="73"/>
        <v>2003</v>
      </c>
      <c r="P224" s="73">
        <f t="shared" si="73"/>
        <v>2004</v>
      </c>
      <c r="Q224" s="73">
        <f t="shared" si="73"/>
        <v>2005</v>
      </c>
      <c r="R224" s="73">
        <f t="shared" si="73"/>
        <v>2006</v>
      </c>
      <c r="S224" s="73">
        <f t="shared" si="73"/>
        <v>2007</v>
      </c>
      <c r="T224" s="294"/>
    </row>
    <row r="225" spans="1:20" x14ac:dyDescent="0.25">
      <c r="A225" s="302"/>
      <c r="C225" s="294"/>
      <c r="D225" s="5"/>
      <c r="E225" s="5"/>
      <c r="F225" s="5"/>
      <c r="G225" s="806"/>
      <c r="I225" s="178"/>
      <c r="J225" s="181"/>
      <c r="K225" s="181"/>
      <c r="L225" s="181"/>
      <c r="M225" s="181"/>
      <c r="N225" s="181"/>
      <c r="O225" s="181"/>
      <c r="P225" s="181"/>
      <c r="Q225" s="181"/>
      <c r="R225" s="181"/>
      <c r="S225" s="181"/>
      <c r="T225" s="294"/>
    </row>
    <row r="226" spans="1:20" x14ac:dyDescent="0.25">
      <c r="A226" s="302"/>
      <c r="C226" s="294"/>
      <c r="D226" s="631" t="s">
        <v>198</v>
      </c>
      <c r="E226" s="5"/>
      <c r="F226" s="27"/>
      <c r="G226" s="807" t="s">
        <v>139</v>
      </c>
      <c r="I226" s="62">
        <f t="shared" ref="I226:S226" si="74">I97</f>
        <v>250</v>
      </c>
      <c r="J226" s="62">
        <f t="shared" ca="1" si="74"/>
        <v>287.5</v>
      </c>
      <c r="K226" s="62">
        <f t="shared" ca="1" si="74"/>
        <v>330.625</v>
      </c>
      <c r="L226" s="62">
        <f t="shared" ca="1" si="74"/>
        <v>380.21874999999994</v>
      </c>
      <c r="M226" s="62">
        <f t="shared" ca="1" si="74"/>
        <v>437.25156249999992</v>
      </c>
      <c r="N226" s="62">
        <f t="shared" ca="1" si="74"/>
        <v>502.83929687499989</v>
      </c>
      <c r="O226" s="62">
        <f t="shared" ca="1" si="74"/>
        <v>578.26519140624987</v>
      </c>
      <c r="P226" s="62">
        <f t="shared" ca="1" si="74"/>
        <v>665.00497011718733</v>
      </c>
      <c r="Q226" s="62">
        <f t="shared" ca="1" si="74"/>
        <v>764.75571563476535</v>
      </c>
      <c r="R226" s="62">
        <f t="shared" ca="1" si="74"/>
        <v>879.46907297998007</v>
      </c>
      <c r="S226" s="62">
        <f t="shared" ca="1" si="74"/>
        <v>1011.3894339269769</v>
      </c>
      <c r="T226" s="294"/>
    </row>
    <row r="227" spans="1:20" ht="6.75" customHeight="1" x14ac:dyDescent="0.25">
      <c r="A227" s="302"/>
      <c r="C227" s="294"/>
      <c r="G227" s="807" t="s">
        <v>139</v>
      </c>
      <c r="I227" s="41"/>
      <c r="J227" s="41"/>
      <c r="K227" s="41"/>
      <c r="L227" s="41"/>
      <c r="M227" s="41"/>
      <c r="N227" s="41"/>
      <c r="P227" s="41"/>
      <c r="Q227" s="41"/>
      <c r="R227" s="41"/>
      <c r="S227" s="41"/>
      <c r="T227" s="294"/>
    </row>
    <row r="228" spans="1:20" x14ac:dyDescent="0.25">
      <c r="A228" s="302"/>
      <c r="C228" s="294"/>
      <c r="D228" s="552" t="s">
        <v>199</v>
      </c>
      <c r="F228" s="2"/>
      <c r="G228" s="807" t="s">
        <v>139</v>
      </c>
      <c r="I228" s="60">
        <f t="shared" ref="I228:S228" si="75">I100</f>
        <v>115</v>
      </c>
      <c r="J228" s="60">
        <f t="shared" ca="1" si="75"/>
        <v>132.25</v>
      </c>
      <c r="K228" s="60">
        <f t="shared" ca="1" si="75"/>
        <v>152.08750000000001</v>
      </c>
      <c r="L228" s="60">
        <f t="shared" ca="1" si="75"/>
        <v>174.90062499999999</v>
      </c>
      <c r="M228" s="60">
        <f t="shared" ca="1" si="75"/>
        <v>201.13571874999997</v>
      </c>
      <c r="N228" s="60">
        <f t="shared" ca="1" si="75"/>
        <v>231.30607656249995</v>
      </c>
      <c r="O228" s="60">
        <f t="shared" ca="1" si="75"/>
        <v>266.00198804687494</v>
      </c>
      <c r="P228" s="60">
        <f t="shared" ca="1" si="75"/>
        <v>305.9022862539062</v>
      </c>
      <c r="Q228" s="60">
        <f t="shared" ca="1" si="75"/>
        <v>351.7876291919921</v>
      </c>
      <c r="R228" s="60">
        <f t="shared" ca="1" si="75"/>
        <v>404.55577357079085</v>
      </c>
      <c r="S228" s="60">
        <f t="shared" ca="1" si="75"/>
        <v>465.23913960640942</v>
      </c>
      <c r="T228" s="294"/>
    </row>
    <row r="229" spans="1:20" ht="6" customHeight="1" x14ac:dyDescent="0.25">
      <c r="A229" s="302"/>
      <c r="C229" s="294"/>
      <c r="G229" s="807" t="s">
        <v>139</v>
      </c>
      <c r="I229" s="542" t="s">
        <v>66</v>
      </c>
      <c r="J229" s="542" t="s">
        <v>66</v>
      </c>
      <c r="K229" s="542" t="s">
        <v>66</v>
      </c>
      <c r="L229" s="542" t="s">
        <v>66</v>
      </c>
      <c r="M229" s="542" t="s">
        <v>66</v>
      </c>
      <c r="N229" s="542" t="s">
        <v>66</v>
      </c>
      <c r="O229" s="542" t="s">
        <v>66</v>
      </c>
      <c r="P229" s="542" t="s">
        <v>66</v>
      </c>
      <c r="Q229" s="542" t="s">
        <v>66</v>
      </c>
      <c r="R229" s="542" t="s">
        <v>66</v>
      </c>
      <c r="S229" s="542" t="s">
        <v>66</v>
      </c>
      <c r="T229" s="294"/>
    </row>
    <row r="230" spans="1:20" x14ac:dyDescent="0.25">
      <c r="A230" s="302"/>
      <c r="C230" s="294"/>
      <c r="D230" s="552" t="s">
        <v>200</v>
      </c>
      <c r="F230" s="2"/>
      <c r="G230" s="807" t="s">
        <v>139</v>
      </c>
      <c r="I230" s="60">
        <f t="shared" ref="I230:S230" si="76">I226-I228</f>
        <v>135</v>
      </c>
      <c r="J230" s="60">
        <f t="shared" ca="1" si="76"/>
        <v>155.25</v>
      </c>
      <c r="K230" s="60">
        <f t="shared" ca="1" si="76"/>
        <v>178.53749999999999</v>
      </c>
      <c r="L230" s="60">
        <f t="shared" ca="1" si="76"/>
        <v>205.31812499999995</v>
      </c>
      <c r="M230" s="60">
        <f t="shared" ca="1" si="76"/>
        <v>236.11584374999995</v>
      </c>
      <c r="N230" s="60">
        <f t="shared" ca="1" si="76"/>
        <v>271.53322031249991</v>
      </c>
      <c r="O230" s="60">
        <f t="shared" ca="1" si="76"/>
        <v>312.26320335937493</v>
      </c>
      <c r="P230" s="60">
        <f t="shared" ca="1" si="76"/>
        <v>359.10268386328113</v>
      </c>
      <c r="Q230" s="60">
        <f t="shared" ca="1" si="76"/>
        <v>412.96808644277326</v>
      </c>
      <c r="R230" s="60">
        <f t="shared" ca="1" si="76"/>
        <v>474.91329940918922</v>
      </c>
      <c r="S230" s="60">
        <f t="shared" ca="1" si="76"/>
        <v>546.15029432056758</v>
      </c>
      <c r="T230" s="294"/>
    </row>
    <row r="231" spans="1:20" ht="6.75" customHeight="1" x14ac:dyDescent="0.25">
      <c r="A231" s="302"/>
      <c r="C231" s="294"/>
      <c r="G231" s="807" t="s">
        <v>139</v>
      </c>
      <c r="I231" s="60"/>
      <c r="J231" s="60"/>
      <c r="K231" s="60"/>
      <c r="L231" s="60"/>
      <c r="M231" s="60"/>
      <c r="N231" s="60"/>
      <c r="O231" s="60"/>
      <c r="P231" s="60"/>
      <c r="Q231" s="60"/>
      <c r="R231" s="60"/>
      <c r="S231" s="60"/>
      <c r="T231" s="294"/>
    </row>
    <row r="232" spans="1:20" x14ac:dyDescent="0.25">
      <c r="A232" s="302"/>
      <c r="C232" s="294"/>
      <c r="D232" s="3" t="str">
        <f>""&amp;+D106&amp;"......................................................................................"</f>
        <v>SG&amp;A............................................................................................................................................................................................</v>
      </c>
      <c r="G232" s="807" t="s">
        <v>139</v>
      </c>
      <c r="I232" s="60">
        <f t="shared" ref="I232:S232" si="77">I106</f>
        <v>18</v>
      </c>
      <c r="J232" s="60">
        <f t="shared" ca="1" si="77"/>
        <v>20.7</v>
      </c>
      <c r="K232" s="60">
        <f t="shared" ca="1" si="77"/>
        <v>23.805</v>
      </c>
      <c r="L232" s="60">
        <f t="shared" ca="1" si="77"/>
        <v>27.375749999999993</v>
      </c>
      <c r="M232" s="60">
        <f t="shared" ca="1" si="77"/>
        <v>31.482112499999992</v>
      </c>
      <c r="N232" s="60">
        <f t="shared" ca="1" si="77"/>
        <v>36.204429374999989</v>
      </c>
      <c r="O232" s="60">
        <f t="shared" ca="1" si="77"/>
        <v>41.635093781249985</v>
      </c>
      <c r="P232" s="60">
        <f t="shared" ca="1" si="77"/>
        <v>47.880357848437484</v>
      </c>
      <c r="Q232" s="60">
        <f t="shared" ca="1" si="77"/>
        <v>55.062411525703098</v>
      </c>
      <c r="R232" s="60">
        <f t="shared" ca="1" si="77"/>
        <v>63.321773254558558</v>
      </c>
      <c r="S232" s="60">
        <f t="shared" ca="1" si="77"/>
        <v>72.82003924274234</v>
      </c>
      <c r="T232" s="294"/>
    </row>
    <row r="233" spans="1:20" ht="6.75" customHeight="1" x14ac:dyDescent="0.25">
      <c r="A233" s="302"/>
      <c r="C233" s="294"/>
      <c r="G233" s="807" t="s">
        <v>139</v>
      </c>
      <c r="I233" s="542" t="s">
        <v>66</v>
      </c>
      <c r="J233" s="542" t="s">
        <v>66</v>
      </c>
      <c r="K233" s="542" t="s">
        <v>66</v>
      </c>
      <c r="L233" s="542" t="s">
        <v>66</v>
      </c>
      <c r="M233" s="542" t="s">
        <v>66</v>
      </c>
      <c r="N233" s="542" t="s">
        <v>66</v>
      </c>
      <c r="O233" s="542" t="s">
        <v>66</v>
      </c>
      <c r="P233" s="542" t="s">
        <v>66</v>
      </c>
      <c r="Q233" s="542" t="s">
        <v>66</v>
      </c>
      <c r="R233" s="542" t="s">
        <v>66</v>
      </c>
      <c r="S233" s="542" t="s">
        <v>66</v>
      </c>
      <c r="T233" s="294"/>
    </row>
    <row r="234" spans="1:20" x14ac:dyDescent="0.25">
      <c r="A234" s="302"/>
      <c r="C234" s="294"/>
      <c r="D234" s="631" t="s">
        <v>201</v>
      </c>
      <c r="E234" s="5"/>
      <c r="F234" s="27"/>
      <c r="G234" s="807" t="s">
        <v>139</v>
      </c>
      <c r="I234" s="60">
        <f t="shared" ref="I234:S234" si="78">I230-I232</f>
        <v>117</v>
      </c>
      <c r="J234" s="60">
        <f t="shared" ca="1" si="78"/>
        <v>134.55000000000001</v>
      </c>
      <c r="K234" s="60">
        <f t="shared" ca="1" si="78"/>
        <v>154.73249999999999</v>
      </c>
      <c r="L234" s="60">
        <f t="shared" ca="1" si="78"/>
        <v>177.94237499999997</v>
      </c>
      <c r="M234" s="60">
        <f t="shared" ca="1" si="78"/>
        <v>204.63373124999995</v>
      </c>
      <c r="N234" s="60">
        <f t="shared" ca="1" si="78"/>
        <v>235.32879093749992</v>
      </c>
      <c r="O234" s="60">
        <f t="shared" ca="1" si="78"/>
        <v>270.62810957812496</v>
      </c>
      <c r="P234" s="60">
        <f t="shared" ca="1" si="78"/>
        <v>311.22232601484365</v>
      </c>
      <c r="Q234" s="60">
        <f t="shared" ca="1" si="78"/>
        <v>357.90567491707014</v>
      </c>
      <c r="R234" s="60">
        <f t="shared" ca="1" si="78"/>
        <v>411.59152615463069</v>
      </c>
      <c r="S234" s="60">
        <f t="shared" ca="1" si="78"/>
        <v>473.33025507782526</v>
      </c>
      <c r="T234" s="294"/>
    </row>
    <row r="235" spans="1:20" ht="7.5" customHeight="1" x14ac:dyDescent="0.25">
      <c r="A235" s="302"/>
      <c r="C235" s="294"/>
      <c r="G235" s="807" t="s">
        <v>139</v>
      </c>
      <c r="I235" s="60"/>
      <c r="J235" s="60"/>
      <c r="K235" s="60"/>
      <c r="L235" s="60"/>
      <c r="M235" s="60"/>
      <c r="N235" s="60"/>
      <c r="O235" s="60"/>
      <c r="P235" s="60"/>
      <c r="Q235" s="60"/>
      <c r="R235" s="60"/>
      <c r="S235" s="60"/>
      <c r="T235" s="294"/>
    </row>
    <row r="236" spans="1:20" x14ac:dyDescent="0.25">
      <c r="A236" s="302"/>
      <c r="C236" s="294"/>
      <c r="D236" s="631" t="s">
        <v>202</v>
      </c>
      <c r="E236" s="5"/>
      <c r="F236" s="27"/>
      <c r="G236" s="807" t="s">
        <v>139</v>
      </c>
      <c r="I236" s="550"/>
      <c r="J236" s="60">
        <f t="shared" ref="J236:S236" si="79">J114</f>
        <v>25</v>
      </c>
      <c r="K236" s="60">
        <f t="shared" si="79"/>
        <v>25</v>
      </c>
      <c r="L236" s="60">
        <f t="shared" si="79"/>
        <v>25</v>
      </c>
      <c r="M236" s="60">
        <f t="shared" si="79"/>
        <v>25</v>
      </c>
      <c r="N236" s="60">
        <f t="shared" si="79"/>
        <v>25</v>
      </c>
      <c r="O236" s="60">
        <f t="shared" si="79"/>
        <v>25</v>
      </c>
      <c r="P236" s="60">
        <f t="shared" si="79"/>
        <v>25</v>
      </c>
      <c r="Q236" s="60">
        <f t="shared" si="79"/>
        <v>25</v>
      </c>
      <c r="R236" s="60">
        <f t="shared" si="79"/>
        <v>25</v>
      </c>
      <c r="S236" s="60">
        <f t="shared" si="79"/>
        <v>25</v>
      </c>
      <c r="T236" s="294"/>
    </row>
    <row r="237" spans="1:20" x14ac:dyDescent="0.25">
      <c r="A237" s="302"/>
      <c r="B237" s="426" t="str">
        <f ca="1">"Amort. lives are set in cell ("&amp;CELL("address",H1378)&amp;")"</f>
        <v>Amort. lives are set in cell ($H$1378)</v>
      </c>
      <c r="C237" s="414"/>
      <c r="D237" s="6" t="str">
        <f>"Goodwill Amortization ("&amp;FIXED(H1378,0)&amp;" Years)..........................................................................................."</f>
        <v>Goodwill Amortization (40 Years)...........................................................................................</v>
      </c>
      <c r="E237" s="5"/>
      <c r="F237" s="27"/>
      <c r="G237" s="807" t="s">
        <v>139</v>
      </c>
      <c r="I237" s="550" t="s">
        <v>139</v>
      </c>
      <c r="J237" s="60">
        <f ca="1">IF(J1439&lt;=$H$1378,$I$200/$H$1378,0)*($H$1374/12)</f>
        <v>0</v>
      </c>
      <c r="K237" s="60">
        <f t="shared" ref="K237:S237" ca="1" si="80">IF(K1439&lt;=$H$1378,$I$200/$H$1378,0)</f>
        <v>0</v>
      </c>
      <c r="L237" s="60">
        <f t="shared" ca="1" si="80"/>
        <v>0</v>
      </c>
      <c r="M237" s="60">
        <f t="shared" ca="1" si="80"/>
        <v>0</v>
      </c>
      <c r="N237" s="60">
        <f t="shared" ca="1" si="80"/>
        <v>0</v>
      </c>
      <c r="O237" s="60">
        <f t="shared" ca="1" si="80"/>
        <v>0</v>
      </c>
      <c r="P237" s="60">
        <f t="shared" ca="1" si="80"/>
        <v>0</v>
      </c>
      <c r="Q237" s="60">
        <f t="shared" ca="1" si="80"/>
        <v>0</v>
      </c>
      <c r="R237" s="60">
        <f t="shared" ca="1" si="80"/>
        <v>0</v>
      </c>
      <c r="S237" s="60">
        <f t="shared" ca="1" si="80"/>
        <v>0</v>
      </c>
      <c r="T237" s="294"/>
    </row>
    <row r="238" spans="1:20" x14ac:dyDescent="0.25">
      <c r="A238" s="302"/>
      <c r="B238" s="191" t="str">
        <f ca="1">"and cell ("&amp;CELL("address",H1379)&amp;"), respectively"</f>
        <v>and cell ($H$1379), respectively</v>
      </c>
      <c r="C238" s="415"/>
      <c r="D238" s="6" t="str">
        <f>"Amortization of Cap Fin Costs ("&amp;FIXED(H1379,0)&amp;" Years)..........................................................................................."</f>
        <v>Amortization of Cap Fin Costs (7 Years)...........................................................................................</v>
      </c>
      <c r="E238" s="5"/>
      <c r="F238" s="5"/>
      <c r="G238" s="807" t="s">
        <v>139</v>
      </c>
      <c r="I238" s="60"/>
      <c r="J238" s="60">
        <f t="shared" ref="J238:S238" ca="1" si="81">IF(J1439&lt;=$H$1379,$I201/$H$1379,0)*($H$1374/12)</f>
        <v>0</v>
      </c>
      <c r="K238" s="60">
        <f t="shared" ca="1" si="81"/>
        <v>0</v>
      </c>
      <c r="L238" s="60">
        <f t="shared" ca="1" si="81"/>
        <v>0</v>
      </c>
      <c r="M238" s="60">
        <f t="shared" ca="1" si="81"/>
        <v>0</v>
      </c>
      <c r="N238" s="60">
        <f t="shared" ca="1" si="81"/>
        <v>0</v>
      </c>
      <c r="O238" s="60">
        <f t="shared" ca="1" si="81"/>
        <v>0</v>
      </c>
      <c r="P238" s="60">
        <f t="shared" ca="1" si="81"/>
        <v>0</v>
      </c>
      <c r="Q238" s="60">
        <f t="shared" si="81"/>
        <v>0</v>
      </c>
      <c r="R238" s="60">
        <f t="shared" si="81"/>
        <v>0</v>
      </c>
      <c r="S238" s="60">
        <f t="shared" si="81"/>
        <v>0</v>
      </c>
      <c r="T238" s="294"/>
    </row>
    <row r="239" spans="1:20" ht="6" customHeight="1" x14ac:dyDescent="0.25">
      <c r="A239" s="302"/>
      <c r="C239" s="294"/>
      <c r="D239" s="5"/>
      <c r="E239" s="5"/>
      <c r="F239" s="5"/>
      <c r="G239" s="807" t="s">
        <v>139</v>
      </c>
      <c r="I239" s="60"/>
      <c r="J239" s="542" t="s">
        <v>66</v>
      </c>
      <c r="K239" s="542" t="s">
        <v>66</v>
      </c>
      <c r="L239" s="542" t="s">
        <v>66</v>
      </c>
      <c r="M239" s="542" t="s">
        <v>66</v>
      </c>
      <c r="N239" s="542" t="s">
        <v>66</v>
      </c>
      <c r="O239" s="542" t="s">
        <v>66</v>
      </c>
      <c r="P239" s="542" t="s">
        <v>66</v>
      </c>
      <c r="Q239" s="542" t="s">
        <v>66</v>
      </c>
      <c r="R239" s="542" t="s">
        <v>66</v>
      </c>
      <c r="S239" s="542" t="s">
        <v>66</v>
      </c>
      <c r="T239" s="294"/>
    </row>
    <row r="240" spans="1:20" x14ac:dyDescent="0.25">
      <c r="A240" s="302"/>
      <c r="C240" s="294"/>
      <c r="D240" s="631" t="s">
        <v>203</v>
      </c>
      <c r="E240" s="5"/>
      <c r="F240" s="27"/>
      <c r="G240" s="807" t="s">
        <v>139</v>
      </c>
      <c r="I240" s="550" t="s">
        <v>139</v>
      </c>
      <c r="J240" s="60">
        <f t="shared" ref="J240:S240" ca="1" si="82">J234-SUM(J236:J239)</f>
        <v>109.55000000000001</v>
      </c>
      <c r="K240" s="60">
        <f t="shared" ca="1" si="82"/>
        <v>129.73249999999999</v>
      </c>
      <c r="L240" s="60">
        <f t="shared" ca="1" si="82"/>
        <v>152.94237499999997</v>
      </c>
      <c r="M240" s="60">
        <f t="shared" ca="1" si="82"/>
        <v>179.63373124999995</v>
      </c>
      <c r="N240" s="60">
        <f t="shared" ca="1" si="82"/>
        <v>210.32879093749992</v>
      </c>
      <c r="O240" s="60">
        <f t="shared" ca="1" si="82"/>
        <v>245.62810957812496</v>
      </c>
      <c r="P240" s="60">
        <f t="shared" ca="1" si="82"/>
        <v>286.22232601484365</v>
      </c>
      <c r="Q240" s="60">
        <f t="shared" ca="1" si="82"/>
        <v>332.90567491707014</v>
      </c>
      <c r="R240" s="60">
        <f t="shared" ca="1" si="82"/>
        <v>386.59152615463069</v>
      </c>
      <c r="S240" s="60">
        <f t="shared" ca="1" si="82"/>
        <v>448.33025507782526</v>
      </c>
      <c r="T240" s="294"/>
    </row>
    <row r="241" spans="1:20" ht="21" customHeight="1" x14ac:dyDescent="0.25">
      <c r="A241" s="302"/>
      <c r="C241" s="294"/>
      <c r="D241" s="638" t="s">
        <v>130</v>
      </c>
      <c r="G241" s="807" t="s">
        <v>139</v>
      </c>
      <c r="I241" s="60"/>
      <c r="J241" s="60"/>
      <c r="K241" s="60"/>
      <c r="L241" s="60"/>
      <c r="M241" s="60"/>
      <c r="N241" s="60"/>
      <c r="O241" s="60"/>
      <c r="P241" s="60"/>
      <c r="Q241" s="60"/>
      <c r="R241" s="60"/>
      <c r="S241" s="60"/>
      <c r="T241" s="294"/>
    </row>
    <row r="242" spans="1:20" x14ac:dyDescent="0.25">
      <c r="A242" s="302"/>
      <c r="B242" s="639" t="s">
        <v>204</v>
      </c>
      <c r="C242" s="499">
        <f t="shared" ref="C242:C247" si="83">IF(AND(int.switch=1,G1407=1),1,0)</f>
        <v>0</v>
      </c>
      <c r="D242" s="3" t="str">
        <f>M182</f>
        <v xml:space="preserve">  Short Term Debt................................................................</v>
      </c>
      <c r="F242" s="65"/>
      <c r="G242" s="807" t="s">
        <v>139</v>
      </c>
      <c r="I242" s="640" t="s">
        <v>139</v>
      </c>
      <c r="J242" s="180">
        <f ca="1">ROUND(IF($C$242=0,J1423*J577*(stub/12),J1423*((J577+J581)/2)*(stub/12)),2)</f>
        <v>0</v>
      </c>
      <c r="K242" s="60">
        <f ca="1">ROUND(IF($C$242=0,K1423*K577,K1423*((K577+K581)/2)),2)</f>
        <v>0</v>
      </c>
      <c r="L242" s="60">
        <f t="shared" ref="L242:S242" ca="1" si="84">ROUND(IF($C$242=0,L1423*L577,L1423*((L577+L581)/2)),2)</f>
        <v>0</v>
      </c>
      <c r="M242" s="60">
        <f t="shared" ca="1" si="84"/>
        <v>0</v>
      </c>
      <c r="N242" s="60">
        <f t="shared" ca="1" si="84"/>
        <v>0</v>
      </c>
      <c r="O242" s="60">
        <f t="shared" ca="1" si="84"/>
        <v>0</v>
      </c>
      <c r="P242" s="60">
        <f t="shared" ca="1" si="84"/>
        <v>0</v>
      </c>
      <c r="Q242" s="60">
        <f t="shared" ca="1" si="84"/>
        <v>0</v>
      </c>
      <c r="R242" s="60">
        <f t="shared" ca="1" si="84"/>
        <v>0</v>
      </c>
      <c r="S242" s="60">
        <f t="shared" ca="1" si="84"/>
        <v>0</v>
      </c>
      <c r="T242" s="294"/>
    </row>
    <row r="243" spans="1:20" x14ac:dyDescent="0.25">
      <c r="A243" s="302"/>
      <c r="B243" s="639" t="s">
        <v>204</v>
      </c>
      <c r="C243" s="499">
        <f t="shared" si="83"/>
        <v>0</v>
      </c>
      <c r="D243" s="3" t="str">
        <f>D153&amp;"......................................................................................"</f>
        <v xml:space="preserve">  Existing Debt.........................................................................................................................................................................................</v>
      </c>
      <c r="F243" s="65"/>
      <c r="G243" s="807" t="s">
        <v>139</v>
      </c>
      <c r="I243" s="525" t="s">
        <v>139</v>
      </c>
      <c r="J243" s="60">
        <f ca="1">ROUND(IF($C$243=0,J1424*J584*(stub/12),J1424*((J584+J588)/2)*(stub/12)),2)</f>
        <v>15</v>
      </c>
      <c r="K243" s="60">
        <f t="shared" ref="K243:S243" ca="1" si="85">ROUND(IF($C$243=0,K1424*K584*(stub/12),K1424*((K584+K588)/2)*(stub/12)),2)</f>
        <v>15</v>
      </c>
      <c r="L243" s="60">
        <f t="shared" ca="1" si="85"/>
        <v>15</v>
      </c>
      <c r="M243" s="60">
        <f t="shared" ca="1" si="85"/>
        <v>15</v>
      </c>
      <c r="N243" s="60">
        <f t="shared" ca="1" si="85"/>
        <v>15</v>
      </c>
      <c r="O243" s="60">
        <f t="shared" ca="1" si="85"/>
        <v>15</v>
      </c>
      <c r="P243" s="60">
        <f t="shared" ca="1" si="85"/>
        <v>15</v>
      </c>
      <c r="Q243" s="60">
        <f t="shared" ca="1" si="85"/>
        <v>15</v>
      </c>
      <c r="R243" s="60">
        <f t="shared" ca="1" si="85"/>
        <v>15</v>
      </c>
      <c r="S243" s="60">
        <f t="shared" ca="1" si="85"/>
        <v>15</v>
      </c>
      <c r="T243" s="294"/>
    </row>
    <row r="244" spans="1:20" x14ac:dyDescent="0.25">
      <c r="A244" s="302"/>
      <c r="B244" s="639" t="s">
        <v>204</v>
      </c>
      <c r="C244" s="499">
        <f t="shared" si="83"/>
        <v>0</v>
      </c>
      <c r="D244" s="3" t="str">
        <f>D147&amp;"......................................................................................"</f>
        <v xml:space="preserve">  Revolver.......................................................................................................................................................................................................................................</v>
      </c>
      <c r="F244" s="65"/>
      <c r="G244" s="807" t="s">
        <v>139</v>
      </c>
      <c r="I244" s="525" t="s">
        <v>139</v>
      </c>
      <c r="J244" s="60">
        <f ca="1">ROUND(IF($C$244=0,J1425*J591*(stub/12),J1425*((J591+J595)/2)*(stub/12)),2)</f>
        <v>0</v>
      </c>
      <c r="K244" s="60">
        <f ca="1">ROUND(IF($C$244=0,K1425*K591,K1425*((K591+K595)/2)),2)</f>
        <v>0</v>
      </c>
      <c r="L244" s="60">
        <f t="shared" ref="L244:S244" ca="1" si="86">ROUND(IF($C$244=0,L1425*L591,L1425*((L591+L595)/2)),2)</f>
        <v>0</v>
      </c>
      <c r="M244" s="60">
        <f t="shared" ca="1" si="86"/>
        <v>0</v>
      </c>
      <c r="N244" s="60">
        <f t="shared" ca="1" si="86"/>
        <v>0</v>
      </c>
      <c r="O244" s="60">
        <f t="shared" ca="1" si="86"/>
        <v>0</v>
      </c>
      <c r="P244" s="60">
        <f t="shared" ca="1" si="86"/>
        <v>0</v>
      </c>
      <c r="Q244" s="60">
        <f t="shared" ca="1" si="86"/>
        <v>0</v>
      </c>
      <c r="R244" s="60">
        <f t="shared" ca="1" si="86"/>
        <v>0</v>
      </c>
      <c r="S244" s="60">
        <f t="shared" ca="1" si="86"/>
        <v>0</v>
      </c>
      <c r="T244" s="294"/>
    </row>
    <row r="245" spans="1:20" x14ac:dyDescent="0.25">
      <c r="A245" s="302"/>
      <c r="B245" s="639" t="s">
        <v>204</v>
      </c>
      <c r="C245" s="499">
        <f t="shared" si="83"/>
        <v>0</v>
      </c>
      <c r="D245" s="3" t="str">
        <f>D148&amp;"......................................................................................"</f>
        <v xml:space="preserve">  Term Loan....................................................................................................................................................................................</v>
      </c>
      <c r="F245" s="65"/>
      <c r="G245" s="807" t="s">
        <v>139</v>
      </c>
      <c r="I245" s="554" t="s">
        <v>139</v>
      </c>
      <c r="J245" s="60">
        <f ca="1">ROUND(IF($C$245=0,J1426*J598*(stub/12),J1426*((J598+J602)/2)*(stub/12)),2)</f>
        <v>0</v>
      </c>
      <c r="K245" s="60">
        <f ca="1">ROUND(IF($C$245=0,K1426*K598,K1426*((K598+K602)/2)),2)</f>
        <v>0</v>
      </c>
      <c r="L245" s="60">
        <f t="shared" ref="L245:S245" ca="1" si="87">ROUND(IF($C$245=0,L1426*L598,L1426*((L598+L602)/2)),2)</f>
        <v>0</v>
      </c>
      <c r="M245" s="60">
        <f t="shared" ca="1" si="87"/>
        <v>0</v>
      </c>
      <c r="N245" s="60">
        <f t="shared" ca="1" si="87"/>
        <v>0</v>
      </c>
      <c r="O245" s="60">
        <f t="shared" ca="1" si="87"/>
        <v>0</v>
      </c>
      <c r="P245" s="60">
        <f t="shared" ca="1" si="87"/>
        <v>0</v>
      </c>
      <c r="Q245" s="60">
        <f t="shared" ca="1" si="87"/>
        <v>0</v>
      </c>
      <c r="R245" s="60">
        <f t="shared" ca="1" si="87"/>
        <v>0</v>
      </c>
      <c r="S245" s="60">
        <f t="shared" ca="1" si="87"/>
        <v>0</v>
      </c>
      <c r="T245" s="294"/>
    </row>
    <row r="246" spans="1:20" x14ac:dyDescent="0.25">
      <c r="A246" s="302"/>
      <c r="B246" s="639" t="s">
        <v>204</v>
      </c>
      <c r="C246" s="499">
        <f t="shared" si="83"/>
        <v>0</v>
      </c>
      <c r="D246" s="3" t="str">
        <f>D149&amp;"......................................................................................"</f>
        <v xml:space="preserve">  Evergreen Revolver....................................................................................................................................................................................</v>
      </c>
      <c r="G246" s="807" t="s">
        <v>139</v>
      </c>
      <c r="I246" s="552" t="s">
        <v>139</v>
      </c>
      <c r="J246" s="60">
        <f ca="1">ROUND(IF($C$246=0,J1427*J605*(stub/12),J1427*((J605+J609)/2)*(stub/12)),2)</f>
        <v>0</v>
      </c>
      <c r="K246" s="60">
        <f ca="1">ROUND(IF($C$246=0,K1427*K605,K1427*((K605+K609)/2)),2)</f>
        <v>0</v>
      </c>
      <c r="L246" s="60">
        <f t="shared" ref="L246:S246" ca="1" si="88">ROUND(IF($C$246=0,L1427*L605,L1427*((L605+L609)/2)),2)</f>
        <v>0</v>
      </c>
      <c r="M246" s="60">
        <f t="shared" ca="1" si="88"/>
        <v>0</v>
      </c>
      <c r="N246" s="60">
        <f t="shared" ca="1" si="88"/>
        <v>0</v>
      </c>
      <c r="O246" s="60">
        <f t="shared" ca="1" si="88"/>
        <v>0</v>
      </c>
      <c r="P246" s="60">
        <f t="shared" ca="1" si="88"/>
        <v>0</v>
      </c>
      <c r="Q246" s="60">
        <f t="shared" ca="1" si="88"/>
        <v>0</v>
      </c>
      <c r="R246" s="60">
        <f t="shared" ca="1" si="88"/>
        <v>0</v>
      </c>
      <c r="S246" s="60">
        <f t="shared" ca="1" si="88"/>
        <v>0</v>
      </c>
      <c r="T246" s="294"/>
    </row>
    <row r="247" spans="1:20" x14ac:dyDescent="0.25">
      <c r="A247" s="302"/>
      <c r="B247" s="639" t="s">
        <v>204</v>
      </c>
      <c r="C247" s="499">
        <f t="shared" si="83"/>
        <v>0</v>
      </c>
      <c r="D247" s="3" t="str">
        <f>D154&amp;"......................................................................................"</f>
        <v xml:space="preserve">  Debt 1..............................................................................................................................................................................................................................</v>
      </c>
      <c r="G247" s="807" t="s">
        <v>139</v>
      </c>
      <c r="I247" s="552" t="s">
        <v>139</v>
      </c>
      <c r="J247" s="60">
        <f ca="1">ROUND(IF($C$247=0,J1428*J612*(H1374/12),J1428*((J612+J617)/2)*(H1374/12)),2)</f>
        <v>0</v>
      </c>
      <c r="K247" s="180">
        <f ca="1">ROUND(IF($C$247=0,K612*K1428, ((K612+K617)/2)*K1428),2)</f>
        <v>0</v>
      </c>
      <c r="L247" s="180">
        <f t="shared" ref="L247:S247" ca="1" si="89">ROUND(IF($C$247=0,L612*L1428, ((L612+L617)/2)*L1428),2)</f>
        <v>0</v>
      </c>
      <c r="M247" s="180">
        <f t="shared" ca="1" si="89"/>
        <v>0</v>
      </c>
      <c r="N247" s="180">
        <f t="shared" ca="1" si="89"/>
        <v>0</v>
      </c>
      <c r="O247" s="180">
        <f t="shared" ca="1" si="89"/>
        <v>0</v>
      </c>
      <c r="P247" s="180">
        <f t="shared" ca="1" si="89"/>
        <v>0</v>
      </c>
      <c r="Q247" s="180">
        <f t="shared" ca="1" si="89"/>
        <v>0</v>
      </c>
      <c r="R247" s="180">
        <f t="shared" ca="1" si="89"/>
        <v>0</v>
      </c>
      <c r="S247" s="180">
        <f t="shared" ca="1" si="89"/>
        <v>0</v>
      </c>
      <c r="T247" s="294"/>
    </row>
    <row r="248" spans="1:20" x14ac:dyDescent="0.25">
      <c r="A248" s="302"/>
      <c r="B248" s="639" t="s">
        <v>204</v>
      </c>
      <c r="C248" s="499">
        <f>IF(AND(int.switch=1,$G$1413=1),1,0)</f>
        <v>0</v>
      </c>
      <c r="D248" s="3" t="str">
        <f>D156&amp;"......................................................................................"</f>
        <v xml:space="preserve">  Debt 2......................................................................................................................................................................................................................</v>
      </c>
      <c r="G248" s="807" t="s">
        <v>139</v>
      </c>
      <c r="I248" s="552" t="s">
        <v>139</v>
      </c>
      <c r="J248" s="180">
        <f ca="1">ROUND(IF($C$248=0,J620*J1429*(H1374/12), ((J620+J625)/2)*J1429*(H1374/12)),2)</f>
        <v>0</v>
      </c>
      <c r="K248" s="180">
        <f ca="1">ROUND(IF($C$248=0,K620*K1429, ((K620+K625)/2)*K1429),2)</f>
        <v>0</v>
      </c>
      <c r="L248" s="180">
        <f t="shared" ref="L248:S248" ca="1" si="90">ROUND(IF($C$248=0,L620*L1429, ((L620+L625)/2)*L1429),2)</f>
        <v>0</v>
      </c>
      <c r="M248" s="180">
        <f t="shared" ca="1" si="90"/>
        <v>0</v>
      </c>
      <c r="N248" s="180">
        <f t="shared" ca="1" si="90"/>
        <v>0</v>
      </c>
      <c r="O248" s="180">
        <f t="shared" ca="1" si="90"/>
        <v>0</v>
      </c>
      <c r="P248" s="180">
        <f t="shared" ca="1" si="90"/>
        <v>0</v>
      </c>
      <c r="Q248" s="180">
        <f t="shared" ca="1" si="90"/>
        <v>0</v>
      </c>
      <c r="R248" s="180">
        <f t="shared" ca="1" si="90"/>
        <v>0</v>
      </c>
      <c r="S248" s="180">
        <f t="shared" ca="1" si="90"/>
        <v>0</v>
      </c>
      <c r="T248" s="294"/>
    </row>
    <row r="249" spans="1:20" x14ac:dyDescent="0.25">
      <c r="A249" s="302"/>
      <c r="B249" s="639" t="s">
        <v>204</v>
      </c>
      <c r="C249" s="499">
        <f>IF(AND(int.switch=1,$G$1414=1),1,0)</f>
        <v>0</v>
      </c>
      <c r="D249" s="3" t="str">
        <f>D158&amp;"......................................................................................"</f>
        <v xml:space="preserve">  Debt 3.............................................................................................................................................................................................................................</v>
      </c>
      <c r="G249" s="807" t="s">
        <v>139</v>
      </c>
      <c r="I249" s="552" t="s">
        <v>139</v>
      </c>
      <c r="J249" s="180">
        <f ca="1">ROUND(IF($C$249=0,J634*J1430*($H$1374/12), ((J634+J639)/2)*J1430*($H$1374/12)),2)</f>
        <v>0</v>
      </c>
      <c r="K249" s="180">
        <f ca="1">ROUND(IF($C$249=0,K634*K1430, ((K634+K639)/2)*K1430),2)</f>
        <v>0</v>
      </c>
      <c r="L249" s="180">
        <f t="shared" ref="L249:S249" ca="1" si="91">ROUND(IF($C$249=0,L634*L1430, ((L634+L639)/2)*L1430),2)</f>
        <v>0</v>
      </c>
      <c r="M249" s="180">
        <f t="shared" ca="1" si="91"/>
        <v>0</v>
      </c>
      <c r="N249" s="180">
        <f t="shared" ca="1" si="91"/>
        <v>0</v>
      </c>
      <c r="O249" s="180">
        <f t="shared" ca="1" si="91"/>
        <v>0</v>
      </c>
      <c r="P249" s="180">
        <f t="shared" ca="1" si="91"/>
        <v>0</v>
      </c>
      <c r="Q249" s="180">
        <f t="shared" ca="1" si="91"/>
        <v>0</v>
      </c>
      <c r="R249" s="180">
        <f t="shared" ca="1" si="91"/>
        <v>0</v>
      </c>
      <c r="S249" s="180">
        <f t="shared" ca="1" si="91"/>
        <v>0</v>
      </c>
      <c r="T249" s="294"/>
    </row>
    <row r="250" spans="1:20" x14ac:dyDescent="0.25">
      <c r="A250" s="302"/>
      <c r="B250" s="639" t="s">
        <v>204</v>
      </c>
      <c r="C250" s="499">
        <f>IF(AND(int.switch=1,$G$1415=1),1,0)</f>
        <v>0</v>
      </c>
      <c r="D250" s="3" t="str">
        <f>D160&amp;"......................................................................................"</f>
        <v xml:space="preserve">  Debt 4..................................................................................................................................................................................................................</v>
      </c>
      <c r="F250" s="65"/>
      <c r="G250" s="807" t="s">
        <v>139</v>
      </c>
      <c r="I250" s="554" t="s">
        <v>139</v>
      </c>
      <c r="J250" s="180">
        <f ca="1">ROUND(IF($C$250=0,J642*J1431*($H$1374/12), ((J642+J647)/2)*J1431*($H$1374/12)),2)</f>
        <v>0</v>
      </c>
      <c r="K250" s="180">
        <f ca="1">ROUND(IF($C$250=0,K642*K1431, ((K642+K647)/2)*K1431),2)</f>
        <v>0</v>
      </c>
      <c r="L250" s="180">
        <f t="shared" ref="L250:S250" ca="1" si="92">ROUND(IF($C$250=0,L642*L1431, ((L642+L647)/2)*L1431),2)</f>
        <v>0</v>
      </c>
      <c r="M250" s="180">
        <f t="shared" ca="1" si="92"/>
        <v>0</v>
      </c>
      <c r="N250" s="180">
        <f t="shared" ca="1" si="92"/>
        <v>0</v>
      </c>
      <c r="O250" s="180">
        <f t="shared" ca="1" si="92"/>
        <v>0</v>
      </c>
      <c r="P250" s="180">
        <f t="shared" ca="1" si="92"/>
        <v>0</v>
      </c>
      <c r="Q250" s="180">
        <f t="shared" ca="1" si="92"/>
        <v>0</v>
      </c>
      <c r="R250" s="180">
        <f t="shared" ca="1" si="92"/>
        <v>0</v>
      </c>
      <c r="S250" s="180">
        <f t="shared" ca="1" si="92"/>
        <v>0</v>
      </c>
      <c r="T250" s="294"/>
    </row>
    <row r="251" spans="1:20" x14ac:dyDescent="0.25">
      <c r="A251" s="824">
        <f>IF(ISNUMBER(A250),A250+$K$1404,0)</f>
        <v>0</v>
      </c>
      <c r="B251" s="639" t="s">
        <v>204</v>
      </c>
      <c r="C251" s="499">
        <f>IF(AND(int.switch=1,$G$1416=1),1,0)</f>
        <v>0</v>
      </c>
      <c r="D251" s="3" t="str">
        <f>"  "&amp;D1416&amp;"......................................................................................"</f>
        <v xml:space="preserve">  Debt 5......................................................................................</v>
      </c>
      <c r="E251" s="5"/>
      <c r="F251" s="65"/>
      <c r="G251" s="916" t="s">
        <v>101</v>
      </c>
      <c r="I251" s="525" t="s">
        <v>139</v>
      </c>
      <c r="J251" s="180">
        <f ca="1">ROUND(IF($C251=0,OFFSET(J$650,$A251,0)*J1432*($H$1374/12), ((OFFSET(J$650,$A251,0)+OFFSET(J$655,$A251,0))/2)*J1432*($H$1374/12)),2)</f>
        <v>0</v>
      </c>
      <c r="K251" s="180">
        <f ca="1">ROUND(IF($C251=0,OFFSET(K$650,$A251,0)*K1432, ((OFFSET(K$650,$A251,0)+OFFSET(K$655,$A251,0))/2)*K1432),2)</f>
        <v>0</v>
      </c>
      <c r="L251" s="180">
        <f t="shared" ref="L251:S251" ca="1" si="93">ROUND(IF($C251=0,OFFSET(L$650,$A251,0)*L1432, ((OFFSET(L$650,$A251,0)+OFFSET(L$655,$A251,0))/2)*L1432),2)</f>
        <v>0</v>
      </c>
      <c r="M251" s="180">
        <f t="shared" ca="1" si="93"/>
        <v>0</v>
      </c>
      <c r="N251" s="180">
        <f t="shared" ca="1" si="93"/>
        <v>0</v>
      </c>
      <c r="O251" s="180">
        <f t="shared" ca="1" si="93"/>
        <v>0</v>
      </c>
      <c r="P251" s="180">
        <f t="shared" ca="1" si="93"/>
        <v>0</v>
      </c>
      <c r="Q251" s="180">
        <f t="shared" ca="1" si="93"/>
        <v>0</v>
      </c>
      <c r="R251" s="180">
        <f t="shared" ca="1" si="93"/>
        <v>0</v>
      </c>
      <c r="S251" s="180">
        <f t="shared" ca="1" si="93"/>
        <v>0</v>
      </c>
      <c r="T251" s="294"/>
    </row>
    <row r="252" spans="1:20" ht="6" customHeight="1" x14ac:dyDescent="0.25">
      <c r="A252" s="302"/>
      <c r="C252" s="294"/>
      <c r="D252" s="5"/>
      <c r="E252" s="5"/>
      <c r="G252" s="807" t="s">
        <v>139</v>
      </c>
      <c r="I252" s="525" t="s">
        <v>139</v>
      </c>
      <c r="J252" s="542" t="s">
        <v>66</v>
      </c>
      <c r="K252" s="542" t="s">
        <v>66</v>
      </c>
      <c r="L252" s="542" t="s">
        <v>66</v>
      </c>
      <c r="M252" s="542" t="s">
        <v>66</v>
      </c>
      <c r="N252" s="542" t="s">
        <v>66</v>
      </c>
      <c r="O252" s="542" t="s">
        <v>66</v>
      </c>
      <c r="P252" s="542" t="s">
        <v>66</v>
      </c>
      <c r="Q252" s="542" t="s">
        <v>66</v>
      </c>
      <c r="R252" s="542" t="s">
        <v>66</v>
      </c>
      <c r="S252" s="542" t="s">
        <v>66</v>
      </c>
      <c r="T252" s="294"/>
    </row>
    <row r="253" spans="1:20" x14ac:dyDescent="0.25">
      <c r="A253" s="825" t="s">
        <v>205</v>
      </c>
      <c r="C253" s="294"/>
      <c r="D253" s="631" t="s">
        <v>206</v>
      </c>
      <c r="E253" s="5"/>
      <c r="F253" s="2"/>
      <c r="G253" s="807" t="s">
        <v>139</v>
      </c>
      <c r="I253" s="525" t="s">
        <v>139</v>
      </c>
      <c r="J253" s="60">
        <f t="shared" ref="J253:S253" ca="1" si="94">SUM(J241:J252)</f>
        <v>15</v>
      </c>
      <c r="K253" s="60">
        <f t="shared" ca="1" si="94"/>
        <v>15</v>
      </c>
      <c r="L253" s="60">
        <f t="shared" ca="1" si="94"/>
        <v>15</v>
      </c>
      <c r="M253" s="60">
        <f t="shared" ca="1" si="94"/>
        <v>15</v>
      </c>
      <c r="N253" s="60">
        <f t="shared" ca="1" si="94"/>
        <v>15</v>
      </c>
      <c r="O253" s="60">
        <f t="shared" ca="1" si="94"/>
        <v>15</v>
      </c>
      <c r="P253" s="60">
        <f t="shared" ca="1" si="94"/>
        <v>15</v>
      </c>
      <c r="Q253" s="60">
        <f t="shared" ca="1" si="94"/>
        <v>15</v>
      </c>
      <c r="R253" s="60">
        <f t="shared" ca="1" si="94"/>
        <v>15</v>
      </c>
      <c r="S253" s="60">
        <f t="shared" ca="1" si="94"/>
        <v>15</v>
      </c>
      <c r="T253" s="294"/>
    </row>
    <row r="254" spans="1:20" ht="19.5" customHeight="1" x14ac:dyDescent="0.25">
      <c r="A254" s="302"/>
      <c r="C254" s="554"/>
      <c r="D254" s="631" t="s">
        <v>207</v>
      </c>
      <c r="E254" s="5"/>
      <c r="F254" s="5"/>
      <c r="G254" s="807" t="s">
        <v>139</v>
      </c>
      <c r="I254" s="631" t="s">
        <v>139</v>
      </c>
      <c r="J254" s="60">
        <f t="shared" ref="J254:S254" ca="1" si="95">J673</f>
        <v>6.25</v>
      </c>
      <c r="K254" s="60">
        <f t="shared" ca="1" si="95"/>
        <v>9.2385000000000002</v>
      </c>
      <c r="L254" s="60">
        <f t="shared" ca="1" si="95"/>
        <v>12.974432500000001</v>
      </c>
      <c r="M254" s="60">
        <f t="shared" ca="1" si="95"/>
        <v>17.579634993750002</v>
      </c>
      <c r="N254" s="60">
        <f t="shared" ca="1" si="95"/>
        <v>23.194536584171875</v>
      </c>
      <c r="O254" s="60">
        <f t="shared" ca="1" si="95"/>
        <v>29.980956994251212</v>
      </c>
      <c r="P254" s="60">
        <f t="shared" ca="1" si="95"/>
        <v>38.125325763322188</v>
      </c>
      <c r="Q254" s="60">
        <f t="shared" ca="1" si="95"/>
        <v>47.842384667401639</v>
      </c>
      <c r="R254" s="60">
        <f t="shared" ca="1" si="95"/>
        <v>59.379445858379398</v>
      </c>
      <c r="S254" s="60">
        <f t="shared" ca="1" si="95"/>
        <v>73.021289091457007</v>
      </c>
      <c r="T254" s="294"/>
    </row>
    <row r="255" spans="1:20" ht="6.75" customHeight="1" x14ac:dyDescent="0.25">
      <c r="A255" s="302"/>
      <c r="C255" s="294"/>
      <c r="G255" s="807" t="s">
        <v>139</v>
      </c>
      <c r="I255" s="525" t="s">
        <v>139</v>
      </c>
      <c r="J255" s="542" t="s">
        <v>66</v>
      </c>
      <c r="K255" s="542" t="s">
        <v>66</v>
      </c>
      <c r="L255" s="542" t="s">
        <v>66</v>
      </c>
      <c r="M255" s="542" t="s">
        <v>66</v>
      </c>
      <c r="N255" s="542" t="s">
        <v>66</v>
      </c>
      <c r="O255" s="542" t="s">
        <v>66</v>
      </c>
      <c r="P255" s="542" t="s">
        <v>66</v>
      </c>
      <c r="Q255" s="542" t="s">
        <v>66</v>
      </c>
      <c r="R255" s="542" t="s">
        <v>66</v>
      </c>
      <c r="S255" s="542" t="s">
        <v>66</v>
      </c>
      <c r="T255" s="294"/>
    </row>
    <row r="256" spans="1:20" x14ac:dyDescent="0.25">
      <c r="A256" s="302"/>
      <c r="C256" s="294"/>
      <c r="D256" s="631" t="s">
        <v>208</v>
      </c>
      <c r="E256" s="5"/>
      <c r="F256" s="27"/>
      <c r="G256" s="807" t="s">
        <v>139</v>
      </c>
      <c r="I256" s="525" t="s">
        <v>139</v>
      </c>
      <c r="J256" s="60">
        <f t="shared" ref="J256:S256" ca="1" si="96">J240-J253+J254</f>
        <v>100.80000000000001</v>
      </c>
      <c r="K256" s="60">
        <f t="shared" ca="1" si="96"/>
        <v>123.97099999999999</v>
      </c>
      <c r="L256" s="60">
        <f t="shared" ca="1" si="96"/>
        <v>150.91680749999998</v>
      </c>
      <c r="M256" s="60">
        <f t="shared" ca="1" si="96"/>
        <v>182.21336624374996</v>
      </c>
      <c r="N256" s="60">
        <f t="shared" ca="1" si="96"/>
        <v>218.5233275216718</v>
      </c>
      <c r="O256" s="60">
        <f t="shared" ca="1" si="96"/>
        <v>260.60906657237615</v>
      </c>
      <c r="P256" s="60">
        <f t="shared" ca="1" si="96"/>
        <v>309.34765177816581</v>
      </c>
      <c r="Q256" s="60">
        <f t="shared" ca="1" si="96"/>
        <v>365.74805958447178</v>
      </c>
      <c r="R256" s="60">
        <f t="shared" ca="1" si="96"/>
        <v>430.97097201301005</v>
      </c>
      <c r="S256" s="60">
        <f t="shared" ca="1" si="96"/>
        <v>506.35154416928225</v>
      </c>
      <c r="T256" s="294"/>
    </row>
    <row r="257" spans="1:20" ht="20.25" customHeight="1" x14ac:dyDescent="0.25">
      <c r="A257" s="302"/>
      <c r="C257" s="294"/>
      <c r="D257" s="630" t="s">
        <v>209</v>
      </c>
      <c r="E257" s="5"/>
      <c r="F257" s="5"/>
      <c r="G257" s="807" t="s">
        <v>139</v>
      </c>
      <c r="I257" s="525" t="s">
        <v>139</v>
      </c>
      <c r="J257" s="60"/>
      <c r="K257" s="60"/>
      <c r="L257" s="60"/>
      <c r="M257" s="60"/>
      <c r="N257" s="60"/>
      <c r="O257" s="60"/>
      <c r="P257" s="60"/>
      <c r="Q257" s="60"/>
      <c r="R257" s="60"/>
      <c r="S257" s="60"/>
      <c r="T257" s="294"/>
    </row>
    <row r="258" spans="1:20" x14ac:dyDescent="0.25">
      <c r="A258" s="302"/>
      <c r="C258" s="294"/>
      <c r="D258" s="631" t="s">
        <v>210</v>
      </c>
      <c r="E258" s="5"/>
      <c r="F258" s="27"/>
      <c r="G258" s="807" t="s">
        <v>139</v>
      </c>
      <c r="I258" s="525" t="s">
        <v>139</v>
      </c>
      <c r="J258" s="60">
        <f t="shared" ref="J258:S258" ca="1" si="97">J556</f>
        <v>35.28</v>
      </c>
      <c r="K258" s="60">
        <f t="shared" ca="1" si="97"/>
        <v>43.389849999999996</v>
      </c>
      <c r="L258" s="60">
        <f t="shared" ca="1" si="97"/>
        <v>52.820882624999989</v>
      </c>
      <c r="M258" s="60">
        <f t="shared" ca="1" si="97"/>
        <v>63.774678185312482</v>
      </c>
      <c r="N258" s="60">
        <f t="shared" ca="1" si="97"/>
        <v>76.48316463258513</v>
      </c>
      <c r="O258" s="60">
        <f t="shared" ca="1" si="97"/>
        <v>91.213173300331647</v>
      </c>
      <c r="P258" s="60">
        <f t="shared" ca="1" si="97"/>
        <v>108.27167812235803</v>
      </c>
      <c r="Q258" s="60">
        <f t="shared" ca="1" si="97"/>
        <v>128.01182085456512</v>
      </c>
      <c r="R258" s="60">
        <f t="shared" ca="1" si="97"/>
        <v>150.8398402045535</v>
      </c>
      <c r="S258" s="60">
        <f t="shared" ca="1" si="97"/>
        <v>177.22304045924878</v>
      </c>
      <c r="T258" s="294"/>
    </row>
    <row r="259" spans="1:20" x14ac:dyDescent="0.25">
      <c r="A259" s="302"/>
      <c r="C259" s="294"/>
      <c r="D259" s="631" t="s">
        <v>211</v>
      </c>
      <c r="E259" s="5"/>
      <c r="F259" s="27"/>
      <c r="G259" s="807" t="s">
        <v>139</v>
      </c>
      <c r="I259" s="525" t="s">
        <v>139</v>
      </c>
      <c r="J259" s="60">
        <f t="shared" ref="J259:S259" ca="1" si="98">J570</f>
        <v>0</v>
      </c>
      <c r="K259" s="60">
        <f t="shared" ca="1" si="98"/>
        <v>0</v>
      </c>
      <c r="L259" s="60">
        <f t="shared" ca="1" si="98"/>
        <v>0</v>
      </c>
      <c r="M259" s="60">
        <f t="shared" ca="1" si="98"/>
        <v>0</v>
      </c>
      <c r="N259" s="60">
        <f t="shared" ca="1" si="98"/>
        <v>0</v>
      </c>
      <c r="O259" s="60">
        <f t="shared" ca="1" si="98"/>
        <v>0</v>
      </c>
      <c r="P259" s="60">
        <f t="shared" ca="1" si="98"/>
        <v>0</v>
      </c>
      <c r="Q259" s="60">
        <f t="shared" ca="1" si="98"/>
        <v>0</v>
      </c>
      <c r="R259" s="60">
        <f t="shared" ca="1" si="98"/>
        <v>0</v>
      </c>
      <c r="S259" s="60">
        <f t="shared" ca="1" si="98"/>
        <v>0</v>
      </c>
      <c r="T259" s="294"/>
    </row>
    <row r="260" spans="1:20" ht="6" customHeight="1" x14ac:dyDescent="0.25">
      <c r="A260" s="302"/>
      <c r="C260" s="294"/>
      <c r="D260" s="5"/>
      <c r="E260" s="5"/>
      <c r="F260" s="5"/>
      <c r="G260" s="807" t="s">
        <v>139</v>
      </c>
      <c r="I260" s="525" t="s">
        <v>139</v>
      </c>
      <c r="J260" s="542" t="s">
        <v>66</v>
      </c>
      <c r="K260" s="542" t="s">
        <v>66</v>
      </c>
      <c r="L260" s="542" t="s">
        <v>66</v>
      </c>
      <c r="M260" s="542" t="s">
        <v>66</v>
      </c>
      <c r="N260" s="542" t="s">
        <v>66</v>
      </c>
      <c r="O260" s="542" t="s">
        <v>66</v>
      </c>
      <c r="P260" s="542" t="s">
        <v>66</v>
      </c>
      <c r="Q260" s="542" t="s">
        <v>66</v>
      </c>
      <c r="R260" s="542" t="s">
        <v>66</v>
      </c>
      <c r="S260" s="542" t="s">
        <v>66</v>
      </c>
      <c r="T260" s="294"/>
    </row>
    <row r="261" spans="1:20" x14ac:dyDescent="0.25">
      <c r="A261" s="302"/>
      <c r="C261" s="294"/>
      <c r="D261" s="631" t="s">
        <v>212</v>
      </c>
      <c r="E261" s="5"/>
      <c r="F261" s="27"/>
      <c r="G261" s="807" t="s">
        <v>139</v>
      </c>
      <c r="I261" s="525" t="s">
        <v>139</v>
      </c>
      <c r="J261" s="60">
        <f t="shared" ref="J261:S261" ca="1" si="99">J256-J258-J259</f>
        <v>65.52000000000001</v>
      </c>
      <c r="K261" s="60">
        <f t="shared" ca="1" si="99"/>
        <v>80.581149999999994</v>
      </c>
      <c r="L261" s="60">
        <f t="shared" ca="1" si="99"/>
        <v>98.09592487499998</v>
      </c>
      <c r="M261" s="60">
        <f t="shared" ca="1" si="99"/>
        <v>118.43868805843748</v>
      </c>
      <c r="N261" s="60">
        <f t="shared" ca="1" si="99"/>
        <v>142.04016288908667</v>
      </c>
      <c r="O261" s="60">
        <f t="shared" ca="1" si="99"/>
        <v>169.3958932720445</v>
      </c>
      <c r="P261" s="60">
        <f t="shared" ca="1" si="99"/>
        <v>201.07597365580779</v>
      </c>
      <c r="Q261" s="60">
        <f t="shared" ca="1" si="99"/>
        <v>237.73623872990666</v>
      </c>
      <c r="R261" s="60">
        <f t="shared" ca="1" si="99"/>
        <v>280.13113180845653</v>
      </c>
      <c r="S261" s="60">
        <f t="shared" ca="1" si="99"/>
        <v>329.12850371003344</v>
      </c>
      <c r="T261" s="294"/>
    </row>
    <row r="262" spans="1:20" ht="21" customHeight="1" x14ac:dyDescent="0.25">
      <c r="A262" s="302"/>
      <c r="C262" s="294"/>
      <c r="D262" s="638" t="s">
        <v>213</v>
      </c>
      <c r="G262" s="807" t="s">
        <v>139</v>
      </c>
      <c r="I262" s="525" t="s">
        <v>139</v>
      </c>
      <c r="J262" s="60"/>
      <c r="K262" s="60"/>
      <c r="L262" s="60"/>
      <c r="M262" s="60"/>
      <c r="N262" s="60"/>
      <c r="O262" s="60"/>
      <c r="P262" s="60"/>
      <c r="Q262" s="60"/>
      <c r="R262" s="60"/>
      <c r="S262" s="60"/>
      <c r="T262" s="294"/>
    </row>
    <row r="263" spans="1:20" x14ac:dyDescent="0.25">
      <c r="A263" s="825" t="s">
        <v>205</v>
      </c>
      <c r="C263" s="294"/>
      <c r="D263" s="3" t="str">
        <f>"  "&amp;M210&amp;".............................................................................................."</f>
        <v xml:space="preserve">  Preferred 1...............................................................................................................................................................................................</v>
      </c>
      <c r="G263" s="807" t="s">
        <v>139</v>
      </c>
      <c r="I263" s="525" t="s">
        <v>139</v>
      </c>
      <c r="J263" s="60">
        <f t="shared" ref="J263:S263" ca="1" si="100">J659</f>
        <v>0</v>
      </c>
      <c r="K263" s="60">
        <f t="shared" ca="1" si="100"/>
        <v>0</v>
      </c>
      <c r="L263" s="60">
        <f t="shared" ca="1" si="100"/>
        <v>0</v>
      </c>
      <c r="M263" s="60">
        <f t="shared" ca="1" si="100"/>
        <v>0</v>
      </c>
      <c r="N263" s="60">
        <f t="shared" ca="1" si="100"/>
        <v>0</v>
      </c>
      <c r="O263" s="60">
        <f t="shared" ca="1" si="100"/>
        <v>0</v>
      </c>
      <c r="P263" s="60">
        <f t="shared" ca="1" si="100"/>
        <v>0</v>
      </c>
      <c r="Q263" s="60">
        <f t="shared" ca="1" si="100"/>
        <v>0</v>
      </c>
      <c r="R263" s="60">
        <f t="shared" ca="1" si="100"/>
        <v>0</v>
      </c>
      <c r="S263" s="60">
        <f t="shared" ca="1" si="100"/>
        <v>0</v>
      </c>
      <c r="T263" s="294"/>
    </row>
    <row r="264" spans="1:20" x14ac:dyDescent="0.25">
      <c r="A264" s="824">
        <f>IF(ISNUMBER(A263),A263+$K$1405,0)</f>
        <v>0</v>
      </c>
      <c r="C264" s="294"/>
      <c r="D264" s="3" t="str">
        <f>"  "&amp;lastpref&amp;"...................................................................................................."</f>
        <v xml:space="preserve">  Preferred 2....................................................................................................</v>
      </c>
      <c r="E264" s="5"/>
      <c r="F264" s="5"/>
      <c r="G264" t="s">
        <v>139</v>
      </c>
      <c r="I264" s="631" t="s">
        <v>139</v>
      </c>
      <c r="J264" s="60">
        <f t="shared" ref="J264:S264" ca="1" si="101">OFFSET(J$666,$A264,0)</f>
        <v>0</v>
      </c>
      <c r="K264" s="60">
        <f t="shared" ca="1" si="101"/>
        <v>0</v>
      </c>
      <c r="L264" s="60">
        <f t="shared" ca="1" si="101"/>
        <v>0</v>
      </c>
      <c r="M264" s="60">
        <f t="shared" ca="1" si="101"/>
        <v>0</v>
      </c>
      <c r="N264" s="60">
        <f t="shared" ca="1" si="101"/>
        <v>0</v>
      </c>
      <c r="O264" s="60">
        <f t="shared" ca="1" si="101"/>
        <v>0</v>
      </c>
      <c r="P264" s="60">
        <f t="shared" ca="1" si="101"/>
        <v>0</v>
      </c>
      <c r="Q264" s="60">
        <f t="shared" ca="1" si="101"/>
        <v>0</v>
      </c>
      <c r="R264" s="60">
        <f t="shared" ca="1" si="101"/>
        <v>0</v>
      </c>
      <c r="S264" s="60">
        <f t="shared" ca="1" si="101"/>
        <v>0</v>
      </c>
      <c r="T264" s="294"/>
    </row>
    <row r="265" spans="1:20" ht="7.5" customHeight="1" x14ac:dyDescent="0.25">
      <c r="A265" s="302"/>
      <c r="C265" s="294"/>
      <c r="D265" s="5"/>
      <c r="E265" s="5"/>
      <c r="F265" s="5"/>
      <c r="G265" s="807" t="s">
        <v>139</v>
      </c>
      <c r="H265" s="71"/>
      <c r="I265" s="5"/>
      <c r="J265" s="542" t="s">
        <v>66</v>
      </c>
      <c r="K265" s="542" t="s">
        <v>66</v>
      </c>
      <c r="L265" s="542" t="s">
        <v>66</v>
      </c>
      <c r="M265" s="542" t="s">
        <v>66</v>
      </c>
      <c r="N265" s="542" t="s">
        <v>66</v>
      </c>
      <c r="O265" s="542" t="s">
        <v>66</v>
      </c>
      <c r="P265" s="542" t="s">
        <v>66</v>
      </c>
      <c r="Q265" s="542" t="s">
        <v>66</v>
      </c>
      <c r="R265" s="542" t="s">
        <v>66</v>
      </c>
      <c r="S265" s="542" t="s">
        <v>66</v>
      </c>
      <c r="T265" s="294"/>
    </row>
    <row r="266" spans="1:20" x14ac:dyDescent="0.25">
      <c r="A266" s="302"/>
      <c r="C266" s="294"/>
      <c r="D266" s="631" t="s">
        <v>214</v>
      </c>
      <c r="E266" s="5"/>
      <c r="F266" s="5"/>
      <c r="G266" s="807" t="s">
        <v>139</v>
      </c>
      <c r="I266" s="525" t="s">
        <v>139</v>
      </c>
      <c r="J266" s="62">
        <f t="shared" ref="J266:S266" ca="1" si="102">J261-SUM(J263:J265)</f>
        <v>65.52000000000001</v>
      </c>
      <c r="K266" s="62">
        <f t="shared" ca="1" si="102"/>
        <v>80.581149999999994</v>
      </c>
      <c r="L266" s="62">
        <f t="shared" ca="1" si="102"/>
        <v>98.09592487499998</v>
      </c>
      <c r="M266" s="62">
        <f t="shared" ca="1" si="102"/>
        <v>118.43868805843748</v>
      </c>
      <c r="N266" s="62">
        <f t="shared" ca="1" si="102"/>
        <v>142.04016288908667</v>
      </c>
      <c r="O266" s="62">
        <f t="shared" ca="1" si="102"/>
        <v>169.3958932720445</v>
      </c>
      <c r="P266" s="62">
        <f t="shared" ca="1" si="102"/>
        <v>201.07597365580779</v>
      </c>
      <c r="Q266" s="62">
        <f t="shared" ca="1" si="102"/>
        <v>237.73623872990666</v>
      </c>
      <c r="R266" s="62">
        <f t="shared" ca="1" si="102"/>
        <v>280.13113180845653</v>
      </c>
      <c r="S266" s="62">
        <f t="shared" ca="1" si="102"/>
        <v>329.12850371003344</v>
      </c>
      <c r="T266" s="294"/>
    </row>
    <row r="267" spans="1:20" ht="9" customHeight="1" x14ac:dyDescent="0.25">
      <c r="A267" s="302"/>
      <c r="C267" s="294"/>
      <c r="D267" s="5"/>
      <c r="E267" s="5"/>
      <c r="F267" s="525" t="s">
        <v>139</v>
      </c>
      <c r="G267" s="807" t="s">
        <v>139</v>
      </c>
      <c r="I267" s="5"/>
      <c r="J267" s="635" t="s">
        <v>76</v>
      </c>
      <c r="K267" s="635" t="s">
        <v>76</v>
      </c>
      <c r="L267" s="635" t="s">
        <v>76</v>
      </c>
      <c r="M267" s="635" t="s">
        <v>76</v>
      </c>
      <c r="N267" s="635" t="s">
        <v>76</v>
      </c>
      <c r="O267" s="635" t="s">
        <v>76</v>
      </c>
      <c r="P267" s="635" t="s">
        <v>76</v>
      </c>
      <c r="Q267" s="635" t="s">
        <v>76</v>
      </c>
      <c r="R267" s="635" t="s">
        <v>76</v>
      </c>
      <c r="S267" s="635" t="s">
        <v>76</v>
      </c>
      <c r="T267" s="294"/>
    </row>
    <row r="268" spans="1:20" ht="27" customHeight="1" x14ac:dyDescent="0.25">
      <c r="A268" s="304"/>
      <c r="C268" s="294"/>
      <c r="D268" s="636" t="s">
        <v>215</v>
      </c>
      <c r="E268" s="170"/>
      <c r="F268" s="170"/>
      <c r="G268" s="808"/>
      <c r="H268" s="170"/>
      <c r="I268" s="170"/>
      <c r="J268" s="170"/>
      <c r="K268" s="170"/>
      <c r="L268" s="170"/>
      <c r="M268" s="170"/>
      <c r="N268" s="170"/>
      <c r="O268" s="170"/>
      <c r="P268" s="170"/>
      <c r="Q268" s="170"/>
      <c r="R268" s="170"/>
      <c r="S268" s="213"/>
      <c r="T268" s="294"/>
    </row>
    <row r="269" spans="1:20" x14ac:dyDescent="0.25">
      <c r="A269" s="304"/>
      <c r="C269" s="294"/>
      <c r="D269" s="6"/>
      <c r="G269" s="806"/>
      <c r="I269" s="641" t="s">
        <v>82</v>
      </c>
      <c r="J269" s="179" t="str">
        <f>"Projected As of "&amp;H1372</f>
        <v>Projected As of December 31,</v>
      </c>
      <c r="K269" s="158"/>
      <c r="L269" s="158"/>
      <c r="M269" s="158"/>
      <c r="N269" s="158"/>
      <c r="O269" s="158"/>
      <c r="P269" s="158"/>
      <c r="Q269" s="158"/>
      <c r="R269" s="158"/>
      <c r="S269" s="158"/>
      <c r="T269" s="294"/>
    </row>
    <row r="270" spans="1:20" x14ac:dyDescent="0.25">
      <c r="A270" s="302"/>
      <c r="C270" s="294"/>
      <c r="D270" s="629" t="s">
        <v>216</v>
      </c>
      <c r="E270" s="5"/>
      <c r="F270" s="5"/>
      <c r="G270" s="807" t="s">
        <v>139</v>
      </c>
      <c r="I270" s="239">
        <f>H1373</f>
        <v>35795</v>
      </c>
      <c r="J270" s="73">
        <f>H1371</f>
        <v>1998</v>
      </c>
      <c r="K270" s="73">
        <f t="shared" ref="K270:S270" si="103">J270+1</f>
        <v>1999</v>
      </c>
      <c r="L270" s="73">
        <f t="shared" si="103"/>
        <v>2000</v>
      </c>
      <c r="M270" s="73">
        <f t="shared" si="103"/>
        <v>2001</v>
      </c>
      <c r="N270" s="73">
        <f t="shared" si="103"/>
        <v>2002</v>
      </c>
      <c r="O270" s="73">
        <f t="shared" si="103"/>
        <v>2003</v>
      </c>
      <c r="P270" s="73">
        <f t="shared" si="103"/>
        <v>2004</v>
      </c>
      <c r="Q270" s="73">
        <f t="shared" si="103"/>
        <v>2005</v>
      </c>
      <c r="R270" s="73">
        <f t="shared" si="103"/>
        <v>2006</v>
      </c>
      <c r="S270" s="181">
        <f t="shared" si="103"/>
        <v>2007</v>
      </c>
      <c r="T270" s="294"/>
    </row>
    <row r="271" spans="1:20" x14ac:dyDescent="0.25">
      <c r="A271" s="302"/>
      <c r="C271" s="294"/>
      <c r="D271" s="182" t="str">
        <f>D181</f>
        <v>Current:</v>
      </c>
      <c r="E271" s="5"/>
      <c r="F271" s="5"/>
      <c r="G271" s="806"/>
      <c r="I271" s="177"/>
      <c r="J271" s="181"/>
      <c r="K271" s="181"/>
      <c r="L271" s="181"/>
      <c r="M271" s="181"/>
      <c r="N271" s="181"/>
      <c r="O271" s="181"/>
      <c r="P271" s="181"/>
      <c r="Q271" s="181"/>
      <c r="R271" s="181"/>
      <c r="S271" s="181"/>
      <c r="T271" s="294"/>
    </row>
    <row r="272" spans="1:20" x14ac:dyDescent="0.25">
      <c r="A272" s="302"/>
      <c r="C272" s="294"/>
      <c r="D272" s="5" t="str">
        <f>D182&amp;"......................................................................................................"</f>
        <v xml:space="preserve">  Excess Cash....................................................................................................................................................................................</v>
      </c>
      <c r="E272" s="5"/>
      <c r="F272" s="5"/>
      <c r="G272" s="807" t="s">
        <v>139</v>
      </c>
      <c r="I272" s="7">
        <f ca="1">I182</f>
        <v>125</v>
      </c>
      <c r="J272" s="7">
        <f t="shared" ref="J272:S272" ca="1" si="104">J675</f>
        <v>184.77</v>
      </c>
      <c r="K272" s="7">
        <f t="shared" ca="1" si="104"/>
        <v>259.48865000000001</v>
      </c>
      <c r="L272" s="7">
        <f t="shared" ca="1" si="104"/>
        <v>351.59269987499999</v>
      </c>
      <c r="M272" s="7">
        <f t="shared" ca="1" si="104"/>
        <v>463.89073168343748</v>
      </c>
      <c r="N272" s="7">
        <f t="shared" ca="1" si="104"/>
        <v>599.6191398850242</v>
      </c>
      <c r="O272" s="7">
        <f t="shared" ca="1" si="104"/>
        <v>762.50651526644367</v>
      </c>
      <c r="P272" s="7">
        <f t="shared" ca="1" si="104"/>
        <v>956.84769334803275</v>
      </c>
      <c r="Q272" s="7">
        <f t="shared" ca="1" si="104"/>
        <v>1187.5889171675879</v>
      </c>
      <c r="R272" s="7">
        <f t="shared" ca="1" si="104"/>
        <v>1460.4257818291401</v>
      </c>
      <c r="S272" s="62">
        <f t="shared" ca="1" si="104"/>
        <v>1781.9158783202336</v>
      </c>
      <c r="T272" s="294"/>
    </row>
    <row r="273" spans="1:20" x14ac:dyDescent="0.25">
      <c r="A273" s="302"/>
      <c r="C273" s="294"/>
      <c r="D273" s="5" t="str">
        <f>D183&amp;"......................................................................................................"</f>
        <v xml:space="preserve">  Cash for Working Capital................................................................................................................................................................</v>
      </c>
      <c r="G273" s="807" t="s">
        <v>139</v>
      </c>
      <c r="I273" s="5">
        <f ca="1">I183</f>
        <v>0</v>
      </c>
      <c r="J273" s="5">
        <f t="shared" ref="J273:S273" ca="1" si="105">I273</f>
        <v>0</v>
      </c>
      <c r="K273" s="5">
        <f t="shared" ca="1" si="105"/>
        <v>0</v>
      </c>
      <c r="L273" s="5">
        <f t="shared" ca="1" si="105"/>
        <v>0</v>
      </c>
      <c r="M273" s="5">
        <f t="shared" ca="1" si="105"/>
        <v>0</v>
      </c>
      <c r="N273" s="5">
        <f t="shared" ca="1" si="105"/>
        <v>0</v>
      </c>
      <c r="O273" s="5">
        <f t="shared" ca="1" si="105"/>
        <v>0</v>
      </c>
      <c r="P273" s="5">
        <f t="shared" ca="1" si="105"/>
        <v>0</v>
      </c>
      <c r="Q273" s="5">
        <f t="shared" ca="1" si="105"/>
        <v>0</v>
      </c>
      <c r="R273" s="5">
        <f t="shared" ca="1" si="105"/>
        <v>0</v>
      </c>
      <c r="S273" s="60">
        <f t="shared" ca="1" si="105"/>
        <v>0</v>
      </c>
      <c r="T273" s="294"/>
    </row>
    <row r="274" spans="1:20" x14ac:dyDescent="0.25">
      <c r="A274" s="302"/>
      <c r="C274" s="294"/>
      <c r="D274" s="5" t="str">
        <f>D184&amp;"......................................................................................................"</f>
        <v xml:space="preserve">  Accounts Receivable....................................................................................................................................................................</v>
      </c>
      <c r="E274" s="5"/>
      <c r="F274" s="5"/>
      <c r="G274" s="807" t="s">
        <v>139</v>
      </c>
      <c r="I274" s="5">
        <f>I184</f>
        <v>20</v>
      </c>
      <c r="J274" s="5">
        <f t="shared" ref="J274:S274" ca="1" si="106">J$97*J123</f>
        <v>23</v>
      </c>
      <c r="K274" s="5">
        <f t="shared" ca="1" si="106"/>
        <v>26.45</v>
      </c>
      <c r="L274" s="5">
        <f t="shared" ca="1" si="106"/>
        <v>30.417499999999997</v>
      </c>
      <c r="M274" s="5">
        <f t="shared" ca="1" si="106"/>
        <v>34.980124999999994</v>
      </c>
      <c r="N274" s="5">
        <f t="shared" ca="1" si="106"/>
        <v>40.227143749999989</v>
      </c>
      <c r="O274" s="5">
        <f t="shared" ca="1" si="106"/>
        <v>46.261215312499992</v>
      </c>
      <c r="P274" s="5">
        <f t="shared" ca="1" si="106"/>
        <v>53.200397609374988</v>
      </c>
      <c r="Q274" s="5">
        <f t="shared" ca="1" si="106"/>
        <v>61.180457250781231</v>
      </c>
      <c r="R274" s="5">
        <f t="shared" ca="1" si="106"/>
        <v>70.357525838398402</v>
      </c>
      <c r="S274" s="60">
        <f t="shared" ca="1" si="106"/>
        <v>80.911154714158158</v>
      </c>
      <c r="T274" s="294"/>
    </row>
    <row r="275" spans="1:20" x14ac:dyDescent="0.25">
      <c r="A275" s="302"/>
      <c r="C275" s="294"/>
      <c r="D275" s="5" t="str">
        <f>D185&amp;"......................................................................................................"</f>
        <v xml:space="preserve">  Inventories.........................................................................................................................................................................................................</v>
      </c>
      <c r="E275" s="5"/>
      <c r="F275" s="5"/>
      <c r="G275" s="807" t="s">
        <v>139</v>
      </c>
      <c r="I275" s="5">
        <f>I185</f>
        <v>0</v>
      </c>
      <c r="J275" s="5">
        <f t="shared" ref="J275:S275" ca="1" si="107">J125*J228</f>
        <v>0</v>
      </c>
      <c r="K275" s="5">
        <f t="shared" ca="1" si="107"/>
        <v>0</v>
      </c>
      <c r="L275" s="5">
        <f t="shared" ca="1" si="107"/>
        <v>0</v>
      </c>
      <c r="M275" s="5">
        <f t="shared" ca="1" si="107"/>
        <v>0</v>
      </c>
      <c r="N275" s="5">
        <f t="shared" ca="1" si="107"/>
        <v>0</v>
      </c>
      <c r="O275" s="5">
        <f t="shared" ca="1" si="107"/>
        <v>0</v>
      </c>
      <c r="P275" s="5">
        <f t="shared" ca="1" si="107"/>
        <v>0</v>
      </c>
      <c r="Q275" s="5">
        <f t="shared" ca="1" si="107"/>
        <v>0</v>
      </c>
      <c r="R275" s="5">
        <f t="shared" ca="1" si="107"/>
        <v>0</v>
      </c>
      <c r="S275" s="60">
        <f t="shared" ca="1" si="107"/>
        <v>0</v>
      </c>
      <c r="T275" s="294"/>
    </row>
    <row r="276" spans="1:20" x14ac:dyDescent="0.25">
      <c r="A276" s="302"/>
      <c r="C276" s="294"/>
      <c r="D276" s="5" t="str">
        <f>D186&amp;"......................................................................................................"</f>
        <v xml:space="preserve">  Prepaid Expenses.................................................................................................................................................................................</v>
      </c>
      <c r="E276" s="5"/>
      <c r="F276" s="5"/>
      <c r="G276" s="807" t="s">
        <v>139</v>
      </c>
      <c r="I276" s="5">
        <f>I186</f>
        <v>0</v>
      </c>
      <c r="J276" s="5">
        <f t="shared" ref="J276:S276" ca="1" si="108">J97*J127</f>
        <v>0</v>
      </c>
      <c r="K276" s="5">
        <f t="shared" ca="1" si="108"/>
        <v>0</v>
      </c>
      <c r="L276" s="5">
        <f t="shared" ca="1" si="108"/>
        <v>0</v>
      </c>
      <c r="M276" s="5">
        <f t="shared" ca="1" si="108"/>
        <v>0</v>
      </c>
      <c r="N276" s="5">
        <f t="shared" ca="1" si="108"/>
        <v>0</v>
      </c>
      <c r="O276" s="5">
        <f t="shared" ca="1" si="108"/>
        <v>0</v>
      </c>
      <c r="P276" s="5">
        <f t="shared" ca="1" si="108"/>
        <v>0</v>
      </c>
      <c r="Q276" s="5">
        <f t="shared" ca="1" si="108"/>
        <v>0</v>
      </c>
      <c r="R276" s="5">
        <f t="shared" ca="1" si="108"/>
        <v>0</v>
      </c>
      <c r="S276" s="60">
        <f t="shared" ca="1" si="108"/>
        <v>0</v>
      </c>
      <c r="T276" s="294"/>
    </row>
    <row r="277" spans="1:20" ht="6" customHeight="1" x14ac:dyDescent="0.25">
      <c r="A277" s="302"/>
      <c r="C277" s="294"/>
      <c r="D277" s="5"/>
      <c r="E277" s="5"/>
      <c r="F277" s="5"/>
      <c r="G277" s="807" t="s">
        <v>139</v>
      </c>
      <c r="I277" s="542" t="s">
        <v>66</v>
      </c>
      <c r="J277" s="542" t="s">
        <v>66</v>
      </c>
      <c r="K277" s="542" t="s">
        <v>66</v>
      </c>
      <c r="L277" s="542" t="s">
        <v>66</v>
      </c>
      <c r="M277" s="542" t="s">
        <v>66</v>
      </c>
      <c r="N277" s="542" t="s">
        <v>66</v>
      </c>
      <c r="O277" s="542" t="s">
        <v>66</v>
      </c>
      <c r="P277" s="542" t="s">
        <v>66</v>
      </c>
      <c r="Q277" s="542" t="s">
        <v>66</v>
      </c>
      <c r="R277" s="542" t="s">
        <v>66</v>
      </c>
      <c r="S277" s="542" t="s">
        <v>66</v>
      </c>
      <c r="T277" s="294"/>
    </row>
    <row r="278" spans="1:20" x14ac:dyDescent="0.25">
      <c r="A278" s="302"/>
      <c r="C278" s="294"/>
      <c r="D278" s="5" t="str">
        <f>D188&amp;"................................................................................."</f>
        <v xml:space="preserve">    Total Current Assets..........................................................................................................................................................</v>
      </c>
      <c r="E278" s="5"/>
      <c r="F278" s="5"/>
      <c r="G278" s="807" t="s">
        <v>139</v>
      </c>
      <c r="I278" s="5">
        <f t="shared" ref="I278:S278" ca="1" si="109">SUM(I272:I277)</f>
        <v>145</v>
      </c>
      <c r="J278" s="5">
        <f t="shared" ca="1" si="109"/>
        <v>207.77</v>
      </c>
      <c r="K278" s="5">
        <f t="shared" ca="1" si="109"/>
        <v>285.93865</v>
      </c>
      <c r="L278" s="5">
        <f t="shared" ca="1" si="109"/>
        <v>382.01019987500001</v>
      </c>
      <c r="M278" s="5">
        <f t="shared" ca="1" si="109"/>
        <v>498.87085668343747</v>
      </c>
      <c r="N278" s="5">
        <f t="shared" ca="1" si="109"/>
        <v>639.84628363502418</v>
      </c>
      <c r="O278" s="5">
        <f t="shared" ca="1" si="109"/>
        <v>808.76773057894366</v>
      </c>
      <c r="P278" s="5">
        <f t="shared" ca="1" si="109"/>
        <v>1010.0480909574078</v>
      </c>
      <c r="Q278" s="5">
        <f t="shared" ca="1" si="109"/>
        <v>1248.7693744183691</v>
      </c>
      <c r="R278" s="5">
        <f t="shared" ca="1" si="109"/>
        <v>1530.7833076675386</v>
      </c>
      <c r="S278" s="60">
        <f t="shared" ca="1" si="109"/>
        <v>1862.8270330343917</v>
      </c>
      <c r="T278" s="294"/>
    </row>
    <row r="279" spans="1:20" x14ac:dyDescent="0.25">
      <c r="A279" s="302"/>
      <c r="C279" s="294"/>
      <c r="D279" s="5"/>
      <c r="E279" s="5"/>
      <c r="F279" s="5"/>
      <c r="G279" s="807" t="s">
        <v>139</v>
      </c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60"/>
      <c r="T279" s="294"/>
    </row>
    <row r="280" spans="1:20" x14ac:dyDescent="0.25">
      <c r="A280" s="302"/>
      <c r="C280" s="294"/>
      <c r="D280" s="5" t="str">
        <f>D191&amp;".........................................................................................."</f>
        <v>P, P &amp; E and Capitalized Leases..................................................................................................................................................................</v>
      </c>
      <c r="E280" s="5"/>
      <c r="F280" s="5"/>
      <c r="G280" s="807" t="s">
        <v>139</v>
      </c>
      <c r="I280" s="5">
        <f>I191</f>
        <v>250</v>
      </c>
      <c r="J280" s="5">
        <f t="shared" ref="J280:S280" si="110">I280+J363</f>
        <v>280</v>
      </c>
      <c r="K280" s="5">
        <f t="shared" si="110"/>
        <v>310</v>
      </c>
      <c r="L280" s="5">
        <f t="shared" si="110"/>
        <v>340</v>
      </c>
      <c r="M280" s="5">
        <f t="shared" si="110"/>
        <v>370</v>
      </c>
      <c r="N280" s="5">
        <f t="shared" si="110"/>
        <v>400</v>
      </c>
      <c r="O280" s="5">
        <f t="shared" si="110"/>
        <v>430</v>
      </c>
      <c r="P280" s="5">
        <f t="shared" si="110"/>
        <v>460</v>
      </c>
      <c r="Q280" s="5">
        <f t="shared" si="110"/>
        <v>490</v>
      </c>
      <c r="R280" s="5">
        <f t="shared" si="110"/>
        <v>520</v>
      </c>
      <c r="S280" s="60">
        <f t="shared" si="110"/>
        <v>550</v>
      </c>
      <c r="T280" s="294"/>
    </row>
    <row r="281" spans="1:20" x14ac:dyDescent="0.25">
      <c r="A281" s="302"/>
      <c r="C281" s="294"/>
      <c r="D281" s="5" t="str">
        <f>D192&amp;".........................................................................................."</f>
        <v>Less: Depreciation.....................................................................................................................................................................</v>
      </c>
      <c r="E281" s="5"/>
      <c r="F281" s="5"/>
      <c r="G281" s="807" t="s">
        <v>139</v>
      </c>
      <c r="I281" s="5">
        <f>I192</f>
        <v>75</v>
      </c>
      <c r="J281" s="5">
        <f t="shared" ref="J281:S281" si="111">I281+J336</f>
        <v>100</v>
      </c>
      <c r="K281" s="5">
        <f t="shared" si="111"/>
        <v>125</v>
      </c>
      <c r="L281" s="5">
        <f t="shared" si="111"/>
        <v>150</v>
      </c>
      <c r="M281" s="5">
        <f t="shared" si="111"/>
        <v>175</v>
      </c>
      <c r="N281" s="5">
        <f t="shared" si="111"/>
        <v>200</v>
      </c>
      <c r="O281" s="5">
        <f t="shared" si="111"/>
        <v>225</v>
      </c>
      <c r="P281" s="5">
        <f t="shared" si="111"/>
        <v>250</v>
      </c>
      <c r="Q281" s="5">
        <f t="shared" si="111"/>
        <v>275</v>
      </c>
      <c r="R281" s="5">
        <f t="shared" si="111"/>
        <v>300</v>
      </c>
      <c r="S281" s="60">
        <f t="shared" si="111"/>
        <v>325</v>
      </c>
      <c r="T281" s="294"/>
    </row>
    <row r="282" spans="1:20" ht="6" customHeight="1" x14ac:dyDescent="0.25">
      <c r="A282" s="302"/>
      <c r="C282" s="294"/>
      <c r="D282" s="5"/>
      <c r="E282" s="5"/>
      <c r="F282" s="5"/>
      <c r="G282" s="807" t="s">
        <v>139</v>
      </c>
      <c r="I282" s="542" t="s">
        <v>66</v>
      </c>
      <c r="J282" s="542" t="s">
        <v>66</v>
      </c>
      <c r="K282" s="542" t="s">
        <v>66</v>
      </c>
      <c r="L282" s="542" t="s">
        <v>66</v>
      </c>
      <c r="M282" s="542" t="s">
        <v>66</v>
      </c>
      <c r="N282" s="542" t="s">
        <v>66</v>
      </c>
      <c r="O282" s="542" t="s">
        <v>66</v>
      </c>
      <c r="P282" s="542" t="s">
        <v>66</v>
      </c>
      <c r="Q282" s="542" t="s">
        <v>66</v>
      </c>
      <c r="R282" s="542" t="s">
        <v>66</v>
      </c>
      <c r="S282" s="542" t="s">
        <v>66</v>
      </c>
      <c r="T282" s="294"/>
    </row>
    <row r="283" spans="1:20" x14ac:dyDescent="0.25">
      <c r="A283" s="302"/>
      <c r="C283" s="294"/>
      <c r="D283" s="5" t="str">
        <f>D194&amp;"........................................................................................."</f>
        <v xml:space="preserve">    Net P, P &amp; E and Capitalized Leases...................................................................................................................................................</v>
      </c>
      <c r="E283" s="5"/>
      <c r="F283" s="5"/>
      <c r="G283" s="807" t="s">
        <v>139</v>
      </c>
      <c r="I283" s="5">
        <f t="shared" ref="I283:S283" si="112">I280-I281</f>
        <v>175</v>
      </c>
      <c r="J283" s="5">
        <f t="shared" si="112"/>
        <v>180</v>
      </c>
      <c r="K283" s="5">
        <f t="shared" si="112"/>
        <v>185</v>
      </c>
      <c r="L283" s="5">
        <f t="shared" si="112"/>
        <v>190</v>
      </c>
      <c r="M283" s="5">
        <f t="shared" si="112"/>
        <v>195</v>
      </c>
      <c r="N283" s="5">
        <f t="shared" si="112"/>
        <v>200</v>
      </c>
      <c r="O283" s="5">
        <f t="shared" si="112"/>
        <v>205</v>
      </c>
      <c r="P283" s="5">
        <f t="shared" si="112"/>
        <v>210</v>
      </c>
      <c r="Q283" s="5">
        <f t="shared" si="112"/>
        <v>215</v>
      </c>
      <c r="R283" s="5">
        <f t="shared" si="112"/>
        <v>220</v>
      </c>
      <c r="S283" s="60">
        <f t="shared" si="112"/>
        <v>225</v>
      </c>
      <c r="T283" s="294"/>
    </row>
    <row r="284" spans="1:20" ht="18.75" customHeight="1" x14ac:dyDescent="0.25">
      <c r="A284" s="302"/>
      <c r="C284" s="294"/>
      <c r="D284" s="182" t="str">
        <f>D196</f>
        <v>Other Noncurrent Assets:</v>
      </c>
      <c r="E284" s="5"/>
      <c r="F284" s="5"/>
      <c r="G284" s="807" t="s">
        <v>139</v>
      </c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60"/>
      <c r="T284" s="294"/>
    </row>
    <row r="285" spans="1:20" x14ac:dyDescent="0.25">
      <c r="A285" s="302"/>
      <c r="C285" s="294"/>
      <c r="D285" s="5" t="str">
        <f>D197&amp;"..................................................................................."</f>
        <v xml:space="preserve">  Net Assets of Discontinued Ops....................................................................................................................................................</v>
      </c>
      <c r="E285" s="5"/>
      <c r="F285" s="5"/>
      <c r="G285" s="807" t="s">
        <v>139</v>
      </c>
      <c r="I285" s="5">
        <f>I197</f>
        <v>0</v>
      </c>
      <c r="J285" s="5">
        <f t="shared" ref="J285:S285" si="113">I285</f>
        <v>0</v>
      </c>
      <c r="K285" s="5">
        <f t="shared" si="113"/>
        <v>0</v>
      </c>
      <c r="L285" s="5">
        <f t="shared" si="113"/>
        <v>0</v>
      </c>
      <c r="M285" s="5">
        <f t="shared" si="113"/>
        <v>0</v>
      </c>
      <c r="N285" s="5">
        <f t="shared" si="113"/>
        <v>0</v>
      </c>
      <c r="O285" s="5">
        <f t="shared" si="113"/>
        <v>0</v>
      </c>
      <c r="P285" s="5">
        <f t="shared" si="113"/>
        <v>0</v>
      </c>
      <c r="Q285" s="5">
        <f t="shared" si="113"/>
        <v>0</v>
      </c>
      <c r="R285" s="5">
        <f t="shared" si="113"/>
        <v>0</v>
      </c>
      <c r="S285" s="60">
        <f t="shared" si="113"/>
        <v>0</v>
      </c>
      <c r="T285" s="294"/>
    </row>
    <row r="286" spans="1:20" x14ac:dyDescent="0.25">
      <c r="A286" s="302"/>
      <c r="C286" s="294"/>
      <c r="D286" s="5" t="str">
        <f>D198&amp;"..........................................................................................."</f>
        <v xml:space="preserve">  Other Assets.....................................................................................................................................................................................</v>
      </c>
      <c r="E286" s="5"/>
      <c r="F286" s="5"/>
      <c r="G286" s="807" t="s">
        <v>139</v>
      </c>
      <c r="I286" s="5">
        <f>I198</f>
        <v>0</v>
      </c>
      <c r="J286" s="5">
        <f t="shared" ref="J286:S286" si="114">I286</f>
        <v>0</v>
      </c>
      <c r="K286" s="5">
        <f t="shared" si="114"/>
        <v>0</v>
      </c>
      <c r="L286" s="5">
        <f t="shared" si="114"/>
        <v>0</v>
      </c>
      <c r="M286" s="5">
        <f t="shared" si="114"/>
        <v>0</v>
      </c>
      <c r="N286" s="5">
        <f t="shared" si="114"/>
        <v>0</v>
      </c>
      <c r="O286" s="5">
        <f t="shared" si="114"/>
        <v>0</v>
      </c>
      <c r="P286" s="5">
        <f t="shared" si="114"/>
        <v>0</v>
      </c>
      <c r="Q286" s="5">
        <f t="shared" si="114"/>
        <v>0</v>
      </c>
      <c r="R286" s="5">
        <f t="shared" si="114"/>
        <v>0</v>
      </c>
      <c r="S286" s="60">
        <f t="shared" si="114"/>
        <v>0</v>
      </c>
      <c r="T286" s="294"/>
    </row>
    <row r="287" spans="1:20" ht="6" customHeight="1" x14ac:dyDescent="0.25">
      <c r="A287" s="302"/>
      <c r="C287" s="294"/>
      <c r="D287" s="5"/>
      <c r="E287" s="5"/>
      <c r="F287" s="5"/>
      <c r="G287" s="806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60"/>
      <c r="T287" s="294"/>
    </row>
    <row r="288" spans="1:20" x14ac:dyDescent="0.25">
      <c r="A288" s="302"/>
      <c r="C288" s="294"/>
      <c r="D288" s="5" t="str">
        <f>D200&amp;"..............................................................................................."</f>
        <v>Goodwill......................................................................................................................................................................................................................</v>
      </c>
      <c r="E288" s="5"/>
      <c r="F288" s="5"/>
      <c r="G288" s="807" t="s">
        <v>139</v>
      </c>
      <c r="I288" s="5">
        <f ca="1">I200</f>
        <v>0</v>
      </c>
      <c r="J288" s="5">
        <f t="shared" ref="J288:S288" ca="1" si="115">I288-J237</f>
        <v>0</v>
      </c>
      <c r="K288" s="5">
        <f t="shared" ca="1" si="115"/>
        <v>0</v>
      </c>
      <c r="L288" s="5">
        <f t="shared" ca="1" si="115"/>
        <v>0</v>
      </c>
      <c r="M288" s="5">
        <f t="shared" ca="1" si="115"/>
        <v>0</v>
      </c>
      <c r="N288" s="5">
        <f t="shared" ca="1" si="115"/>
        <v>0</v>
      </c>
      <c r="O288" s="5">
        <f t="shared" ca="1" si="115"/>
        <v>0</v>
      </c>
      <c r="P288" s="5">
        <f t="shared" ca="1" si="115"/>
        <v>0</v>
      </c>
      <c r="Q288" s="5">
        <f t="shared" ca="1" si="115"/>
        <v>0</v>
      </c>
      <c r="R288" s="5">
        <f t="shared" ca="1" si="115"/>
        <v>0</v>
      </c>
      <c r="S288" s="60">
        <f t="shared" ca="1" si="115"/>
        <v>0</v>
      </c>
      <c r="T288" s="294"/>
    </row>
    <row r="289" spans="1:20" x14ac:dyDescent="0.25">
      <c r="A289" s="302"/>
      <c r="C289" s="294"/>
      <c r="D289" s="5" t="str">
        <f>D201&amp;"........................................................................................................."</f>
        <v>Capitalized Financing Costs.......................................................................................................................................................................</v>
      </c>
      <c r="E289" s="5"/>
      <c r="F289" s="5"/>
      <c r="G289" s="807" t="s">
        <v>139</v>
      </c>
      <c r="I289" s="5">
        <f ca="1">I201</f>
        <v>0</v>
      </c>
      <c r="J289" s="5">
        <f t="shared" ref="J289:S289" ca="1" si="116">I289-J347</f>
        <v>0</v>
      </c>
      <c r="K289" s="5">
        <f t="shared" ca="1" si="116"/>
        <v>0</v>
      </c>
      <c r="L289" s="5">
        <f t="shared" ca="1" si="116"/>
        <v>0</v>
      </c>
      <c r="M289" s="5">
        <f t="shared" ca="1" si="116"/>
        <v>0</v>
      </c>
      <c r="N289" s="5">
        <f t="shared" ca="1" si="116"/>
        <v>0</v>
      </c>
      <c r="O289" s="5">
        <f t="shared" ca="1" si="116"/>
        <v>0</v>
      </c>
      <c r="P289" s="5">
        <f t="shared" ca="1" si="116"/>
        <v>0</v>
      </c>
      <c r="Q289" s="5">
        <f t="shared" ca="1" si="116"/>
        <v>0</v>
      </c>
      <c r="R289" s="5">
        <f t="shared" ca="1" si="116"/>
        <v>0</v>
      </c>
      <c r="S289" s="60">
        <f t="shared" ca="1" si="116"/>
        <v>0</v>
      </c>
      <c r="T289" s="294"/>
    </row>
    <row r="290" spans="1:20" ht="5.25" customHeight="1" x14ac:dyDescent="0.25">
      <c r="A290" s="302"/>
      <c r="C290" s="294"/>
      <c r="D290" s="5"/>
      <c r="E290" s="5"/>
      <c r="F290" s="5"/>
      <c r="G290" s="807" t="s">
        <v>139</v>
      </c>
      <c r="I290" s="542" t="s">
        <v>66</v>
      </c>
      <c r="J290" s="542" t="s">
        <v>66</v>
      </c>
      <c r="K290" s="542" t="s">
        <v>66</v>
      </c>
      <c r="L290" s="542" t="s">
        <v>66</v>
      </c>
      <c r="M290" s="542" t="s">
        <v>66</v>
      </c>
      <c r="N290" s="542" t="s">
        <v>66</v>
      </c>
      <c r="O290" s="542" t="s">
        <v>66</v>
      </c>
      <c r="P290" s="542" t="s">
        <v>66</v>
      </c>
      <c r="Q290" s="542" t="s">
        <v>66</v>
      </c>
      <c r="R290" s="542" t="s">
        <v>66</v>
      </c>
      <c r="S290" s="542" t="s">
        <v>66</v>
      </c>
      <c r="T290" s="294"/>
    </row>
    <row r="291" spans="1:20" x14ac:dyDescent="0.25">
      <c r="A291" s="302"/>
      <c r="C291" s="294"/>
      <c r="D291" s="5" t="str">
        <f>D203&amp;"........................................................................................................."</f>
        <v xml:space="preserve">  Total Assets.....................................................................................................................................................................................</v>
      </c>
      <c r="E291" s="5"/>
      <c r="F291" s="27"/>
      <c r="G291" s="807" t="s">
        <v>139</v>
      </c>
      <c r="I291" s="7">
        <f t="shared" ref="I291:S291" ca="1" si="117">SUM(I283:I290)+I278</f>
        <v>320</v>
      </c>
      <c r="J291" s="7">
        <f t="shared" ca="1" si="117"/>
        <v>387.77</v>
      </c>
      <c r="K291" s="7">
        <f t="shared" ca="1" si="117"/>
        <v>470.93865</v>
      </c>
      <c r="L291" s="7">
        <f t="shared" ca="1" si="117"/>
        <v>572.01019987500001</v>
      </c>
      <c r="M291" s="7">
        <f t="shared" ca="1" si="117"/>
        <v>693.87085668343752</v>
      </c>
      <c r="N291" s="7">
        <f t="shared" ca="1" si="117"/>
        <v>839.84628363502418</v>
      </c>
      <c r="O291" s="7">
        <f t="shared" ca="1" si="117"/>
        <v>1013.7677305789437</v>
      </c>
      <c r="P291" s="7">
        <f t="shared" ca="1" si="117"/>
        <v>1220.0480909574078</v>
      </c>
      <c r="Q291" s="7">
        <f t="shared" ca="1" si="117"/>
        <v>1463.7693744183691</v>
      </c>
      <c r="R291" s="7">
        <f t="shared" ca="1" si="117"/>
        <v>1750.7833076675386</v>
      </c>
      <c r="S291" s="62">
        <f t="shared" ca="1" si="117"/>
        <v>2087.8270330343917</v>
      </c>
      <c r="T291" s="294"/>
    </row>
    <row r="292" spans="1:20" ht="9.75" customHeight="1" x14ac:dyDescent="0.25">
      <c r="A292" s="302"/>
      <c r="C292" s="294"/>
      <c r="D292" s="5"/>
      <c r="E292" s="5"/>
      <c r="F292" s="5"/>
      <c r="G292" s="807" t="s">
        <v>139</v>
      </c>
      <c r="I292" s="635" t="s">
        <v>76</v>
      </c>
      <c r="J292" s="635" t="s">
        <v>76</v>
      </c>
      <c r="K292" s="635" t="s">
        <v>76</v>
      </c>
      <c r="L292" s="635" t="s">
        <v>76</v>
      </c>
      <c r="M292" s="635" t="s">
        <v>76</v>
      </c>
      <c r="N292" s="635" t="s">
        <v>76</v>
      </c>
      <c r="O292" s="635" t="s">
        <v>76</v>
      </c>
      <c r="P292" s="635" t="s">
        <v>76</v>
      </c>
      <c r="Q292" s="635" t="s">
        <v>76</v>
      </c>
      <c r="R292" s="635" t="s">
        <v>76</v>
      </c>
      <c r="S292" s="635" t="s">
        <v>76</v>
      </c>
      <c r="T292" s="294"/>
    </row>
    <row r="293" spans="1:20" x14ac:dyDescent="0.25">
      <c r="A293" s="302"/>
      <c r="C293" s="294"/>
      <c r="D293" s="629" t="s">
        <v>217</v>
      </c>
      <c r="E293" s="5"/>
      <c r="F293" s="5"/>
      <c r="G293" s="807" t="s">
        <v>139</v>
      </c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60"/>
      <c r="T293" s="294"/>
    </row>
    <row r="294" spans="1:20" x14ac:dyDescent="0.25">
      <c r="A294" s="302"/>
      <c r="C294" s="294"/>
      <c r="D294" s="183" t="str">
        <f>M181</f>
        <v>Current:</v>
      </c>
      <c r="E294" s="5"/>
      <c r="F294" s="5"/>
      <c r="G294" s="806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60"/>
      <c r="T294" s="294"/>
    </row>
    <row r="295" spans="1:20" x14ac:dyDescent="0.25">
      <c r="A295" s="302"/>
      <c r="C295" s="294"/>
      <c r="D295" s="3" t="str">
        <f t="shared" ref="D295:D300" si="118">M182&amp;"....................................................................................."</f>
        <v xml:space="preserve">  Short Term Debt.....................................................................................................................................................</v>
      </c>
      <c r="F295" s="2"/>
      <c r="G295" s="807" t="s">
        <v>139</v>
      </c>
      <c r="I295" s="7">
        <f t="shared" ref="I295:I300" ca="1" si="119">S182</f>
        <v>0</v>
      </c>
      <c r="J295" s="7">
        <f t="shared" ref="J295:S295" ca="1" si="120">J581</f>
        <v>0</v>
      </c>
      <c r="K295" s="7">
        <f t="shared" ca="1" si="120"/>
        <v>0</v>
      </c>
      <c r="L295" s="7">
        <f t="shared" ca="1" si="120"/>
        <v>0</v>
      </c>
      <c r="M295" s="7">
        <f t="shared" ca="1" si="120"/>
        <v>0</v>
      </c>
      <c r="N295" s="7">
        <f t="shared" ca="1" si="120"/>
        <v>0</v>
      </c>
      <c r="O295" s="7">
        <f t="shared" ca="1" si="120"/>
        <v>0</v>
      </c>
      <c r="P295" s="7">
        <f t="shared" ca="1" si="120"/>
        <v>0</v>
      </c>
      <c r="Q295" s="7">
        <f t="shared" ca="1" si="120"/>
        <v>0</v>
      </c>
      <c r="R295" s="7">
        <f t="shared" ca="1" si="120"/>
        <v>0</v>
      </c>
      <c r="S295" s="62">
        <f t="shared" ca="1" si="120"/>
        <v>0</v>
      </c>
      <c r="T295" s="294"/>
    </row>
    <row r="296" spans="1:20" x14ac:dyDescent="0.25">
      <c r="A296" s="302"/>
      <c r="C296" s="294"/>
      <c r="D296" s="3" t="str">
        <f t="shared" si="118"/>
        <v xml:space="preserve">  Accounts Payable...........................................................................................................................................................</v>
      </c>
      <c r="F296" s="2"/>
      <c r="G296" s="807" t="s">
        <v>139</v>
      </c>
      <c r="I296" s="5">
        <f t="shared" si="119"/>
        <v>15</v>
      </c>
      <c r="J296" s="5">
        <f ca="1">J100*J129</f>
        <v>17.25</v>
      </c>
      <c r="K296" s="5">
        <f t="shared" ref="K296:S296" ca="1" si="121">K100*K129</f>
        <v>19.837499999999999</v>
      </c>
      <c r="L296" s="5">
        <f t="shared" ca="1" si="121"/>
        <v>22.813124999999999</v>
      </c>
      <c r="M296" s="5">
        <f t="shared" ca="1" si="121"/>
        <v>26.235093749999994</v>
      </c>
      <c r="N296" s="5">
        <f t="shared" ca="1" si="121"/>
        <v>30.170357812499994</v>
      </c>
      <c r="O296" s="5">
        <f t="shared" ca="1" si="121"/>
        <v>34.695911484374989</v>
      </c>
      <c r="P296" s="5">
        <f t="shared" ca="1" si="121"/>
        <v>39.900298207031241</v>
      </c>
      <c r="Q296" s="5">
        <f t="shared" ca="1" si="121"/>
        <v>45.885342938085927</v>
      </c>
      <c r="R296" s="5">
        <f t="shared" ca="1" si="121"/>
        <v>52.768144378798802</v>
      </c>
      <c r="S296" s="5">
        <f t="shared" ca="1" si="121"/>
        <v>60.683366035618619</v>
      </c>
      <c r="T296" s="294"/>
    </row>
    <row r="297" spans="1:20" x14ac:dyDescent="0.25">
      <c r="A297" s="302"/>
      <c r="C297" s="294"/>
      <c r="D297" s="3" t="str">
        <f t="shared" si="118"/>
        <v xml:space="preserve">  Accrued Expenses......................................................................................................................................................</v>
      </c>
      <c r="F297" s="2"/>
      <c r="G297" s="807" t="s">
        <v>139</v>
      </c>
      <c r="I297" s="5">
        <f t="shared" si="119"/>
        <v>0</v>
      </c>
      <c r="J297" s="5">
        <f t="shared" ref="J297:S298" ca="1" si="122">J$97*J131</f>
        <v>0</v>
      </c>
      <c r="K297" s="5">
        <f t="shared" ca="1" si="122"/>
        <v>0</v>
      </c>
      <c r="L297" s="5">
        <f t="shared" ca="1" si="122"/>
        <v>0</v>
      </c>
      <c r="M297" s="5">
        <f t="shared" ca="1" si="122"/>
        <v>0</v>
      </c>
      <c r="N297" s="5">
        <f t="shared" ca="1" si="122"/>
        <v>0</v>
      </c>
      <c r="O297" s="5">
        <f t="shared" ca="1" si="122"/>
        <v>0</v>
      </c>
      <c r="P297" s="5">
        <f t="shared" ca="1" si="122"/>
        <v>0</v>
      </c>
      <c r="Q297" s="5">
        <f t="shared" ca="1" si="122"/>
        <v>0</v>
      </c>
      <c r="R297" s="5">
        <f t="shared" ca="1" si="122"/>
        <v>0</v>
      </c>
      <c r="S297" s="60">
        <f t="shared" ca="1" si="122"/>
        <v>0</v>
      </c>
      <c r="T297" s="294"/>
    </row>
    <row r="298" spans="1:20" x14ac:dyDescent="0.25">
      <c r="A298" s="302"/>
      <c r="C298" s="294"/>
      <c r="D298" s="3" t="str">
        <f t="shared" si="118"/>
        <v xml:space="preserve">  Accrued Liabilities..............................................................................................................................................</v>
      </c>
      <c r="E298" s="5"/>
      <c r="F298" s="2"/>
      <c r="G298" s="807" t="s">
        <v>139</v>
      </c>
      <c r="I298" s="5">
        <f t="shared" si="119"/>
        <v>0</v>
      </c>
      <c r="J298" s="5">
        <f t="shared" ca="1" si="122"/>
        <v>0</v>
      </c>
      <c r="K298" s="5">
        <f t="shared" ca="1" si="122"/>
        <v>0</v>
      </c>
      <c r="L298" s="5">
        <f t="shared" ca="1" si="122"/>
        <v>0</v>
      </c>
      <c r="M298" s="5">
        <f t="shared" ca="1" si="122"/>
        <v>0</v>
      </c>
      <c r="N298" s="5">
        <f t="shared" ca="1" si="122"/>
        <v>0</v>
      </c>
      <c r="O298" s="5">
        <f t="shared" ca="1" si="122"/>
        <v>0</v>
      </c>
      <c r="P298" s="5">
        <f t="shared" ca="1" si="122"/>
        <v>0</v>
      </c>
      <c r="Q298" s="5">
        <f t="shared" ca="1" si="122"/>
        <v>0</v>
      </c>
      <c r="R298" s="5">
        <f t="shared" ca="1" si="122"/>
        <v>0</v>
      </c>
      <c r="S298" s="60">
        <f t="shared" ca="1" si="122"/>
        <v>0</v>
      </c>
      <c r="T298" s="294"/>
    </row>
    <row r="299" spans="1:20" x14ac:dyDescent="0.25">
      <c r="A299" s="302"/>
      <c r="C299" s="294"/>
      <c r="D299" s="3" t="str">
        <f t="shared" si="118"/>
        <v xml:space="preserve">  Taxes Payable.............................................................................................................................................................</v>
      </c>
      <c r="E299" s="5"/>
      <c r="F299" s="2"/>
      <c r="G299" s="807" t="s">
        <v>139</v>
      </c>
      <c r="I299" s="5">
        <f t="shared" si="119"/>
        <v>0</v>
      </c>
      <c r="J299" s="5">
        <f t="shared" ref="J299:S299" ca="1" si="123">J$258*J133</f>
        <v>0</v>
      </c>
      <c r="K299" s="5">
        <f t="shared" ca="1" si="123"/>
        <v>0</v>
      </c>
      <c r="L299" s="5">
        <f t="shared" ca="1" si="123"/>
        <v>0</v>
      </c>
      <c r="M299" s="5">
        <f t="shared" ca="1" si="123"/>
        <v>0</v>
      </c>
      <c r="N299" s="5">
        <f t="shared" ca="1" si="123"/>
        <v>0</v>
      </c>
      <c r="O299" s="5">
        <f t="shared" ca="1" si="123"/>
        <v>0</v>
      </c>
      <c r="P299" s="5">
        <f t="shared" ca="1" si="123"/>
        <v>0</v>
      </c>
      <c r="Q299" s="5">
        <f t="shared" ca="1" si="123"/>
        <v>0</v>
      </c>
      <c r="R299" s="5">
        <f t="shared" ca="1" si="123"/>
        <v>0</v>
      </c>
      <c r="S299" s="5">
        <f t="shared" ca="1" si="123"/>
        <v>0</v>
      </c>
      <c r="T299" s="294"/>
    </row>
    <row r="300" spans="1:20" x14ac:dyDescent="0.25">
      <c r="A300" s="302"/>
      <c r="C300" s="294"/>
      <c r="D300" s="3" t="str">
        <f t="shared" si="118"/>
        <v xml:space="preserve">  Other Current Liabilities.......................................................................................................................................................</v>
      </c>
      <c r="E300" s="5"/>
      <c r="F300" s="2"/>
      <c r="G300" s="807" t="s">
        <v>139</v>
      </c>
      <c r="I300" s="5">
        <f t="shared" si="119"/>
        <v>0</v>
      </c>
      <c r="J300" s="5">
        <f t="shared" ref="J300:S300" ca="1" si="124">J$97*J134</f>
        <v>0</v>
      </c>
      <c r="K300" s="5">
        <f t="shared" ca="1" si="124"/>
        <v>0</v>
      </c>
      <c r="L300" s="5">
        <f t="shared" ca="1" si="124"/>
        <v>0</v>
      </c>
      <c r="M300" s="5">
        <f t="shared" ca="1" si="124"/>
        <v>0</v>
      </c>
      <c r="N300" s="5">
        <f t="shared" ca="1" si="124"/>
        <v>0</v>
      </c>
      <c r="O300" s="5">
        <f t="shared" ca="1" si="124"/>
        <v>0</v>
      </c>
      <c r="P300" s="5">
        <f t="shared" ca="1" si="124"/>
        <v>0</v>
      </c>
      <c r="Q300" s="5">
        <f t="shared" ca="1" si="124"/>
        <v>0</v>
      </c>
      <c r="R300" s="5">
        <f t="shared" ca="1" si="124"/>
        <v>0</v>
      </c>
      <c r="S300" s="60">
        <f t="shared" ca="1" si="124"/>
        <v>0</v>
      </c>
      <c r="T300" s="294"/>
    </row>
    <row r="301" spans="1:20" ht="5.25" customHeight="1" x14ac:dyDescent="0.25">
      <c r="A301" s="302"/>
      <c r="C301" s="294"/>
      <c r="D301" s="5"/>
      <c r="E301" s="5"/>
      <c r="F301" s="5"/>
      <c r="G301" s="807" t="s">
        <v>139</v>
      </c>
      <c r="I301" s="542" t="s">
        <v>66</v>
      </c>
      <c r="J301" s="542" t="s">
        <v>66</v>
      </c>
      <c r="K301" s="542" t="s">
        <v>66</v>
      </c>
      <c r="L301" s="542" t="s">
        <v>66</v>
      </c>
      <c r="M301" s="542" t="s">
        <v>66</v>
      </c>
      <c r="N301" s="542" t="s">
        <v>66</v>
      </c>
      <c r="O301" s="542" t="s">
        <v>66</v>
      </c>
      <c r="P301" s="542" t="s">
        <v>66</v>
      </c>
      <c r="Q301" s="542" t="s">
        <v>66</v>
      </c>
      <c r="R301" s="542" t="s">
        <v>66</v>
      </c>
      <c r="S301" s="542" t="s">
        <v>66</v>
      </c>
      <c r="T301" s="294"/>
    </row>
    <row r="302" spans="1:20" x14ac:dyDescent="0.25">
      <c r="A302" s="302"/>
      <c r="C302" s="294"/>
      <c r="D302" s="3" t="str">
        <f>M189&amp;"....................................................................................."</f>
        <v xml:space="preserve">    Total Current Liabilities................................................................................................................................................</v>
      </c>
      <c r="E302" s="27"/>
      <c r="F302" s="27"/>
      <c r="G302" s="807" t="s">
        <v>139</v>
      </c>
      <c r="I302" s="5">
        <f t="shared" ref="I302:S302" ca="1" si="125">SUM(I295:I301)</f>
        <v>15</v>
      </c>
      <c r="J302" s="5">
        <f t="shared" ca="1" si="125"/>
        <v>17.25</v>
      </c>
      <c r="K302" s="5">
        <f t="shared" ca="1" si="125"/>
        <v>19.837499999999999</v>
      </c>
      <c r="L302" s="5">
        <f t="shared" ca="1" si="125"/>
        <v>22.813124999999999</v>
      </c>
      <c r="M302" s="5">
        <f t="shared" ca="1" si="125"/>
        <v>26.235093749999994</v>
      </c>
      <c r="N302" s="5">
        <f t="shared" ca="1" si="125"/>
        <v>30.170357812499994</v>
      </c>
      <c r="O302" s="5">
        <f t="shared" ca="1" si="125"/>
        <v>34.695911484374989</v>
      </c>
      <c r="P302" s="5">
        <f t="shared" ca="1" si="125"/>
        <v>39.900298207031241</v>
      </c>
      <c r="Q302" s="5">
        <f t="shared" ca="1" si="125"/>
        <v>45.885342938085927</v>
      </c>
      <c r="R302" s="5">
        <f t="shared" ca="1" si="125"/>
        <v>52.768144378798802</v>
      </c>
      <c r="S302" s="60">
        <f t="shared" ca="1" si="125"/>
        <v>60.683366035618619</v>
      </c>
      <c r="T302" s="294"/>
    </row>
    <row r="303" spans="1:20" ht="18.75" customHeight="1" x14ac:dyDescent="0.25">
      <c r="A303" s="302"/>
      <c r="C303" s="294"/>
      <c r="D303" s="630" t="s">
        <v>165</v>
      </c>
      <c r="E303" s="5"/>
      <c r="F303" s="5"/>
      <c r="G303" s="807" t="s">
        <v>139</v>
      </c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60"/>
      <c r="T303" s="294"/>
    </row>
    <row r="304" spans="1:20" x14ac:dyDescent="0.25">
      <c r="A304" s="302"/>
      <c r="C304" s="294"/>
      <c r="D304" s="3" t="str">
        <f t="shared" ref="D304:D311" si="126">M192&amp;"....................................................................................."</f>
        <v xml:space="preserve">  Existing Debt.....................................................................................................................................................</v>
      </c>
      <c r="E304" s="5"/>
      <c r="F304" s="148"/>
      <c r="G304" s="807" t="s">
        <v>139</v>
      </c>
      <c r="I304" s="5">
        <f t="shared" ref="I304:I312" ca="1" si="127">S192</f>
        <v>150</v>
      </c>
      <c r="J304" s="5">
        <f t="shared" ref="J304:S304" ca="1" si="128">J588</f>
        <v>150</v>
      </c>
      <c r="K304" s="5">
        <f t="shared" ca="1" si="128"/>
        <v>150</v>
      </c>
      <c r="L304" s="5">
        <f t="shared" ca="1" si="128"/>
        <v>150</v>
      </c>
      <c r="M304" s="5">
        <f t="shared" ca="1" si="128"/>
        <v>150</v>
      </c>
      <c r="N304" s="5">
        <f t="shared" ca="1" si="128"/>
        <v>150</v>
      </c>
      <c r="O304" s="5">
        <f t="shared" ca="1" si="128"/>
        <v>150</v>
      </c>
      <c r="P304" s="5">
        <f t="shared" ca="1" si="128"/>
        <v>150</v>
      </c>
      <c r="Q304" s="5">
        <f t="shared" ca="1" si="128"/>
        <v>150</v>
      </c>
      <c r="R304" s="5">
        <f t="shared" ca="1" si="128"/>
        <v>150</v>
      </c>
      <c r="S304" s="60">
        <f t="shared" ca="1" si="128"/>
        <v>150</v>
      </c>
      <c r="T304" s="294"/>
    </row>
    <row r="305" spans="1:20" x14ac:dyDescent="0.25">
      <c r="A305" s="302"/>
      <c r="C305" s="294"/>
      <c r="D305" s="3" t="str">
        <f t="shared" si="126"/>
        <v xml:space="preserve">  Revolver.....................................................................................................................................................</v>
      </c>
      <c r="E305" s="5"/>
      <c r="F305" s="148"/>
      <c r="G305" s="807" t="s">
        <v>139</v>
      </c>
      <c r="I305" s="5">
        <f t="shared" ca="1" si="127"/>
        <v>0</v>
      </c>
      <c r="J305" s="5">
        <f t="shared" ref="J305:S305" ca="1" si="129">J595</f>
        <v>0</v>
      </c>
      <c r="K305" s="5">
        <f t="shared" ca="1" si="129"/>
        <v>0</v>
      </c>
      <c r="L305" s="5">
        <f t="shared" ca="1" si="129"/>
        <v>0</v>
      </c>
      <c r="M305" s="5">
        <f t="shared" ca="1" si="129"/>
        <v>0</v>
      </c>
      <c r="N305" s="5">
        <f t="shared" ca="1" si="129"/>
        <v>0</v>
      </c>
      <c r="O305" s="5">
        <f t="shared" ca="1" si="129"/>
        <v>0</v>
      </c>
      <c r="P305" s="5">
        <f t="shared" ca="1" si="129"/>
        <v>0</v>
      </c>
      <c r="Q305" s="5">
        <f t="shared" ca="1" si="129"/>
        <v>0</v>
      </c>
      <c r="R305" s="5">
        <f t="shared" ca="1" si="129"/>
        <v>0</v>
      </c>
      <c r="S305" s="60">
        <f t="shared" ca="1" si="129"/>
        <v>0</v>
      </c>
      <c r="T305" s="294"/>
    </row>
    <row r="306" spans="1:20" x14ac:dyDescent="0.25">
      <c r="A306" s="302"/>
      <c r="B306" s="4"/>
      <c r="C306" s="299"/>
      <c r="D306" s="3" t="str">
        <f t="shared" si="126"/>
        <v xml:space="preserve">  Term Loan.....................................................................................................................................................</v>
      </c>
      <c r="G306" s="807" t="s">
        <v>139</v>
      </c>
      <c r="I306" s="5">
        <f t="shared" ca="1" si="127"/>
        <v>0</v>
      </c>
      <c r="J306" s="5">
        <f t="shared" ref="J306:S306" ca="1" si="130">J602</f>
        <v>0</v>
      </c>
      <c r="K306" s="5">
        <f t="shared" ca="1" si="130"/>
        <v>0</v>
      </c>
      <c r="L306" s="5">
        <f t="shared" ca="1" si="130"/>
        <v>0</v>
      </c>
      <c r="M306" s="5">
        <f t="shared" ca="1" si="130"/>
        <v>0</v>
      </c>
      <c r="N306" s="5">
        <f t="shared" ca="1" si="130"/>
        <v>0</v>
      </c>
      <c r="O306" s="5">
        <f t="shared" ca="1" si="130"/>
        <v>0</v>
      </c>
      <c r="P306" s="5">
        <f t="shared" ca="1" si="130"/>
        <v>0</v>
      </c>
      <c r="Q306" s="5">
        <f t="shared" ca="1" si="130"/>
        <v>0</v>
      </c>
      <c r="R306" s="5">
        <f t="shared" ca="1" si="130"/>
        <v>0</v>
      </c>
      <c r="S306" s="60">
        <f t="shared" ca="1" si="130"/>
        <v>0</v>
      </c>
      <c r="T306" s="294"/>
    </row>
    <row r="307" spans="1:20" x14ac:dyDescent="0.25">
      <c r="A307" s="302"/>
      <c r="B307" s="4"/>
      <c r="C307" s="299"/>
      <c r="D307" s="3" t="str">
        <f t="shared" si="126"/>
        <v xml:space="preserve">  Evergreen Revolver.....................................................................................................................................................</v>
      </c>
      <c r="G307" s="807" t="s">
        <v>139</v>
      </c>
      <c r="I307" s="5">
        <f t="shared" ca="1" si="127"/>
        <v>0</v>
      </c>
      <c r="J307" s="5">
        <f t="shared" ref="J307:S307" ca="1" si="131">J609</f>
        <v>0</v>
      </c>
      <c r="K307" s="5">
        <f t="shared" ca="1" si="131"/>
        <v>0</v>
      </c>
      <c r="L307" s="5">
        <f t="shared" ca="1" si="131"/>
        <v>0</v>
      </c>
      <c r="M307" s="5">
        <f t="shared" ca="1" si="131"/>
        <v>0</v>
      </c>
      <c r="N307" s="5">
        <f t="shared" ca="1" si="131"/>
        <v>0</v>
      </c>
      <c r="O307" s="5">
        <f t="shared" ca="1" si="131"/>
        <v>0</v>
      </c>
      <c r="P307" s="5">
        <f t="shared" ca="1" si="131"/>
        <v>0</v>
      </c>
      <c r="Q307" s="5">
        <f t="shared" ca="1" si="131"/>
        <v>0</v>
      </c>
      <c r="R307" s="5">
        <f t="shared" ca="1" si="131"/>
        <v>0</v>
      </c>
      <c r="S307" s="60">
        <f t="shared" ca="1" si="131"/>
        <v>0</v>
      </c>
      <c r="T307" s="294"/>
    </row>
    <row r="308" spans="1:20" x14ac:dyDescent="0.25">
      <c r="A308" s="302"/>
      <c r="B308" s="4"/>
      <c r="C308" s="299"/>
      <c r="D308" s="3" t="str">
        <f t="shared" si="126"/>
        <v xml:space="preserve">  Debt 1.....................................................................................................................................................</v>
      </c>
      <c r="G308" s="807" t="s">
        <v>139</v>
      </c>
      <c r="I308" s="5">
        <f t="shared" ca="1" si="127"/>
        <v>0</v>
      </c>
      <c r="J308" s="5">
        <f t="shared" ref="J308:S308" ca="1" si="132">J617</f>
        <v>0</v>
      </c>
      <c r="K308" s="5">
        <f t="shared" ca="1" si="132"/>
        <v>0</v>
      </c>
      <c r="L308" s="5">
        <f t="shared" ca="1" si="132"/>
        <v>0</v>
      </c>
      <c r="M308" s="5">
        <f t="shared" ca="1" si="132"/>
        <v>0</v>
      </c>
      <c r="N308" s="5">
        <f t="shared" ca="1" si="132"/>
        <v>0</v>
      </c>
      <c r="O308" s="5">
        <f t="shared" ca="1" si="132"/>
        <v>0</v>
      </c>
      <c r="P308" s="5">
        <f t="shared" ca="1" si="132"/>
        <v>0</v>
      </c>
      <c r="Q308" s="5">
        <f t="shared" ca="1" si="132"/>
        <v>0</v>
      </c>
      <c r="R308" s="5">
        <f t="shared" ca="1" si="132"/>
        <v>0</v>
      </c>
      <c r="S308" s="60">
        <f t="shared" ca="1" si="132"/>
        <v>0</v>
      </c>
      <c r="T308" s="294"/>
    </row>
    <row r="309" spans="1:20" x14ac:dyDescent="0.25">
      <c r="A309" s="302"/>
      <c r="B309" s="4"/>
      <c r="C309" s="299"/>
      <c r="D309" s="3" t="str">
        <f t="shared" si="126"/>
        <v xml:space="preserve">  Debt 2.....................................................................................................................................................</v>
      </c>
      <c r="G309" s="807" t="s">
        <v>139</v>
      </c>
      <c r="I309" s="5">
        <f t="shared" ca="1" si="127"/>
        <v>0</v>
      </c>
      <c r="J309" s="5">
        <f t="shared" ref="J309:S309" ca="1" si="133">J625</f>
        <v>0</v>
      </c>
      <c r="K309" s="5">
        <f t="shared" ca="1" si="133"/>
        <v>0</v>
      </c>
      <c r="L309" s="5">
        <f t="shared" ca="1" si="133"/>
        <v>0</v>
      </c>
      <c r="M309" s="5">
        <f t="shared" ca="1" si="133"/>
        <v>0</v>
      </c>
      <c r="N309" s="5">
        <f t="shared" ca="1" si="133"/>
        <v>0</v>
      </c>
      <c r="O309" s="5">
        <f t="shared" ca="1" si="133"/>
        <v>0</v>
      </c>
      <c r="P309" s="5">
        <f t="shared" ca="1" si="133"/>
        <v>0</v>
      </c>
      <c r="Q309" s="5">
        <f t="shared" ca="1" si="133"/>
        <v>0</v>
      </c>
      <c r="R309" s="5">
        <f t="shared" ca="1" si="133"/>
        <v>0</v>
      </c>
      <c r="S309" s="60">
        <f t="shared" ca="1" si="133"/>
        <v>0</v>
      </c>
      <c r="T309" s="294"/>
    </row>
    <row r="310" spans="1:20" x14ac:dyDescent="0.25">
      <c r="A310" s="302"/>
      <c r="C310" s="294"/>
      <c r="D310" s="3" t="str">
        <f t="shared" si="126"/>
        <v xml:space="preserve">  Debt 3.....................................................................................................................................................</v>
      </c>
      <c r="E310" s="5"/>
      <c r="F310" s="148"/>
      <c r="G310" s="807" t="s">
        <v>139</v>
      </c>
      <c r="I310" s="5">
        <f t="shared" ca="1" si="127"/>
        <v>0</v>
      </c>
      <c r="J310" s="5">
        <f t="shared" ref="J310:S310" ca="1" si="134">J639</f>
        <v>0</v>
      </c>
      <c r="K310" s="5">
        <f t="shared" ca="1" si="134"/>
        <v>0</v>
      </c>
      <c r="L310" s="5">
        <f t="shared" ca="1" si="134"/>
        <v>0</v>
      </c>
      <c r="M310" s="5">
        <f t="shared" ca="1" si="134"/>
        <v>0</v>
      </c>
      <c r="N310" s="5">
        <f t="shared" ca="1" si="134"/>
        <v>0</v>
      </c>
      <c r="O310" s="5">
        <f t="shared" ca="1" si="134"/>
        <v>0</v>
      </c>
      <c r="P310" s="5">
        <f t="shared" ca="1" si="134"/>
        <v>0</v>
      </c>
      <c r="Q310" s="5">
        <f t="shared" ca="1" si="134"/>
        <v>0</v>
      </c>
      <c r="R310" s="5">
        <f t="shared" ca="1" si="134"/>
        <v>0</v>
      </c>
      <c r="S310" s="60">
        <f t="shared" ca="1" si="134"/>
        <v>0</v>
      </c>
      <c r="T310" s="294"/>
    </row>
    <row r="311" spans="1:20" x14ac:dyDescent="0.25">
      <c r="A311" s="302"/>
      <c r="C311" s="825" t="s">
        <v>205</v>
      </c>
      <c r="D311" s="3" t="str">
        <f t="shared" si="126"/>
        <v xml:space="preserve">  Debt 4.....................................................................................................................................................</v>
      </c>
      <c r="F311" s="148"/>
      <c r="G311" s="807" t="s">
        <v>139</v>
      </c>
      <c r="I311" s="5">
        <f t="shared" ca="1" si="127"/>
        <v>0</v>
      </c>
      <c r="J311" s="5">
        <f t="shared" ref="J311:S311" ca="1" si="135">J647</f>
        <v>0</v>
      </c>
      <c r="K311" s="5">
        <f t="shared" ca="1" si="135"/>
        <v>0</v>
      </c>
      <c r="L311" s="5">
        <f t="shared" ca="1" si="135"/>
        <v>0</v>
      </c>
      <c r="M311" s="5">
        <f t="shared" ca="1" si="135"/>
        <v>0</v>
      </c>
      <c r="N311" s="5">
        <f t="shared" ca="1" si="135"/>
        <v>0</v>
      </c>
      <c r="O311" s="5">
        <f t="shared" ca="1" si="135"/>
        <v>0</v>
      </c>
      <c r="P311" s="5">
        <f t="shared" ca="1" si="135"/>
        <v>0</v>
      </c>
      <c r="Q311" s="5">
        <f t="shared" ca="1" si="135"/>
        <v>0</v>
      </c>
      <c r="R311" s="5">
        <f t="shared" ca="1" si="135"/>
        <v>0</v>
      </c>
      <c r="S311" s="60">
        <f t="shared" ca="1" si="135"/>
        <v>0</v>
      </c>
      <c r="T311" s="294"/>
    </row>
    <row r="312" spans="1:20" x14ac:dyDescent="0.25">
      <c r="A312" s="302"/>
      <c r="C312" s="824">
        <f>IF(ISNUMBER(C311),C311+$K$1404,0)</f>
        <v>0</v>
      </c>
      <c r="D312" s="3" t="str">
        <f>"  "&amp;D1416&amp;"....................................................................................."</f>
        <v xml:space="preserve">  Debt 5.....................................................................................</v>
      </c>
      <c r="E312" s="5"/>
      <c r="F312" s="148"/>
      <c r="G312" t="s">
        <v>139</v>
      </c>
      <c r="I312" s="5">
        <f t="shared" ca="1" si="127"/>
        <v>0</v>
      </c>
      <c r="J312" s="5">
        <f t="shared" ref="J312:S312" ca="1" si="136">OFFSET(J$655,$C312,0)</f>
        <v>0</v>
      </c>
      <c r="K312" s="5">
        <f t="shared" ca="1" si="136"/>
        <v>0</v>
      </c>
      <c r="L312" s="5">
        <f t="shared" ca="1" si="136"/>
        <v>0</v>
      </c>
      <c r="M312" s="5">
        <f t="shared" ca="1" si="136"/>
        <v>0</v>
      </c>
      <c r="N312" s="5">
        <f t="shared" ca="1" si="136"/>
        <v>0</v>
      </c>
      <c r="O312" s="5">
        <f t="shared" ca="1" si="136"/>
        <v>0</v>
      </c>
      <c r="P312" s="5">
        <f t="shared" ca="1" si="136"/>
        <v>0</v>
      </c>
      <c r="Q312" s="5">
        <f t="shared" ca="1" si="136"/>
        <v>0</v>
      </c>
      <c r="R312" s="5">
        <f t="shared" ca="1" si="136"/>
        <v>0</v>
      </c>
      <c r="S312" s="5">
        <f t="shared" ca="1" si="136"/>
        <v>0</v>
      </c>
      <c r="T312" s="294"/>
    </row>
    <row r="313" spans="1:20" ht="6" customHeight="1" x14ac:dyDescent="0.25">
      <c r="A313" s="302"/>
      <c r="C313" s="294"/>
      <c r="D313" s="5"/>
      <c r="E313" s="5"/>
      <c r="F313" s="5"/>
      <c r="G313" s="807" t="s">
        <v>139</v>
      </c>
      <c r="I313" s="542" t="s">
        <v>66</v>
      </c>
      <c r="J313" s="542" t="s">
        <v>66</v>
      </c>
      <c r="K313" s="542" t="s">
        <v>66</v>
      </c>
      <c r="L313" s="542" t="s">
        <v>66</v>
      </c>
      <c r="M313" s="542" t="s">
        <v>66</v>
      </c>
      <c r="N313" s="542" t="s">
        <v>66</v>
      </c>
      <c r="O313" s="542" t="s">
        <v>66</v>
      </c>
      <c r="P313" s="542" t="s">
        <v>66</v>
      </c>
      <c r="Q313" s="542" t="s">
        <v>66</v>
      </c>
      <c r="R313" s="542" t="s">
        <v>66</v>
      </c>
      <c r="S313" s="542" t="s">
        <v>66</v>
      </c>
      <c r="T313" s="294"/>
    </row>
    <row r="314" spans="1:20" x14ac:dyDescent="0.25">
      <c r="A314" s="302"/>
      <c r="C314" s="294"/>
      <c r="D314" s="3" t="str">
        <f>M202&amp;"....................................................................................."</f>
        <v xml:space="preserve">    Total Long-term Debt...............................................................................................................................................................</v>
      </c>
      <c r="E314" s="5"/>
      <c r="F314" s="148"/>
      <c r="G314" s="807" t="s">
        <v>139</v>
      </c>
      <c r="I314" s="5">
        <f t="shared" ref="I314:S314" ca="1" si="137">SUM(I303:I313)</f>
        <v>150</v>
      </c>
      <c r="J314" s="5">
        <f t="shared" ca="1" si="137"/>
        <v>150</v>
      </c>
      <c r="K314" s="5">
        <f t="shared" ca="1" si="137"/>
        <v>150</v>
      </c>
      <c r="L314" s="5">
        <f t="shared" ca="1" si="137"/>
        <v>150</v>
      </c>
      <c r="M314" s="5">
        <f t="shared" ca="1" si="137"/>
        <v>150</v>
      </c>
      <c r="N314" s="5">
        <f t="shared" ca="1" si="137"/>
        <v>150</v>
      </c>
      <c r="O314" s="5">
        <f t="shared" ca="1" si="137"/>
        <v>150</v>
      </c>
      <c r="P314" s="5">
        <f t="shared" ca="1" si="137"/>
        <v>150</v>
      </c>
      <c r="Q314" s="5">
        <f t="shared" ca="1" si="137"/>
        <v>150</v>
      </c>
      <c r="R314" s="5">
        <f t="shared" ca="1" si="137"/>
        <v>150</v>
      </c>
      <c r="S314" s="60">
        <f t="shared" ca="1" si="137"/>
        <v>150</v>
      </c>
      <c r="T314" s="294"/>
    </row>
    <row r="315" spans="1:20" x14ac:dyDescent="0.25">
      <c r="A315" s="302"/>
      <c r="C315" s="294"/>
      <c r="D315" s="6"/>
      <c r="E315" s="5"/>
      <c r="F315" s="5"/>
      <c r="G315" s="807" t="s">
        <v>139</v>
      </c>
      <c r="I315" s="5"/>
      <c r="J315" s="5"/>
      <c r="K315" s="5"/>
      <c r="L315" s="525" t="s">
        <v>139</v>
      </c>
      <c r="M315" s="5"/>
      <c r="N315" s="5"/>
      <c r="O315" s="5"/>
      <c r="P315" s="5"/>
      <c r="Q315" s="5"/>
      <c r="R315" s="5"/>
      <c r="S315" s="60"/>
      <c r="T315" s="294"/>
    </row>
    <row r="316" spans="1:20" x14ac:dyDescent="0.25">
      <c r="A316" s="302"/>
      <c r="C316" s="294"/>
      <c r="D316" s="3" t="str">
        <f>M204&amp;".............................................................................................."</f>
        <v>Other Liabilities ...................................................................................................................................................................</v>
      </c>
      <c r="E316" s="5"/>
      <c r="F316" s="148"/>
      <c r="G316" s="807" t="s">
        <v>139</v>
      </c>
      <c r="I316" s="5">
        <f>S204</f>
        <v>0</v>
      </c>
      <c r="J316" s="5">
        <f t="shared" ref="J316:S316" si="138">I316</f>
        <v>0</v>
      </c>
      <c r="K316" s="5">
        <f t="shared" si="138"/>
        <v>0</v>
      </c>
      <c r="L316" s="5">
        <f t="shared" si="138"/>
        <v>0</v>
      </c>
      <c r="M316" s="5">
        <f t="shared" si="138"/>
        <v>0</v>
      </c>
      <c r="N316" s="5">
        <f t="shared" si="138"/>
        <v>0</v>
      </c>
      <c r="O316" s="5">
        <f t="shared" si="138"/>
        <v>0</v>
      </c>
      <c r="P316" s="5">
        <f t="shared" si="138"/>
        <v>0</v>
      </c>
      <c r="Q316" s="5">
        <f t="shared" si="138"/>
        <v>0</v>
      </c>
      <c r="R316" s="5">
        <f t="shared" si="138"/>
        <v>0</v>
      </c>
      <c r="S316" s="60">
        <f t="shared" si="138"/>
        <v>0</v>
      </c>
      <c r="T316" s="294"/>
    </row>
    <row r="317" spans="1:20" x14ac:dyDescent="0.25">
      <c r="A317" s="302"/>
      <c r="C317" s="294"/>
      <c r="D317" s="3" t="str">
        <f>M205&amp;".............................................................................................."</f>
        <v>Minority Interest.................................................................................................................................................................</v>
      </c>
      <c r="F317" s="148"/>
      <c r="G317" s="807" t="s">
        <v>139</v>
      </c>
      <c r="I317" s="5">
        <f>S205</f>
        <v>0</v>
      </c>
      <c r="J317" s="5">
        <f t="shared" ref="J317:S317" si="139">I317</f>
        <v>0</v>
      </c>
      <c r="K317" s="5">
        <f t="shared" si="139"/>
        <v>0</v>
      </c>
      <c r="L317" s="5">
        <f t="shared" si="139"/>
        <v>0</v>
      </c>
      <c r="M317" s="5">
        <f t="shared" si="139"/>
        <v>0</v>
      </c>
      <c r="N317" s="5">
        <f t="shared" si="139"/>
        <v>0</v>
      </c>
      <c r="O317" s="5">
        <f t="shared" si="139"/>
        <v>0</v>
      </c>
      <c r="P317" s="5">
        <f t="shared" si="139"/>
        <v>0</v>
      </c>
      <c r="Q317" s="5">
        <f t="shared" si="139"/>
        <v>0</v>
      </c>
      <c r="R317" s="5">
        <f t="shared" si="139"/>
        <v>0</v>
      </c>
      <c r="S317" s="60">
        <f t="shared" si="139"/>
        <v>0</v>
      </c>
      <c r="T317" s="294"/>
    </row>
    <row r="318" spans="1:20" x14ac:dyDescent="0.25">
      <c r="A318" s="302"/>
      <c r="C318" s="294"/>
      <c r="D318" s="3" t="str">
        <f>M206&amp;".............................................................................................."</f>
        <v>Deferred Income Taxes......................................................................................................................................................................</v>
      </c>
      <c r="E318" s="5"/>
      <c r="F318" s="148"/>
      <c r="G318" s="807" t="s">
        <v>139</v>
      </c>
      <c r="I318" s="5">
        <f>S206</f>
        <v>0</v>
      </c>
      <c r="J318" s="5">
        <f t="shared" ref="J318:S318" ca="1" si="140">I318+J259</f>
        <v>0</v>
      </c>
      <c r="K318" s="5">
        <f t="shared" ca="1" si="140"/>
        <v>0</v>
      </c>
      <c r="L318" s="5">
        <f t="shared" ca="1" si="140"/>
        <v>0</v>
      </c>
      <c r="M318" s="5">
        <f t="shared" ca="1" si="140"/>
        <v>0</v>
      </c>
      <c r="N318" s="5">
        <f t="shared" ca="1" si="140"/>
        <v>0</v>
      </c>
      <c r="O318" s="5">
        <f t="shared" ca="1" si="140"/>
        <v>0</v>
      </c>
      <c r="P318" s="5">
        <f t="shared" ca="1" si="140"/>
        <v>0</v>
      </c>
      <c r="Q318" s="5">
        <f t="shared" ca="1" si="140"/>
        <v>0</v>
      </c>
      <c r="R318" s="5">
        <f t="shared" ca="1" si="140"/>
        <v>0</v>
      </c>
      <c r="S318" s="60">
        <f t="shared" ca="1" si="140"/>
        <v>0</v>
      </c>
      <c r="T318" s="294"/>
    </row>
    <row r="319" spans="1:20" x14ac:dyDescent="0.25">
      <c r="A319" s="302"/>
      <c r="C319" s="294"/>
      <c r="G319" s="807" t="s">
        <v>139</v>
      </c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60"/>
      <c r="T319" s="294"/>
    </row>
    <row r="320" spans="1:20" x14ac:dyDescent="0.25">
      <c r="A320" s="302"/>
      <c r="C320" s="825" t="s">
        <v>205</v>
      </c>
      <c r="D320" s="5" t="str">
        <f>M210&amp;"........................................................................."</f>
        <v>Preferred 1..........................................................................................................................................................................</v>
      </c>
      <c r="E320" s="5"/>
      <c r="F320" s="148"/>
      <c r="G320" s="807" t="s">
        <v>139</v>
      </c>
      <c r="I320" s="5">
        <f ca="1">S210</f>
        <v>0</v>
      </c>
      <c r="J320" s="5">
        <f t="shared" ref="J320:S320" ca="1" si="141">J662</f>
        <v>0</v>
      </c>
      <c r="K320" s="5">
        <f t="shared" ca="1" si="141"/>
        <v>0</v>
      </c>
      <c r="L320" s="5">
        <f t="shared" ca="1" si="141"/>
        <v>0</v>
      </c>
      <c r="M320" s="5">
        <f t="shared" ca="1" si="141"/>
        <v>0</v>
      </c>
      <c r="N320" s="5">
        <f t="shared" ca="1" si="141"/>
        <v>0</v>
      </c>
      <c r="O320" s="5">
        <f t="shared" ca="1" si="141"/>
        <v>0</v>
      </c>
      <c r="P320" s="5">
        <f t="shared" ca="1" si="141"/>
        <v>0</v>
      </c>
      <c r="Q320" s="5">
        <f t="shared" ca="1" si="141"/>
        <v>0</v>
      </c>
      <c r="R320" s="5">
        <f t="shared" ca="1" si="141"/>
        <v>0</v>
      </c>
      <c r="S320" s="60">
        <f t="shared" ca="1" si="141"/>
        <v>0</v>
      </c>
      <c r="T320" s="294"/>
    </row>
    <row r="321" spans="1:20" x14ac:dyDescent="0.25">
      <c r="A321" s="302"/>
      <c r="C321" s="824">
        <f>IF(ISNUMBER(C320),C320+$K$1405,0)</f>
        <v>0</v>
      </c>
      <c r="D321" s="5" t="str">
        <f>D1418&amp;"........................................................................."</f>
        <v>Preferred 2.........................................................................</v>
      </c>
      <c r="F321" s="148"/>
      <c r="G321"/>
      <c r="I321" s="5">
        <f ca="1">S211</f>
        <v>0</v>
      </c>
      <c r="J321" s="5">
        <f t="shared" ref="J321:S321" ca="1" si="142">OFFSET(J$669,$C321,0)</f>
        <v>0</v>
      </c>
      <c r="K321" s="5">
        <f t="shared" ca="1" si="142"/>
        <v>0</v>
      </c>
      <c r="L321" s="5">
        <f t="shared" ca="1" si="142"/>
        <v>0</v>
      </c>
      <c r="M321" s="5">
        <f t="shared" ca="1" si="142"/>
        <v>0</v>
      </c>
      <c r="N321" s="5">
        <f t="shared" ca="1" si="142"/>
        <v>0</v>
      </c>
      <c r="O321" s="5">
        <f t="shared" ca="1" si="142"/>
        <v>0</v>
      </c>
      <c r="P321" s="5">
        <f t="shared" ca="1" si="142"/>
        <v>0</v>
      </c>
      <c r="Q321" s="5">
        <f t="shared" ca="1" si="142"/>
        <v>0</v>
      </c>
      <c r="R321" s="5">
        <f t="shared" ca="1" si="142"/>
        <v>0</v>
      </c>
      <c r="S321" s="5">
        <f t="shared" ca="1" si="142"/>
        <v>0</v>
      </c>
      <c r="T321" s="294"/>
    </row>
    <row r="322" spans="1:20" x14ac:dyDescent="0.25">
      <c r="A322" s="302"/>
      <c r="C322" s="294"/>
      <c r="D322" s="5" t="str">
        <f>M212&amp;"........................................................................."</f>
        <v>Common Equity.......................................................................................................................................................</v>
      </c>
      <c r="E322" s="5"/>
      <c r="F322" s="148"/>
      <c r="G322" s="807" t="s">
        <v>139</v>
      </c>
      <c r="I322" s="5">
        <f ca="1">S212</f>
        <v>155</v>
      </c>
      <c r="J322" s="5">
        <f t="shared" ref="J322:S322" ca="1" si="143">I322+J266</f>
        <v>220.52</v>
      </c>
      <c r="K322" s="5">
        <f t="shared" ca="1" si="143"/>
        <v>301.10115000000002</v>
      </c>
      <c r="L322" s="5">
        <f t="shared" ca="1" si="143"/>
        <v>399.197074875</v>
      </c>
      <c r="M322" s="5">
        <f t="shared" ca="1" si="143"/>
        <v>517.63576293343749</v>
      </c>
      <c r="N322" s="5">
        <f t="shared" ca="1" si="143"/>
        <v>659.67592582252416</v>
      </c>
      <c r="O322" s="5">
        <f t="shared" ca="1" si="143"/>
        <v>829.0718190945687</v>
      </c>
      <c r="P322" s="5">
        <f t="shared" ca="1" si="143"/>
        <v>1030.1477927503765</v>
      </c>
      <c r="Q322" s="5">
        <f t="shared" ca="1" si="143"/>
        <v>1267.8840314802833</v>
      </c>
      <c r="R322" s="5">
        <f t="shared" ca="1" si="143"/>
        <v>1548.0151632887398</v>
      </c>
      <c r="S322" s="60">
        <f t="shared" ca="1" si="143"/>
        <v>1877.1436669987734</v>
      </c>
      <c r="T322" s="294"/>
    </row>
    <row r="323" spans="1:20" ht="7.5" customHeight="1" x14ac:dyDescent="0.25">
      <c r="A323" s="302"/>
      <c r="C323" s="294"/>
      <c r="D323" s="5"/>
      <c r="E323" s="5"/>
      <c r="F323" s="5"/>
      <c r="G323" s="807" t="s">
        <v>139</v>
      </c>
      <c r="I323" s="542" t="s">
        <v>66</v>
      </c>
      <c r="J323" s="542" t="s">
        <v>66</v>
      </c>
      <c r="K323" s="542" t="s">
        <v>66</v>
      </c>
      <c r="L323" s="542" t="s">
        <v>66</v>
      </c>
      <c r="M323" s="542" t="s">
        <v>66</v>
      </c>
      <c r="N323" s="542" t="s">
        <v>66</v>
      </c>
      <c r="O323" s="542" t="s">
        <v>66</v>
      </c>
      <c r="P323" s="542" t="s">
        <v>66</v>
      </c>
      <c r="Q323" s="542" t="s">
        <v>66</v>
      </c>
      <c r="R323" s="542" t="s">
        <v>66</v>
      </c>
      <c r="S323" s="542" t="s">
        <v>66</v>
      </c>
      <c r="T323" s="294"/>
    </row>
    <row r="324" spans="1:20" x14ac:dyDescent="0.25">
      <c r="A324" s="302"/>
      <c r="C324" s="294"/>
      <c r="D324" s="5" t="str">
        <f>M214&amp;"..........................................................................................."</f>
        <v xml:space="preserve">  Total Equity.........................................................................................................................................................</v>
      </c>
      <c r="E324" s="5"/>
      <c r="F324" s="148"/>
      <c r="G324" s="807" t="s">
        <v>139</v>
      </c>
      <c r="I324" s="5">
        <f t="shared" ref="I324:S324" ca="1" si="144">SUM(I320:I322)</f>
        <v>155</v>
      </c>
      <c r="J324" s="5">
        <f t="shared" ca="1" si="144"/>
        <v>220.52</v>
      </c>
      <c r="K324" s="5">
        <f t="shared" ca="1" si="144"/>
        <v>301.10115000000002</v>
      </c>
      <c r="L324" s="5">
        <f t="shared" ca="1" si="144"/>
        <v>399.197074875</v>
      </c>
      <c r="M324" s="5">
        <f t="shared" ca="1" si="144"/>
        <v>517.63576293343749</v>
      </c>
      <c r="N324" s="5">
        <f t="shared" ca="1" si="144"/>
        <v>659.67592582252416</v>
      </c>
      <c r="O324" s="5">
        <f t="shared" ca="1" si="144"/>
        <v>829.0718190945687</v>
      </c>
      <c r="P324" s="5">
        <f t="shared" ca="1" si="144"/>
        <v>1030.1477927503765</v>
      </c>
      <c r="Q324" s="5">
        <f t="shared" ca="1" si="144"/>
        <v>1267.8840314802833</v>
      </c>
      <c r="R324" s="5">
        <f t="shared" ca="1" si="144"/>
        <v>1548.0151632887398</v>
      </c>
      <c r="S324" s="60">
        <f t="shared" ca="1" si="144"/>
        <v>1877.1436669987734</v>
      </c>
      <c r="T324" s="294"/>
    </row>
    <row r="325" spans="1:20" ht="9" customHeight="1" x14ac:dyDescent="0.25">
      <c r="A325" s="302"/>
      <c r="C325" s="294"/>
      <c r="D325" s="5"/>
      <c r="E325" s="5"/>
      <c r="F325" s="5"/>
      <c r="G325" s="807" t="s">
        <v>139</v>
      </c>
      <c r="I325" s="642" t="s">
        <v>218</v>
      </c>
      <c r="J325" s="642" t="s">
        <v>218</v>
      </c>
      <c r="K325" s="642" t="s">
        <v>218</v>
      </c>
      <c r="L325" s="642" t="s">
        <v>218</v>
      </c>
      <c r="M325" s="642" t="s">
        <v>218</v>
      </c>
      <c r="N325" s="642" t="s">
        <v>218</v>
      </c>
      <c r="O325" s="642" t="s">
        <v>218</v>
      </c>
      <c r="P325" s="642" t="s">
        <v>218</v>
      </c>
      <c r="Q325" s="642" t="s">
        <v>218</v>
      </c>
      <c r="R325" s="642" t="s">
        <v>218</v>
      </c>
      <c r="S325" s="542" t="s">
        <v>218</v>
      </c>
      <c r="T325" s="294"/>
    </row>
    <row r="326" spans="1:20" x14ac:dyDescent="0.25">
      <c r="A326" s="302"/>
      <c r="C326" s="294"/>
      <c r="D326" s="5" t="str">
        <f>M216&amp;".................................................................."</f>
        <v xml:space="preserve">    Total Liabilities and Equity.............................................................................................................................</v>
      </c>
      <c r="E326" s="5"/>
      <c r="F326" s="5"/>
      <c r="G326" s="807" t="s">
        <v>139</v>
      </c>
      <c r="I326" s="7">
        <f t="shared" ref="I326:S326" ca="1" si="145">I302+SUM(I314:I318)+I324</f>
        <v>320</v>
      </c>
      <c r="J326" s="7">
        <f t="shared" ca="1" si="145"/>
        <v>387.77</v>
      </c>
      <c r="K326" s="7">
        <f t="shared" ca="1" si="145"/>
        <v>470.93865000000005</v>
      </c>
      <c r="L326" s="7">
        <f t="shared" ca="1" si="145"/>
        <v>572.01019987500001</v>
      </c>
      <c r="M326" s="7">
        <f t="shared" ca="1" si="145"/>
        <v>693.87085668343752</v>
      </c>
      <c r="N326" s="7">
        <f t="shared" ca="1" si="145"/>
        <v>839.84628363502418</v>
      </c>
      <c r="O326" s="7">
        <f t="shared" ca="1" si="145"/>
        <v>1013.7677305789437</v>
      </c>
      <c r="P326" s="7">
        <f t="shared" ca="1" si="145"/>
        <v>1220.0480909574078</v>
      </c>
      <c r="Q326" s="7">
        <f t="shared" ca="1" si="145"/>
        <v>1463.7693744183691</v>
      </c>
      <c r="R326" s="7">
        <f t="shared" ca="1" si="145"/>
        <v>1750.7833076675386</v>
      </c>
      <c r="S326" s="62">
        <f t="shared" ca="1" si="145"/>
        <v>2087.8270330343921</v>
      </c>
      <c r="T326" s="294"/>
    </row>
    <row r="327" spans="1:20" ht="7.5" customHeight="1" x14ac:dyDescent="0.25">
      <c r="A327" s="302"/>
      <c r="C327" s="294"/>
      <c r="D327" s="5"/>
      <c r="E327" s="5"/>
      <c r="F327" s="5"/>
      <c r="G327" s="807" t="s">
        <v>139</v>
      </c>
      <c r="I327" s="635" t="s">
        <v>76</v>
      </c>
      <c r="J327" s="635" t="s">
        <v>76</v>
      </c>
      <c r="K327" s="635" t="s">
        <v>76</v>
      </c>
      <c r="L327" s="635" t="s">
        <v>76</v>
      </c>
      <c r="M327" s="635" t="s">
        <v>76</v>
      </c>
      <c r="N327" s="635" t="s">
        <v>76</v>
      </c>
      <c r="O327" s="635" t="s">
        <v>76</v>
      </c>
      <c r="P327" s="635" t="s">
        <v>76</v>
      </c>
      <c r="Q327" s="635" t="s">
        <v>76</v>
      </c>
      <c r="R327" s="635" t="s">
        <v>76</v>
      </c>
      <c r="S327" s="635" t="s">
        <v>76</v>
      </c>
      <c r="T327" s="294"/>
    </row>
    <row r="328" spans="1:20" x14ac:dyDescent="0.25">
      <c r="A328" s="302"/>
      <c r="C328" s="294"/>
      <c r="G328" s="807" t="s">
        <v>139</v>
      </c>
      <c r="I328" s="547">
        <f t="shared" ref="I328:S328" ca="1" si="146">I291-I326</f>
        <v>0</v>
      </c>
      <c r="J328" s="28">
        <f t="shared" ca="1" si="146"/>
        <v>0</v>
      </c>
      <c r="K328" s="28">
        <f t="shared" ca="1" si="146"/>
        <v>0</v>
      </c>
      <c r="L328" s="28">
        <f t="shared" ca="1" si="146"/>
        <v>0</v>
      </c>
      <c r="M328" s="28">
        <f t="shared" ca="1" si="146"/>
        <v>0</v>
      </c>
      <c r="N328" s="28">
        <f t="shared" ca="1" si="146"/>
        <v>0</v>
      </c>
      <c r="O328" s="28">
        <f t="shared" ca="1" si="146"/>
        <v>0</v>
      </c>
      <c r="P328" s="28">
        <f t="shared" ca="1" si="146"/>
        <v>0</v>
      </c>
      <c r="Q328" s="28">
        <f t="shared" ca="1" si="146"/>
        <v>0</v>
      </c>
      <c r="R328" s="28">
        <f t="shared" ca="1" si="146"/>
        <v>0</v>
      </c>
      <c r="S328" s="507">
        <f t="shared" ca="1" si="146"/>
        <v>0</v>
      </c>
      <c r="T328" s="294"/>
    </row>
    <row r="329" spans="1:20" x14ac:dyDescent="0.25">
      <c r="A329" s="302"/>
      <c r="C329" s="294"/>
      <c r="G329" s="806"/>
      <c r="I329" s="547"/>
      <c r="J329" s="28">
        <f t="shared" ref="J329:S329" ca="1" si="147">ABS(J328+I328)</f>
        <v>0</v>
      </c>
      <c r="K329" s="28">
        <f t="shared" ca="1" si="147"/>
        <v>0</v>
      </c>
      <c r="L329" s="28">
        <f t="shared" ca="1" si="147"/>
        <v>0</v>
      </c>
      <c r="M329" s="28">
        <f t="shared" ca="1" si="147"/>
        <v>0</v>
      </c>
      <c r="N329" s="28">
        <f t="shared" ca="1" si="147"/>
        <v>0</v>
      </c>
      <c r="O329" s="28">
        <f t="shared" ca="1" si="147"/>
        <v>0</v>
      </c>
      <c r="P329" s="28">
        <f t="shared" ca="1" si="147"/>
        <v>0</v>
      </c>
      <c r="Q329" s="28">
        <f t="shared" ca="1" si="147"/>
        <v>0</v>
      </c>
      <c r="R329" s="28">
        <f t="shared" ca="1" si="147"/>
        <v>0</v>
      </c>
      <c r="S329" s="507">
        <f t="shared" ca="1" si="147"/>
        <v>0</v>
      </c>
      <c r="T329" s="294"/>
    </row>
    <row r="330" spans="1:20" ht="25.5" customHeight="1" x14ac:dyDescent="0.25">
      <c r="A330" s="304"/>
      <c r="C330" s="294"/>
      <c r="D330" s="643" t="s">
        <v>219</v>
      </c>
      <c r="E330" s="170"/>
      <c r="F330" s="170"/>
      <c r="G330" s="809"/>
      <c r="H330" s="170"/>
      <c r="I330" s="170"/>
      <c r="J330" s="170"/>
      <c r="K330" s="170"/>
      <c r="L330" s="170"/>
      <c r="M330" s="170"/>
      <c r="N330" s="170"/>
      <c r="O330" s="170"/>
      <c r="P330" s="170"/>
      <c r="Q330" s="171"/>
      <c r="R330" s="170"/>
      <c r="S330" s="213"/>
      <c r="T330" s="294"/>
    </row>
    <row r="331" spans="1:20" x14ac:dyDescent="0.25">
      <c r="A331" s="304"/>
      <c r="C331" s="294"/>
      <c r="D331" s="4"/>
      <c r="G331" s="12"/>
      <c r="J331" s="284" t="str">
        <f>IF($H$1374&lt;12,"   "&amp;FIXED($H$1374,0,TRUE)&amp;" Months Ending","")</f>
        <v/>
      </c>
      <c r="K331" s="39"/>
      <c r="L331" s="157" t="str">
        <f>"Projected Fiscal Years Ending "&amp;H1372</f>
        <v>Projected Fiscal Years Ending December 31,</v>
      </c>
      <c r="M331" s="157"/>
      <c r="N331" s="157"/>
      <c r="O331" s="157"/>
      <c r="P331" s="165"/>
      <c r="Q331" s="156"/>
      <c r="R331" s="165"/>
      <c r="S331" s="165"/>
      <c r="T331" s="294"/>
    </row>
    <row r="332" spans="1:20" x14ac:dyDescent="0.25">
      <c r="A332" s="302"/>
      <c r="C332" s="294"/>
      <c r="G332" s="810" t="s">
        <v>139</v>
      </c>
      <c r="J332" s="72">
        <f>H1371</f>
        <v>1998</v>
      </c>
      <c r="K332" s="73">
        <f t="shared" ref="K332:S332" si="148">J332+1</f>
        <v>1999</v>
      </c>
      <c r="L332" s="73">
        <f t="shared" si="148"/>
        <v>2000</v>
      </c>
      <c r="M332" s="73">
        <f t="shared" si="148"/>
        <v>2001</v>
      </c>
      <c r="N332" s="73">
        <f t="shared" si="148"/>
        <v>2002</v>
      </c>
      <c r="O332" s="73">
        <f t="shared" si="148"/>
        <v>2003</v>
      </c>
      <c r="P332" s="73">
        <f t="shared" si="148"/>
        <v>2004</v>
      </c>
      <c r="Q332" s="73">
        <f t="shared" si="148"/>
        <v>2005</v>
      </c>
      <c r="R332" s="73">
        <f t="shared" si="148"/>
        <v>2006</v>
      </c>
      <c r="S332" s="73">
        <f t="shared" si="148"/>
        <v>2007</v>
      </c>
      <c r="T332" s="294"/>
    </row>
    <row r="333" spans="1:20" x14ac:dyDescent="0.25">
      <c r="A333" s="302"/>
      <c r="C333" s="294"/>
      <c r="D333" s="645" t="s">
        <v>220</v>
      </c>
      <c r="G333" s="806"/>
      <c r="J333" s="41"/>
      <c r="K333" s="41"/>
      <c r="L333" s="41"/>
      <c r="M333" s="41"/>
      <c r="N333" s="41"/>
      <c r="P333" s="41"/>
      <c r="Q333" s="41"/>
      <c r="R333" s="41"/>
      <c r="S333" s="41"/>
      <c r="T333" s="294"/>
    </row>
    <row r="334" spans="1:20" x14ac:dyDescent="0.25">
      <c r="A334" s="302"/>
      <c r="C334" s="294"/>
      <c r="D334" s="552" t="s">
        <v>221</v>
      </c>
      <c r="G334" s="807" t="s">
        <v>139</v>
      </c>
      <c r="J334" s="62">
        <f t="shared" ref="J334:S334" ca="1" si="149">J266</f>
        <v>65.52000000000001</v>
      </c>
      <c r="K334" s="62">
        <f t="shared" ca="1" si="149"/>
        <v>80.581149999999994</v>
      </c>
      <c r="L334" s="62">
        <f t="shared" ca="1" si="149"/>
        <v>98.09592487499998</v>
      </c>
      <c r="M334" s="62">
        <f t="shared" ca="1" si="149"/>
        <v>118.43868805843748</v>
      </c>
      <c r="N334" s="62">
        <f t="shared" ca="1" si="149"/>
        <v>142.04016288908667</v>
      </c>
      <c r="O334" s="62">
        <f t="shared" ca="1" si="149"/>
        <v>169.3958932720445</v>
      </c>
      <c r="P334" s="62">
        <f t="shared" ca="1" si="149"/>
        <v>201.07597365580779</v>
      </c>
      <c r="Q334" s="62">
        <f t="shared" ca="1" si="149"/>
        <v>237.73623872990666</v>
      </c>
      <c r="R334" s="62">
        <f t="shared" ca="1" si="149"/>
        <v>280.13113180845653</v>
      </c>
      <c r="S334" s="62">
        <f t="shared" ca="1" si="149"/>
        <v>329.12850371003344</v>
      </c>
      <c r="T334" s="294"/>
    </row>
    <row r="335" spans="1:20" x14ac:dyDescent="0.25">
      <c r="A335" s="302"/>
      <c r="C335" s="294"/>
      <c r="D335" s="553" t="s">
        <v>222</v>
      </c>
      <c r="G335" s="811" t="s">
        <v>101</v>
      </c>
      <c r="J335" s="60">
        <f t="shared" ref="J335:S335" ca="1" si="150">J259</f>
        <v>0</v>
      </c>
      <c r="K335" s="60">
        <f t="shared" ca="1" si="150"/>
        <v>0</v>
      </c>
      <c r="L335" s="60">
        <f t="shared" ca="1" si="150"/>
        <v>0</v>
      </c>
      <c r="M335" s="60">
        <f t="shared" ca="1" si="150"/>
        <v>0</v>
      </c>
      <c r="N335" s="60">
        <f t="shared" ca="1" si="150"/>
        <v>0</v>
      </c>
      <c r="O335" s="60">
        <f t="shared" ca="1" si="150"/>
        <v>0</v>
      </c>
      <c r="P335" s="60">
        <f t="shared" ca="1" si="150"/>
        <v>0</v>
      </c>
      <c r="Q335" s="60">
        <f t="shared" ca="1" si="150"/>
        <v>0</v>
      </c>
      <c r="R335" s="60">
        <f t="shared" ca="1" si="150"/>
        <v>0</v>
      </c>
      <c r="S335" s="60">
        <f t="shared" ca="1" si="150"/>
        <v>0</v>
      </c>
      <c r="T335" s="294"/>
    </row>
    <row r="336" spans="1:20" x14ac:dyDescent="0.25">
      <c r="A336" s="302"/>
      <c r="C336" s="294"/>
      <c r="D336" s="553" t="s">
        <v>223</v>
      </c>
      <c r="G336" s="812" t="s">
        <v>139</v>
      </c>
      <c r="J336" s="60">
        <f t="shared" ref="J336:S336" si="151">J114</f>
        <v>25</v>
      </c>
      <c r="K336" s="60">
        <f t="shared" si="151"/>
        <v>25</v>
      </c>
      <c r="L336" s="60">
        <f t="shared" si="151"/>
        <v>25</v>
      </c>
      <c r="M336" s="60">
        <f t="shared" si="151"/>
        <v>25</v>
      </c>
      <c r="N336" s="60">
        <f t="shared" si="151"/>
        <v>25</v>
      </c>
      <c r="O336" s="60">
        <f t="shared" si="151"/>
        <v>25</v>
      </c>
      <c r="P336" s="60">
        <f t="shared" si="151"/>
        <v>25</v>
      </c>
      <c r="Q336" s="60">
        <f t="shared" si="151"/>
        <v>25</v>
      </c>
      <c r="R336" s="60">
        <f t="shared" si="151"/>
        <v>25</v>
      </c>
      <c r="S336" s="60">
        <f t="shared" si="151"/>
        <v>25</v>
      </c>
      <c r="T336" s="294"/>
    </row>
    <row r="337" spans="1:20" x14ac:dyDescent="0.25">
      <c r="A337" s="1"/>
      <c r="C337" s="294"/>
      <c r="D337" s="638" t="s">
        <v>224</v>
      </c>
      <c r="G337" s="811" t="s">
        <v>101</v>
      </c>
      <c r="J337" s="60"/>
      <c r="K337" s="60"/>
      <c r="L337" s="60"/>
      <c r="M337" s="60"/>
      <c r="N337" s="60"/>
      <c r="O337" s="60"/>
      <c r="P337" s="60"/>
      <c r="Q337" s="60"/>
      <c r="R337" s="60"/>
      <c r="S337" s="60"/>
      <c r="T337" s="294"/>
    </row>
    <row r="338" spans="1:20" x14ac:dyDescent="0.25">
      <c r="A338" s="1"/>
      <c r="C338" s="294"/>
      <c r="D338" s="4" t="str">
        <f>"  "&amp;D308</f>
        <v xml:space="preserve">    Debt 1.....................................................................................................................................................</v>
      </c>
      <c r="G338" s="811" t="s">
        <v>101</v>
      </c>
      <c r="J338" s="60">
        <f t="shared" ref="J338:S338" si="152">J614</f>
        <v>0</v>
      </c>
      <c r="K338" s="60">
        <f t="shared" si="152"/>
        <v>0</v>
      </c>
      <c r="L338" s="60">
        <f t="shared" si="152"/>
        <v>0</v>
      </c>
      <c r="M338" s="60">
        <f t="shared" si="152"/>
        <v>0</v>
      </c>
      <c r="N338" s="60">
        <f t="shared" si="152"/>
        <v>0</v>
      </c>
      <c r="O338" s="60">
        <f t="shared" si="152"/>
        <v>0</v>
      </c>
      <c r="P338" s="60">
        <f t="shared" si="152"/>
        <v>0</v>
      </c>
      <c r="Q338" s="60">
        <f t="shared" si="152"/>
        <v>0</v>
      </c>
      <c r="R338" s="60">
        <f t="shared" si="152"/>
        <v>0</v>
      </c>
      <c r="S338" s="60">
        <f t="shared" si="152"/>
        <v>0</v>
      </c>
      <c r="T338" s="294"/>
    </row>
    <row r="339" spans="1:20" x14ac:dyDescent="0.25">
      <c r="A339" s="1"/>
      <c r="C339" s="294"/>
      <c r="D339" s="4" t="str">
        <f>"  "&amp;D309</f>
        <v xml:space="preserve">    Debt 2.....................................................................................................................................................</v>
      </c>
      <c r="G339" s="811" t="s">
        <v>101</v>
      </c>
      <c r="J339" s="60">
        <f t="shared" ref="J339:S339" si="153">J622</f>
        <v>0</v>
      </c>
      <c r="K339" s="60">
        <f t="shared" si="153"/>
        <v>0</v>
      </c>
      <c r="L339" s="60">
        <f t="shared" si="153"/>
        <v>0</v>
      </c>
      <c r="M339" s="60">
        <f t="shared" si="153"/>
        <v>0</v>
      </c>
      <c r="N339" s="60">
        <f t="shared" si="153"/>
        <v>0</v>
      </c>
      <c r="O339" s="60">
        <f t="shared" si="153"/>
        <v>0</v>
      </c>
      <c r="P339" s="60">
        <f t="shared" si="153"/>
        <v>0</v>
      </c>
      <c r="Q339" s="60">
        <f t="shared" si="153"/>
        <v>0</v>
      </c>
      <c r="R339" s="60">
        <f t="shared" si="153"/>
        <v>0</v>
      </c>
      <c r="S339" s="60">
        <f t="shared" si="153"/>
        <v>0</v>
      </c>
      <c r="T339" s="294"/>
    </row>
    <row r="340" spans="1:20" x14ac:dyDescent="0.25">
      <c r="A340" s="1"/>
      <c r="C340" s="294"/>
      <c r="D340" s="4" t="str">
        <f>"  "&amp;D310</f>
        <v xml:space="preserve">    Debt 3.....................................................................................................................................................</v>
      </c>
      <c r="G340" s="811" t="s">
        <v>101</v>
      </c>
      <c r="J340" s="60">
        <f t="shared" ref="J340:S340" si="154">J636</f>
        <v>0</v>
      </c>
      <c r="K340" s="60">
        <f t="shared" si="154"/>
        <v>0</v>
      </c>
      <c r="L340" s="60">
        <f t="shared" si="154"/>
        <v>0</v>
      </c>
      <c r="M340" s="60">
        <f t="shared" si="154"/>
        <v>0</v>
      </c>
      <c r="N340" s="60">
        <f t="shared" si="154"/>
        <v>0</v>
      </c>
      <c r="O340" s="60">
        <f t="shared" si="154"/>
        <v>0</v>
      </c>
      <c r="P340" s="60">
        <f t="shared" si="154"/>
        <v>0</v>
      </c>
      <c r="Q340" s="60">
        <f t="shared" si="154"/>
        <v>0</v>
      </c>
      <c r="R340" s="60">
        <f t="shared" si="154"/>
        <v>0</v>
      </c>
      <c r="S340" s="60">
        <f t="shared" si="154"/>
        <v>0</v>
      </c>
      <c r="T340" s="294"/>
    </row>
    <row r="341" spans="1:20" x14ac:dyDescent="0.25">
      <c r="A341" s="1"/>
      <c r="C341" s="825" t="s">
        <v>205</v>
      </c>
      <c r="D341" s="4" t="str">
        <f>"  "&amp;D311</f>
        <v xml:space="preserve">    Debt 4.....................................................................................................................................................</v>
      </c>
      <c r="G341" s="811" t="s">
        <v>101</v>
      </c>
      <c r="J341" s="60">
        <f t="shared" ref="J341:S341" si="155">J644</f>
        <v>0</v>
      </c>
      <c r="K341" s="60">
        <f t="shared" si="155"/>
        <v>0</v>
      </c>
      <c r="L341" s="60">
        <f t="shared" si="155"/>
        <v>0</v>
      </c>
      <c r="M341" s="60">
        <f t="shared" si="155"/>
        <v>0</v>
      </c>
      <c r="N341" s="60">
        <f t="shared" si="155"/>
        <v>0</v>
      </c>
      <c r="O341" s="60">
        <f t="shared" si="155"/>
        <v>0</v>
      </c>
      <c r="P341" s="60">
        <f t="shared" si="155"/>
        <v>0</v>
      </c>
      <c r="Q341" s="60">
        <f t="shared" si="155"/>
        <v>0</v>
      </c>
      <c r="R341" s="60">
        <f t="shared" si="155"/>
        <v>0</v>
      </c>
      <c r="S341" s="60">
        <f t="shared" si="155"/>
        <v>0</v>
      </c>
      <c r="T341" s="294"/>
    </row>
    <row r="342" spans="1:20" x14ac:dyDescent="0.25">
      <c r="A342" s="1"/>
      <c r="C342" s="824">
        <f>IF(ISNUMBER(C341),C341+$K$1404,0)</f>
        <v>0</v>
      </c>
      <c r="D342" s="4" t="str">
        <f>"    "&amp;D1416&amp;"........................................................................................................"</f>
        <v xml:space="preserve">    Debt 5........................................................................................................</v>
      </c>
      <c r="G342" t="s">
        <v>139</v>
      </c>
      <c r="J342" s="60">
        <f t="shared" ref="J342:S342" ca="1" si="156">OFFSET(J$652,$C342,0)</f>
        <v>0</v>
      </c>
      <c r="K342" s="60">
        <f t="shared" ca="1" si="156"/>
        <v>0</v>
      </c>
      <c r="L342" s="60">
        <f t="shared" ca="1" si="156"/>
        <v>0</v>
      </c>
      <c r="M342" s="60">
        <f t="shared" ca="1" si="156"/>
        <v>0</v>
      </c>
      <c r="N342" s="60">
        <f t="shared" ca="1" si="156"/>
        <v>0</v>
      </c>
      <c r="O342" s="60">
        <f t="shared" ca="1" si="156"/>
        <v>0</v>
      </c>
      <c r="P342" s="60">
        <f t="shared" ca="1" si="156"/>
        <v>0</v>
      </c>
      <c r="Q342" s="60">
        <f t="shared" ca="1" si="156"/>
        <v>0</v>
      </c>
      <c r="R342" s="60">
        <f t="shared" ca="1" si="156"/>
        <v>0</v>
      </c>
      <c r="S342" s="60">
        <f t="shared" ca="1" si="156"/>
        <v>0</v>
      </c>
      <c r="T342" s="294"/>
    </row>
    <row r="343" spans="1:20" x14ac:dyDescent="0.25">
      <c r="A343" s="1"/>
      <c r="C343" s="825" t="s">
        <v>205</v>
      </c>
      <c r="D343" s="3" t="str">
        <f>"    "&amp;PROPER(D657)&amp;"............................................................................................................"</f>
        <v xml:space="preserve">    Preferred 1............................................................................................................</v>
      </c>
      <c r="G343" s="811" t="s">
        <v>101</v>
      </c>
      <c r="J343" s="60">
        <f t="shared" ref="J343:S343" si="157">J660</f>
        <v>0</v>
      </c>
      <c r="K343" s="60">
        <f t="shared" si="157"/>
        <v>0</v>
      </c>
      <c r="L343" s="60">
        <f t="shared" si="157"/>
        <v>0</v>
      </c>
      <c r="M343" s="60">
        <f t="shared" si="157"/>
        <v>0</v>
      </c>
      <c r="N343" s="60">
        <f t="shared" si="157"/>
        <v>0</v>
      </c>
      <c r="O343" s="60">
        <f t="shared" si="157"/>
        <v>0</v>
      </c>
      <c r="P343" s="60">
        <f t="shared" si="157"/>
        <v>0</v>
      </c>
      <c r="Q343" s="60">
        <f t="shared" si="157"/>
        <v>0</v>
      </c>
      <c r="R343" s="60">
        <f t="shared" si="157"/>
        <v>0</v>
      </c>
      <c r="S343" s="60">
        <f t="shared" si="157"/>
        <v>0</v>
      </c>
      <c r="T343" s="294"/>
    </row>
    <row r="344" spans="1:20" x14ac:dyDescent="0.25">
      <c r="A344" s="1"/>
      <c r="C344" s="824">
        <f>IF(ISNUMBER(C343),C343+$K$1405,0)</f>
        <v>0</v>
      </c>
      <c r="D344" s="3" t="str">
        <f>"    "&amp;D1418&amp;"............................................................................................................."</f>
        <v xml:space="preserve">    Preferred 2.............................................................................................................</v>
      </c>
      <c r="G344" t="s">
        <v>139</v>
      </c>
      <c r="J344" s="60">
        <f t="shared" ref="J344:S344" ca="1" si="158">OFFSET(J$667,$C344,0)</f>
        <v>0</v>
      </c>
      <c r="K344" s="60">
        <f t="shared" ca="1" si="158"/>
        <v>0</v>
      </c>
      <c r="L344" s="60">
        <f t="shared" ca="1" si="158"/>
        <v>0</v>
      </c>
      <c r="M344" s="60">
        <f t="shared" ca="1" si="158"/>
        <v>0</v>
      </c>
      <c r="N344" s="60">
        <f t="shared" ca="1" si="158"/>
        <v>0</v>
      </c>
      <c r="O344" s="60">
        <f t="shared" ca="1" si="158"/>
        <v>0</v>
      </c>
      <c r="P344" s="60">
        <f t="shared" ca="1" si="158"/>
        <v>0</v>
      </c>
      <c r="Q344" s="60">
        <f t="shared" ca="1" si="158"/>
        <v>0</v>
      </c>
      <c r="R344" s="60">
        <f t="shared" ca="1" si="158"/>
        <v>0</v>
      </c>
      <c r="S344" s="60">
        <f t="shared" ca="1" si="158"/>
        <v>0</v>
      </c>
      <c r="T344" s="294"/>
    </row>
    <row r="345" spans="1:20" x14ac:dyDescent="0.25">
      <c r="A345" s="302"/>
      <c r="C345" s="294"/>
      <c r="D345" s="638" t="s">
        <v>225</v>
      </c>
      <c r="G345" s="811" t="s">
        <v>101</v>
      </c>
      <c r="J345" s="60"/>
      <c r="K345" s="60"/>
      <c r="L345" s="60"/>
      <c r="M345" s="60"/>
      <c r="N345" s="60"/>
      <c r="O345" s="60"/>
      <c r="P345" s="60"/>
      <c r="Q345" s="60"/>
      <c r="R345" s="60"/>
      <c r="S345" s="60"/>
      <c r="T345" s="294"/>
    </row>
    <row r="346" spans="1:20" x14ac:dyDescent="0.25">
      <c r="A346" s="302"/>
      <c r="C346" s="294"/>
      <c r="D346" s="3" t="str">
        <f>"    "&amp;D200&amp;"......................................................................"</f>
        <v xml:space="preserve">    Goodwill.............................................................................................................................................................................................</v>
      </c>
      <c r="G346" s="811" t="s">
        <v>101</v>
      </c>
      <c r="J346" s="60">
        <f t="shared" ref="J346:S346" ca="1" si="159">J237</f>
        <v>0</v>
      </c>
      <c r="K346" s="60">
        <f t="shared" ca="1" si="159"/>
        <v>0</v>
      </c>
      <c r="L346" s="60">
        <f t="shared" ca="1" si="159"/>
        <v>0</v>
      </c>
      <c r="M346" s="60">
        <f t="shared" ca="1" si="159"/>
        <v>0</v>
      </c>
      <c r="N346" s="60">
        <f t="shared" ca="1" si="159"/>
        <v>0</v>
      </c>
      <c r="O346" s="60">
        <f t="shared" ca="1" si="159"/>
        <v>0</v>
      </c>
      <c r="P346" s="60">
        <f t="shared" ca="1" si="159"/>
        <v>0</v>
      </c>
      <c r="Q346" s="60">
        <f t="shared" ca="1" si="159"/>
        <v>0</v>
      </c>
      <c r="R346" s="60">
        <f t="shared" ca="1" si="159"/>
        <v>0</v>
      </c>
      <c r="S346" s="60">
        <f t="shared" ca="1" si="159"/>
        <v>0</v>
      </c>
      <c r="T346" s="294"/>
    </row>
    <row r="347" spans="1:20" x14ac:dyDescent="0.25">
      <c r="A347" s="302"/>
      <c r="C347" s="294"/>
      <c r="D347" s="3" t="str">
        <f>"    "&amp;D201&amp;"......................................................................................"</f>
        <v xml:space="preserve">    Capitalized Financing Costs....................................................................................................................................................</v>
      </c>
      <c r="G347" s="811" t="s">
        <v>101</v>
      </c>
      <c r="J347" s="60">
        <f t="shared" ref="J347:S347" ca="1" si="160">J238</f>
        <v>0</v>
      </c>
      <c r="K347" s="60">
        <f t="shared" ca="1" si="160"/>
        <v>0</v>
      </c>
      <c r="L347" s="60">
        <f t="shared" ca="1" si="160"/>
        <v>0</v>
      </c>
      <c r="M347" s="60">
        <f t="shared" ca="1" si="160"/>
        <v>0</v>
      </c>
      <c r="N347" s="60">
        <f t="shared" ca="1" si="160"/>
        <v>0</v>
      </c>
      <c r="O347" s="60">
        <f t="shared" ca="1" si="160"/>
        <v>0</v>
      </c>
      <c r="P347" s="60">
        <f t="shared" ca="1" si="160"/>
        <v>0</v>
      </c>
      <c r="Q347" s="60">
        <f t="shared" si="160"/>
        <v>0</v>
      </c>
      <c r="R347" s="60">
        <f t="shared" si="160"/>
        <v>0</v>
      </c>
      <c r="S347" s="60">
        <f t="shared" si="160"/>
        <v>0</v>
      </c>
      <c r="T347" s="294"/>
    </row>
    <row r="348" spans="1:20" ht="6" customHeight="1" x14ac:dyDescent="0.25">
      <c r="A348" s="302"/>
      <c r="B348" s="41"/>
      <c r="C348" s="406"/>
      <c r="G348" s="813" t="s">
        <v>101</v>
      </c>
      <c r="H348" s="258"/>
      <c r="I348" s="258"/>
      <c r="J348" s="542" t="s">
        <v>66</v>
      </c>
      <c r="K348" s="542" t="s">
        <v>66</v>
      </c>
      <c r="L348" s="542" t="s">
        <v>66</v>
      </c>
      <c r="M348" s="542" t="s">
        <v>66</v>
      </c>
      <c r="N348" s="542" t="s">
        <v>66</v>
      </c>
      <c r="O348" s="542" t="s">
        <v>66</v>
      </c>
      <c r="P348" s="542" t="s">
        <v>66</v>
      </c>
      <c r="Q348" s="542" t="s">
        <v>66</v>
      </c>
      <c r="R348" s="542" t="s">
        <v>66</v>
      </c>
      <c r="S348" s="542" t="s">
        <v>66</v>
      </c>
      <c r="T348" s="294"/>
    </row>
    <row r="349" spans="1:20" x14ac:dyDescent="0.25">
      <c r="A349" s="302"/>
      <c r="B349" s="230" t="str">
        <f>"Hidden rows ("&amp;ROW(B351)&amp;") through ("&amp;ROW(B357)&amp;")"</f>
        <v>Hidden rows (351) through (357)</v>
      </c>
      <c r="C349" s="417"/>
      <c r="D349" s="553" t="s">
        <v>226</v>
      </c>
      <c r="G349" s="811" t="s">
        <v>101</v>
      </c>
      <c r="J349" s="60">
        <f t="shared" ref="J349:S349" ca="1" si="161">SUM(J334:J348)</f>
        <v>90.52000000000001</v>
      </c>
      <c r="K349" s="60">
        <f t="shared" ca="1" si="161"/>
        <v>105.58114999999999</v>
      </c>
      <c r="L349" s="60">
        <f t="shared" ca="1" si="161"/>
        <v>123.09592487499998</v>
      </c>
      <c r="M349" s="60">
        <f t="shared" ca="1" si="161"/>
        <v>143.43868805843749</v>
      </c>
      <c r="N349" s="60">
        <f t="shared" ca="1" si="161"/>
        <v>167.04016288908667</v>
      </c>
      <c r="O349" s="60">
        <f t="shared" ca="1" si="161"/>
        <v>194.3958932720445</v>
      </c>
      <c r="P349" s="60">
        <f t="shared" ca="1" si="161"/>
        <v>226.07597365580779</v>
      </c>
      <c r="Q349" s="60">
        <f t="shared" ca="1" si="161"/>
        <v>262.73623872990663</v>
      </c>
      <c r="R349" s="60">
        <f t="shared" ca="1" si="161"/>
        <v>305.13113180845653</v>
      </c>
      <c r="S349" s="60">
        <f t="shared" ca="1" si="161"/>
        <v>354.12850371003344</v>
      </c>
      <c r="T349" s="294"/>
    </row>
    <row r="350" spans="1:20" x14ac:dyDescent="0.25">
      <c r="A350" s="302"/>
      <c r="B350" s="838" t="s">
        <v>227</v>
      </c>
      <c r="C350" s="418"/>
      <c r="D350" s="3" t="str">
        <f>"Change in "&amp;TRIM(D274)</f>
        <v>Change in Accounts Receivable....................................................................................................................................................................</v>
      </c>
      <c r="G350" s="811" t="s">
        <v>101</v>
      </c>
      <c r="J350" s="60">
        <f t="shared" ref="J350:S352" ca="1" si="162">I274-J274</f>
        <v>-3</v>
      </c>
      <c r="K350" s="60">
        <f t="shared" ca="1" si="162"/>
        <v>-3.4499999999999993</v>
      </c>
      <c r="L350" s="60">
        <f t="shared" ca="1" si="162"/>
        <v>-3.9674999999999976</v>
      </c>
      <c r="M350" s="60">
        <f t="shared" ca="1" si="162"/>
        <v>-4.562624999999997</v>
      </c>
      <c r="N350" s="60">
        <f t="shared" ca="1" si="162"/>
        <v>-5.2470187499999952</v>
      </c>
      <c r="O350" s="60">
        <f t="shared" ca="1" si="162"/>
        <v>-6.034071562500003</v>
      </c>
      <c r="P350" s="60">
        <f t="shared" ca="1" si="162"/>
        <v>-6.9391822968749963</v>
      </c>
      <c r="Q350" s="60">
        <f t="shared" ca="1" si="162"/>
        <v>-7.9800596414062426</v>
      </c>
      <c r="R350" s="60">
        <f t="shared" ca="1" si="162"/>
        <v>-9.1770685876171711</v>
      </c>
      <c r="S350" s="60">
        <f t="shared" ca="1" si="162"/>
        <v>-10.553628875759756</v>
      </c>
      <c r="T350" s="294"/>
    </row>
    <row r="351" spans="1:20" x14ac:dyDescent="0.25">
      <c r="A351" s="1"/>
      <c r="C351" s="294"/>
      <c r="D351" s="3" t="str">
        <f>"Change in "&amp;TRIM(D275)</f>
        <v>Change in Inventories.........................................................................................................................................................................................................</v>
      </c>
      <c r="G351" s="811" t="s">
        <v>101</v>
      </c>
      <c r="J351" s="60">
        <f t="shared" ca="1" si="162"/>
        <v>0</v>
      </c>
      <c r="K351" s="60">
        <f t="shared" ca="1" si="162"/>
        <v>0</v>
      </c>
      <c r="L351" s="60">
        <f t="shared" ca="1" si="162"/>
        <v>0</v>
      </c>
      <c r="M351" s="60">
        <f t="shared" ca="1" si="162"/>
        <v>0</v>
      </c>
      <c r="N351" s="60">
        <f t="shared" ca="1" si="162"/>
        <v>0</v>
      </c>
      <c r="O351" s="60">
        <f t="shared" ca="1" si="162"/>
        <v>0</v>
      </c>
      <c r="P351" s="60">
        <f t="shared" ca="1" si="162"/>
        <v>0</v>
      </c>
      <c r="Q351" s="60">
        <f t="shared" ca="1" si="162"/>
        <v>0</v>
      </c>
      <c r="R351" s="60">
        <f t="shared" ca="1" si="162"/>
        <v>0</v>
      </c>
      <c r="S351" s="60">
        <f t="shared" ca="1" si="162"/>
        <v>0</v>
      </c>
      <c r="T351" s="294"/>
    </row>
    <row r="352" spans="1:20" x14ac:dyDescent="0.25">
      <c r="A352" s="1"/>
      <c r="C352" s="294"/>
      <c r="D352" s="3" t="str">
        <f>"Change in "&amp;TRIM(D276)</f>
        <v>Change in Prepaid Expenses.................................................................................................................................................................................</v>
      </c>
      <c r="G352" s="811" t="s">
        <v>101</v>
      </c>
      <c r="J352" s="60">
        <f t="shared" ca="1" si="162"/>
        <v>0</v>
      </c>
      <c r="K352" s="60">
        <f t="shared" ca="1" si="162"/>
        <v>0</v>
      </c>
      <c r="L352" s="60">
        <f t="shared" ca="1" si="162"/>
        <v>0</v>
      </c>
      <c r="M352" s="60">
        <f t="shared" ca="1" si="162"/>
        <v>0</v>
      </c>
      <c r="N352" s="60">
        <f t="shared" ca="1" si="162"/>
        <v>0</v>
      </c>
      <c r="O352" s="60">
        <f t="shared" ca="1" si="162"/>
        <v>0</v>
      </c>
      <c r="P352" s="60">
        <f t="shared" ca="1" si="162"/>
        <v>0</v>
      </c>
      <c r="Q352" s="60">
        <f t="shared" ca="1" si="162"/>
        <v>0</v>
      </c>
      <c r="R352" s="60">
        <f t="shared" ca="1" si="162"/>
        <v>0</v>
      </c>
      <c r="S352" s="60">
        <f t="shared" ca="1" si="162"/>
        <v>0</v>
      </c>
      <c r="T352" s="294"/>
    </row>
    <row r="353" spans="1:20" x14ac:dyDescent="0.25">
      <c r="A353" s="1"/>
      <c r="C353" s="294"/>
      <c r="D353" s="3" t="str">
        <f>"Change in "&amp;TRIM(D296)</f>
        <v>Change in Accounts Payable...........................................................................................................................................................</v>
      </c>
      <c r="G353" s="811" t="s">
        <v>101</v>
      </c>
      <c r="J353" s="60">
        <f t="shared" ref="J353:S357" ca="1" si="163">J296-I296</f>
        <v>2.25</v>
      </c>
      <c r="K353" s="60">
        <f t="shared" ca="1" si="163"/>
        <v>2.5874999999999986</v>
      </c>
      <c r="L353" s="60">
        <f t="shared" ca="1" si="163"/>
        <v>2.9756250000000009</v>
      </c>
      <c r="M353" s="60">
        <f t="shared" ca="1" si="163"/>
        <v>3.4219687499999942</v>
      </c>
      <c r="N353" s="60">
        <f t="shared" ca="1" si="163"/>
        <v>3.9352640624999999</v>
      </c>
      <c r="O353" s="60">
        <f t="shared" ca="1" si="163"/>
        <v>4.5255536718749951</v>
      </c>
      <c r="P353" s="60">
        <f t="shared" ca="1" si="163"/>
        <v>5.2043867226562526</v>
      </c>
      <c r="Q353" s="60">
        <f t="shared" ca="1" si="163"/>
        <v>5.9850447310546855</v>
      </c>
      <c r="R353" s="60">
        <f t="shared" ca="1" si="163"/>
        <v>6.8828014407128748</v>
      </c>
      <c r="S353" s="60">
        <f t="shared" ca="1" si="163"/>
        <v>7.915221656819817</v>
      </c>
      <c r="T353" s="294"/>
    </row>
    <row r="354" spans="1:20" x14ac:dyDescent="0.25">
      <c r="A354" s="1"/>
      <c r="C354" s="294"/>
      <c r="D354" s="3" t="str">
        <f>"Change in "&amp;TRIM(D297)</f>
        <v>Change in Accrued Expenses......................................................................................................................................................</v>
      </c>
      <c r="G354" s="807" t="s">
        <v>139</v>
      </c>
      <c r="J354" s="60">
        <f t="shared" ca="1" si="163"/>
        <v>0</v>
      </c>
      <c r="K354" s="60">
        <f t="shared" ca="1" si="163"/>
        <v>0</v>
      </c>
      <c r="L354" s="60">
        <f t="shared" ca="1" si="163"/>
        <v>0</v>
      </c>
      <c r="M354" s="60">
        <f t="shared" ca="1" si="163"/>
        <v>0</v>
      </c>
      <c r="N354" s="60">
        <f t="shared" ca="1" si="163"/>
        <v>0</v>
      </c>
      <c r="O354" s="60">
        <f t="shared" ca="1" si="163"/>
        <v>0</v>
      </c>
      <c r="P354" s="60">
        <f t="shared" ca="1" si="163"/>
        <v>0</v>
      </c>
      <c r="Q354" s="60">
        <f t="shared" ca="1" si="163"/>
        <v>0</v>
      </c>
      <c r="R354" s="60">
        <f t="shared" ca="1" si="163"/>
        <v>0</v>
      </c>
      <c r="S354" s="60">
        <f t="shared" ca="1" si="163"/>
        <v>0</v>
      </c>
      <c r="T354" s="294"/>
    </row>
    <row r="355" spans="1:20" x14ac:dyDescent="0.25">
      <c r="A355" s="1"/>
      <c r="C355" s="294"/>
      <c r="D355" s="3" t="str">
        <f>"Change in "&amp;TRIM(D298)</f>
        <v>Change in Accrued Liabilities..............................................................................................................................................</v>
      </c>
      <c r="G355" s="807" t="s">
        <v>139</v>
      </c>
      <c r="J355" s="60">
        <f t="shared" ca="1" si="163"/>
        <v>0</v>
      </c>
      <c r="K355" s="60">
        <f t="shared" ca="1" si="163"/>
        <v>0</v>
      </c>
      <c r="L355" s="60">
        <f t="shared" ca="1" si="163"/>
        <v>0</v>
      </c>
      <c r="M355" s="60">
        <f t="shared" ca="1" si="163"/>
        <v>0</v>
      </c>
      <c r="N355" s="60">
        <f t="shared" ca="1" si="163"/>
        <v>0</v>
      </c>
      <c r="O355" s="60">
        <f t="shared" ca="1" si="163"/>
        <v>0</v>
      </c>
      <c r="P355" s="60">
        <f t="shared" ca="1" si="163"/>
        <v>0</v>
      </c>
      <c r="Q355" s="60">
        <f t="shared" ca="1" si="163"/>
        <v>0</v>
      </c>
      <c r="R355" s="60">
        <f t="shared" ca="1" si="163"/>
        <v>0</v>
      </c>
      <c r="S355" s="60">
        <f t="shared" ca="1" si="163"/>
        <v>0</v>
      </c>
      <c r="T355" s="294"/>
    </row>
    <row r="356" spans="1:20" x14ac:dyDescent="0.25">
      <c r="A356" s="1"/>
      <c r="C356" s="294"/>
      <c r="D356" s="3" t="str">
        <f>"Change in "&amp;TRIM(D299)</f>
        <v>Change in Taxes Payable.............................................................................................................................................................</v>
      </c>
      <c r="G356" s="807" t="s">
        <v>139</v>
      </c>
      <c r="J356" s="60">
        <f t="shared" ca="1" si="163"/>
        <v>0</v>
      </c>
      <c r="K356" s="60">
        <f t="shared" ca="1" si="163"/>
        <v>0</v>
      </c>
      <c r="L356" s="60">
        <f t="shared" ca="1" si="163"/>
        <v>0</v>
      </c>
      <c r="M356" s="60">
        <f t="shared" ca="1" si="163"/>
        <v>0</v>
      </c>
      <c r="N356" s="60">
        <f t="shared" ca="1" si="163"/>
        <v>0</v>
      </c>
      <c r="O356" s="60">
        <f t="shared" ca="1" si="163"/>
        <v>0</v>
      </c>
      <c r="P356" s="60">
        <f t="shared" ca="1" si="163"/>
        <v>0</v>
      </c>
      <c r="Q356" s="60">
        <f t="shared" ca="1" si="163"/>
        <v>0</v>
      </c>
      <c r="R356" s="60">
        <f t="shared" ca="1" si="163"/>
        <v>0</v>
      </c>
      <c r="S356" s="60">
        <f t="shared" ca="1" si="163"/>
        <v>0</v>
      </c>
      <c r="T356" s="294"/>
    </row>
    <row r="357" spans="1:20" x14ac:dyDescent="0.25">
      <c r="A357" s="1"/>
      <c r="C357" s="294"/>
      <c r="D357" s="3" t="str">
        <f>"Change in "&amp;TRIM(D300)</f>
        <v>Change in Other Current Liabilities.......................................................................................................................................................</v>
      </c>
      <c r="G357" s="807" t="s">
        <v>139</v>
      </c>
      <c r="J357" s="60">
        <f t="shared" ca="1" si="163"/>
        <v>0</v>
      </c>
      <c r="K357" s="60">
        <f t="shared" ca="1" si="163"/>
        <v>0</v>
      </c>
      <c r="L357" s="60">
        <f t="shared" ca="1" si="163"/>
        <v>0</v>
      </c>
      <c r="M357" s="60">
        <f t="shared" ca="1" si="163"/>
        <v>0</v>
      </c>
      <c r="N357" s="60">
        <f t="shared" ca="1" si="163"/>
        <v>0</v>
      </c>
      <c r="O357" s="60">
        <f t="shared" ca="1" si="163"/>
        <v>0</v>
      </c>
      <c r="P357" s="60">
        <f t="shared" ca="1" si="163"/>
        <v>0</v>
      </c>
      <c r="Q357" s="60">
        <f t="shared" ca="1" si="163"/>
        <v>0</v>
      </c>
      <c r="R357" s="60">
        <f t="shared" ca="1" si="163"/>
        <v>0</v>
      </c>
      <c r="S357" s="60">
        <f t="shared" ca="1" si="163"/>
        <v>0</v>
      </c>
      <c r="T357" s="294"/>
    </row>
    <row r="358" spans="1:20" x14ac:dyDescent="0.25">
      <c r="A358" s="302"/>
      <c r="C358" s="405"/>
      <c r="G358" s="807" t="s">
        <v>139</v>
      </c>
      <c r="J358" s="542" t="s">
        <v>66</v>
      </c>
      <c r="K358" s="542" t="s">
        <v>66</v>
      </c>
      <c r="L358" s="542" t="s">
        <v>66</v>
      </c>
      <c r="M358" s="542" t="s">
        <v>66</v>
      </c>
      <c r="N358" s="542" t="s">
        <v>66</v>
      </c>
      <c r="O358" s="542" t="s">
        <v>66</v>
      </c>
      <c r="P358" s="542" t="s">
        <v>66</v>
      </c>
      <c r="Q358" s="542" t="s">
        <v>66</v>
      </c>
      <c r="R358" s="542" t="s">
        <v>66</v>
      </c>
      <c r="S358" s="542" t="s">
        <v>66</v>
      </c>
      <c r="T358" s="294"/>
    </row>
    <row r="359" spans="1:20" x14ac:dyDescent="0.25">
      <c r="A359" s="302"/>
      <c r="B359" s="38"/>
      <c r="C359" s="294"/>
      <c r="D359" s="552" t="s">
        <v>228</v>
      </c>
      <c r="G359" s="807" t="s">
        <v>139</v>
      </c>
      <c r="J359" s="60">
        <f t="shared" ref="J359:S359" ca="1" si="164">SUM(J350:J358)</f>
        <v>-0.75</v>
      </c>
      <c r="K359" s="60">
        <f t="shared" ca="1" si="164"/>
        <v>-0.86250000000000071</v>
      </c>
      <c r="L359" s="60">
        <f t="shared" ca="1" si="164"/>
        <v>-0.99187499999999673</v>
      </c>
      <c r="M359" s="60">
        <f t="shared" ca="1" si="164"/>
        <v>-1.1406562500000028</v>
      </c>
      <c r="N359" s="60">
        <f t="shared" ca="1" si="164"/>
        <v>-1.3117546874999952</v>
      </c>
      <c r="O359" s="60">
        <f t="shared" ca="1" si="164"/>
        <v>-1.5085178906250079</v>
      </c>
      <c r="P359" s="60">
        <f t="shared" ca="1" si="164"/>
        <v>-1.7347955742187438</v>
      </c>
      <c r="Q359" s="60">
        <f t="shared" ca="1" si="164"/>
        <v>-1.9950149103515571</v>
      </c>
      <c r="R359" s="60">
        <f t="shared" ca="1" si="164"/>
        <v>-2.2942671469042963</v>
      </c>
      <c r="S359" s="60">
        <f t="shared" ca="1" si="164"/>
        <v>-2.638407218939939</v>
      </c>
      <c r="T359" s="294"/>
    </row>
    <row r="360" spans="1:20" ht="5.25" customHeight="1" x14ac:dyDescent="0.25">
      <c r="A360" s="302"/>
      <c r="C360" s="294"/>
      <c r="D360" s="4"/>
      <c r="G360" s="806"/>
      <c r="J360" s="542" t="s">
        <v>66</v>
      </c>
      <c r="K360" s="542" t="s">
        <v>66</v>
      </c>
      <c r="L360" s="542" t="s">
        <v>66</v>
      </c>
      <c r="M360" s="542" t="s">
        <v>66</v>
      </c>
      <c r="N360" s="542" t="s">
        <v>66</v>
      </c>
      <c r="O360" s="542" t="s">
        <v>66</v>
      </c>
      <c r="P360" s="542" t="s">
        <v>66</v>
      </c>
      <c r="Q360" s="542" t="s">
        <v>66</v>
      </c>
      <c r="R360" s="542" t="s">
        <v>66</v>
      </c>
      <c r="S360" s="542" t="s">
        <v>66</v>
      </c>
      <c r="T360" s="294"/>
    </row>
    <row r="361" spans="1:20" x14ac:dyDescent="0.25">
      <c r="A361" s="302"/>
      <c r="C361" s="294"/>
      <c r="D361" s="553" t="s">
        <v>229</v>
      </c>
      <c r="G361" s="814" t="s">
        <v>101</v>
      </c>
      <c r="J361" s="60">
        <f t="shared" ref="J361:S361" ca="1" si="165">J359+J349</f>
        <v>89.77000000000001</v>
      </c>
      <c r="K361" s="60">
        <f t="shared" ca="1" si="165"/>
        <v>104.71865</v>
      </c>
      <c r="L361" s="60">
        <f t="shared" ca="1" si="165"/>
        <v>122.10404987499999</v>
      </c>
      <c r="M361" s="60">
        <f t="shared" ca="1" si="165"/>
        <v>142.29803180843749</v>
      </c>
      <c r="N361" s="60">
        <f t="shared" ca="1" si="165"/>
        <v>165.72840820158669</v>
      </c>
      <c r="O361" s="60">
        <f t="shared" ca="1" si="165"/>
        <v>192.8873753814195</v>
      </c>
      <c r="P361" s="60">
        <f t="shared" ca="1" si="165"/>
        <v>224.34117808158905</v>
      </c>
      <c r="Q361" s="60">
        <f t="shared" ca="1" si="165"/>
        <v>260.7412238195551</v>
      </c>
      <c r="R361" s="60">
        <f t="shared" ca="1" si="165"/>
        <v>302.83686466155223</v>
      </c>
      <c r="S361" s="60">
        <f t="shared" ca="1" si="165"/>
        <v>351.49009649109348</v>
      </c>
      <c r="T361" s="294"/>
    </row>
    <row r="362" spans="1:20" ht="20.25" customHeight="1" x14ac:dyDescent="0.25">
      <c r="A362" s="302"/>
      <c r="C362" s="294"/>
      <c r="D362" s="646" t="s">
        <v>230</v>
      </c>
      <c r="G362" s="806"/>
      <c r="J362" s="60"/>
      <c r="K362" s="60"/>
      <c r="L362" s="60"/>
      <c r="M362" s="60"/>
      <c r="N362" s="60"/>
      <c r="O362" s="60"/>
      <c r="P362" s="60"/>
      <c r="Q362" s="60"/>
      <c r="R362" s="60"/>
      <c r="S362" s="60"/>
      <c r="T362" s="294"/>
    </row>
    <row r="363" spans="1:20" x14ac:dyDescent="0.25">
      <c r="A363" s="302"/>
      <c r="C363" s="294"/>
      <c r="D363" s="552" t="s">
        <v>231</v>
      </c>
      <c r="G363" s="807" t="s">
        <v>139</v>
      </c>
      <c r="J363" s="60">
        <f t="shared" ref="J363:S363" si="166">J117+J118</f>
        <v>30</v>
      </c>
      <c r="K363" s="60">
        <f t="shared" si="166"/>
        <v>30</v>
      </c>
      <c r="L363" s="60">
        <f t="shared" si="166"/>
        <v>30</v>
      </c>
      <c r="M363" s="60">
        <f t="shared" si="166"/>
        <v>30</v>
      </c>
      <c r="N363" s="60">
        <f t="shared" si="166"/>
        <v>30</v>
      </c>
      <c r="O363" s="60">
        <f t="shared" si="166"/>
        <v>30</v>
      </c>
      <c r="P363" s="60">
        <f t="shared" si="166"/>
        <v>30</v>
      </c>
      <c r="Q363" s="60">
        <f t="shared" si="166"/>
        <v>30</v>
      </c>
      <c r="R363" s="60">
        <f t="shared" si="166"/>
        <v>30</v>
      </c>
      <c r="S363" s="60">
        <f t="shared" si="166"/>
        <v>30</v>
      </c>
      <c r="T363" s="294"/>
    </row>
    <row r="364" spans="1:20" ht="5.25" customHeight="1" x14ac:dyDescent="0.25">
      <c r="A364" s="302"/>
      <c r="C364" s="294"/>
      <c r="G364" s="807" t="s">
        <v>139</v>
      </c>
      <c r="J364" s="542" t="s">
        <v>66</v>
      </c>
      <c r="K364" s="542" t="s">
        <v>66</v>
      </c>
      <c r="L364" s="542" t="s">
        <v>66</v>
      </c>
      <c r="M364" s="542" t="s">
        <v>66</v>
      </c>
      <c r="N364" s="542" t="s">
        <v>66</v>
      </c>
      <c r="O364" s="542" t="s">
        <v>66</v>
      </c>
      <c r="P364" s="542" t="s">
        <v>66</v>
      </c>
      <c r="Q364" s="542" t="s">
        <v>66</v>
      </c>
      <c r="R364" s="542" t="s">
        <v>66</v>
      </c>
      <c r="S364" s="542" t="s">
        <v>66</v>
      </c>
      <c r="T364" s="294"/>
    </row>
    <row r="365" spans="1:20" x14ac:dyDescent="0.25">
      <c r="A365" s="302"/>
      <c r="C365" s="294"/>
      <c r="D365" s="552" t="s">
        <v>232</v>
      </c>
      <c r="G365" s="807" t="s">
        <v>139</v>
      </c>
      <c r="J365" s="62">
        <f t="shared" ref="J365:S365" ca="1" si="167">J361-J363</f>
        <v>59.77000000000001</v>
      </c>
      <c r="K365" s="62">
        <f t="shared" ca="1" si="167"/>
        <v>74.718649999999997</v>
      </c>
      <c r="L365" s="62">
        <f t="shared" ca="1" si="167"/>
        <v>92.104049874999987</v>
      </c>
      <c r="M365" s="62">
        <f t="shared" ca="1" si="167"/>
        <v>112.29803180843749</v>
      </c>
      <c r="N365" s="62">
        <f t="shared" ca="1" si="167"/>
        <v>135.72840820158669</v>
      </c>
      <c r="O365" s="62">
        <f t="shared" ca="1" si="167"/>
        <v>162.8873753814195</v>
      </c>
      <c r="P365" s="62">
        <f t="shared" ca="1" si="167"/>
        <v>194.34117808158905</v>
      </c>
      <c r="Q365" s="62">
        <f t="shared" ca="1" si="167"/>
        <v>230.7412238195551</v>
      </c>
      <c r="R365" s="62">
        <f t="shared" ca="1" si="167"/>
        <v>272.83686466155223</v>
      </c>
      <c r="S365" s="62">
        <f t="shared" ca="1" si="167"/>
        <v>321.49009649109348</v>
      </c>
      <c r="T365" s="294"/>
    </row>
    <row r="366" spans="1:20" ht="9" customHeight="1" x14ac:dyDescent="0.25">
      <c r="A366" s="302"/>
      <c r="C366" s="294"/>
      <c r="G366" s="807" t="s">
        <v>139</v>
      </c>
      <c r="J366" s="635" t="s">
        <v>76</v>
      </c>
      <c r="K366" s="635" t="s">
        <v>76</v>
      </c>
      <c r="L366" s="635" t="s">
        <v>76</v>
      </c>
      <c r="M366" s="635" t="s">
        <v>76</v>
      </c>
      <c r="N366" s="635" t="s">
        <v>76</v>
      </c>
      <c r="O366" s="635" t="s">
        <v>76</v>
      </c>
      <c r="P366" s="635" t="s">
        <v>76</v>
      </c>
      <c r="Q366" s="635" t="s">
        <v>76</v>
      </c>
      <c r="R366" s="635" t="s">
        <v>76</v>
      </c>
      <c r="S366" s="635" t="s">
        <v>76</v>
      </c>
      <c r="T366" s="294"/>
    </row>
    <row r="367" spans="1:20" x14ac:dyDescent="0.25">
      <c r="A367" s="302"/>
      <c r="C367" s="294"/>
      <c r="D367" s="647" t="s">
        <v>233</v>
      </c>
      <c r="G367" s="806"/>
      <c r="J367" s="154"/>
      <c r="K367" s="154"/>
      <c r="L367" s="154"/>
      <c r="M367" s="154"/>
      <c r="N367" s="154"/>
      <c r="O367" s="154"/>
      <c r="P367" s="154"/>
      <c r="Q367" s="154"/>
      <c r="R367" s="154"/>
      <c r="S367" s="154"/>
      <c r="T367" s="294"/>
    </row>
    <row r="368" spans="1:20" x14ac:dyDescent="0.25">
      <c r="A368" s="302"/>
      <c r="C368" s="294"/>
      <c r="D368" s="600" t="s">
        <v>234</v>
      </c>
      <c r="G368" s="814" t="s">
        <v>101</v>
      </c>
      <c r="J368" s="154">
        <f t="shared" ref="J368:S368" ca="1" si="168">IF(J607&gt;0,-J607,0)</f>
        <v>0</v>
      </c>
      <c r="K368" s="154">
        <f t="shared" ca="1" si="168"/>
        <v>0</v>
      </c>
      <c r="L368" s="154">
        <f t="shared" ca="1" si="168"/>
        <v>0</v>
      </c>
      <c r="M368" s="154">
        <f t="shared" ca="1" si="168"/>
        <v>0</v>
      </c>
      <c r="N368" s="154">
        <f t="shared" ca="1" si="168"/>
        <v>0</v>
      </c>
      <c r="O368" s="154">
        <f t="shared" ca="1" si="168"/>
        <v>0</v>
      </c>
      <c r="P368" s="154">
        <f t="shared" ca="1" si="168"/>
        <v>0</v>
      </c>
      <c r="Q368" s="154">
        <f t="shared" ca="1" si="168"/>
        <v>0</v>
      </c>
      <c r="R368" s="154">
        <f t="shared" ca="1" si="168"/>
        <v>0</v>
      </c>
      <c r="S368" s="154">
        <f t="shared" ca="1" si="168"/>
        <v>0</v>
      </c>
      <c r="T368" s="294"/>
    </row>
    <row r="369" spans="1:20" x14ac:dyDescent="0.25">
      <c r="A369" s="302"/>
      <c r="C369" s="294"/>
      <c r="D369" s="648" t="s">
        <v>235</v>
      </c>
      <c r="G369" s="807" t="s">
        <v>139</v>
      </c>
      <c r="J369" s="60"/>
      <c r="K369" s="60"/>
      <c r="L369" s="60"/>
      <c r="M369" s="60"/>
      <c r="N369" s="60"/>
      <c r="O369" s="60"/>
      <c r="P369" s="60"/>
      <c r="Q369" s="60"/>
      <c r="R369" s="60"/>
      <c r="S369" s="60"/>
      <c r="T369" s="294"/>
    </row>
    <row r="370" spans="1:20" x14ac:dyDescent="0.25">
      <c r="A370" s="302"/>
      <c r="C370" s="294"/>
      <c r="D370" s="4" t="str">
        <f>"  "&amp;D1424&amp;".........................................................................................................................."</f>
        <v xml:space="preserve">  Existing Debt..........................................................................................................................</v>
      </c>
      <c r="G370" s="814" t="s">
        <v>101</v>
      </c>
      <c r="J370" s="60">
        <f t="shared" ref="J370:S370" si="169">J586</f>
        <v>0</v>
      </c>
      <c r="K370" s="60">
        <f t="shared" si="169"/>
        <v>0</v>
      </c>
      <c r="L370" s="60">
        <f t="shared" si="169"/>
        <v>0</v>
      </c>
      <c r="M370" s="60">
        <f t="shared" si="169"/>
        <v>0</v>
      </c>
      <c r="N370" s="60">
        <f t="shared" si="169"/>
        <v>0</v>
      </c>
      <c r="O370" s="60">
        <f t="shared" si="169"/>
        <v>0</v>
      </c>
      <c r="P370" s="60">
        <f t="shared" si="169"/>
        <v>0</v>
      </c>
      <c r="Q370" s="60">
        <f t="shared" si="169"/>
        <v>0</v>
      </c>
      <c r="R370" s="60">
        <f t="shared" si="169"/>
        <v>0</v>
      </c>
      <c r="S370" s="60">
        <f t="shared" si="169"/>
        <v>0</v>
      </c>
      <c r="T370" s="294"/>
    </row>
    <row r="371" spans="1:20" x14ac:dyDescent="0.25">
      <c r="A371" s="302"/>
      <c r="C371" s="294"/>
      <c r="D371" s="4" t="str">
        <f t="shared" ref="D371:D379" si="170">"  "&amp;D1410&amp;".........................................................................................................................."</f>
        <v xml:space="preserve">  Term Loan..........................................................................................................................</v>
      </c>
      <c r="G371" s="807" t="s">
        <v>139</v>
      </c>
      <c r="J371" s="60">
        <f t="shared" ref="J371:S371" ca="1" si="171">J600</f>
        <v>0</v>
      </c>
      <c r="K371" s="60">
        <f t="shared" ca="1" si="171"/>
        <v>0</v>
      </c>
      <c r="L371" s="60">
        <f t="shared" ca="1" si="171"/>
        <v>0</v>
      </c>
      <c r="M371" s="60">
        <f t="shared" ca="1" si="171"/>
        <v>0</v>
      </c>
      <c r="N371" s="60">
        <f t="shared" ca="1" si="171"/>
        <v>0</v>
      </c>
      <c r="O371" s="60">
        <f t="shared" ca="1" si="171"/>
        <v>0</v>
      </c>
      <c r="P371" s="60">
        <f t="shared" ca="1" si="171"/>
        <v>0</v>
      </c>
      <c r="Q371" s="60">
        <f t="shared" ca="1" si="171"/>
        <v>0</v>
      </c>
      <c r="R371" s="60">
        <f t="shared" ca="1" si="171"/>
        <v>0</v>
      </c>
      <c r="S371" s="60">
        <f t="shared" ca="1" si="171"/>
        <v>0</v>
      </c>
      <c r="T371" s="294"/>
    </row>
    <row r="372" spans="1:20" x14ac:dyDescent="0.25">
      <c r="A372" s="302"/>
      <c r="C372" s="294"/>
      <c r="D372" s="4" t="str">
        <f t="shared" si="170"/>
        <v xml:space="preserve">  Evergreen Revolver..........................................................................................................................</v>
      </c>
      <c r="G372" s="807" t="s">
        <v>139</v>
      </c>
      <c r="J372" s="172">
        <f t="shared" ref="J372:S372" ca="1" si="172">IF(J607&lt;0,-J607,0)</f>
        <v>0</v>
      </c>
      <c r="K372" s="168">
        <f t="shared" ca="1" si="172"/>
        <v>0</v>
      </c>
      <c r="L372" s="168">
        <f t="shared" ca="1" si="172"/>
        <v>0</v>
      </c>
      <c r="M372" s="168">
        <f t="shared" ca="1" si="172"/>
        <v>0</v>
      </c>
      <c r="N372" s="168">
        <f t="shared" ca="1" si="172"/>
        <v>0</v>
      </c>
      <c r="O372" s="168">
        <f t="shared" ca="1" si="172"/>
        <v>0</v>
      </c>
      <c r="P372" s="168">
        <f t="shared" ca="1" si="172"/>
        <v>0</v>
      </c>
      <c r="Q372" s="168">
        <f t="shared" ca="1" si="172"/>
        <v>0</v>
      </c>
      <c r="R372" s="168">
        <f t="shared" ca="1" si="172"/>
        <v>0</v>
      </c>
      <c r="S372" s="168">
        <f t="shared" ca="1" si="172"/>
        <v>0</v>
      </c>
      <c r="T372" s="294"/>
    </row>
    <row r="373" spans="1:20" x14ac:dyDescent="0.25">
      <c r="A373" s="302"/>
      <c r="C373" s="294"/>
      <c r="D373" s="4" t="str">
        <f t="shared" si="170"/>
        <v xml:space="preserve">  Debt 1..........................................................................................................................</v>
      </c>
      <c r="G373" s="807" t="s">
        <v>139</v>
      </c>
      <c r="J373" s="60">
        <f t="shared" ref="J373:S373" ca="1" si="173">J615</f>
        <v>0</v>
      </c>
      <c r="K373" s="60">
        <f t="shared" ca="1" si="173"/>
        <v>0</v>
      </c>
      <c r="L373" s="60">
        <f t="shared" ca="1" si="173"/>
        <v>0</v>
      </c>
      <c r="M373" s="60">
        <f t="shared" ca="1" si="173"/>
        <v>0</v>
      </c>
      <c r="N373" s="60">
        <f t="shared" ca="1" si="173"/>
        <v>0</v>
      </c>
      <c r="O373" s="60">
        <f t="shared" ca="1" si="173"/>
        <v>0</v>
      </c>
      <c r="P373" s="60">
        <f t="shared" ca="1" si="173"/>
        <v>0</v>
      </c>
      <c r="Q373" s="60">
        <f t="shared" ca="1" si="173"/>
        <v>0</v>
      </c>
      <c r="R373" s="60">
        <f t="shared" ca="1" si="173"/>
        <v>0</v>
      </c>
      <c r="S373" s="60">
        <f t="shared" ca="1" si="173"/>
        <v>0</v>
      </c>
      <c r="T373" s="294"/>
    </row>
    <row r="374" spans="1:20" x14ac:dyDescent="0.25">
      <c r="A374" s="302"/>
      <c r="C374" s="294"/>
      <c r="D374" s="4" t="str">
        <f t="shared" si="170"/>
        <v xml:space="preserve">  Debt 2..........................................................................................................................</v>
      </c>
      <c r="G374" s="807" t="s">
        <v>139</v>
      </c>
      <c r="J374" s="60">
        <f t="shared" ref="J374:S374" ca="1" si="174">J623</f>
        <v>0</v>
      </c>
      <c r="K374" s="60">
        <f t="shared" ca="1" si="174"/>
        <v>0</v>
      </c>
      <c r="L374" s="60">
        <f t="shared" ca="1" si="174"/>
        <v>0</v>
      </c>
      <c r="M374" s="60">
        <f t="shared" ca="1" si="174"/>
        <v>0</v>
      </c>
      <c r="N374" s="60">
        <f t="shared" ca="1" si="174"/>
        <v>0</v>
      </c>
      <c r="O374" s="60">
        <f t="shared" ca="1" si="174"/>
        <v>0</v>
      </c>
      <c r="P374" s="60">
        <f t="shared" ca="1" si="174"/>
        <v>0</v>
      </c>
      <c r="Q374" s="60">
        <f t="shared" ca="1" si="174"/>
        <v>0</v>
      </c>
      <c r="R374" s="60">
        <f t="shared" ca="1" si="174"/>
        <v>0</v>
      </c>
      <c r="S374" s="60">
        <f t="shared" ca="1" si="174"/>
        <v>0</v>
      </c>
      <c r="T374" s="294"/>
    </row>
    <row r="375" spans="1:20" hidden="1" outlineLevel="1" x14ac:dyDescent="0.25">
      <c r="A375" s="302"/>
      <c r="B375" s="4"/>
      <c r="C375" s="299"/>
      <c r="D375" s="4" t="str">
        <f t="shared" si="170"/>
        <v xml:space="preserve">  Debt 3..........................................................................................................................</v>
      </c>
      <c r="G375" s="807" t="s">
        <v>139</v>
      </c>
      <c r="J375" s="60">
        <f t="shared" ref="J375:S375" ca="1" si="175">J637</f>
        <v>0</v>
      </c>
      <c r="K375" s="60">
        <f t="shared" ca="1" si="175"/>
        <v>0</v>
      </c>
      <c r="L375" s="60">
        <f t="shared" ca="1" si="175"/>
        <v>0</v>
      </c>
      <c r="M375" s="60">
        <f t="shared" ca="1" si="175"/>
        <v>0</v>
      </c>
      <c r="N375" s="60">
        <f t="shared" ca="1" si="175"/>
        <v>0</v>
      </c>
      <c r="O375" s="60">
        <f t="shared" ca="1" si="175"/>
        <v>0</v>
      </c>
      <c r="P375" s="60">
        <f t="shared" ca="1" si="175"/>
        <v>0</v>
      </c>
      <c r="Q375" s="60">
        <f t="shared" ca="1" si="175"/>
        <v>0</v>
      </c>
      <c r="R375" s="60">
        <f t="shared" ca="1" si="175"/>
        <v>0</v>
      </c>
      <c r="S375" s="60">
        <f t="shared" ca="1" si="175"/>
        <v>0</v>
      </c>
      <c r="T375" s="294"/>
    </row>
    <row r="376" spans="1:20" hidden="1" outlineLevel="1" x14ac:dyDescent="0.25">
      <c r="A376" s="302"/>
      <c r="B376" s="4"/>
      <c r="C376" s="825" t="s">
        <v>205</v>
      </c>
      <c r="D376" s="4" t="str">
        <f t="shared" si="170"/>
        <v xml:space="preserve">  Debt 4..........................................................................................................................</v>
      </c>
      <c r="G376" s="807" t="s">
        <v>139</v>
      </c>
      <c r="J376" s="60">
        <f t="shared" ref="J376:S376" ca="1" si="176">J645</f>
        <v>0</v>
      </c>
      <c r="K376" s="60">
        <f t="shared" ca="1" si="176"/>
        <v>0</v>
      </c>
      <c r="L376" s="60">
        <f t="shared" ca="1" si="176"/>
        <v>0</v>
      </c>
      <c r="M376" s="60">
        <f t="shared" ca="1" si="176"/>
        <v>0</v>
      </c>
      <c r="N376" s="60">
        <f t="shared" ca="1" si="176"/>
        <v>0</v>
      </c>
      <c r="O376" s="60">
        <f t="shared" ca="1" si="176"/>
        <v>0</v>
      </c>
      <c r="P376" s="60">
        <f t="shared" ca="1" si="176"/>
        <v>0</v>
      </c>
      <c r="Q376" s="60">
        <f t="shared" ca="1" si="176"/>
        <v>0</v>
      </c>
      <c r="R376" s="60">
        <f t="shared" ca="1" si="176"/>
        <v>0</v>
      </c>
      <c r="S376" s="60">
        <f t="shared" ca="1" si="176"/>
        <v>0</v>
      </c>
      <c r="T376" s="294"/>
    </row>
    <row r="377" spans="1:20" hidden="1" outlineLevel="1" x14ac:dyDescent="0.25">
      <c r="A377" s="302"/>
      <c r="B377" s="4"/>
      <c r="C377" s="824">
        <f>IF(ISNUMBER(C376),C376+$K$1404,0)</f>
        <v>0</v>
      </c>
      <c r="D377" s="4" t="str">
        <f t="shared" si="170"/>
        <v xml:space="preserve">  Debt 5..........................................................................................................................</v>
      </c>
      <c r="G377" t="s">
        <v>139</v>
      </c>
      <c r="J377" s="60">
        <f t="shared" ref="J377:S377" ca="1" si="177">OFFSET(J$653,$C377,0)</f>
        <v>0</v>
      </c>
      <c r="K377" s="60">
        <f t="shared" ca="1" si="177"/>
        <v>0</v>
      </c>
      <c r="L377" s="60">
        <f t="shared" ca="1" si="177"/>
        <v>0</v>
      </c>
      <c r="M377" s="60">
        <f t="shared" ca="1" si="177"/>
        <v>0</v>
      </c>
      <c r="N377" s="60">
        <f t="shared" ca="1" si="177"/>
        <v>0</v>
      </c>
      <c r="O377" s="60">
        <f t="shared" ca="1" si="177"/>
        <v>0</v>
      </c>
      <c r="P377" s="60">
        <f t="shared" ca="1" si="177"/>
        <v>0</v>
      </c>
      <c r="Q377" s="60">
        <f t="shared" ca="1" si="177"/>
        <v>0</v>
      </c>
      <c r="R377" s="60">
        <f t="shared" ca="1" si="177"/>
        <v>0</v>
      </c>
      <c r="S377" s="60">
        <f t="shared" ca="1" si="177"/>
        <v>0</v>
      </c>
      <c r="T377" s="294"/>
    </row>
    <row r="378" spans="1:20" collapsed="1" x14ac:dyDescent="0.25">
      <c r="A378" s="302"/>
      <c r="B378" s="4"/>
      <c r="C378" s="825" t="s">
        <v>205</v>
      </c>
      <c r="D378" s="4" t="str">
        <f t="shared" si="170"/>
        <v xml:space="preserve">  Preferred 1..........................................................................................................................</v>
      </c>
      <c r="G378" s="811" t="s">
        <v>101</v>
      </c>
      <c r="J378" s="60">
        <f t="shared" ref="J378:S378" ca="1" si="178">J661</f>
        <v>0</v>
      </c>
      <c r="K378" s="60">
        <f t="shared" ca="1" si="178"/>
        <v>0</v>
      </c>
      <c r="L378" s="60">
        <f t="shared" ca="1" si="178"/>
        <v>0</v>
      </c>
      <c r="M378" s="60">
        <f t="shared" ca="1" si="178"/>
        <v>0</v>
      </c>
      <c r="N378" s="60">
        <f t="shared" ca="1" si="178"/>
        <v>0</v>
      </c>
      <c r="O378" s="60">
        <f t="shared" ca="1" si="178"/>
        <v>0</v>
      </c>
      <c r="P378" s="60">
        <f t="shared" ca="1" si="178"/>
        <v>0</v>
      </c>
      <c r="Q378" s="60">
        <f t="shared" ca="1" si="178"/>
        <v>0</v>
      </c>
      <c r="R378" s="60">
        <f t="shared" ca="1" si="178"/>
        <v>0</v>
      </c>
      <c r="S378" s="60">
        <f t="shared" ca="1" si="178"/>
        <v>0</v>
      </c>
      <c r="T378" s="294"/>
    </row>
    <row r="379" spans="1:20" hidden="1" outlineLevel="1" x14ac:dyDescent="0.25">
      <c r="A379" s="302"/>
      <c r="B379" s="4"/>
      <c r="C379" s="824">
        <f>IF(ISNUMBER(C378),C378+$K$1405,0)</f>
        <v>0</v>
      </c>
      <c r="D379" s="4" t="str">
        <f t="shared" si="170"/>
        <v xml:space="preserve">  Preferred 2..........................................................................................................................</v>
      </c>
      <c r="G379" t="s">
        <v>139</v>
      </c>
      <c r="J379" s="60">
        <f t="shared" ref="J379:S379" ca="1" si="179">OFFSET(J$668,$C379,0)</f>
        <v>0</v>
      </c>
      <c r="K379" s="60">
        <f t="shared" ca="1" si="179"/>
        <v>0</v>
      </c>
      <c r="L379" s="60">
        <f t="shared" ca="1" si="179"/>
        <v>0</v>
      </c>
      <c r="M379" s="60">
        <f t="shared" ca="1" si="179"/>
        <v>0</v>
      </c>
      <c r="N379" s="60">
        <f t="shared" ca="1" si="179"/>
        <v>0</v>
      </c>
      <c r="O379" s="60">
        <f t="shared" ca="1" si="179"/>
        <v>0</v>
      </c>
      <c r="P379" s="60">
        <f t="shared" ca="1" si="179"/>
        <v>0</v>
      </c>
      <c r="Q379" s="60">
        <f t="shared" ca="1" si="179"/>
        <v>0</v>
      </c>
      <c r="R379" s="60">
        <f t="shared" ca="1" si="179"/>
        <v>0</v>
      </c>
      <c r="S379" s="60">
        <f t="shared" ca="1" si="179"/>
        <v>0</v>
      </c>
      <c r="T379" s="294"/>
    </row>
    <row r="380" spans="1:20" ht="5.4" customHeight="1" collapsed="1" x14ac:dyDescent="0.25">
      <c r="A380" s="302"/>
      <c r="C380" s="294"/>
      <c r="D380" s="4"/>
      <c r="G380" s="815"/>
      <c r="J380" s="542" t="s">
        <v>66</v>
      </c>
      <c r="K380" s="542" t="s">
        <v>66</v>
      </c>
      <c r="L380" s="542" t="s">
        <v>66</v>
      </c>
      <c r="M380" s="542" t="s">
        <v>66</v>
      </c>
      <c r="N380" s="542" t="s">
        <v>66</v>
      </c>
      <c r="O380" s="542" t="s">
        <v>66</v>
      </c>
      <c r="P380" s="542" t="s">
        <v>66</v>
      </c>
      <c r="Q380" s="542" t="s">
        <v>66</v>
      </c>
      <c r="R380" s="542" t="s">
        <v>66</v>
      </c>
      <c r="S380" s="542" t="s">
        <v>66</v>
      </c>
      <c r="T380" s="294"/>
    </row>
    <row r="381" spans="1:20" x14ac:dyDescent="0.25">
      <c r="A381" s="302"/>
      <c r="C381" s="294"/>
      <c r="D381" s="553" t="s">
        <v>236</v>
      </c>
      <c r="G381" s="816" t="s">
        <v>139</v>
      </c>
      <c r="J381" s="168">
        <f t="shared" ref="J381:S381" ca="1" si="180">SUM(J369:J380)</f>
        <v>0</v>
      </c>
      <c r="K381" s="168">
        <f t="shared" ca="1" si="180"/>
        <v>0</v>
      </c>
      <c r="L381" s="168">
        <f t="shared" ca="1" si="180"/>
        <v>0</v>
      </c>
      <c r="M381" s="168">
        <f t="shared" ca="1" si="180"/>
        <v>0</v>
      </c>
      <c r="N381" s="168">
        <f t="shared" ca="1" si="180"/>
        <v>0</v>
      </c>
      <c r="O381" s="168">
        <f t="shared" ca="1" si="180"/>
        <v>0</v>
      </c>
      <c r="P381" s="168">
        <f t="shared" ca="1" si="180"/>
        <v>0</v>
      </c>
      <c r="Q381" s="168">
        <f t="shared" ca="1" si="180"/>
        <v>0</v>
      </c>
      <c r="R381" s="168">
        <f t="shared" ca="1" si="180"/>
        <v>0</v>
      </c>
      <c r="S381" s="168">
        <f t="shared" ca="1" si="180"/>
        <v>0</v>
      </c>
      <c r="T381" s="294"/>
    </row>
    <row r="382" spans="1:20" ht="6.75" customHeight="1" x14ac:dyDescent="0.25">
      <c r="A382" s="302"/>
      <c r="C382" s="294"/>
      <c r="D382" s="4"/>
      <c r="G382" s="815"/>
      <c r="J382" s="168"/>
      <c r="K382" s="168"/>
      <c r="L382" s="168"/>
      <c r="M382" s="168"/>
      <c r="N382" s="168"/>
      <c r="O382" s="168"/>
      <c r="P382" s="168"/>
      <c r="Q382" s="168"/>
      <c r="R382" s="168"/>
      <c r="S382" s="168"/>
      <c r="T382" s="294"/>
    </row>
    <row r="383" spans="1:20" x14ac:dyDescent="0.25">
      <c r="A383" s="302"/>
      <c r="C383" s="294"/>
      <c r="D383" s="648" t="s">
        <v>237</v>
      </c>
      <c r="G383" s="815"/>
      <c r="J383" s="168"/>
      <c r="K383" s="168"/>
      <c r="L383" s="168"/>
      <c r="M383" s="168"/>
      <c r="N383" s="168"/>
      <c r="O383" s="168"/>
      <c r="P383" s="168"/>
      <c r="Q383" s="168"/>
      <c r="R383" s="168"/>
      <c r="S383" s="168"/>
      <c r="T383" s="294"/>
    </row>
    <row r="384" spans="1:20" x14ac:dyDescent="0.25">
      <c r="A384" s="302"/>
      <c r="C384" s="294"/>
      <c r="D384" s="36" t="str">
        <f t="shared" ref="D384:D390" si="181">D370</f>
        <v xml:space="preserve">  Existing Debt..........................................................................................................................</v>
      </c>
      <c r="G384" s="811" t="s">
        <v>101</v>
      </c>
      <c r="J384" s="168">
        <f t="shared" ref="J384:S384" si="182">J587</f>
        <v>0</v>
      </c>
      <c r="K384" s="168">
        <f t="shared" si="182"/>
        <v>0</v>
      </c>
      <c r="L384" s="168">
        <f t="shared" si="182"/>
        <v>0</v>
      </c>
      <c r="M384" s="168">
        <f t="shared" si="182"/>
        <v>0</v>
      </c>
      <c r="N384" s="168">
        <f t="shared" si="182"/>
        <v>0</v>
      </c>
      <c r="O384" s="168">
        <f t="shared" si="182"/>
        <v>0</v>
      </c>
      <c r="P384" s="168">
        <f t="shared" si="182"/>
        <v>0</v>
      </c>
      <c r="Q384" s="168">
        <f t="shared" si="182"/>
        <v>0</v>
      </c>
      <c r="R384" s="168">
        <f t="shared" si="182"/>
        <v>0</v>
      </c>
      <c r="S384" s="168">
        <f t="shared" si="182"/>
        <v>0</v>
      </c>
      <c r="T384" s="294"/>
    </row>
    <row r="385" spans="1:20" x14ac:dyDescent="0.25">
      <c r="A385" s="302"/>
      <c r="C385" s="294"/>
      <c r="D385" s="36" t="str">
        <f t="shared" si="181"/>
        <v xml:space="preserve">  Term Loan..........................................................................................................................</v>
      </c>
      <c r="G385" s="811" t="s">
        <v>101</v>
      </c>
      <c r="J385" s="366">
        <f t="shared" ref="J385:S385" ca="1" si="183">J601</f>
        <v>0</v>
      </c>
      <c r="K385" s="366">
        <f t="shared" ca="1" si="183"/>
        <v>0</v>
      </c>
      <c r="L385" s="366">
        <f t="shared" ca="1" si="183"/>
        <v>0</v>
      </c>
      <c r="M385" s="366">
        <f t="shared" ca="1" si="183"/>
        <v>0</v>
      </c>
      <c r="N385" s="366">
        <f t="shared" ca="1" si="183"/>
        <v>0</v>
      </c>
      <c r="O385" s="366">
        <f t="shared" ca="1" si="183"/>
        <v>0</v>
      </c>
      <c r="P385" s="366">
        <f t="shared" ca="1" si="183"/>
        <v>0</v>
      </c>
      <c r="Q385" s="366">
        <f t="shared" ca="1" si="183"/>
        <v>0</v>
      </c>
      <c r="R385" s="366">
        <f t="shared" ca="1" si="183"/>
        <v>0</v>
      </c>
      <c r="S385" s="366">
        <f t="shared" ca="1" si="183"/>
        <v>0</v>
      </c>
      <c r="T385" s="294"/>
    </row>
    <row r="386" spans="1:20" x14ac:dyDescent="0.25">
      <c r="A386" s="302"/>
      <c r="C386" s="294"/>
      <c r="D386" s="4" t="str">
        <f t="shared" si="181"/>
        <v xml:space="preserve">  Evergreen Revolver..........................................................................................................................</v>
      </c>
      <c r="G386" s="811" t="s">
        <v>101</v>
      </c>
      <c r="J386" s="168">
        <f t="shared" ref="J386:S386" ca="1" si="184">J608</f>
        <v>0</v>
      </c>
      <c r="K386" s="168">
        <f t="shared" ca="1" si="184"/>
        <v>0</v>
      </c>
      <c r="L386" s="168">
        <f t="shared" ca="1" si="184"/>
        <v>0</v>
      </c>
      <c r="M386" s="168">
        <f t="shared" ca="1" si="184"/>
        <v>0</v>
      </c>
      <c r="N386" s="168">
        <f t="shared" ca="1" si="184"/>
        <v>0</v>
      </c>
      <c r="O386" s="168">
        <f t="shared" ca="1" si="184"/>
        <v>0</v>
      </c>
      <c r="P386" s="168">
        <f t="shared" ca="1" si="184"/>
        <v>0</v>
      </c>
      <c r="Q386" s="168">
        <f t="shared" ca="1" si="184"/>
        <v>0</v>
      </c>
      <c r="R386" s="168">
        <f t="shared" ca="1" si="184"/>
        <v>0</v>
      </c>
      <c r="S386" s="168">
        <f t="shared" ca="1" si="184"/>
        <v>0</v>
      </c>
      <c r="T386" s="294"/>
    </row>
    <row r="387" spans="1:20" x14ac:dyDescent="0.25">
      <c r="A387" s="302"/>
      <c r="C387" s="294"/>
      <c r="D387" s="4" t="str">
        <f t="shared" si="181"/>
        <v xml:space="preserve">  Debt 1..........................................................................................................................</v>
      </c>
      <c r="G387" s="811" t="s">
        <v>101</v>
      </c>
      <c r="I387" s="168"/>
      <c r="J387" s="168">
        <f t="shared" ref="J387:S387" ca="1" si="185">J616</f>
        <v>0</v>
      </c>
      <c r="K387" s="168">
        <f t="shared" ca="1" si="185"/>
        <v>0</v>
      </c>
      <c r="L387" s="168">
        <f t="shared" ca="1" si="185"/>
        <v>0</v>
      </c>
      <c r="M387" s="168">
        <f t="shared" ca="1" si="185"/>
        <v>0</v>
      </c>
      <c r="N387" s="168">
        <f t="shared" ca="1" si="185"/>
        <v>0</v>
      </c>
      <c r="O387" s="168">
        <f t="shared" ca="1" si="185"/>
        <v>0</v>
      </c>
      <c r="P387" s="168">
        <f t="shared" ca="1" si="185"/>
        <v>0</v>
      </c>
      <c r="Q387" s="168">
        <f t="shared" ca="1" si="185"/>
        <v>0</v>
      </c>
      <c r="R387" s="168">
        <f t="shared" ca="1" si="185"/>
        <v>0</v>
      </c>
      <c r="S387" s="168">
        <f t="shared" ca="1" si="185"/>
        <v>0</v>
      </c>
      <c r="T387" s="294"/>
    </row>
    <row r="388" spans="1:20" x14ac:dyDescent="0.25">
      <c r="A388" s="302"/>
      <c r="C388" s="294"/>
      <c r="D388" s="4" t="str">
        <f t="shared" si="181"/>
        <v xml:space="preserve">  Debt 2..........................................................................................................................</v>
      </c>
      <c r="G388" s="811" t="s">
        <v>101</v>
      </c>
      <c r="J388" s="168">
        <f t="shared" ref="J388:S388" ca="1" si="186">J624</f>
        <v>0</v>
      </c>
      <c r="K388" s="168">
        <f t="shared" ca="1" si="186"/>
        <v>0</v>
      </c>
      <c r="L388" s="168">
        <f t="shared" ca="1" si="186"/>
        <v>0</v>
      </c>
      <c r="M388" s="168">
        <f t="shared" ca="1" si="186"/>
        <v>0</v>
      </c>
      <c r="N388" s="168">
        <f t="shared" ca="1" si="186"/>
        <v>0</v>
      </c>
      <c r="O388" s="168">
        <f t="shared" ca="1" si="186"/>
        <v>0</v>
      </c>
      <c r="P388" s="168">
        <f t="shared" ca="1" si="186"/>
        <v>0</v>
      </c>
      <c r="Q388" s="168">
        <f t="shared" ca="1" si="186"/>
        <v>0</v>
      </c>
      <c r="R388" s="168">
        <f t="shared" ca="1" si="186"/>
        <v>0</v>
      </c>
      <c r="S388" s="168">
        <f t="shared" ca="1" si="186"/>
        <v>0</v>
      </c>
      <c r="T388" s="294"/>
    </row>
    <row r="389" spans="1:20" hidden="1" outlineLevel="1" x14ac:dyDescent="0.25">
      <c r="A389" s="302"/>
      <c r="C389" s="294"/>
      <c r="D389" s="4" t="str">
        <f t="shared" si="181"/>
        <v xml:space="preserve">  Debt 3..........................................................................................................................</v>
      </c>
      <c r="G389" s="811" t="s">
        <v>101</v>
      </c>
      <c r="J389" s="168">
        <f t="shared" ref="J389:S389" ca="1" si="187">J638</f>
        <v>0</v>
      </c>
      <c r="K389" s="168">
        <f t="shared" ca="1" si="187"/>
        <v>0</v>
      </c>
      <c r="L389" s="168">
        <f t="shared" ca="1" si="187"/>
        <v>0</v>
      </c>
      <c r="M389" s="168">
        <f t="shared" ca="1" si="187"/>
        <v>0</v>
      </c>
      <c r="N389" s="168">
        <f t="shared" ca="1" si="187"/>
        <v>0</v>
      </c>
      <c r="O389" s="168">
        <f t="shared" ca="1" si="187"/>
        <v>0</v>
      </c>
      <c r="P389" s="168">
        <f t="shared" ca="1" si="187"/>
        <v>0</v>
      </c>
      <c r="Q389" s="168">
        <f t="shared" ca="1" si="187"/>
        <v>0</v>
      </c>
      <c r="R389" s="168">
        <f t="shared" ca="1" si="187"/>
        <v>0</v>
      </c>
      <c r="S389" s="168">
        <f t="shared" ca="1" si="187"/>
        <v>0</v>
      </c>
      <c r="T389" s="294"/>
    </row>
    <row r="390" spans="1:20" hidden="1" outlineLevel="1" x14ac:dyDescent="0.25">
      <c r="A390" s="302"/>
      <c r="C390" s="825" t="s">
        <v>205</v>
      </c>
      <c r="D390" s="4" t="str">
        <f t="shared" si="181"/>
        <v xml:space="preserve">  Debt 4..........................................................................................................................</v>
      </c>
      <c r="G390" s="811" t="s">
        <v>101</v>
      </c>
      <c r="J390" s="168">
        <f t="shared" ref="J390:S390" ca="1" si="188">J646</f>
        <v>0</v>
      </c>
      <c r="K390" s="168">
        <f t="shared" ca="1" si="188"/>
        <v>0</v>
      </c>
      <c r="L390" s="168">
        <f t="shared" ca="1" si="188"/>
        <v>0</v>
      </c>
      <c r="M390" s="168">
        <f t="shared" ca="1" si="188"/>
        <v>0</v>
      </c>
      <c r="N390" s="168">
        <f t="shared" ca="1" si="188"/>
        <v>0</v>
      </c>
      <c r="O390" s="168">
        <f t="shared" ca="1" si="188"/>
        <v>0</v>
      </c>
      <c r="P390" s="168">
        <f t="shared" ca="1" si="188"/>
        <v>0</v>
      </c>
      <c r="Q390" s="168">
        <f t="shared" ca="1" si="188"/>
        <v>0</v>
      </c>
      <c r="R390" s="168">
        <f t="shared" ca="1" si="188"/>
        <v>0</v>
      </c>
      <c r="S390" s="168">
        <f t="shared" ca="1" si="188"/>
        <v>0</v>
      </c>
      <c r="T390" s="294"/>
    </row>
    <row r="391" spans="1:20" hidden="1" outlineLevel="1" x14ac:dyDescent="0.25">
      <c r="A391" s="302"/>
      <c r="C391" s="824">
        <f>IF(ISNUMBER(C390),C390+$K$1404,0)</f>
        <v>0</v>
      </c>
      <c r="D391" s="4" t="str">
        <f>"  "&amp;D1416&amp;".........................................................................................................................."</f>
        <v xml:space="preserve">  Debt 5..........................................................................................................................</v>
      </c>
      <c r="G391" t="s">
        <v>139</v>
      </c>
      <c r="J391" s="168">
        <f t="shared" ref="J391:S391" ca="1" si="189">OFFSET(J$654,$C391,0)</f>
        <v>0</v>
      </c>
      <c r="K391" s="168">
        <f t="shared" ca="1" si="189"/>
        <v>0</v>
      </c>
      <c r="L391" s="168">
        <f t="shared" ca="1" si="189"/>
        <v>0</v>
      </c>
      <c r="M391" s="168">
        <f t="shared" ca="1" si="189"/>
        <v>0</v>
      </c>
      <c r="N391" s="168">
        <f t="shared" ca="1" si="189"/>
        <v>0</v>
      </c>
      <c r="O391" s="168">
        <f t="shared" ca="1" si="189"/>
        <v>0</v>
      </c>
      <c r="P391" s="168">
        <f t="shared" ca="1" si="189"/>
        <v>0</v>
      </c>
      <c r="Q391" s="168">
        <f t="shared" ca="1" si="189"/>
        <v>0</v>
      </c>
      <c r="R391" s="168">
        <f t="shared" ca="1" si="189"/>
        <v>0</v>
      </c>
      <c r="S391" s="168">
        <f t="shared" ca="1" si="189"/>
        <v>0</v>
      </c>
      <c r="T391" s="294"/>
    </row>
    <row r="392" spans="1:20" ht="6.75" customHeight="1" collapsed="1" x14ac:dyDescent="0.25">
      <c r="A392" s="302"/>
      <c r="C392" s="294"/>
      <c r="G392" s="554" t="s">
        <v>139</v>
      </c>
      <c r="J392" s="542" t="s">
        <v>66</v>
      </c>
      <c r="K392" s="542" t="s">
        <v>66</v>
      </c>
      <c r="L392" s="542" t="s">
        <v>66</v>
      </c>
      <c r="M392" s="542" t="s">
        <v>66</v>
      </c>
      <c r="N392" s="542" t="s">
        <v>66</v>
      </c>
      <c r="O392" s="542" t="s">
        <v>66</v>
      </c>
      <c r="P392" s="542" t="s">
        <v>66</v>
      </c>
      <c r="Q392" s="542" t="s">
        <v>66</v>
      </c>
      <c r="R392" s="542" t="s">
        <v>66</v>
      </c>
      <c r="S392" s="542" t="s">
        <v>66</v>
      </c>
      <c r="T392" s="294"/>
    </row>
    <row r="393" spans="1:20" x14ac:dyDescent="0.25">
      <c r="A393" s="302"/>
      <c r="C393" s="294"/>
      <c r="D393" s="552" t="s">
        <v>238</v>
      </c>
      <c r="G393" s="554" t="s">
        <v>139</v>
      </c>
      <c r="J393" s="62">
        <f t="shared" ref="J393:S393" ca="1" si="190">J365-J368-SUM(J381:J392)+J395-J396</f>
        <v>59.77000000000001</v>
      </c>
      <c r="K393" s="62">
        <f t="shared" ca="1" si="190"/>
        <v>74.718649999999997</v>
      </c>
      <c r="L393" s="62">
        <f t="shared" ca="1" si="190"/>
        <v>92.104049874999987</v>
      </c>
      <c r="M393" s="62">
        <f t="shared" ca="1" si="190"/>
        <v>112.29803180843749</v>
      </c>
      <c r="N393" s="62">
        <f t="shared" ca="1" si="190"/>
        <v>135.72840820158669</v>
      </c>
      <c r="O393" s="62">
        <f t="shared" ca="1" si="190"/>
        <v>162.8873753814195</v>
      </c>
      <c r="P393" s="62">
        <f t="shared" ca="1" si="190"/>
        <v>194.34117808158905</v>
      </c>
      <c r="Q393" s="62">
        <f t="shared" ca="1" si="190"/>
        <v>230.7412238195551</v>
      </c>
      <c r="R393" s="62">
        <f t="shared" ca="1" si="190"/>
        <v>272.83686466155223</v>
      </c>
      <c r="S393" s="62">
        <f t="shared" ca="1" si="190"/>
        <v>321.49009649109348</v>
      </c>
      <c r="T393" s="294"/>
    </row>
    <row r="394" spans="1:20" ht="9" customHeight="1" x14ac:dyDescent="0.25">
      <c r="A394" s="302"/>
      <c r="C394" s="294"/>
      <c r="G394" s="554" t="s">
        <v>139</v>
      </c>
      <c r="J394" s="635" t="s">
        <v>76</v>
      </c>
      <c r="K394" s="635" t="s">
        <v>76</v>
      </c>
      <c r="L394" s="635" t="s">
        <v>76</v>
      </c>
      <c r="M394" s="635" t="s">
        <v>76</v>
      </c>
      <c r="N394" s="635" t="s">
        <v>76</v>
      </c>
      <c r="O394" s="635" t="s">
        <v>76</v>
      </c>
      <c r="P394" s="635" t="s">
        <v>76</v>
      </c>
      <c r="Q394" s="635" t="s">
        <v>76</v>
      </c>
      <c r="R394" s="635" t="s">
        <v>76</v>
      </c>
      <c r="S394" s="635" t="s">
        <v>76</v>
      </c>
      <c r="T394" s="294"/>
    </row>
    <row r="395" spans="1:20" x14ac:dyDescent="0.25">
      <c r="A395" s="302"/>
      <c r="C395" s="294"/>
      <c r="D395" s="553" t="s">
        <v>239</v>
      </c>
      <c r="G395" s="554" t="s">
        <v>139</v>
      </c>
      <c r="J395" s="60">
        <f t="shared" ref="J395:S395" ca="1" si="191">IF(J365+I272-SUM(J381:J391)-J368&lt;0,-(J365+I272-SUM(J381:J391)-J368),0)</f>
        <v>0</v>
      </c>
      <c r="K395" s="60">
        <f t="shared" ca="1" si="191"/>
        <v>0</v>
      </c>
      <c r="L395" s="60">
        <f t="shared" ca="1" si="191"/>
        <v>0</v>
      </c>
      <c r="M395" s="60">
        <f t="shared" ca="1" si="191"/>
        <v>0</v>
      </c>
      <c r="N395" s="60">
        <f t="shared" ca="1" si="191"/>
        <v>0</v>
      </c>
      <c r="O395" s="60">
        <f t="shared" ca="1" si="191"/>
        <v>0</v>
      </c>
      <c r="P395" s="60">
        <f t="shared" ca="1" si="191"/>
        <v>0</v>
      </c>
      <c r="Q395" s="60">
        <f t="shared" ca="1" si="191"/>
        <v>0</v>
      </c>
      <c r="R395" s="60">
        <f t="shared" ca="1" si="191"/>
        <v>0</v>
      </c>
      <c r="S395" s="60">
        <f t="shared" ca="1" si="191"/>
        <v>0</v>
      </c>
      <c r="T395" s="294"/>
    </row>
    <row r="396" spans="1:20" x14ac:dyDescent="0.25">
      <c r="A396" s="302"/>
      <c r="C396" s="294"/>
      <c r="D396" s="553" t="s">
        <v>240</v>
      </c>
      <c r="G396" s="554" t="s">
        <v>139</v>
      </c>
      <c r="J396" s="60">
        <f t="shared" ref="J396:S396" ca="1" si="192">IF(J395=0,MIN(J591,J365+I272-SUM(J381:J392)-J368),0)</f>
        <v>0</v>
      </c>
      <c r="K396" s="60">
        <f t="shared" ca="1" si="192"/>
        <v>0</v>
      </c>
      <c r="L396" s="60">
        <f t="shared" ca="1" si="192"/>
        <v>0</v>
      </c>
      <c r="M396" s="60">
        <f t="shared" ca="1" si="192"/>
        <v>0</v>
      </c>
      <c r="N396" s="60">
        <f t="shared" ca="1" si="192"/>
        <v>0</v>
      </c>
      <c r="O396" s="60">
        <f t="shared" ca="1" si="192"/>
        <v>0</v>
      </c>
      <c r="P396" s="60">
        <f t="shared" ca="1" si="192"/>
        <v>0</v>
      </c>
      <c r="Q396" s="60">
        <f t="shared" ca="1" si="192"/>
        <v>0</v>
      </c>
      <c r="R396" s="60">
        <f t="shared" ca="1" si="192"/>
        <v>0</v>
      </c>
      <c r="S396" s="60">
        <f t="shared" ca="1" si="192"/>
        <v>0</v>
      </c>
      <c r="T396" s="294"/>
    </row>
    <row r="397" spans="1:20" ht="27" customHeight="1" x14ac:dyDescent="0.25">
      <c r="A397" s="302"/>
      <c r="C397" s="294"/>
      <c r="D397" s="622" t="s">
        <v>241</v>
      </c>
      <c r="E397" s="170"/>
      <c r="F397" s="174"/>
      <c r="G397" s="170"/>
      <c r="H397" s="170"/>
      <c r="I397" s="170"/>
      <c r="J397" s="170"/>
      <c r="K397" s="170"/>
      <c r="L397" s="170"/>
      <c r="M397" s="170"/>
      <c r="N397" s="170"/>
      <c r="O397" s="170"/>
      <c r="P397" s="170"/>
      <c r="Q397" s="170"/>
      <c r="R397" s="170"/>
      <c r="S397" s="213"/>
      <c r="T397" s="294"/>
    </row>
    <row r="398" spans="1:20" x14ac:dyDescent="0.25">
      <c r="A398" s="302"/>
      <c r="C398" s="294"/>
      <c r="I398" s="649" t="s">
        <v>242</v>
      </c>
      <c r="J398" s="166" t="str">
        <f>"Projected Fiscal Years Ending "&amp;H1372</f>
        <v>Projected Fiscal Years Ending December 31,</v>
      </c>
      <c r="K398" s="210"/>
      <c r="L398" s="210"/>
      <c r="M398" s="210"/>
      <c r="N398" s="210"/>
      <c r="O398" s="210"/>
      <c r="P398" s="210"/>
      <c r="Q398" s="210"/>
      <c r="R398" s="210"/>
      <c r="S398" s="210"/>
      <c r="T398" s="294"/>
    </row>
    <row r="399" spans="1:20" x14ac:dyDescent="0.25">
      <c r="A399" s="302"/>
      <c r="C399" s="294"/>
      <c r="I399" s="209">
        <f>I224</f>
        <v>1997</v>
      </c>
      <c r="J399" s="76">
        <f>H1371</f>
        <v>1998</v>
      </c>
      <c r="K399" s="76">
        <f t="shared" ref="K399:S399" si="193">J399+1</f>
        <v>1999</v>
      </c>
      <c r="L399" s="76">
        <f t="shared" si="193"/>
        <v>2000</v>
      </c>
      <c r="M399" s="76">
        <f t="shared" si="193"/>
        <v>2001</v>
      </c>
      <c r="N399" s="76">
        <f t="shared" si="193"/>
        <v>2002</v>
      </c>
      <c r="O399" s="76">
        <f t="shared" si="193"/>
        <v>2003</v>
      </c>
      <c r="P399" s="76">
        <f t="shared" si="193"/>
        <v>2004</v>
      </c>
      <c r="Q399" s="76">
        <f t="shared" si="193"/>
        <v>2005</v>
      </c>
      <c r="R399" s="76">
        <f t="shared" si="193"/>
        <v>2006</v>
      </c>
      <c r="S399" s="181">
        <f t="shared" si="193"/>
        <v>2007</v>
      </c>
      <c r="T399" s="294"/>
    </row>
    <row r="400" spans="1:20" ht="21.75" customHeight="1" x14ac:dyDescent="0.25">
      <c r="A400" s="302"/>
      <c r="C400" s="294"/>
      <c r="D400" s="650" t="s">
        <v>243</v>
      </c>
      <c r="O400" s="1"/>
      <c r="S400" s="41"/>
      <c r="T400" s="294"/>
    </row>
    <row r="401" spans="1:20" x14ac:dyDescent="0.25">
      <c r="A401" s="302"/>
      <c r="C401" s="294"/>
      <c r="D401" s="552" t="s">
        <v>244</v>
      </c>
      <c r="G401" s="554" t="s">
        <v>139</v>
      </c>
      <c r="I401" s="7">
        <f t="shared" ref="I401:S401" si="194">I234</f>
        <v>117</v>
      </c>
      <c r="J401" s="7">
        <f t="shared" ca="1" si="194"/>
        <v>134.55000000000001</v>
      </c>
      <c r="K401" s="7">
        <f t="shared" ca="1" si="194"/>
        <v>154.73249999999999</v>
      </c>
      <c r="L401" s="7">
        <f t="shared" ca="1" si="194"/>
        <v>177.94237499999997</v>
      </c>
      <c r="M401" s="7">
        <f t="shared" ca="1" si="194"/>
        <v>204.63373124999995</v>
      </c>
      <c r="N401" s="7">
        <f t="shared" ca="1" si="194"/>
        <v>235.32879093749992</v>
      </c>
      <c r="O401" s="7">
        <f t="shared" ca="1" si="194"/>
        <v>270.62810957812496</v>
      </c>
      <c r="P401" s="7">
        <f t="shared" ca="1" si="194"/>
        <v>311.22232601484365</v>
      </c>
      <c r="Q401" s="7">
        <f t="shared" ca="1" si="194"/>
        <v>357.90567491707014</v>
      </c>
      <c r="R401" s="7">
        <f t="shared" ca="1" si="194"/>
        <v>411.59152615463069</v>
      </c>
      <c r="S401" s="62">
        <f t="shared" ca="1" si="194"/>
        <v>473.33025507782526</v>
      </c>
      <c r="T401" s="294"/>
    </row>
    <row r="402" spans="1:20" x14ac:dyDescent="0.25">
      <c r="A402" s="302"/>
      <c r="C402" s="294"/>
      <c r="G402" s="554" t="s">
        <v>139</v>
      </c>
      <c r="O402" s="1"/>
      <c r="S402" s="41"/>
      <c r="T402" s="294"/>
    </row>
    <row r="403" spans="1:20" x14ac:dyDescent="0.25">
      <c r="A403" s="302"/>
      <c r="C403" s="294"/>
      <c r="D403" s="552" t="s">
        <v>245</v>
      </c>
      <c r="G403" s="554" t="s">
        <v>139</v>
      </c>
      <c r="I403" s="7">
        <f t="shared" ref="I403:S403" si="195">I401-(I117)</f>
        <v>87</v>
      </c>
      <c r="J403" s="7">
        <f t="shared" ca="1" si="195"/>
        <v>104.55000000000001</v>
      </c>
      <c r="K403" s="7">
        <f t="shared" ca="1" si="195"/>
        <v>124.73249999999999</v>
      </c>
      <c r="L403" s="7">
        <f t="shared" ca="1" si="195"/>
        <v>147.94237499999997</v>
      </c>
      <c r="M403" s="7">
        <f t="shared" ca="1" si="195"/>
        <v>174.63373124999995</v>
      </c>
      <c r="N403" s="7">
        <f t="shared" ca="1" si="195"/>
        <v>205.32879093749992</v>
      </c>
      <c r="O403" s="7">
        <f t="shared" ca="1" si="195"/>
        <v>240.62810957812496</v>
      </c>
      <c r="P403" s="7">
        <f t="shared" ca="1" si="195"/>
        <v>281.22232601484365</v>
      </c>
      <c r="Q403" s="7">
        <f t="shared" ca="1" si="195"/>
        <v>327.90567491707014</v>
      </c>
      <c r="R403" s="7">
        <f t="shared" ca="1" si="195"/>
        <v>381.59152615463069</v>
      </c>
      <c r="S403" s="7">
        <f t="shared" ca="1" si="195"/>
        <v>443.33025507782526</v>
      </c>
      <c r="T403" s="294"/>
    </row>
    <row r="404" spans="1:20" x14ac:dyDescent="0.25">
      <c r="A404" s="302"/>
      <c r="C404" s="294"/>
      <c r="G404" s="554" t="s">
        <v>139</v>
      </c>
      <c r="O404" s="1"/>
      <c r="S404" s="41"/>
      <c r="T404" s="294"/>
    </row>
    <row r="405" spans="1:20" x14ac:dyDescent="0.25">
      <c r="A405" s="302"/>
      <c r="C405" s="294"/>
      <c r="D405" s="552" t="s">
        <v>246</v>
      </c>
      <c r="G405" s="554" t="s">
        <v>139</v>
      </c>
      <c r="O405" s="1"/>
      <c r="S405" s="41"/>
      <c r="T405" s="294"/>
    </row>
    <row r="406" spans="1:20" x14ac:dyDescent="0.25">
      <c r="A406" s="302"/>
      <c r="C406" s="294"/>
      <c r="D406" s="552" t="s">
        <v>247</v>
      </c>
      <c r="G406" s="554" t="s">
        <v>139</v>
      </c>
      <c r="I406" s="593" t="s">
        <v>248</v>
      </c>
      <c r="J406" s="7">
        <f t="shared" ref="J406:S406" ca="1" si="196">J403+J359</f>
        <v>103.80000000000001</v>
      </c>
      <c r="K406" s="7">
        <f t="shared" ca="1" si="196"/>
        <v>123.86999999999999</v>
      </c>
      <c r="L406" s="7">
        <f t="shared" ca="1" si="196"/>
        <v>146.95049999999998</v>
      </c>
      <c r="M406" s="7">
        <f t="shared" ca="1" si="196"/>
        <v>173.49307499999995</v>
      </c>
      <c r="N406" s="7">
        <f t="shared" ca="1" si="196"/>
        <v>204.01703624999993</v>
      </c>
      <c r="O406" s="7">
        <f t="shared" ca="1" si="196"/>
        <v>239.11959168749996</v>
      </c>
      <c r="P406" s="7">
        <f t="shared" ca="1" si="196"/>
        <v>279.48753044062488</v>
      </c>
      <c r="Q406" s="7">
        <f t="shared" ca="1" si="196"/>
        <v>325.91066000671856</v>
      </c>
      <c r="R406" s="7">
        <f t="shared" ca="1" si="196"/>
        <v>379.29725900772638</v>
      </c>
      <c r="S406" s="7">
        <f t="shared" ca="1" si="196"/>
        <v>440.6918478588853</v>
      </c>
      <c r="T406" s="294"/>
    </row>
    <row r="407" spans="1:20" x14ac:dyDescent="0.25">
      <c r="A407" s="302"/>
      <c r="C407" s="294"/>
      <c r="G407" s="554" t="s">
        <v>139</v>
      </c>
      <c r="O407" s="1"/>
      <c r="S407" s="41"/>
      <c r="T407" s="294"/>
    </row>
    <row r="408" spans="1:20" x14ac:dyDescent="0.25">
      <c r="A408" s="302"/>
      <c r="C408" s="294"/>
      <c r="D408" s="553" t="s">
        <v>249</v>
      </c>
      <c r="G408" s="554" t="s">
        <v>139</v>
      </c>
      <c r="I408" s="319">
        <f ca="1">J408</f>
        <v>15</v>
      </c>
      <c r="J408" s="319">
        <f t="array" aca="1" ref="J408" ca="1">SUM(IF(ISNUMBER($C1407:$C1417),$C1407:$C1417,0)*IF(ISNUMBER(J242:J252),J242:J252,0))</f>
        <v>15</v>
      </c>
      <c r="K408" s="319">
        <f t="array" aca="1" ref="K408" ca="1">SUM(IF(ISNUMBER($C1407:$C1417),$C1407:$C1417,0)*IF(ISNUMBER(K242:K252),K242:K252,0))</f>
        <v>15</v>
      </c>
      <c r="L408" s="319">
        <f t="array" aca="1" ref="L408" ca="1">SUM(IF(ISNUMBER($C1407:$C1417),$C1407:$C1417,0)*IF(ISNUMBER(L242:L252),L242:L252,0))</f>
        <v>15</v>
      </c>
      <c r="M408" s="319">
        <f t="array" aca="1" ref="M408" ca="1">SUM(IF(ISNUMBER($C1407:$C1417),$C1407:$C1417,0)*IF(ISNUMBER(M242:M252),M242:M252,0))</f>
        <v>15</v>
      </c>
      <c r="N408" s="319">
        <f t="array" aca="1" ref="N408" ca="1">SUM(IF(ISNUMBER($C1407:$C1417),$C1407:$C1417,0)*IF(ISNUMBER(N242:N252),N242:N252,0))</f>
        <v>15</v>
      </c>
      <c r="O408" s="319">
        <f t="array" aca="1" ref="O408" ca="1">SUM(IF(ISNUMBER($C1407:$C1417),$C1407:$C1417,0)*IF(ISNUMBER(O242:O252),O242:O252,0))</f>
        <v>15</v>
      </c>
      <c r="P408" s="319">
        <f t="array" aca="1" ref="P408" ca="1">SUM(IF(ISNUMBER($C1407:$C1417),$C1407:$C1417,0)*IF(ISNUMBER(P242:P252),P242:P252,0))</f>
        <v>15</v>
      </c>
      <c r="Q408" s="319">
        <f t="array" aca="1" ref="Q408" ca="1">SUM(IF(ISNUMBER($C1407:$C1417),$C1407:$C1417,0)*IF(ISNUMBER(Q242:Q252),Q242:Q252,0))</f>
        <v>15</v>
      </c>
      <c r="R408" s="319">
        <f t="array" aca="1" ref="R408" ca="1">SUM(IF(ISNUMBER($C1407:$C1417),$C1407:$C1417,0)*IF(ISNUMBER(R242:R252),R242:R252,0))</f>
        <v>15</v>
      </c>
      <c r="S408" s="319">
        <f t="array" aca="1" ref="S408" ca="1">SUM(IF(ISNUMBER($C1407:$C1417),$C1407:$C1417,0)*IF(ISNUMBER(S242:S252),S242:S252,0))</f>
        <v>15</v>
      </c>
      <c r="T408" s="294"/>
    </row>
    <row r="409" spans="1:20" x14ac:dyDescent="0.25">
      <c r="A409" s="302"/>
      <c r="C409" s="294"/>
      <c r="D409" s="553" t="s">
        <v>250</v>
      </c>
      <c r="G409" s="554" t="s">
        <v>139</v>
      </c>
      <c r="I409" s="407">
        <f ca="1">J409</f>
        <v>15</v>
      </c>
      <c r="J409" s="5">
        <f t="shared" ref="J409:S409" ca="1" si="197">J253-SUM(J338:J342)</f>
        <v>15</v>
      </c>
      <c r="K409" s="5">
        <f t="shared" ca="1" si="197"/>
        <v>15</v>
      </c>
      <c r="L409" s="5">
        <f t="shared" ca="1" si="197"/>
        <v>15</v>
      </c>
      <c r="M409" s="5">
        <f t="shared" ca="1" si="197"/>
        <v>15</v>
      </c>
      <c r="N409" s="5">
        <f t="shared" ca="1" si="197"/>
        <v>15</v>
      </c>
      <c r="O409" s="5">
        <f t="shared" ca="1" si="197"/>
        <v>15</v>
      </c>
      <c r="P409" s="5">
        <f t="shared" ca="1" si="197"/>
        <v>15</v>
      </c>
      <c r="Q409" s="5">
        <f t="shared" ca="1" si="197"/>
        <v>15</v>
      </c>
      <c r="R409" s="5">
        <f t="shared" ca="1" si="197"/>
        <v>15</v>
      </c>
      <c r="S409" s="60">
        <f t="shared" ca="1" si="197"/>
        <v>15</v>
      </c>
      <c r="T409" s="294"/>
    </row>
    <row r="410" spans="1:20" x14ac:dyDescent="0.25">
      <c r="A410" s="302"/>
      <c r="C410" s="294"/>
      <c r="D410" s="553" t="s">
        <v>251</v>
      </c>
      <c r="G410" s="554" t="s">
        <v>139</v>
      </c>
      <c r="I410" s="407">
        <f ca="1">J410</f>
        <v>15</v>
      </c>
      <c r="J410" s="5">
        <f t="shared" ref="J410:S410" ca="1" si="198">J253</f>
        <v>15</v>
      </c>
      <c r="K410" s="5">
        <f t="shared" ca="1" si="198"/>
        <v>15</v>
      </c>
      <c r="L410" s="5">
        <f t="shared" ca="1" si="198"/>
        <v>15</v>
      </c>
      <c r="M410" s="5">
        <f t="shared" ca="1" si="198"/>
        <v>15</v>
      </c>
      <c r="N410" s="5">
        <f t="shared" ca="1" si="198"/>
        <v>15</v>
      </c>
      <c r="O410" s="5">
        <f t="shared" ca="1" si="198"/>
        <v>15</v>
      </c>
      <c r="P410" s="5">
        <f t="shared" ca="1" si="198"/>
        <v>15</v>
      </c>
      <c r="Q410" s="5">
        <f t="shared" ca="1" si="198"/>
        <v>15</v>
      </c>
      <c r="R410" s="5">
        <f t="shared" ca="1" si="198"/>
        <v>15</v>
      </c>
      <c r="S410" s="60">
        <f t="shared" ca="1" si="198"/>
        <v>15</v>
      </c>
      <c r="T410" s="294"/>
    </row>
    <row r="411" spans="1:20" x14ac:dyDescent="0.25">
      <c r="A411" s="302"/>
      <c r="C411" s="294"/>
      <c r="D411" s="553" t="s">
        <v>252</v>
      </c>
      <c r="G411" s="554" t="s">
        <v>139</v>
      </c>
      <c r="I411" s="407">
        <f ca="1">J411</f>
        <v>15</v>
      </c>
      <c r="J411" s="5">
        <f t="shared" ref="J411:S411" ca="1" si="199">J253+SUM(J263:J265)</f>
        <v>15</v>
      </c>
      <c r="K411" s="5">
        <f t="shared" ca="1" si="199"/>
        <v>15</v>
      </c>
      <c r="L411" s="5">
        <f t="shared" ca="1" si="199"/>
        <v>15</v>
      </c>
      <c r="M411" s="5">
        <f t="shared" ca="1" si="199"/>
        <v>15</v>
      </c>
      <c r="N411" s="5">
        <f t="shared" ca="1" si="199"/>
        <v>15</v>
      </c>
      <c r="O411" s="5">
        <f t="shared" ca="1" si="199"/>
        <v>15</v>
      </c>
      <c r="P411" s="5">
        <f t="shared" ca="1" si="199"/>
        <v>15</v>
      </c>
      <c r="Q411" s="5">
        <f t="shared" ca="1" si="199"/>
        <v>15</v>
      </c>
      <c r="R411" s="5">
        <f t="shared" ca="1" si="199"/>
        <v>15</v>
      </c>
      <c r="S411" s="60">
        <f t="shared" ca="1" si="199"/>
        <v>15</v>
      </c>
      <c r="T411" s="294"/>
    </row>
    <row r="412" spans="1:20" x14ac:dyDescent="0.25">
      <c r="A412" s="302"/>
      <c r="C412" s="294"/>
      <c r="D412" s="18"/>
      <c r="E412" s="18"/>
      <c r="F412" s="18"/>
      <c r="G412" s="651" t="s">
        <v>139</v>
      </c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294"/>
    </row>
    <row r="413" spans="1:20" x14ac:dyDescent="0.25">
      <c r="A413" s="302"/>
      <c r="C413" s="294"/>
      <c r="G413" s="554" t="s">
        <v>139</v>
      </c>
      <c r="O413" s="1"/>
      <c r="S413" s="41"/>
      <c r="T413" s="294"/>
    </row>
    <row r="414" spans="1:20" x14ac:dyDescent="0.25">
      <c r="A414" s="302"/>
      <c r="C414" s="294"/>
      <c r="D414" s="638" t="s">
        <v>253</v>
      </c>
      <c r="O414" s="1"/>
      <c r="S414" s="41"/>
      <c r="T414" s="294"/>
    </row>
    <row r="415" spans="1:20" x14ac:dyDescent="0.25">
      <c r="A415" s="302"/>
      <c r="C415" s="294"/>
      <c r="D415" s="553" t="s">
        <v>249</v>
      </c>
      <c r="G415" s="554" t="s">
        <v>139</v>
      </c>
      <c r="I415" s="26">
        <f t="shared" ref="I415:S415" ca="1" si="200">IF((I408)&lt;=0,"NA",(I401)/((I408)))</f>
        <v>7.8</v>
      </c>
      <c r="J415" s="26">
        <f t="shared" ca="1" si="200"/>
        <v>8.9700000000000006</v>
      </c>
      <c r="K415" s="26">
        <f t="shared" ca="1" si="200"/>
        <v>10.315499999999998</v>
      </c>
      <c r="L415" s="26">
        <f t="shared" ca="1" si="200"/>
        <v>11.862824999999997</v>
      </c>
      <c r="M415" s="26">
        <f t="shared" ca="1" si="200"/>
        <v>13.642248749999997</v>
      </c>
      <c r="N415" s="26">
        <f t="shared" ca="1" si="200"/>
        <v>15.688586062499995</v>
      </c>
      <c r="O415" s="26">
        <f t="shared" ca="1" si="200"/>
        <v>18.041873971874999</v>
      </c>
      <c r="P415" s="26">
        <f t="shared" ca="1" si="200"/>
        <v>20.748155067656242</v>
      </c>
      <c r="Q415" s="26">
        <f t="shared" ca="1" si="200"/>
        <v>23.860378327804675</v>
      </c>
      <c r="R415" s="26">
        <f t="shared" ca="1" si="200"/>
        <v>27.439435076975379</v>
      </c>
      <c r="S415" s="509">
        <f t="shared" ca="1" si="200"/>
        <v>31.555350338521684</v>
      </c>
      <c r="T415" s="294"/>
    </row>
    <row r="416" spans="1:20" x14ac:dyDescent="0.25">
      <c r="A416" s="302"/>
      <c r="C416" s="294"/>
      <c r="D416" s="553" t="s">
        <v>250</v>
      </c>
      <c r="G416" s="554" t="s">
        <v>139</v>
      </c>
      <c r="I416" s="26">
        <f t="shared" ref="I416:S416" ca="1" si="201">IF(I409&lt;=0,"NA",(I401)/(I409))</f>
        <v>7.8</v>
      </c>
      <c r="J416" s="26">
        <f t="shared" ca="1" si="201"/>
        <v>8.9700000000000006</v>
      </c>
      <c r="K416" s="26">
        <f t="shared" ca="1" si="201"/>
        <v>10.315499999999998</v>
      </c>
      <c r="L416" s="26">
        <f t="shared" ca="1" si="201"/>
        <v>11.862824999999997</v>
      </c>
      <c r="M416" s="26">
        <f t="shared" ca="1" si="201"/>
        <v>13.642248749999997</v>
      </c>
      <c r="N416" s="26">
        <f t="shared" ca="1" si="201"/>
        <v>15.688586062499995</v>
      </c>
      <c r="O416" s="26">
        <f t="shared" ca="1" si="201"/>
        <v>18.041873971874999</v>
      </c>
      <c r="P416" s="26">
        <f t="shared" ca="1" si="201"/>
        <v>20.748155067656242</v>
      </c>
      <c r="Q416" s="26">
        <f t="shared" ca="1" si="201"/>
        <v>23.860378327804675</v>
      </c>
      <c r="R416" s="26">
        <f t="shared" ca="1" si="201"/>
        <v>27.439435076975379</v>
      </c>
      <c r="S416" s="26">
        <f t="shared" ca="1" si="201"/>
        <v>31.555350338521684</v>
      </c>
      <c r="T416" s="294"/>
    </row>
    <row r="417" spans="1:20" x14ac:dyDescent="0.25">
      <c r="A417" s="302"/>
      <c r="C417" s="294"/>
      <c r="D417" s="553" t="s">
        <v>251</v>
      </c>
      <c r="G417" s="554" t="s">
        <v>139</v>
      </c>
      <c r="I417" s="26">
        <f t="shared" ref="I417:S417" ca="1" si="202">IF(I410&lt;=0,"NA",(I401)/(I410))</f>
        <v>7.8</v>
      </c>
      <c r="J417" s="26">
        <f t="shared" ca="1" si="202"/>
        <v>8.9700000000000006</v>
      </c>
      <c r="K417" s="26">
        <f t="shared" ca="1" si="202"/>
        <v>10.315499999999998</v>
      </c>
      <c r="L417" s="26">
        <f t="shared" ca="1" si="202"/>
        <v>11.862824999999997</v>
      </c>
      <c r="M417" s="26">
        <f t="shared" ca="1" si="202"/>
        <v>13.642248749999997</v>
      </c>
      <c r="N417" s="26">
        <f t="shared" ca="1" si="202"/>
        <v>15.688586062499995</v>
      </c>
      <c r="O417" s="26">
        <f t="shared" ca="1" si="202"/>
        <v>18.041873971874999</v>
      </c>
      <c r="P417" s="26">
        <f t="shared" ca="1" si="202"/>
        <v>20.748155067656242</v>
      </c>
      <c r="Q417" s="26">
        <f t="shared" ca="1" si="202"/>
        <v>23.860378327804675</v>
      </c>
      <c r="R417" s="26">
        <f t="shared" ca="1" si="202"/>
        <v>27.439435076975379</v>
      </c>
      <c r="S417" s="26">
        <f t="shared" ca="1" si="202"/>
        <v>31.555350338521684</v>
      </c>
      <c r="T417" s="294"/>
    </row>
    <row r="418" spans="1:20" x14ac:dyDescent="0.25">
      <c r="A418" s="302"/>
      <c r="C418" s="294"/>
      <c r="D418" s="553" t="s">
        <v>252</v>
      </c>
      <c r="G418" s="554" t="s">
        <v>139</v>
      </c>
      <c r="I418" s="26">
        <f t="shared" ref="I418:S418" ca="1" si="203">IF(I411&lt;=0,"NA",(I401)/(I411))</f>
        <v>7.8</v>
      </c>
      <c r="J418" s="26">
        <f t="shared" ca="1" si="203"/>
        <v>8.9700000000000006</v>
      </c>
      <c r="K418" s="26">
        <f t="shared" ca="1" si="203"/>
        <v>10.315499999999998</v>
      </c>
      <c r="L418" s="26">
        <f t="shared" ca="1" si="203"/>
        <v>11.862824999999997</v>
      </c>
      <c r="M418" s="26">
        <f t="shared" ca="1" si="203"/>
        <v>13.642248749999997</v>
      </c>
      <c r="N418" s="26">
        <f t="shared" ca="1" si="203"/>
        <v>15.688586062499995</v>
      </c>
      <c r="O418" s="26">
        <f t="shared" ca="1" si="203"/>
        <v>18.041873971874999</v>
      </c>
      <c r="P418" s="26">
        <f t="shared" ca="1" si="203"/>
        <v>20.748155067656242</v>
      </c>
      <c r="Q418" s="26">
        <f t="shared" ca="1" si="203"/>
        <v>23.860378327804675</v>
      </c>
      <c r="R418" s="26">
        <f t="shared" ca="1" si="203"/>
        <v>27.439435076975379</v>
      </c>
      <c r="S418" s="26">
        <f t="shared" ca="1" si="203"/>
        <v>31.555350338521684</v>
      </c>
      <c r="T418" s="294"/>
    </row>
    <row r="419" spans="1:20" x14ac:dyDescent="0.25">
      <c r="A419" s="302"/>
      <c r="C419" s="294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294"/>
    </row>
    <row r="420" spans="1:20" x14ac:dyDescent="0.25">
      <c r="A420" s="302"/>
      <c r="C420" s="294"/>
      <c r="G420" s="554" t="s">
        <v>139</v>
      </c>
      <c r="O420" s="1"/>
      <c r="S420" s="41"/>
      <c r="T420" s="294"/>
    </row>
    <row r="421" spans="1:20" x14ac:dyDescent="0.25">
      <c r="A421" s="302"/>
      <c r="C421" s="294"/>
      <c r="D421" s="638" t="s">
        <v>254</v>
      </c>
      <c r="G421" s="554" t="s">
        <v>139</v>
      </c>
      <c r="O421" s="1"/>
      <c r="S421" s="41"/>
      <c r="T421" s="294"/>
    </row>
    <row r="422" spans="1:20" x14ac:dyDescent="0.25">
      <c r="A422" s="302"/>
      <c r="C422" s="294"/>
      <c r="D422" s="553" t="s">
        <v>249</v>
      </c>
      <c r="G422" s="554" t="s">
        <v>139</v>
      </c>
      <c r="I422" s="26">
        <f t="shared" ref="I422:S422" ca="1" si="204">IF((I408)&lt;=0,"NA",(I403)/((I408)))</f>
        <v>5.8</v>
      </c>
      <c r="J422" s="26">
        <f t="shared" ca="1" si="204"/>
        <v>6.9700000000000006</v>
      </c>
      <c r="K422" s="26">
        <f t="shared" ca="1" si="204"/>
        <v>8.3154999999999983</v>
      </c>
      <c r="L422" s="26">
        <f t="shared" ca="1" si="204"/>
        <v>9.8628249999999973</v>
      </c>
      <c r="M422" s="26">
        <f t="shared" ca="1" si="204"/>
        <v>11.642248749999997</v>
      </c>
      <c r="N422" s="26">
        <f t="shared" ca="1" si="204"/>
        <v>13.688586062499995</v>
      </c>
      <c r="O422" s="26">
        <f t="shared" ca="1" si="204"/>
        <v>16.041873971874999</v>
      </c>
      <c r="P422" s="26">
        <f t="shared" ca="1" si="204"/>
        <v>18.748155067656242</v>
      </c>
      <c r="Q422" s="26">
        <f t="shared" ca="1" si="204"/>
        <v>21.860378327804675</v>
      </c>
      <c r="R422" s="26">
        <f t="shared" ca="1" si="204"/>
        <v>25.439435076975379</v>
      </c>
      <c r="S422" s="509">
        <f t="shared" ca="1" si="204"/>
        <v>29.555350338521684</v>
      </c>
      <c r="T422" s="294"/>
    </row>
    <row r="423" spans="1:20" x14ac:dyDescent="0.25">
      <c r="A423" s="302"/>
      <c r="C423" s="294"/>
      <c r="D423" s="553" t="s">
        <v>250</v>
      </c>
      <c r="G423" s="554" t="s">
        <v>139</v>
      </c>
      <c r="I423" s="26">
        <f t="shared" ref="I423:S423" ca="1" si="205">IF(I409&lt;=0,"NA",(I403)/(I409))</f>
        <v>5.8</v>
      </c>
      <c r="J423" s="26">
        <f t="shared" ca="1" si="205"/>
        <v>6.9700000000000006</v>
      </c>
      <c r="K423" s="26">
        <f t="shared" ca="1" si="205"/>
        <v>8.3154999999999983</v>
      </c>
      <c r="L423" s="26">
        <f t="shared" ca="1" si="205"/>
        <v>9.8628249999999973</v>
      </c>
      <c r="M423" s="26">
        <f t="shared" ca="1" si="205"/>
        <v>11.642248749999997</v>
      </c>
      <c r="N423" s="26">
        <f t="shared" ca="1" si="205"/>
        <v>13.688586062499995</v>
      </c>
      <c r="O423" s="26">
        <f t="shared" ca="1" si="205"/>
        <v>16.041873971874999</v>
      </c>
      <c r="P423" s="26">
        <f t="shared" ca="1" si="205"/>
        <v>18.748155067656242</v>
      </c>
      <c r="Q423" s="26">
        <f t="shared" ca="1" si="205"/>
        <v>21.860378327804675</v>
      </c>
      <c r="R423" s="26">
        <f t="shared" ca="1" si="205"/>
        <v>25.439435076975379</v>
      </c>
      <c r="S423" s="26">
        <f t="shared" ca="1" si="205"/>
        <v>29.555350338521684</v>
      </c>
      <c r="T423" s="294"/>
    </row>
    <row r="424" spans="1:20" x14ac:dyDescent="0.25">
      <c r="A424" s="302"/>
      <c r="C424" s="294"/>
      <c r="D424" s="553" t="s">
        <v>251</v>
      </c>
      <c r="G424" s="554" t="s">
        <v>139</v>
      </c>
      <c r="I424" s="26">
        <f t="shared" ref="I424:S424" ca="1" si="206">IF(I410&lt;=0,"NA",(I403)/(I410))</f>
        <v>5.8</v>
      </c>
      <c r="J424" s="26">
        <f t="shared" ca="1" si="206"/>
        <v>6.9700000000000006</v>
      </c>
      <c r="K424" s="26">
        <f t="shared" ca="1" si="206"/>
        <v>8.3154999999999983</v>
      </c>
      <c r="L424" s="26">
        <f t="shared" ca="1" si="206"/>
        <v>9.8628249999999973</v>
      </c>
      <c r="M424" s="26">
        <f t="shared" ca="1" si="206"/>
        <v>11.642248749999997</v>
      </c>
      <c r="N424" s="26">
        <f t="shared" ca="1" si="206"/>
        <v>13.688586062499995</v>
      </c>
      <c r="O424" s="26">
        <f t="shared" ca="1" si="206"/>
        <v>16.041873971874999</v>
      </c>
      <c r="P424" s="26">
        <f t="shared" ca="1" si="206"/>
        <v>18.748155067656242</v>
      </c>
      <c r="Q424" s="26">
        <f t="shared" ca="1" si="206"/>
        <v>21.860378327804675</v>
      </c>
      <c r="R424" s="26">
        <f t="shared" ca="1" si="206"/>
        <v>25.439435076975379</v>
      </c>
      <c r="S424" s="26">
        <f t="shared" ca="1" si="206"/>
        <v>29.555350338521684</v>
      </c>
      <c r="T424" s="294"/>
    </row>
    <row r="425" spans="1:20" x14ac:dyDescent="0.25">
      <c r="A425" s="302"/>
      <c r="C425" s="294"/>
      <c r="D425" s="553" t="s">
        <v>252</v>
      </c>
      <c r="G425" s="554" t="s">
        <v>139</v>
      </c>
      <c r="I425" s="26">
        <f t="shared" ref="I425:S425" ca="1" si="207">IF(I411&lt;=0,"NA",(I403)/(I411))</f>
        <v>5.8</v>
      </c>
      <c r="J425" s="26">
        <f t="shared" ca="1" si="207"/>
        <v>6.9700000000000006</v>
      </c>
      <c r="K425" s="26">
        <f t="shared" ca="1" si="207"/>
        <v>8.3154999999999983</v>
      </c>
      <c r="L425" s="26">
        <f t="shared" ca="1" si="207"/>
        <v>9.8628249999999973</v>
      </c>
      <c r="M425" s="26">
        <f t="shared" ca="1" si="207"/>
        <v>11.642248749999997</v>
      </c>
      <c r="N425" s="26">
        <f t="shared" ca="1" si="207"/>
        <v>13.688586062499995</v>
      </c>
      <c r="O425" s="26">
        <f t="shared" ca="1" si="207"/>
        <v>16.041873971874999</v>
      </c>
      <c r="P425" s="26">
        <f t="shared" ca="1" si="207"/>
        <v>18.748155067656242</v>
      </c>
      <c r="Q425" s="26">
        <f t="shared" ca="1" si="207"/>
        <v>21.860378327804675</v>
      </c>
      <c r="R425" s="26">
        <f t="shared" ca="1" si="207"/>
        <v>25.439435076975379</v>
      </c>
      <c r="S425" s="26">
        <f t="shared" ca="1" si="207"/>
        <v>29.555350338521684</v>
      </c>
      <c r="T425" s="294"/>
    </row>
    <row r="426" spans="1:20" x14ac:dyDescent="0.25">
      <c r="A426" s="302"/>
      <c r="C426" s="294"/>
      <c r="D426" s="18"/>
      <c r="E426" s="18"/>
      <c r="F426" s="18"/>
      <c r="G426" s="651" t="s">
        <v>139</v>
      </c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294"/>
    </row>
    <row r="427" spans="1:20" x14ac:dyDescent="0.25">
      <c r="A427" s="302"/>
      <c r="C427" s="294"/>
      <c r="G427" s="554" t="s">
        <v>139</v>
      </c>
      <c r="O427" s="1"/>
      <c r="S427" s="41"/>
      <c r="T427" s="294"/>
    </row>
    <row r="428" spans="1:20" x14ac:dyDescent="0.25">
      <c r="A428" s="302"/>
      <c r="C428" s="294"/>
      <c r="D428" s="638" t="s">
        <v>255</v>
      </c>
      <c r="G428" s="554" t="s">
        <v>139</v>
      </c>
      <c r="O428" s="1"/>
      <c r="S428" s="41"/>
      <c r="T428" s="294"/>
    </row>
    <row r="429" spans="1:20" x14ac:dyDescent="0.25">
      <c r="A429" s="302"/>
      <c r="C429" s="294"/>
      <c r="D429" s="553" t="s">
        <v>249</v>
      </c>
      <c r="G429" s="554" t="s">
        <v>139</v>
      </c>
      <c r="I429" s="652" t="s">
        <v>256</v>
      </c>
      <c r="J429" s="26">
        <f t="shared" ref="J429:S429" ca="1" si="208">IF((J408)&lt;=0,"NA",(J406)/((J408)))</f>
        <v>6.9200000000000008</v>
      </c>
      <c r="K429" s="26">
        <f t="shared" ca="1" si="208"/>
        <v>8.2579999999999991</v>
      </c>
      <c r="L429" s="26">
        <f t="shared" ca="1" si="208"/>
        <v>9.7966999999999977</v>
      </c>
      <c r="M429" s="26">
        <f t="shared" ca="1" si="208"/>
        <v>11.566204999999997</v>
      </c>
      <c r="N429" s="26">
        <f t="shared" ca="1" si="208"/>
        <v>13.601135749999996</v>
      </c>
      <c r="O429" s="26">
        <f t="shared" ca="1" si="208"/>
        <v>15.941306112499998</v>
      </c>
      <c r="P429" s="26">
        <f t="shared" ca="1" si="208"/>
        <v>18.632502029374994</v>
      </c>
      <c r="Q429" s="26">
        <f t="shared" ca="1" si="208"/>
        <v>21.727377333781238</v>
      </c>
      <c r="R429" s="26">
        <f t="shared" ca="1" si="208"/>
        <v>25.286483933848427</v>
      </c>
      <c r="S429" s="509">
        <f t="shared" ca="1" si="208"/>
        <v>29.379456523925686</v>
      </c>
      <c r="T429" s="294"/>
    </row>
    <row r="430" spans="1:20" x14ac:dyDescent="0.25">
      <c r="A430" s="302"/>
      <c r="C430" s="294"/>
      <c r="D430" s="553" t="s">
        <v>250</v>
      </c>
      <c r="G430" s="554" t="s">
        <v>139</v>
      </c>
      <c r="I430" s="652" t="s">
        <v>256</v>
      </c>
      <c r="J430" s="26">
        <f t="shared" ref="J430:S430" ca="1" si="209">IF(+J409&lt;=0,"NA",(J406)/(J409))</f>
        <v>6.9200000000000008</v>
      </c>
      <c r="K430" s="26">
        <f t="shared" ca="1" si="209"/>
        <v>8.2579999999999991</v>
      </c>
      <c r="L430" s="26">
        <f t="shared" ca="1" si="209"/>
        <v>9.7966999999999977</v>
      </c>
      <c r="M430" s="26">
        <f t="shared" ca="1" si="209"/>
        <v>11.566204999999997</v>
      </c>
      <c r="N430" s="26">
        <f t="shared" ca="1" si="209"/>
        <v>13.601135749999996</v>
      </c>
      <c r="O430" s="26">
        <f t="shared" ca="1" si="209"/>
        <v>15.941306112499998</v>
      </c>
      <c r="P430" s="26">
        <f t="shared" ca="1" si="209"/>
        <v>18.632502029374994</v>
      </c>
      <c r="Q430" s="26">
        <f t="shared" ca="1" si="209"/>
        <v>21.727377333781238</v>
      </c>
      <c r="R430" s="26">
        <f t="shared" ca="1" si="209"/>
        <v>25.286483933848427</v>
      </c>
      <c r="S430" s="26">
        <f t="shared" ca="1" si="209"/>
        <v>29.379456523925686</v>
      </c>
      <c r="T430" s="294"/>
    </row>
    <row r="431" spans="1:20" x14ac:dyDescent="0.25">
      <c r="A431" s="302"/>
      <c r="C431" s="294"/>
      <c r="D431" s="553" t="s">
        <v>251</v>
      </c>
      <c r="G431" s="554" t="s">
        <v>139</v>
      </c>
      <c r="I431" s="652" t="s">
        <v>256</v>
      </c>
      <c r="J431" s="26">
        <f t="shared" ref="J431:S431" ca="1" si="210">IF(+J410&lt;=0,"NA",(J406)/(J410))</f>
        <v>6.9200000000000008</v>
      </c>
      <c r="K431" s="26">
        <f t="shared" ca="1" si="210"/>
        <v>8.2579999999999991</v>
      </c>
      <c r="L431" s="26">
        <f t="shared" ca="1" si="210"/>
        <v>9.7966999999999977</v>
      </c>
      <c r="M431" s="26">
        <f t="shared" ca="1" si="210"/>
        <v>11.566204999999997</v>
      </c>
      <c r="N431" s="26">
        <f t="shared" ca="1" si="210"/>
        <v>13.601135749999996</v>
      </c>
      <c r="O431" s="26">
        <f t="shared" ca="1" si="210"/>
        <v>15.941306112499998</v>
      </c>
      <c r="P431" s="26">
        <f t="shared" ca="1" si="210"/>
        <v>18.632502029374994</v>
      </c>
      <c r="Q431" s="26">
        <f t="shared" ca="1" si="210"/>
        <v>21.727377333781238</v>
      </c>
      <c r="R431" s="26">
        <f t="shared" ca="1" si="210"/>
        <v>25.286483933848427</v>
      </c>
      <c r="S431" s="26">
        <f t="shared" ca="1" si="210"/>
        <v>29.379456523925686</v>
      </c>
      <c r="T431" s="294"/>
    </row>
    <row r="432" spans="1:20" x14ac:dyDescent="0.25">
      <c r="A432" s="302"/>
      <c r="C432" s="294"/>
      <c r="D432" s="553" t="s">
        <v>252</v>
      </c>
      <c r="G432" s="554" t="s">
        <v>139</v>
      </c>
      <c r="I432" s="652" t="s">
        <v>256</v>
      </c>
      <c r="J432" s="26">
        <f t="shared" ref="J432:S432" ca="1" si="211">IF(J411&lt;=0,"NA",(J406)/(J411))</f>
        <v>6.9200000000000008</v>
      </c>
      <c r="K432" s="26">
        <f t="shared" ca="1" si="211"/>
        <v>8.2579999999999991</v>
      </c>
      <c r="L432" s="26">
        <f t="shared" ca="1" si="211"/>
        <v>9.7966999999999977</v>
      </c>
      <c r="M432" s="26">
        <f t="shared" ca="1" si="211"/>
        <v>11.566204999999997</v>
      </c>
      <c r="N432" s="26">
        <f t="shared" ca="1" si="211"/>
        <v>13.601135749999996</v>
      </c>
      <c r="O432" s="26">
        <f t="shared" ca="1" si="211"/>
        <v>15.941306112499998</v>
      </c>
      <c r="P432" s="26">
        <f t="shared" ca="1" si="211"/>
        <v>18.632502029374994</v>
      </c>
      <c r="Q432" s="26">
        <f t="shared" ca="1" si="211"/>
        <v>21.727377333781238</v>
      </c>
      <c r="R432" s="26">
        <f t="shared" ca="1" si="211"/>
        <v>25.286483933848427</v>
      </c>
      <c r="S432" s="26">
        <f t="shared" ca="1" si="211"/>
        <v>29.379456523925686</v>
      </c>
      <c r="T432" s="294"/>
    </row>
    <row r="433" spans="1:20" x14ac:dyDescent="0.25">
      <c r="A433" s="302"/>
      <c r="C433" s="294"/>
      <c r="G433" s="554" t="s">
        <v>139</v>
      </c>
      <c r="O433" s="1"/>
      <c r="S433" s="41"/>
      <c r="T433" s="294"/>
    </row>
    <row r="434" spans="1:20" x14ac:dyDescent="0.25">
      <c r="A434" s="302"/>
      <c r="C434" s="294"/>
      <c r="O434" s="1"/>
      <c r="S434" s="41"/>
      <c r="T434" s="294"/>
    </row>
    <row r="435" spans="1:20" x14ac:dyDescent="0.25">
      <c r="A435" s="302"/>
      <c r="C435" s="294"/>
      <c r="O435" s="1"/>
      <c r="S435" s="41"/>
      <c r="T435" s="294"/>
    </row>
    <row r="436" spans="1:20" x14ac:dyDescent="0.25">
      <c r="A436" s="302"/>
      <c r="C436" s="294"/>
      <c r="G436" s="554" t="s">
        <v>139</v>
      </c>
      <c r="O436" s="1"/>
      <c r="S436" s="41"/>
      <c r="T436" s="294"/>
    </row>
    <row r="437" spans="1:20" x14ac:dyDescent="0.25">
      <c r="A437" s="302"/>
      <c r="C437" s="294"/>
      <c r="G437" s="554" t="s">
        <v>139</v>
      </c>
      <c r="O437" s="1"/>
      <c r="S437" s="41"/>
      <c r="T437" s="294"/>
    </row>
    <row r="438" spans="1:20" x14ac:dyDescent="0.25">
      <c r="A438" s="302"/>
      <c r="C438" s="294"/>
      <c r="D438" s="70"/>
      <c r="E438" s="2"/>
      <c r="F438" s="2"/>
      <c r="G438" s="554" t="s">
        <v>139</v>
      </c>
      <c r="I438" s="2"/>
      <c r="O438" s="1"/>
      <c r="S438" s="41"/>
      <c r="T438" s="294"/>
    </row>
    <row r="439" spans="1:20" x14ac:dyDescent="0.25">
      <c r="A439" s="302"/>
      <c r="C439" s="294"/>
      <c r="G439" s="554" t="s">
        <v>139</v>
      </c>
      <c r="O439" s="1"/>
      <c r="S439" s="41"/>
      <c r="T439" s="294"/>
    </row>
    <row r="440" spans="1:20" x14ac:dyDescent="0.25">
      <c r="A440" s="302"/>
      <c r="C440" s="294"/>
      <c r="D440"/>
      <c r="G440" s="554" t="s">
        <v>139</v>
      </c>
      <c r="O440" s="1"/>
      <c r="S440" s="41"/>
      <c r="T440" s="294"/>
    </row>
    <row r="441" spans="1:20" ht="16.5" customHeight="1" x14ac:dyDescent="0.25">
      <c r="A441" s="302"/>
      <c r="B441" s="639" t="s">
        <v>257</v>
      </c>
      <c r="C441" s="413"/>
      <c r="D441"/>
      <c r="O441" s="1"/>
      <c r="S441" s="41"/>
      <c r="T441" s="294"/>
    </row>
    <row r="442" spans="1:20" x14ac:dyDescent="0.25">
      <c r="A442" s="302"/>
      <c r="C442" s="294"/>
      <c r="D442" s="552"/>
      <c r="O442" s="1"/>
      <c r="S442" s="41"/>
      <c r="T442" s="294"/>
    </row>
    <row r="443" spans="1:20" x14ac:dyDescent="0.25">
      <c r="A443" s="302"/>
      <c r="C443" s="294"/>
      <c r="D443" s="899" t="str">
        <f>"Note: Senior Debt includes: Existing Debt, Bank Debt"&amp;IF(I1412=0,"",", "&amp;D1412)&amp;IF(I1413=0,"",", "&amp;D1413)&amp;IF(I1414=0,"",", "&amp;D1414)&amp;IF(I1415=0,"",", "&amp;D1415)&amp;IF(I1416=0,"",", "&amp;D1416)&amp;"."</f>
        <v>Note: Senior Debt includes: Existing Debt, Bank Debt.</v>
      </c>
      <c r="O443" s="1"/>
      <c r="S443" s="41"/>
      <c r="T443" s="294"/>
    </row>
    <row r="444" spans="1:20" x14ac:dyDescent="0.25">
      <c r="A444" s="302"/>
      <c r="C444" s="294"/>
      <c r="D444" s="552"/>
      <c r="O444" s="1"/>
      <c r="S444" s="41"/>
      <c r="T444" s="294"/>
    </row>
    <row r="445" spans="1:20" ht="29.25" customHeight="1" x14ac:dyDescent="0.25">
      <c r="A445" s="302"/>
      <c r="B445" s="4"/>
      <c r="C445" s="299"/>
      <c r="D445" s="653" t="s">
        <v>258</v>
      </c>
      <c r="E445" s="170"/>
      <c r="F445" s="170"/>
      <c r="G445" s="170"/>
      <c r="H445" s="170"/>
      <c r="I445" s="170"/>
      <c r="J445" s="170"/>
      <c r="K445" s="170"/>
      <c r="L445" s="170"/>
      <c r="M445" s="170"/>
      <c r="N445" s="170"/>
      <c r="O445" s="170"/>
      <c r="P445" s="170"/>
      <c r="Q445" s="170"/>
      <c r="R445" s="170"/>
      <c r="S445" s="213"/>
      <c r="T445" s="294"/>
    </row>
    <row r="446" spans="1:20" x14ac:dyDescent="0.25">
      <c r="A446" s="302"/>
      <c r="C446" s="294"/>
      <c r="O446" s="1"/>
      <c r="S446" s="41"/>
      <c r="T446" s="294"/>
    </row>
    <row r="447" spans="1:20" x14ac:dyDescent="0.25">
      <c r="A447" s="302"/>
      <c r="C447" s="294"/>
      <c r="I447" s="649" t="s">
        <v>242</v>
      </c>
      <c r="J447" s="158" t="str">
        <f>"Projected Fiscal Years Ending "&amp;H1372</f>
        <v>Projected Fiscal Years Ending December 31,</v>
      </c>
      <c r="K447" s="165"/>
      <c r="L447" s="165"/>
      <c r="M447" s="165"/>
      <c r="N447" s="165"/>
      <c r="O447" s="165"/>
      <c r="P447" s="165"/>
      <c r="Q447" s="165"/>
      <c r="R447" s="165"/>
      <c r="S447" s="165"/>
      <c r="T447" s="294"/>
    </row>
    <row r="448" spans="1:20" x14ac:dyDescent="0.25">
      <c r="A448" s="302"/>
      <c r="C448" s="294"/>
      <c r="D448" s="3"/>
      <c r="I448" s="209">
        <f>I399</f>
        <v>1997</v>
      </c>
      <c r="J448" s="76">
        <f>H1371</f>
        <v>1998</v>
      </c>
      <c r="K448" s="76">
        <f t="shared" ref="K448:S448" si="212">J448+1</f>
        <v>1999</v>
      </c>
      <c r="L448" s="76">
        <f t="shared" si="212"/>
        <v>2000</v>
      </c>
      <c r="M448" s="76">
        <f t="shared" si="212"/>
        <v>2001</v>
      </c>
      <c r="N448" s="76">
        <f t="shared" si="212"/>
        <v>2002</v>
      </c>
      <c r="O448" s="76">
        <f t="shared" si="212"/>
        <v>2003</v>
      </c>
      <c r="P448" s="76">
        <f t="shared" si="212"/>
        <v>2004</v>
      </c>
      <c r="Q448" s="76">
        <f t="shared" si="212"/>
        <v>2005</v>
      </c>
      <c r="R448" s="76">
        <f t="shared" si="212"/>
        <v>2006</v>
      </c>
      <c r="S448" s="181">
        <f t="shared" si="212"/>
        <v>2007</v>
      </c>
      <c r="T448" s="294"/>
    </row>
    <row r="449" spans="1:20" x14ac:dyDescent="0.25">
      <c r="A449" s="302"/>
      <c r="C449" s="294"/>
      <c r="O449" s="1"/>
      <c r="S449" s="41"/>
      <c r="T449" s="294"/>
    </row>
    <row r="450" spans="1:20" x14ac:dyDescent="0.25">
      <c r="A450" s="302"/>
      <c r="C450" s="294"/>
      <c r="D450" s="654" t="s">
        <v>259</v>
      </c>
      <c r="O450" s="1"/>
      <c r="S450" s="41"/>
      <c r="T450" s="294"/>
    </row>
    <row r="451" spans="1:20" x14ac:dyDescent="0.25">
      <c r="A451" s="302"/>
      <c r="C451" s="294"/>
      <c r="D451" s="553" t="s">
        <v>260</v>
      </c>
      <c r="G451" s="600" t="s">
        <v>101</v>
      </c>
      <c r="I451" s="78">
        <f t="shared" ref="I451:S451" ca="1" si="213">SUM(I305:I307)</f>
        <v>0</v>
      </c>
      <c r="J451" s="78">
        <f t="shared" ca="1" si="213"/>
        <v>0</v>
      </c>
      <c r="K451" s="78">
        <f t="shared" ca="1" si="213"/>
        <v>0</v>
      </c>
      <c r="L451" s="78">
        <f t="shared" ca="1" si="213"/>
        <v>0</v>
      </c>
      <c r="M451" s="78">
        <f t="shared" ca="1" si="213"/>
        <v>0</v>
      </c>
      <c r="N451" s="78">
        <f t="shared" ca="1" si="213"/>
        <v>0</v>
      </c>
      <c r="O451" s="78">
        <f t="shared" ca="1" si="213"/>
        <v>0</v>
      </c>
      <c r="P451" s="78">
        <f t="shared" ca="1" si="213"/>
        <v>0</v>
      </c>
      <c r="Q451" s="78">
        <f t="shared" ca="1" si="213"/>
        <v>0</v>
      </c>
      <c r="R451" s="78">
        <f t="shared" ca="1" si="213"/>
        <v>0</v>
      </c>
      <c r="S451" s="245">
        <f t="shared" ca="1" si="213"/>
        <v>0</v>
      </c>
      <c r="T451" s="294"/>
    </row>
    <row r="452" spans="1:20" ht="14.25" customHeight="1" x14ac:dyDescent="0.25">
      <c r="A452" s="302"/>
      <c r="C452" s="294"/>
      <c r="D452" s="553" t="s">
        <v>261</v>
      </c>
      <c r="G452" s="554" t="s">
        <v>139</v>
      </c>
      <c r="I452" s="619" t="s">
        <v>139</v>
      </c>
      <c r="J452" s="23" t="str">
        <f t="shared" ref="J452:S452" ca="1" si="214">IF(ISERROR((I451-J451)/$I$451),"NA",(I451-J451)/$I$451)</f>
        <v>NA</v>
      </c>
      <c r="K452" s="23" t="str">
        <f t="shared" ca="1" si="214"/>
        <v>NA</v>
      </c>
      <c r="L452" s="23" t="str">
        <f t="shared" ca="1" si="214"/>
        <v>NA</v>
      </c>
      <c r="M452" s="23" t="str">
        <f t="shared" ca="1" si="214"/>
        <v>NA</v>
      </c>
      <c r="N452" s="23" t="str">
        <f t="shared" ca="1" si="214"/>
        <v>NA</v>
      </c>
      <c r="O452" s="23" t="str">
        <f t="shared" ca="1" si="214"/>
        <v>NA</v>
      </c>
      <c r="P452" s="23" t="str">
        <f t="shared" ca="1" si="214"/>
        <v>NA</v>
      </c>
      <c r="Q452" s="23" t="str">
        <f t="shared" ca="1" si="214"/>
        <v>NA</v>
      </c>
      <c r="R452" s="23" t="str">
        <f t="shared" ca="1" si="214"/>
        <v>NA</v>
      </c>
      <c r="S452" s="150" t="str">
        <f t="shared" ca="1" si="214"/>
        <v>NA</v>
      </c>
      <c r="T452" s="294"/>
    </row>
    <row r="453" spans="1:20" x14ac:dyDescent="0.25">
      <c r="A453" s="302"/>
      <c r="C453" s="294"/>
      <c r="D453" s="553" t="s">
        <v>262</v>
      </c>
      <c r="G453" s="554" t="s">
        <v>139</v>
      </c>
      <c r="I453" s="619" t="s">
        <v>139</v>
      </c>
      <c r="J453" s="23" t="str">
        <f t="shared" ref="J453:S453" ca="1" si="215">IF(ISERROR(($I$451-J451)/$I$451),"NA",($I$451-J451)/$I$451)</f>
        <v>NA</v>
      </c>
      <c r="K453" s="23" t="str">
        <f t="shared" ca="1" si="215"/>
        <v>NA</v>
      </c>
      <c r="L453" s="23" t="str">
        <f t="shared" ca="1" si="215"/>
        <v>NA</v>
      </c>
      <c r="M453" s="23" t="str">
        <f t="shared" ca="1" si="215"/>
        <v>NA</v>
      </c>
      <c r="N453" s="23" t="str">
        <f t="shared" ca="1" si="215"/>
        <v>NA</v>
      </c>
      <c r="O453" s="23" t="str">
        <f t="shared" ca="1" si="215"/>
        <v>NA</v>
      </c>
      <c r="P453" s="23" t="str">
        <f t="shared" ca="1" si="215"/>
        <v>NA</v>
      </c>
      <c r="Q453" s="23" t="str">
        <f t="shared" ca="1" si="215"/>
        <v>NA</v>
      </c>
      <c r="R453" s="23" t="str">
        <f t="shared" ca="1" si="215"/>
        <v>NA</v>
      </c>
      <c r="S453" s="150" t="str">
        <f t="shared" ca="1" si="215"/>
        <v>NA</v>
      </c>
      <c r="T453" s="294"/>
    </row>
    <row r="454" spans="1:20" x14ac:dyDescent="0.25">
      <c r="A454" s="302"/>
      <c r="C454" s="294"/>
      <c r="O454" s="1"/>
      <c r="S454" s="41"/>
      <c r="T454" s="294"/>
    </row>
    <row r="455" spans="1:20" x14ac:dyDescent="0.25">
      <c r="A455" s="302"/>
      <c r="C455" s="294"/>
      <c r="D455" s="600" t="s">
        <v>263</v>
      </c>
      <c r="G455" s="600" t="s">
        <v>101</v>
      </c>
      <c r="I455" s="78">
        <f t="shared" ref="I455:S455" ca="1" si="216">I307</f>
        <v>0</v>
      </c>
      <c r="J455" s="78">
        <f t="shared" ca="1" si="216"/>
        <v>0</v>
      </c>
      <c r="K455" s="78">
        <f t="shared" ca="1" si="216"/>
        <v>0</v>
      </c>
      <c r="L455" s="78">
        <f t="shared" ca="1" si="216"/>
        <v>0</v>
      </c>
      <c r="M455" s="78">
        <f t="shared" ca="1" si="216"/>
        <v>0</v>
      </c>
      <c r="N455" s="78">
        <f t="shared" ca="1" si="216"/>
        <v>0</v>
      </c>
      <c r="O455" s="78">
        <f t="shared" ca="1" si="216"/>
        <v>0</v>
      </c>
      <c r="P455" s="78">
        <f t="shared" ca="1" si="216"/>
        <v>0</v>
      </c>
      <c r="Q455" s="78">
        <f t="shared" ca="1" si="216"/>
        <v>0</v>
      </c>
      <c r="R455" s="78">
        <f t="shared" ca="1" si="216"/>
        <v>0</v>
      </c>
      <c r="S455" s="245">
        <f t="shared" ca="1" si="216"/>
        <v>0</v>
      </c>
      <c r="T455" s="294"/>
    </row>
    <row r="456" spans="1:20" x14ac:dyDescent="0.25">
      <c r="A456" s="302"/>
      <c r="C456" s="294"/>
      <c r="D456" s="553" t="s">
        <v>264</v>
      </c>
      <c r="G456" s="554" t="s">
        <v>139</v>
      </c>
      <c r="I456" s="619" t="s">
        <v>139</v>
      </c>
      <c r="J456" s="23" t="str">
        <f t="shared" ref="J456:S456" ca="1" si="217">IF(ISERROR(J455/((J274*$P$1411)+(J275*$Q$1411))),"NM",J455/((J274*$P$1411)+(J275*$Q$1411)))</f>
        <v>NM</v>
      </c>
      <c r="K456" s="23" t="str">
        <f t="shared" ca="1" si="217"/>
        <v>NM</v>
      </c>
      <c r="L456" s="23" t="str">
        <f t="shared" ca="1" si="217"/>
        <v>NM</v>
      </c>
      <c r="M456" s="23" t="str">
        <f t="shared" ca="1" si="217"/>
        <v>NM</v>
      </c>
      <c r="N456" s="23" t="str">
        <f t="shared" ca="1" si="217"/>
        <v>NM</v>
      </c>
      <c r="O456" s="23" t="str">
        <f t="shared" ca="1" si="217"/>
        <v>NM</v>
      </c>
      <c r="P456" s="23" t="str">
        <f t="shared" ca="1" si="217"/>
        <v>NM</v>
      </c>
      <c r="Q456" s="23" t="str">
        <f t="shared" ca="1" si="217"/>
        <v>NM</v>
      </c>
      <c r="R456" s="23" t="str">
        <f t="shared" ca="1" si="217"/>
        <v>NM</v>
      </c>
      <c r="S456" s="150" t="str">
        <f t="shared" ca="1" si="217"/>
        <v>NM</v>
      </c>
      <c r="T456" s="294"/>
    </row>
    <row r="457" spans="1:20" x14ac:dyDescent="0.25">
      <c r="A457" s="302"/>
      <c r="C457" s="294"/>
      <c r="G457" s="554" t="s">
        <v>139</v>
      </c>
      <c r="I457" s="554" t="s">
        <v>139</v>
      </c>
      <c r="O457" s="1"/>
      <c r="S457" s="41"/>
      <c r="T457" s="294"/>
    </row>
    <row r="458" spans="1:20" x14ac:dyDescent="0.25">
      <c r="A458" s="302"/>
      <c r="C458" s="294"/>
      <c r="D458" s="3" t="str">
        <f>D1412&amp;" Outstanding..........................................................................."</f>
        <v>Debt 1 Outstanding...........................................................................</v>
      </c>
      <c r="G458" s="554" t="s">
        <v>139</v>
      </c>
      <c r="I458" s="219">
        <f t="shared" ref="I458:S458" ca="1" si="218">I308</f>
        <v>0</v>
      </c>
      <c r="J458" s="219">
        <f t="shared" ca="1" si="218"/>
        <v>0</v>
      </c>
      <c r="K458" s="219">
        <f t="shared" ca="1" si="218"/>
        <v>0</v>
      </c>
      <c r="L458" s="219">
        <f t="shared" ca="1" si="218"/>
        <v>0</v>
      </c>
      <c r="M458" s="219">
        <f t="shared" ca="1" si="218"/>
        <v>0</v>
      </c>
      <c r="N458" s="219">
        <f t="shared" ca="1" si="218"/>
        <v>0</v>
      </c>
      <c r="O458" s="219">
        <f t="shared" ca="1" si="218"/>
        <v>0</v>
      </c>
      <c r="P458" s="219">
        <f t="shared" ca="1" si="218"/>
        <v>0</v>
      </c>
      <c r="Q458" s="219">
        <f t="shared" ca="1" si="218"/>
        <v>0</v>
      </c>
      <c r="R458" s="219">
        <f t="shared" ca="1" si="218"/>
        <v>0</v>
      </c>
      <c r="S458" s="510">
        <f t="shared" ca="1" si="218"/>
        <v>0</v>
      </c>
      <c r="T458" s="438"/>
    </row>
    <row r="459" spans="1:20" x14ac:dyDescent="0.25">
      <c r="A459" s="302"/>
      <c r="C459" s="294"/>
      <c r="D459" s="553" t="s">
        <v>261</v>
      </c>
      <c r="G459" s="554" t="s">
        <v>139</v>
      </c>
      <c r="I459" s="619" t="s">
        <v>139</v>
      </c>
      <c r="J459" s="23" t="str">
        <f t="shared" ref="J459:S459" ca="1" si="219">IF(ISERROR((I458-J458)/$I458),"NA",(I458-J458)/$I458)</f>
        <v>NA</v>
      </c>
      <c r="K459" s="23" t="str">
        <f t="shared" ca="1" si="219"/>
        <v>NA</v>
      </c>
      <c r="L459" s="23" t="str">
        <f t="shared" ca="1" si="219"/>
        <v>NA</v>
      </c>
      <c r="M459" s="23" t="str">
        <f t="shared" ca="1" si="219"/>
        <v>NA</v>
      </c>
      <c r="N459" s="23" t="str">
        <f t="shared" ca="1" si="219"/>
        <v>NA</v>
      </c>
      <c r="O459" s="23" t="str">
        <f t="shared" ca="1" si="219"/>
        <v>NA</v>
      </c>
      <c r="P459" s="23" t="str">
        <f t="shared" ca="1" si="219"/>
        <v>NA</v>
      </c>
      <c r="Q459" s="23" t="str">
        <f t="shared" ca="1" si="219"/>
        <v>NA</v>
      </c>
      <c r="R459" s="23" t="str">
        <f t="shared" ca="1" si="219"/>
        <v>NA</v>
      </c>
      <c r="S459" s="150" t="str">
        <f t="shared" ca="1" si="219"/>
        <v>NA</v>
      </c>
      <c r="T459" s="438"/>
    </row>
    <row r="460" spans="1:20" x14ac:dyDescent="0.25">
      <c r="A460" s="302"/>
      <c r="C460" s="294"/>
      <c r="D460" s="553" t="s">
        <v>262</v>
      </c>
      <c r="G460" s="554" t="s">
        <v>139</v>
      </c>
      <c r="I460" s="554" t="s">
        <v>139</v>
      </c>
      <c r="J460" s="23" t="str">
        <f t="shared" ref="J460:S460" ca="1" si="220">IF(ISERROR(($I$458-J458)/$I$458),"NA",($I$458-J458)/$I$458)</f>
        <v>NA</v>
      </c>
      <c r="K460" s="23" t="str">
        <f t="shared" ca="1" si="220"/>
        <v>NA</v>
      </c>
      <c r="L460" s="23" t="str">
        <f t="shared" ca="1" si="220"/>
        <v>NA</v>
      </c>
      <c r="M460" s="23" t="str">
        <f t="shared" ca="1" si="220"/>
        <v>NA</v>
      </c>
      <c r="N460" s="23" t="str">
        <f t="shared" ca="1" si="220"/>
        <v>NA</v>
      </c>
      <c r="O460" s="23" t="str">
        <f t="shared" ca="1" si="220"/>
        <v>NA</v>
      </c>
      <c r="P460" s="23" t="str">
        <f t="shared" ca="1" si="220"/>
        <v>NA</v>
      </c>
      <c r="Q460" s="23" t="str">
        <f t="shared" ca="1" si="220"/>
        <v>NA</v>
      </c>
      <c r="R460" s="23" t="str">
        <f t="shared" ca="1" si="220"/>
        <v>NA</v>
      </c>
      <c r="S460" s="150" t="str">
        <f t="shared" ca="1" si="220"/>
        <v>NA</v>
      </c>
      <c r="T460" s="294"/>
    </row>
    <row r="461" spans="1:20" x14ac:dyDescent="0.25">
      <c r="A461" s="302"/>
      <c r="C461" s="294"/>
      <c r="G461" s="554" t="s">
        <v>139</v>
      </c>
      <c r="I461" s="554" t="s">
        <v>139</v>
      </c>
      <c r="O461" s="1"/>
      <c r="S461" s="41"/>
      <c r="T461" s="294"/>
    </row>
    <row r="462" spans="1:20" x14ac:dyDescent="0.25">
      <c r="A462" s="302"/>
      <c r="C462" s="294"/>
      <c r="D462" s="655" t="s">
        <v>265</v>
      </c>
      <c r="G462" s="554" t="s">
        <v>139</v>
      </c>
      <c r="I462" s="554" t="s">
        <v>139</v>
      </c>
      <c r="O462" s="1"/>
      <c r="S462" s="41"/>
      <c r="T462" s="294"/>
    </row>
    <row r="463" spans="1:20" ht="18" customHeight="1" x14ac:dyDescent="0.25">
      <c r="A463" s="302"/>
      <c r="C463" s="294"/>
      <c r="D463" s="552" t="s">
        <v>266</v>
      </c>
      <c r="F463" s="2"/>
      <c r="G463" s="554" t="s">
        <v>139</v>
      </c>
      <c r="I463" s="644" t="s">
        <v>139</v>
      </c>
      <c r="J463" s="25">
        <f t="shared" ref="J463:S463" ca="1" si="221">IF(J302=0,"NA",J278/J302)</f>
        <v>12.04463768115942</v>
      </c>
      <c r="K463" s="25">
        <f t="shared" ca="1" si="221"/>
        <v>14.414046628859484</v>
      </c>
      <c r="L463" s="25">
        <f t="shared" ca="1" si="221"/>
        <v>16.745193824826718</v>
      </c>
      <c r="M463" s="25">
        <f t="shared" ca="1" si="221"/>
        <v>19.015402096035491</v>
      </c>
      <c r="N463" s="25">
        <f t="shared" ca="1" si="221"/>
        <v>21.207779092693659</v>
      </c>
      <c r="O463" s="25">
        <f t="shared" ca="1" si="221"/>
        <v>23.310173907469338</v>
      </c>
      <c r="P463" s="25">
        <f t="shared" ca="1" si="221"/>
        <v>25.314299299633227</v>
      </c>
      <c r="Q463" s="25">
        <f t="shared" ca="1" si="221"/>
        <v>27.214994908142241</v>
      </c>
      <c r="R463" s="25">
        <f t="shared" ca="1" si="221"/>
        <v>29.009610356557793</v>
      </c>
      <c r="S463" s="68">
        <f t="shared" ca="1" si="221"/>
        <v>30.697490181098217</v>
      </c>
      <c r="T463" s="294"/>
    </row>
    <row r="464" spans="1:20" x14ac:dyDescent="0.25">
      <c r="A464" s="302"/>
      <c r="C464" s="294"/>
      <c r="G464" s="554" t="s">
        <v>139</v>
      </c>
      <c r="O464" s="1"/>
      <c r="S464" s="41"/>
      <c r="T464" s="294"/>
    </row>
    <row r="465" spans="1:20" x14ac:dyDescent="0.25">
      <c r="A465" s="302"/>
      <c r="C465" s="294"/>
      <c r="D465" s="552" t="s">
        <v>267</v>
      </c>
      <c r="G465" s="554" t="s">
        <v>139</v>
      </c>
      <c r="I465" s="25"/>
      <c r="J465" s="25"/>
      <c r="K465" s="25"/>
      <c r="L465" s="25"/>
      <c r="M465" s="25"/>
      <c r="N465" s="25"/>
      <c r="O465" s="25"/>
      <c r="P465" s="25"/>
      <c r="Q465" s="25"/>
      <c r="R465" s="25"/>
      <c r="S465" s="68"/>
      <c r="T465" s="294"/>
    </row>
    <row r="466" spans="1:20" x14ac:dyDescent="0.25">
      <c r="A466" s="302"/>
      <c r="C466" s="294"/>
      <c r="D466" s="552" t="s">
        <v>268</v>
      </c>
      <c r="F466" s="2"/>
      <c r="G466" s="554" t="s">
        <v>139</v>
      </c>
      <c r="I466" s="26">
        <f t="shared" ref="I466:S466" ca="1" si="222">IF(I324=0,"NA",I314/I324)</f>
        <v>0.967741935483871</v>
      </c>
      <c r="J466" s="26">
        <f t="shared" ca="1" si="222"/>
        <v>0.68021041175403585</v>
      </c>
      <c r="K466" s="26">
        <f t="shared" ca="1" si="222"/>
        <v>0.49817146165001358</v>
      </c>
      <c r="L466" s="26">
        <f t="shared" ca="1" si="222"/>
        <v>0.37575425633308884</v>
      </c>
      <c r="M466" s="26">
        <f t="shared" ca="1" si="222"/>
        <v>0.28977905071695831</v>
      </c>
      <c r="N466" s="26">
        <f t="shared" ca="1" si="222"/>
        <v>0.22738437788671892</v>
      </c>
      <c r="O466" s="26">
        <f t="shared" ca="1" si="222"/>
        <v>0.18092521847361229</v>
      </c>
      <c r="P466" s="26">
        <f t="shared" ca="1" si="222"/>
        <v>0.1456101746328235</v>
      </c>
      <c r="Q466" s="26">
        <f t="shared" ca="1" si="222"/>
        <v>0.11830735010115366</v>
      </c>
      <c r="R466" s="26">
        <f t="shared" ca="1" si="222"/>
        <v>9.689827564823511E-2</v>
      </c>
      <c r="S466" s="509">
        <f t="shared" ca="1" si="222"/>
        <v>7.9908641324094254E-2</v>
      </c>
      <c r="T466" s="294"/>
    </row>
    <row r="467" spans="1:20" x14ac:dyDescent="0.25">
      <c r="A467" s="302"/>
      <c r="C467" s="294"/>
      <c r="D467" s="552" t="s">
        <v>269</v>
      </c>
      <c r="F467" s="2"/>
      <c r="G467" s="554" t="s">
        <v>139</v>
      </c>
      <c r="I467" s="26">
        <f t="shared" ref="I467:S467" ca="1" si="223">IF(I324+I314=0,"NA",I314/(I324+I314))</f>
        <v>0.49180327868852458</v>
      </c>
      <c r="J467" s="26">
        <f t="shared" ca="1" si="223"/>
        <v>0.40483644607578539</v>
      </c>
      <c r="K467" s="26">
        <f t="shared" ca="1" si="223"/>
        <v>0.33251965773086589</v>
      </c>
      <c r="L467" s="26">
        <f t="shared" ca="1" si="223"/>
        <v>0.27312599950416844</v>
      </c>
      <c r="M467" s="26">
        <f t="shared" ca="1" si="223"/>
        <v>0.2246734047633018</v>
      </c>
      <c r="N467" s="26">
        <f t="shared" ca="1" si="223"/>
        <v>0.18525930587305006</v>
      </c>
      <c r="O467" s="26">
        <f t="shared" ca="1" si="223"/>
        <v>0.15320632978561041</v>
      </c>
      <c r="P467" s="26">
        <f t="shared" ca="1" si="223"/>
        <v>0.12710272469384504</v>
      </c>
      <c r="Q467" s="26">
        <f t="shared" ca="1" si="223"/>
        <v>0.10579144462428193</v>
      </c>
      <c r="R467" s="26">
        <f t="shared" ca="1" si="223"/>
        <v>8.8338433744889464E-2</v>
      </c>
      <c r="S467" s="26">
        <f t="shared" ca="1" si="223"/>
        <v>7.399574210844069E-2</v>
      </c>
      <c r="T467" s="294"/>
    </row>
    <row r="468" spans="1:20" x14ac:dyDescent="0.25">
      <c r="A468" s="302"/>
      <c r="C468" s="294"/>
      <c r="G468" s="554" t="s">
        <v>139</v>
      </c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44"/>
      <c r="T468" s="294"/>
    </row>
    <row r="469" spans="1:20" x14ac:dyDescent="0.25">
      <c r="A469" s="302"/>
      <c r="C469" s="294"/>
      <c r="D469" s="552" t="s">
        <v>270</v>
      </c>
      <c r="G469" s="554" t="s">
        <v>139</v>
      </c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44"/>
      <c r="T469" s="294"/>
    </row>
    <row r="470" spans="1:20" x14ac:dyDescent="0.25">
      <c r="A470" s="302"/>
      <c r="C470" s="294"/>
      <c r="D470" s="552" t="s">
        <v>271</v>
      </c>
      <c r="G470" s="554" t="s">
        <v>139</v>
      </c>
      <c r="I470" s="26">
        <f ca="1">IF(I234=0,"NA",IF((I314-I272-I273)/I234&lt;0,"NA",(I314-I272-I273)/I234))</f>
        <v>0.21367521367521367</v>
      </c>
      <c r="J470" s="26" t="str">
        <f ca="1">IF(J234=0,"NA",IF((J314-J272-J273)/J234&lt;0,"NA",(J314-J272-J273)/J234))</f>
        <v>NA</v>
      </c>
      <c r="K470" s="26" t="str">
        <f t="shared" ref="K470:S470" ca="1" si="224">IF(K234=0,"NA",IF((K314-K272-K273)/K234&lt;0,"NA",(K314-K272-K273)/K234))</f>
        <v>NA</v>
      </c>
      <c r="L470" s="26" t="str">
        <f t="shared" ca="1" si="224"/>
        <v>NA</v>
      </c>
      <c r="M470" s="26" t="str">
        <f t="shared" ca="1" si="224"/>
        <v>NA</v>
      </c>
      <c r="N470" s="26" t="str">
        <f t="shared" ca="1" si="224"/>
        <v>NA</v>
      </c>
      <c r="O470" s="26" t="str">
        <f t="shared" ca="1" si="224"/>
        <v>NA</v>
      </c>
      <c r="P470" s="26" t="str">
        <f t="shared" ca="1" si="224"/>
        <v>NA</v>
      </c>
      <c r="Q470" s="26" t="str">
        <f t="shared" ca="1" si="224"/>
        <v>NA</v>
      </c>
      <c r="R470" s="26" t="str">
        <f t="shared" ca="1" si="224"/>
        <v>NA</v>
      </c>
      <c r="S470" s="26" t="str">
        <f t="shared" ca="1" si="224"/>
        <v>NA</v>
      </c>
      <c r="T470" s="294"/>
    </row>
    <row r="471" spans="1:20" x14ac:dyDescent="0.25">
      <c r="A471" s="302"/>
      <c r="C471" s="294"/>
      <c r="G471" s="554" t="s">
        <v>139</v>
      </c>
      <c r="O471" s="1"/>
      <c r="S471" s="41"/>
      <c r="T471" s="294"/>
    </row>
    <row r="472" spans="1:20" x14ac:dyDescent="0.25">
      <c r="A472" s="302"/>
      <c r="C472" s="294"/>
      <c r="G472" s="554" t="s">
        <v>139</v>
      </c>
      <c r="O472" s="1"/>
      <c r="S472" s="41"/>
      <c r="T472" s="294"/>
    </row>
    <row r="473" spans="1:20" x14ac:dyDescent="0.25">
      <c r="A473" s="302"/>
      <c r="C473" s="294"/>
      <c r="D473"/>
      <c r="E473"/>
      <c r="F473"/>
      <c r="G473"/>
      <c r="H473"/>
      <c r="I473"/>
      <c r="J473"/>
      <c r="O473" s="1"/>
      <c r="S473" s="41"/>
      <c r="T473" s="294"/>
    </row>
    <row r="474" spans="1:20" x14ac:dyDescent="0.25">
      <c r="A474" s="302"/>
      <c r="C474" s="294"/>
      <c r="D474"/>
      <c r="E474"/>
      <c r="F474"/>
      <c r="G474"/>
      <c r="H474"/>
      <c r="I474"/>
      <c r="J474"/>
      <c r="O474" s="1"/>
      <c r="S474" s="41"/>
      <c r="T474" s="294"/>
    </row>
    <row r="475" spans="1:20" x14ac:dyDescent="0.25">
      <c r="A475" s="302"/>
      <c r="C475" s="294"/>
      <c r="D475"/>
      <c r="E475"/>
      <c r="F475"/>
      <c r="G475"/>
      <c r="H475"/>
      <c r="I475"/>
      <c r="J475"/>
      <c r="O475" s="1"/>
      <c r="S475" s="41"/>
      <c r="T475" s="294"/>
    </row>
    <row r="476" spans="1:20" x14ac:dyDescent="0.25">
      <c r="A476" s="302"/>
      <c r="C476" s="294"/>
      <c r="D476"/>
      <c r="E476"/>
      <c r="F476"/>
      <c r="G476"/>
      <c r="H476"/>
      <c r="I476"/>
      <c r="J476"/>
      <c r="O476" s="1"/>
      <c r="S476" s="41"/>
      <c r="T476" s="294"/>
    </row>
    <row r="477" spans="1:20" x14ac:dyDescent="0.25">
      <c r="A477" s="302"/>
      <c r="C477" s="294"/>
      <c r="D477"/>
      <c r="E477"/>
      <c r="F477"/>
      <c r="G477"/>
      <c r="H477"/>
      <c r="I477"/>
      <c r="J477"/>
      <c r="O477" s="1"/>
      <c r="S477" s="41"/>
      <c r="T477" s="294"/>
    </row>
    <row r="478" spans="1:20" x14ac:dyDescent="0.25">
      <c r="A478" s="302"/>
      <c r="C478" s="294"/>
      <c r="D478"/>
      <c r="E478"/>
      <c r="F478"/>
      <c r="G478"/>
      <c r="H478"/>
      <c r="I478"/>
      <c r="J478"/>
      <c r="O478" s="1"/>
      <c r="S478" s="41"/>
      <c r="T478" s="294"/>
    </row>
    <row r="479" spans="1:20" x14ac:dyDescent="0.25">
      <c r="A479" s="302"/>
      <c r="C479" s="294"/>
      <c r="D479"/>
      <c r="E479"/>
      <c r="F479"/>
      <c r="G479"/>
      <c r="H479"/>
      <c r="I479"/>
      <c r="J479"/>
      <c r="O479" s="1"/>
      <c r="S479" s="41"/>
      <c r="T479" s="294"/>
    </row>
    <row r="480" spans="1:20" x14ac:dyDescent="0.25">
      <c r="A480" s="302"/>
      <c r="C480" s="294"/>
      <c r="D480"/>
      <c r="E480"/>
      <c r="F480"/>
      <c r="G480"/>
      <c r="H480"/>
      <c r="I480"/>
      <c r="J480"/>
      <c r="O480" s="1"/>
      <c r="S480" s="41"/>
      <c r="T480" s="294"/>
    </row>
    <row r="481" spans="1:20" x14ac:dyDescent="0.25">
      <c r="A481" s="302"/>
      <c r="C481" s="294"/>
      <c r="D481"/>
      <c r="E481"/>
      <c r="F481"/>
      <c r="G481"/>
      <c r="H481"/>
      <c r="I481"/>
      <c r="J481"/>
      <c r="O481" s="1"/>
      <c r="S481" s="41"/>
      <c r="T481" s="294"/>
    </row>
    <row r="482" spans="1:20" x14ac:dyDescent="0.25">
      <c r="A482" s="302"/>
      <c r="C482" s="294"/>
      <c r="D482"/>
      <c r="E482"/>
      <c r="F482"/>
      <c r="G482"/>
      <c r="H482"/>
      <c r="I482"/>
      <c r="J482"/>
      <c r="O482" s="1"/>
      <c r="S482" s="41"/>
      <c r="T482" s="294"/>
    </row>
    <row r="483" spans="1:20" x14ac:dyDescent="0.25">
      <c r="A483" s="302"/>
      <c r="C483" s="294"/>
      <c r="D483"/>
      <c r="E483"/>
      <c r="F483"/>
      <c r="G483"/>
      <c r="H483"/>
      <c r="I483"/>
      <c r="J483"/>
      <c r="O483" s="1"/>
      <c r="S483" s="41"/>
      <c r="T483" s="294"/>
    </row>
    <row r="484" spans="1:20" x14ac:dyDescent="0.25">
      <c r="A484" s="302"/>
      <c r="C484" s="294"/>
      <c r="D484"/>
      <c r="E484"/>
      <c r="F484"/>
      <c r="G484"/>
      <c r="H484"/>
      <c r="I484"/>
      <c r="J484"/>
      <c r="O484" s="1"/>
      <c r="S484" s="41"/>
      <c r="T484" s="294"/>
    </row>
    <row r="485" spans="1:20" x14ac:dyDescent="0.25">
      <c r="A485" s="302"/>
      <c r="C485" s="294"/>
      <c r="D485"/>
      <c r="E485"/>
      <c r="F485"/>
      <c r="G485"/>
      <c r="H485"/>
      <c r="I485"/>
      <c r="J485"/>
      <c r="O485" s="1"/>
      <c r="S485" s="41"/>
      <c r="T485" s="294"/>
    </row>
    <row r="486" spans="1:20" x14ac:dyDescent="0.25">
      <c r="A486" s="302"/>
      <c r="C486" s="294"/>
      <c r="D486"/>
      <c r="E486"/>
      <c r="F486"/>
      <c r="G486"/>
      <c r="H486"/>
      <c r="I486"/>
      <c r="J486"/>
      <c r="O486" s="1"/>
      <c r="S486" s="41"/>
      <c r="T486" s="294"/>
    </row>
    <row r="487" spans="1:20" x14ac:dyDescent="0.25">
      <c r="A487" s="302"/>
      <c r="C487" s="299"/>
      <c r="O487" s="1"/>
      <c r="S487" s="41"/>
      <c r="T487" s="294"/>
    </row>
    <row r="488" spans="1:20" ht="27" customHeight="1" x14ac:dyDescent="0.25">
      <c r="A488" s="304"/>
      <c r="C488" s="294"/>
      <c r="D488" s="656" t="s">
        <v>272</v>
      </c>
      <c r="E488" s="170"/>
      <c r="F488" s="170"/>
      <c r="G488" s="170"/>
      <c r="H488" s="170"/>
      <c r="I488" s="170"/>
      <c r="J488" s="170"/>
      <c r="K488" s="170"/>
      <c r="L488" s="170"/>
      <c r="M488" s="170"/>
      <c r="N488" s="170"/>
      <c r="O488" s="170"/>
      <c r="P488" s="170"/>
      <c r="Q488" s="170"/>
      <c r="R488" s="170"/>
      <c r="S488" s="213"/>
      <c r="T488" s="294"/>
    </row>
    <row r="489" spans="1:20" x14ac:dyDescent="0.25">
      <c r="A489" s="304"/>
      <c r="C489" s="294"/>
      <c r="D489" s="61"/>
      <c r="J489" s="166" t="str">
        <f>"Projected Fiscal Years Ending "&amp;H1372</f>
        <v>Projected Fiscal Years Ending December 31,</v>
      </c>
      <c r="K489" s="165"/>
      <c r="L489" s="165"/>
      <c r="M489" s="165"/>
      <c r="N489" s="165"/>
      <c r="O489" s="165"/>
      <c r="P489" s="165"/>
      <c r="Q489" s="165"/>
      <c r="R489" s="165"/>
      <c r="S489" s="165"/>
      <c r="T489" s="294"/>
    </row>
    <row r="490" spans="1:20" x14ac:dyDescent="0.25">
      <c r="A490" s="302"/>
      <c r="C490" s="294"/>
      <c r="D490" s="3"/>
      <c r="J490" s="403">
        <f>H1371</f>
        <v>1998</v>
      </c>
      <c r="K490" s="76">
        <f t="shared" ref="K490:S490" si="225">J490+1</f>
        <v>1999</v>
      </c>
      <c r="L490" s="76">
        <f t="shared" si="225"/>
        <v>2000</v>
      </c>
      <c r="M490" s="76">
        <f t="shared" si="225"/>
        <v>2001</v>
      </c>
      <c r="N490" s="76">
        <f t="shared" si="225"/>
        <v>2002</v>
      </c>
      <c r="O490" s="76">
        <f t="shared" si="225"/>
        <v>2003</v>
      </c>
      <c r="P490" s="76">
        <f t="shared" si="225"/>
        <v>2004</v>
      </c>
      <c r="Q490" s="76">
        <f t="shared" si="225"/>
        <v>2005</v>
      </c>
      <c r="R490" s="76">
        <f t="shared" si="225"/>
        <v>2006</v>
      </c>
      <c r="S490" s="181">
        <f t="shared" si="225"/>
        <v>2007</v>
      </c>
      <c r="T490" s="294"/>
    </row>
    <row r="491" spans="1:20" x14ac:dyDescent="0.25">
      <c r="A491" s="302"/>
      <c r="C491" s="294"/>
      <c r="J491" s="10"/>
      <c r="K491" s="10"/>
      <c r="L491" s="10"/>
      <c r="M491" s="10"/>
      <c r="N491" s="10"/>
      <c r="O491" s="10"/>
      <c r="P491" s="10"/>
      <c r="Q491" s="10"/>
      <c r="R491" s="10"/>
      <c r="S491" s="149"/>
      <c r="T491" s="294"/>
    </row>
    <row r="492" spans="1:20" x14ac:dyDescent="0.25">
      <c r="A492" s="302"/>
      <c r="C492" s="294"/>
      <c r="O492" s="1"/>
      <c r="S492" s="41"/>
      <c r="T492" s="294"/>
    </row>
    <row r="493" spans="1:20" x14ac:dyDescent="0.25">
      <c r="A493" s="302"/>
      <c r="C493" s="294"/>
      <c r="D493" s="552" t="s">
        <v>273</v>
      </c>
      <c r="J493" s="7">
        <f t="shared" ref="J493:S493" ca="1" si="226">J256</f>
        <v>100.80000000000001</v>
      </c>
      <c r="K493" s="7">
        <f t="shared" ca="1" si="226"/>
        <v>123.97099999999999</v>
      </c>
      <c r="L493" s="7">
        <f t="shared" ca="1" si="226"/>
        <v>150.91680749999998</v>
      </c>
      <c r="M493" s="7">
        <f t="shared" ca="1" si="226"/>
        <v>182.21336624374996</v>
      </c>
      <c r="N493" s="7">
        <f t="shared" ca="1" si="226"/>
        <v>218.5233275216718</v>
      </c>
      <c r="O493" s="7">
        <f t="shared" ca="1" si="226"/>
        <v>260.60906657237615</v>
      </c>
      <c r="P493" s="7">
        <f t="shared" ca="1" si="226"/>
        <v>309.34765177816581</v>
      </c>
      <c r="Q493" s="7">
        <f t="shared" ca="1" si="226"/>
        <v>365.74805958447178</v>
      </c>
      <c r="R493" s="7">
        <f t="shared" ca="1" si="226"/>
        <v>430.97097201301005</v>
      </c>
      <c r="S493" s="62">
        <f t="shared" ca="1" si="226"/>
        <v>506.35154416928225</v>
      </c>
      <c r="T493" s="294"/>
    </row>
    <row r="494" spans="1:20" x14ac:dyDescent="0.25">
      <c r="A494" s="302"/>
      <c r="C494" s="294"/>
      <c r="O494" s="1"/>
      <c r="S494" s="41"/>
      <c r="T494" s="294"/>
    </row>
    <row r="495" spans="1:20" x14ac:dyDescent="0.25">
      <c r="A495" s="302"/>
      <c r="C495" s="294"/>
      <c r="D495" s="654" t="s">
        <v>274</v>
      </c>
      <c r="O495" s="1"/>
      <c r="S495" s="41"/>
      <c r="T495" s="294"/>
    </row>
    <row r="496" spans="1:20" ht="15.75" customHeight="1" x14ac:dyDescent="0.25">
      <c r="A496" s="302"/>
      <c r="C496" s="294"/>
      <c r="D496" s="552" t="s">
        <v>275</v>
      </c>
      <c r="J496" s="5">
        <f t="shared" ref="J496:S496" ca="1" si="227">J237</f>
        <v>0</v>
      </c>
      <c r="K496" s="5">
        <f t="shared" ca="1" si="227"/>
        <v>0</v>
      </c>
      <c r="L496" s="5">
        <f t="shared" ca="1" si="227"/>
        <v>0</v>
      </c>
      <c r="M496" s="5">
        <f t="shared" ca="1" si="227"/>
        <v>0</v>
      </c>
      <c r="N496" s="5">
        <f t="shared" ca="1" si="227"/>
        <v>0</v>
      </c>
      <c r="O496" s="5">
        <f t="shared" ca="1" si="227"/>
        <v>0</v>
      </c>
      <c r="P496" s="5">
        <f t="shared" ca="1" si="227"/>
        <v>0</v>
      </c>
      <c r="Q496" s="5">
        <f t="shared" ca="1" si="227"/>
        <v>0</v>
      </c>
      <c r="R496" s="5">
        <f t="shared" ca="1" si="227"/>
        <v>0</v>
      </c>
      <c r="S496" s="60">
        <f t="shared" ca="1" si="227"/>
        <v>0</v>
      </c>
      <c r="T496" s="294"/>
    </row>
    <row r="497" spans="1:20" x14ac:dyDescent="0.25">
      <c r="A497" s="302"/>
      <c r="C497" s="294"/>
      <c r="D497" s="552" t="s">
        <v>276</v>
      </c>
      <c r="J497" s="541">
        <v>0</v>
      </c>
      <c r="K497" s="541">
        <v>0</v>
      </c>
      <c r="L497" s="541">
        <v>0</v>
      </c>
      <c r="M497" s="541">
        <v>0</v>
      </c>
      <c r="N497" s="541">
        <v>0</v>
      </c>
      <c r="O497" s="541">
        <v>0</v>
      </c>
      <c r="P497" s="541">
        <v>0</v>
      </c>
      <c r="Q497" s="541">
        <v>0</v>
      </c>
      <c r="R497" s="541">
        <v>0</v>
      </c>
      <c r="S497" s="551">
        <v>0</v>
      </c>
      <c r="T497" s="294"/>
    </row>
    <row r="498" spans="1:20" ht="6.75" customHeight="1" x14ac:dyDescent="0.25">
      <c r="A498" s="302"/>
      <c r="C498" s="294"/>
      <c r="J498" s="642" t="s">
        <v>218</v>
      </c>
      <c r="K498" s="642" t="s">
        <v>218</v>
      </c>
      <c r="L498" s="642" t="s">
        <v>218</v>
      </c>
      <c r="M498" s="642" t="s">
        <v>218</v>
      </c>
      <c r="N498" s="642" t="s">
        <v>218</v>
      </c>
      <c r="O498" s="642" t="s">
        <v>218</v>
      </c>
      <c r="P498" s="642" t="s">
        <v>218</v>
      </c>
      <c r="Q498" s="642" t="s">
        <v>218</v>
      </c>
      <c r="R498" s="642" t="s">
        <v>218</v>
      </c>
      <c r="S498" s="542" t="s">
        <v>218</v>
      </c>
      <c r="T498" s="294"/>
    </row>
    <row r="499" spans="1:20" x14ac:dyDescent="0.25">
      <c r="A499" s="302"/>
      <c r="C499" s="294"/>
      <c r="D499" s="552" t="s">
        <v>277</v>
      </c>
      <c r="J499" s="5">
        <f t="shared" ref="J499:S499" ca="1" si="228">J493+SUM(J496:J497)</f>
        <v>100.80000000000001</v>
      </c>
      <c r="K499" s="5">
        <f t="shared" ca="1" si="228"/>
        <v>123.97099999999999</v>
      </c>
      <c r="L499" s="5">
        <f t="shared" ca="1" si="228"/>
        <v>150.91680749999998</v>
      </c>
      <c r="M499" s="5">
        <f t="shared" ca="1" si="228"/>
        <v>182.21336624374996</v>
      </c>
      <c r="N499" s="5">
        <f t="shared" ca="1" si="228"/>
        <v>218.5233275216718</v>
      </c>
      <c r="O499" s="5">
        <f t="shared" ca="1" si="228"/>
        <v>260.60906657237615</v>
      </c>
      <c r="P499" s="5">
        <f t="shared" ca="1" si="228"/>
        <v>309.34765177816581</v>
      </c>
      <c r="Q499" s="5">
        <f t="shared" ca="1" si="228"/>
        <v>365.74805958447178</v>
      </c>
      <c r="R499" s="5">
        <f t="shared" ca="1" si="228"/>
        <v>430.97097201301005</v>
      </c>
      <c r="S499" s="60">
        <f t="shared" ca="1" si="228"/>
        <v>506.35154416928225</v>
      </c>
      <c r="T499" s="294"/>
    </row>
    <row r="500" spans="1:20" x14ac:dyDescent="0.25">
      <c r="A500" s="302"/>
      <c r="C500" s="294"/>
      <c r="J500" s="5"/>
      <c r="K500" s="5"/>
      <c r="L500" s="5"/>
      <c r="M500" s="5"/>
      <c r="N500" s="5"/>
      <c r="O500" s="5"/>
      <c r="P500" s="5"/>
      <c r="Q500" s="5"/>
      <c r="R500" s="5"/>
      <c r="S500" s="60"/>
      <c r="T500" s="294"/>
    </row>
    <row r="501" spans="1:20" x14ac:dyDescent="0.25">
      <c r="A501" s="302"/>
      <c r="C501" s="294"/>
      <c r="D501" s="552" t="s">
        <v>278</v>
      </c>
      <c r="J501" s="5">
        <f t="shared" ref="J501:S501" ca="1" si="229">J518</f>
        <v>0</v>
      </c>
      <c r="K501" s="5">
        <f t="shared" ca="1" si="229"/>
        <v>0</v>
      </c>
      <c r="L501" s="5">
        <f t="shared" ca="1" si="229"/>
        <v>0</v>
      </c>
      <c r="M501" s="5">
        <f t="shared" ca="1" si="229"/>
        <v>0</v>
      </c>
      <c r="N501" s="5">
        <f t="shared" ca="1" si="229"/>
        <v>0</v>
      </c>
      <c r="O501" s="5">
        <f t="shared" ca="1" si="229"/>
        <v>0</v>
      </c>
      <c r="P501" s="5">
        <f t="shared" ca="1" si="229"/>
        <v>0</v>
      </c>
      <c r="Q501" s="5">
        <f t="shared" ca="1" si="229"/>
        <v>0</v>
      </c>
      <c r="R501" s="5">
        <f t="shared" ca="1" si="229"/>
        <v>0</v>
      </c>
      <c r="S501" s="60">
        <f t="shared" ca="1" si="229"/>
        <v>0</v>
      </c>
      <c r="T501" s="294"/>
    </row>
    <row r="502" spans="1:20" ht="6" customHeight="1" x14ac:dyDescent="0.25">
      <c r="A502" s="302"/>
      <c r="C502" s="294"/>
      <c r="J502" s="642" t="s">
        <v>218</v>
      </c>
      <c r="K502" s="642" t="s">
        <v>218</v>
      </c>
      <c r="L502" s="642" t="s">
        <v>218</v>
      </c>
      <c r="M502" s="642" t="s">
        <v>218</v>
      </c>
      <c r="N502" s="642" t="s">
        <v>218</v>
      </c>
      <c r="O502" s="642" t="s">
        <v>218</v>
      </c>
      <c r="P502" s="642" t="s">
        <v>218</v>
      </c>
      <c r="Q502" s="642" t="s">
        <v>218</v>
      </c>
      <c r="R502" s="642" t="s">
        <v>218</v>
      </c>
      <c r="S502" s="542" t="s">
        <v>218</v>
      </c>
      <c r="T502" s="294"/>
    </row>
    <row r="503" spans="1:20" x14ac:dyDescent="0.25">
      <c r="A503" s="302"/>
      <c r="C503" s="294"/>
      <c r="D503" s="552" t="s">
        <v>279</v>
      </c>
      <c r="J503" s="7">
        <f t="shared" ref="J503:S503" ca="1" si="230">J499-J501</f>
        <v>100.80000000000001</v>
      </c>
      <c r="K503" s="7">
        <f t="shared" ca="1" si="230"/>
        <v>123.97099999999999</v>
      </c>
      <c r="L503" s="7">
        <f t="shared" ca="1" si="230"/>
        <v>150.91680749999998</v>
      </c>
      <c r="M503" s="7">
        <f t="shared" ca="1" si="230"/>
        <v>182.21336624374996</v>
      </c>
      <c r="N503" s="7">
        <f t="shared" ca="1" si="230"/>
        <v>218.5233275216718</v>
      </c>
      <c r="O503" s="7">
        <f t="shared" ca="1" si="230"/>
        <v>260.60906657237615</v>
      </c>
      <c r="P503" s="7">
        <f t="shared" ca="1" si="230"/>
        <v>309.34765177816581</v>
      </c>
      <c r="Q503" s="7">
        <f t="shared" ca="1" si="230"/>
        <v>365.74805958447178</v>
      </c>
      <c r="R503" s="7">
        <f t="shared" ca="1" si="230"/>
        <v>430.97097201301005</v>
      </c>
      <c r="S503" s="62">
        <f t="shared" ca="1" si="230"/>
        <v>506.35154416928225</v>
      </c>
      <c r="T503" s="294"/>
    </row>
    <row r="504" spans="1:20" ht="9.75" customHeight="1" x14ac:dyDescent="0.25">
      <c r="A504" s="302"/>
      <c r="C504" s="294"/>
      <c r="J504" s="591" t="s">
        <v>76</v>
      </c>
      <c r="K504" s="591" t="s">
        <v>76</v>
      </c>
      <c r="L504" s="591" t="s">
        <v>76</v>
      </c>
      <c r="M504" s="591" t="s">
        <v>76</v>
      </c>
      <c r="N504" s="591" t="s">
        <v>76</v>
      </c>
      <c r="O504" s="591" t="s">
        <v>76</v>
      </c>
      <c r="P504" s="591" t="s">
        <v>76</v>
      </c>
      <c r="Q504" s="591" t="s">
        <v>76</v>
      </c>
      <c r="R504" s="591" t="s">
        <v>76</v>
      </c>
      <c r="S504" s="635" t="s">
        <v>76</v>
      </c>
      <c r="T504" s="294"/>
    </row>
    <row r="505" spans="1:20" x14ac:dyDescent="0.25">
      <c r="A505" s="302"/>
      <c r="C505" s="294"/>
      <c r="D505" s="657" t="s">
        <v>280</v>
      </c>
      <c r="J505" s="5"/>
      <c r="K505" s="5"/>
      <c r="L505" s="5"/>
      <c r="M505" s="5"/>
      <c r="N505" s="5"/>
      <c r="O505" s="5"/>
      <c r="P505" s="5"/>
      <c r="Q505" s="5"/>
      <c r="R505" s="5"/>
      <c r="S505" s="60"/>
      <c r="T505" s="294"/>
    </row>
    <row r="506" spans="1:20" ht="15.75" customHeight="1" x14ac:dyDescent="0.25">
      <c r="A506" s="302"/>
      <c r="C506" s="294"/>
      <c r="D506" s="552" t="s">
        <v>281</v>
      </c>
      <c r="J506" s="5">
        <f t="shared" ref="J506:S506" ca="1" si="231">IF(J503&gt;0,+J170*(J503-J507),0)</f>
        <v>35.28</v>
      </c>
      <c r="K506" s="5">
        <f t="shared" ca="1" si="231"/>
        <v>43.389849999999996</v>
      </c>
      <c r="L506" s="5">
        <f t="shared" ca="1" si="231"/>
        <v>52.820882624999989</v>
      </c>
      <c r="M506" s="5">
        <f t="shared" ca="1" si="231"/>
        <v>63.774678185312482</v>
      </c>
      <c r="N506" s="5">
        <f t="shared" ca="1" si="231"/>
        <v>76.48316463258513</v>
      </c>
      <c r="O506" s="5">
        <f t="shared" ca="1" si="231"/>
        <v>91.213173300331647</v>
      </c>
      <c r="P506" s="5">
        <f t="shared" ca="1" si="231"/>
        <v>108.27167812235803</v>
      </c>
      <c r="Q506" s="5">
        <f t="shared" ca="1" si="231"/>
        <v>128.01182085456512</v>
      </c>
      <c r="R506" s="5">
        <f t="shared" ca="1" si="231"/>
        <v>150.8398402045535</v>
      </c>
      <c r="S506" s="60">
        <f t="shared" ca="1" si="231"/>
        <v>177.22304045924878</v>
      </c>
      <c r="T506" s="294"/>
    </row>
    <row r="507" spans="1:20" x14ac:dyDescent="0.25">
      <c r="A507" s="302"/>
      <c r="C507" s="294"/>
      <c r="D507" s="552" t="s">
        <v>282</v>
      </c>
      <c r="J507" s="5">
        <f t="shared" ref="J507:S507" ca="1" si="232">IF(J503&gt;0,+J171*J503,0)</f>
        <v>0</v>
      </c>
      <c r="K507" s="5">
        <f t="shared" ca="1" si="232"/>
        <v>0</v>
      </c>
      <c r="L507" s="5">
        <f t="shared" ca="1" si="232"/>
        <v>0</v>
      </c>
      <c r="M507" s="5">
        <f t="shared" ca="1" si="232"/>
        <v>0</v>
      </c>
      <c r="N507" s="5">
        <f t="shared" ca="1" si="232"/>
        <v>0</v>
      </c>
      <c r="O507" s="5">
        <f t="shared" ca="1" si="232"/>
        <v>0</v>
      </c>
      <c r="P507" s="5">
        <f t="shared" ca="1" si="232"/>
        <v>0</v>
      </c>
      <c r="Q507" s="5">
        <f t="shared" ca="1" si="232"/>
        <v>0</v>
      </c>
      <c r="R507" s="5">
        <f t="shared" ca="1" si="232"/>
        <v>0</v>
      </c>
      <c r="S507" s="60">
        <f t="shared" ca="1" si="232"/>
        <v>0</v>
      </c>
      <c r="T507" s="294"/>
    </row>
    <row r="508" spans="1:20" ht="6.75" customHeight="1" x14ac:dyDescent="0.25">
      <c r="A508" s="302"/>
      <c r="C508" s="294"/>
      <c r="J508" s="642" t="s">
        <v>218</v>
      </c>
      <c r="K508" s="642" t="s">
        <v>218</v>
      </c>
      <c r="L508" s="642" t="s">
        <v>218</v>
      </c>
      <c r="M508" s="642" t="s">
        <v>218</v>
      </c>
      <c r="N508" s="642" t="s">
        <v>218</v>
      </c>
      <c r="O508" s="642" t="s">
        <v>218</v>
      </c>
      <c r="P508" s="642" t="s">
        <v>218</v>
      </c>
      <c r="Q508" s="642" t="s">
        <v>218</v>
      </c>
      <c r="R508" s="642" t="s">
        <v>218</v>
      </c>
      <c r="S508" s="542" t="s">
        <v>218</v>
      </c>
      <c r="T508" s="294"/>
    </row>
    <row r="509" spans="1:20" x14ac:dyDescent="0.25">
      <c r="A509" s="302"/>
      <c r="C509" s="294"/>
      <c r="D509" s="552" t="s">
        <v>283</v>
      </c>
      <c r="J509" s="5">
        <f t="shared" ref="J509:S509" ca="1" si="233">J506+J507</f>
        <v>35.28</v>
      </c>
      <c r="K509" s="5">
        <f t="shared" ca="1" si="233"/>
        <v>43.389849999999996</v>
      </c>
      <c r="L509" s="5">
        <f t="shared" ca="1" si="233"/>
        <v>52.820882624999989</v>
      </c>
      <c r="M509" s="5">
        <f t="shared" ca="1" si="233"/>
        <v>63.774678185312482</v>
      </c>
      <c r="N509" s="5">
        <f t="shared" ca="1" si="233"/>
        <v>76.48316463258513</v>
      </c>
      <c r="O509" s="5">
        <f t="shared" ca="1" si="233"/>
        <v>91.213173300331647</v>
      </c>
      <c r="P509" s="5">
        <f t="shared" ca="1" si="233"/>
        <v>108.27167812235803</v>
      </c>
      <c r="Q509" s="5">
        <f t="shared" ca="1" si="233"/>
        <v>128.01182085456512</v>
      </c>
      <c r="R509" s="5">
        <f t="shared" ca="1" si="233"/>
        <v>150.8398402045535</v>
      </c>
      <c r="S509" s="60">
        <f t="shared" ca="1" si="233"/>
        <v>177.22304045924878</v>
      </c>
      <c r="T509" s="294"/>
    </row>
    <row r="510" spans="1:20" x14ac:dyDescent="0.25">
      <c r="A510" s="302"/>
      <c r="C510" s="294"/>
      <c r="J510" s="5"/>
      <c r="K510" s="5"/>
      <c r="L510" s="5"/>
      <c r="M510" s="5"/>
      <c r="N510" s="5"/>
      <c r="O510" s="5"/>
      <c r="P510" s="5"/>
      <c r="Q510" s="5"/>
      <c r="R510" s="5"/>
      <c r="S510" s="60"/>
      <c r="T510" s="294"/>
    </row>
    <row r="511" spans="1:20" x14ac:dyDescent="0.25">
      <c r="A511" s="302"/>
      <c r="C511" s="294"/>
      <c r="D511" s="552" t="s">
        <v>284</v>
      </c>
      <c r="J511" s="541">
        <v>0</v>
      </c>
      <c r="K511" s="541">
        <v>0</v>
      </c>
      <c r="L511" s="541">
        <v>0</v>
      </c>
      <c r="M511" s="541">
        <v>0</v>
      </c>
      <c r="N511" s="541">
        <v>0</v>
      </c>
      <c r="O511" s="541">
        <v>0</v>
      </c>
      <c r="P511" s="541">
        <v>0</v>
      </c>
      <c r="Q511" s="541">
        <v>0</v>
      </c>
      <c r="R511" s="541">
        <v>0</v>
      </c>
      <c r="S511" s="551">
        <v>0</v>
      </c>
      <c r="T511" s="294"/>
    </row>
    <row r="512" spans="1:20" ht="7.5" customHeight="1" x14ac:dyDescent="0.25">
      <c r="A512" s="302"/>
      <c r="C512" s="294"/>
      <c r="J512" s="642" t="s">
        <v>218</v>
      </c>
      <c r="K512" s="642" t="s">
        <v>218</v>
      </c>
      <c r="L512" s="642" t="s">
        <v>218</v>
      </c>
      <c r="M512" s="642" t="s">
        <v>218</v>
      </c>
      <c r="N512" s="642" t="s">
        <v>218</v>
      </c>
      <c r="O512" s="642" t="s">
        <v>218</v>
      </c>
      <c r="P512" s="642" t="s">
        <v>218</v>
      </c>
      <c r="Q512" s="642" t="s">
        <v>218</v>
      </c>
      <c r="R512" s="642" t="s">
        <v>218</v>
      </c>
      <c r="S512" s="542" t="s">
        <v>218</v>
      </c>
      <c r="T512" s="294"/>
    </row>
    <row r="513" spans="1:20" x14ac:dyDescent="0.25">
      <c r="A513" s="302"/>
      <c r="C513" s="294"/>
      <c r="D513" s="552" t="s">
        <v>285</v>
      </c>
      <c r="J513" s="7">
        <f t="shared" ref="J513:S513" ca="1" si="234">J509-J511</f>
        <v>35.28</v>
      </c>
      <c r="K513" s="7">
        <f t="shared" ca="1" si="234"/>
        <v>43.389849999999996</v>
      </c>
      <c r="L513" s="7">
        <f t="shared" ca="1" si="234"/>
        <v>52.820882624999989</v>
      </c>
      <c r="M513" s="7">
        <f t="shared" ca="1" si="234"/>
        <v>63.774678185312482</v>
      </c>
      <c r="N513" s="7">
        <f t="shared" ca="1" si="234"/>
        <v>76.48316463258513</v>
      </c>
      <c r="O513" s="7">
        <f t="shared" ca="1" si="234"/>
        <v>91.213173300331647</v>
      </c>
      <c r="P513" s="7">
        <f t="shared" ca="1" si="234"/>
        <v>108.27167812235803</v>
      </c>
      <c r="Q513" s="7">
        <f t="shared" ca="1" si="234"/>
        <v>128.01182085456512</v>
      </c>
      <c r="R513" s="7">
        <f t="shared" ca="1" si="234"/>
        <v>150.8398402045535</v>
      </c>
      <c r="S513" s="62">
        <f t="shared" ca="1" si="234"/>
        <v>177.22304045924878</v>
      </c>
      <c r="T513" s="294"/>
    </row>
    <row r="514" spans="1:20" ht="9" customHeight="1" x14ac:dyDescent="0.25">
      <c r="A514" s="302"/>
      <c r="C514" s="294"/>
      <c r="J514" s="642" t="s">
        <v>76</v>
      </c>
      <c r="K514" s="642" t="s">
        <v>76</v>
      </c>
      <c r="L514" s="642" t="s">
        <v>76</v>
      </c>
      <c r="M514" s="642" t="s">
        <v>76</v>
      </c>
      <c r="N514" s="642" t="s">
        <v>76</v>
      </c>
      <c r="O514" s="642" t="s">
        <v>76</v>
      </c>
      <c r="P514" s="642" t="s">
        <v>76</v>
      </c>
      <c r="Q514" s="642" t="s">
        <v>76</v>
      </c>
      <c r="R514" s="642" t="s">
        <v>76</v>
      </c>
      <c r="S514" s="542" t="s">
        <v>76</v>
      </c>
      <c r="T514" s="294"/>
    </row>
    <row r="515" spans="1:20" x14ac:dyDescent="0.25">
      <c r="A515" s="302"/>
      <c r="C515" s="294"/>
      <c r="D515" s="654" t="s">
        <v>286</v>
      </c>
      <c r="O515" s="1"/>
      <c r="S515" s="41"/>
      <c r="T515" s="294"/>
    </row>
    <row r="516" spans="1:20" ht="15.75" customHeight="1" x14ac:dyDescent="0.25">
      <c r="A516" s="302"/>
      <c r="C516" s="294"/>
      <c r="D516" s="552" t="s">
        <v>287</v>
      </c>
      <c r="J516" s="540">
        <v>0</v>
      </c>
      <c r="K516" s="7">
        <f t="shared" ref="K516:S516" ca="1" si="235">J519</f>
        <v>0</v>
      </c>
      <c r="L516" s="7">
        <f t="shared" ca="1" si="235"/>
        <v>0</v>
      </c>
      <c r="M516" s="7">
        <f t="shared" ca="1" si="235"/>
        <v>0</v>
      </c>
      <c r="N516" s="7">
        <f t="shared" ca="1" si="235"/>
        <v>0</v>
      </c>
      <c r="O516" s="7">
        <f t="shared" ca="1" si="235"/>
        <v>0</v>
      </c>
      <c r="P516" s="7">
        <f t="shared" ca="1" si="235"/>
        <v>0</v>
      </c>
      <c r="Q516" s="7">
        <f t="shared" ca="1" si="235"/>
        <v>0</v>
      </c>
      <c r="R516" s="7">
        <f t="shared" ca="1" si="235"/>
        <v>0</v>
      </c>
      <c r="S516" s="62">
        <f t="shared" ca="1" si="235"/>
        <v>0</v>
      </c>
      <c r="T516" s="294"/>
    </row>
    <row r="517" spans="1:20" x14ac:dyDescent="0.25">
      <c r="A517" s="302"/>
      <c r="C517" s="294"/>
      <c r="D517" s="552" t="s">
        <v>288</v>
      </c>
      <c r="J517" s="5">
        <f t="shared" ref="J517:S517" ca="1" si="236">IF(J499&lt;0,-J499,0)</f>
        <v>0</v>
      </c>
      <c r="K517" s="5">
        <f t="shared" ca="1" si="236"/>
        <v>0</v>
      </c>
      <c r="L517" s="5">
        <f t="shared" ca="1" si="236"/>
        <v>0</v>
      </c>
      <c r="M517" s="5">
        <f t="shared" ca="1" si="236"/>
        <v>0</v>
      </c>
      <c r="N517" s="5">
        <f t="shared" ca="1" si="236"/>
        <v>0</v>
      </c>
      <c r="O517" s="5">
        <f t="shared" ca="1" si="236"/>
        <v>0</v>
      </c>
      <c r="P517" s="5">
        <f t="shared" ca="1" si="236"/>
        <v>0</v>
      </c>
      <c r="Q517" s="5">
        <f t="shared" ca="1" si="236"/>
        <v>0</v>
      </c>
      <c r="R517" s="5">
        <f t="shared" ca="1" si="236"/>
        <v>0</v>
      </c>
      <c r="S517" s="60">
        <f t="shared" ca="1" si="236"/>
        <v>0</v>
      </c>
      <c r="T517" s="294"/>
    </row>
    <row r="518" spans="1:20" x14ac:dyDescent="0.25">
      <c r="A518" s="302"/>
      <c r="C518" s="294"/>
      <c r="D518" s="552" t="s">
        <v>289</v>
      </c>
      <c r="J518" s="5">
        <f t="shared" ref="J518:S518" ca="1" si="237">IF(J499&gt;0,IF(J516&gt;J499,J499,J516),0)</f>
        <v>0</v>
      </c>
      <c r="K518" s="5">
        <f t="shared" ca="1" si="237"/>
        <v>0</v>
      </c>
      <c r="L518" s="5">
        <f t="shared" ca="1" si="237"/>
        <v>0</v>
      </c>
      <c r="M518" s="5">
        <f t="shared" ca="1" si="237"/>
        <v>0</v>
      </c>
      <c r="N518" s="5">
        <f t="shared" ca="1" si="237"/>
        <v>0</v>
      </c>
      <c r="O518" s="5">
        <f t="shared" ca="1" si="237"/>
        <v>0</v>
      </c>
      <c r="P518" s="5">
        <f t="shared" ca="1" si="237"/>
        <v>0</v>
      </c>
      <c r="Q518" s="5">
        <f t="shared" ca="1" si="237"/>
        <v>0</v>
      </c>
      <c r="R518" s="5">
        <f t="shared" ca="1" si="237"/>
        <v>0</v>
      </c>
      <c r="S518" s="60">
        <f t="shared" ca="1" si="237"/>
        <v>0</v>
      </c>
      <c r="T518" s="294"/>
    </row>
    <row r="519" spans="1:20" x14ac:dyDescent="0.25">
      <c r="A519" s="302"/>
      <c r="C519" s="294"/>
      <c r="D519" s="552" t="s">
        <v>290</v>
      </c>
      <c r="J519" s="5">
        <f t="shared" ref="J519:S519" ca="1" si="238">J516+J517-J518</f>
        <v>0</v>
      </c>
      <c r="K519" s="5">
        <f t="shared" ca="1" si="238"/>
        <v>0</v>
      </c>
      <c r="L519" s="5">
        <f t="shared" ca="1" si="238"/>
        <v>0</v>
      </c>
      <c r="M519" s="5">
        <f t="shared" ca="1" si="238"/>
        <v>0</v>
      </c>
      <c r="N519" s="5">
        <f t="shared" ca="1" si="238"/>
        <v>0</v>
      </c>
      <c r="O519" s="5">
        <f t="shared" ca="1" si="238"/>
        <v>0</v>
      </c>
      <c r="P519" s="5">
        <f t="shared" ca="1" si="238"/>
        <v>0</v>
      </c>
      <c r="Q519" s="5">
        <f t="shared" ca="1" si="238"/>
        <v>0</v>
      </c>
      <c r="R519" s="5">
        <f t="shared" ca="1" si="238"/>
        <v>0</v>
      </c>
      <c r="S519" s="60">
        <f t="shared" ca="1" si="238"/>
        <v>0</v>
      </c>
      <c r="T519" s="294"/>
    </row>
    <row r="520" spans="1:20" x14ac:dyDescent="0.25">
      <c r="A520" s="302"/>
      <c r="C520" s="299"/>
      <c r="O520" s="1"/>
      <c r="S520" s="41"/>
      <c r="T520" s="294"/>
    </row>
    <row r="521" spans="1:20" x14ac:dyDescent="0.25">
      <c r="A521" s="302"/>
      <c r="C521" s="299"/>
      <c r="O521" s="1"/>
      <c r="S521" s="41"/>
      <c r="T521" s="294"/>
    </row>
    <row r="522" spans="1:20" ht="26.25" customHeight="1" x14ac:dyDescent="0.25">
      <c r="A522" s="304"/>
      <c r="C522" s="294"/>
      <c r="D522" s="656" t="s">
        <v>291</v>
      </c>
      <c r="E522" s="170"/>
      <c r="F522" s="170"/>
      <c r="G522" s="170"/>
      <c r="H522" s="170"/>
      <c r="I522" s="170"/>
      <c r="J522" s="170"/>
      <c r="K522" s="170"/>
      <c r="L522" s="170"/>
      <c r="M522" s="170"/>
      <c r="N522" s="170"/>
      <c r="O522" s="170"/>
      <c r="P522" s="170"/>
      <c r="Q522" s="170"/>
      <c r="R522" s="170"/>
      <c r="S522" s="213"/>
      <c r="T522" s="294"/>
    </row>
    <row r="523" spans="1:20" x14ac:dyDescent="0.25">
      <c r="A523" s="304"/>
      <c r="C523" s="294"/>
      <c r="D523" s="61"/>
      <c r="J523" s="166" t="str">
        <f>"Projected Fiscal Years Ending "&amp;H1372</f>
        <v>Projected Fiscal Years Ending December 31,</v>
      </c>
      <c r="K523" s="165"/>
      <c r="L523" s="165"/>
      <c r="M523" s="165"/>
      <c r="N523" s="165"/>
      <c r="O523" s="165"/>
      <c r="P523" s="165"/>
      <c r="Q523" s="165"/>
      <c r="R523" s="165"/>
      <c r="S523" s="165"/>
      <c r="T523" s="294"/>
    </row>
    <row r="524" spans="1:20" x14ac:dyDescent="0.25">
      <c r="A524" s="302"/>
      <c r="C524" s="294"/>
      <c r="D524" s="3"/>
      <c r="J524" s="403">
        <f>H1371</f>
        <v>1998</v>
      </c>
      <c r="K524" s="76">
        <f t="shared" ref="K524:S524" si="239">J524+1</f>
        <v>1999</v>
      </c>
      <c r="L524" s="76">
        <f t="shared" si="239"/>
        <v>2000</v>
      </c>
      <c r="M524" s="76">
        <f t="shared" si="239"/>
        <v>2001</v>
      </c>
      <c r="N524" s="76">
        <f t="shared" si="239"/>
        <v>2002</v>
      </c>
      <c r="O524" s="76">
        <f t="shared" si="239"/>
        <v>2003</v>
      </c>
      <c r="P524" s="76">
        <f t="shared" si="239"/>
        <v>2004</v>
      </c>
      <c r="Q524" s="76">
        <f t="shared" si="239"/>
        <v>2005</v>
      </c>
      <c r="R524" s="76">
        <f t="shared" si="239"/>
        <v>2006</v>
      </c>
      <c r="S524" s="181">
        <f t="shared" si="239"/>
        <v>2007</v>
      </c>
      <c r="T524" s="294"/>
    </row>
    <row r="525" spans="1:20" x14ac:dyDescent="0.25">
      <c r="A525" s="302"/>
      <c r="C525" s="294"/>
      <c r="O525" s="1"/>
      <c r="S525" s="41"/>
      <c r="T525" s="294"/>
    </row>
    <row r="526" spans="1:20" x14ac:dyDescent="0.25">
      <c r="A526" s="302"/>
      <c r="C526" s="294"/>
      <c r="D526" s="552" t="s">
        <v>273</v>
      </c>
      <c r="J526" s="7">
        <f t="shared" ref="J526:S526" ca="1" si="240">J493</f>
        <v>100.80000000000001</v>
      </c>
      <c r="K526" s="7">
        <f t="shared" ca="1" si="240"/>
        <v>123.97099999999999</v>
      </c>
      <c r="L526" s="7">
        <f t="shared" ca="1" si="240"/>
        <v>150.91680749999998</v>
      </c>
      <c r="M526" s="7">
        <f t="shared" ca="1" si="240"/>
        <v>182.21336624374996</v>
      </c>
      <c r="N526" s="7">
        <f t="shared" ca="1" si="240"/>
        <v>218.5233275216718</v>
      </c>
      <c r="O526" s="7">
        <f t="shared" ca="1" si="240"/>
        <v>260.60906657237615</v>
      </c>
      <c r="P526" s="7">
        <f t="shared" ca="1" si="240"/>
        <v>309.34765177816581</v>
      </c>
      <c r="Q526" s="7">
        <f t="shared" ca="1" si="240"/>
        <v>365.74805958447178</v>
      </c>
      <c r="R526" s="7">
        <f t="shared" ca="1" si="240"/>
        <v>430.97097201301005</v>
      </c>
      <c r="S526" s="62">
        <f t="shared" ca="1" si="240"/>
        <v>506.35154416928225</v>
      </c>
      <c r="T526" s="294"/>
    </row>
    <row r="527" spans="1:20" x14ac:dyDescent="0.25">
      <c r="A527" s="302"/>
      <c r="C527" s="294"/>
      <c r="O527" s="1"/>
      <c r="S527" s="41"/>
      <c r="T527" s="294"/>
    </row>
    <row r="528" spans="1:20" x14ac:dyDescent="0.25">
      <c r="A528" s="302"/>
      <c r="C528" s="294"/>
      <c r="D528" s="638" t="s">
        <v>274</v>
      </c>
      <c r="O528" s="1"/>
      <c r="S528" s="41"/>
      <c r="T528" s="294"/>
    </row>
    <row r="529" spans="1:20" ht="15" customHeight="1" x14ac:dyDescent="0.25">
      <c r="A529" s="302"/>
      <c r="C529" s="294"/>
      <c r="D529" s="552" t="s">
        <v>275</v>
      </c>
      <c r="J529" s="5">
        <f t="shared" ref="J529:S529" ca="1" si="241">J496</f>
        <v>0</v>
      </c>
      <c r="K529" s="5">
        <f t="shared" ca="1" si="241"/>
        <v>0</v>
      </c>
      <c r="L529" s="5">
        <f t="shared" ca="1" si="241"/>
        <v>0</v>
      </c>
      <c r="M529" s="5">
        <f t="shared" ca="1" si="241"/>
        <v>0</v>
      </c>
      <c r="N529" s="5">
        <f t="shared" ca="1" si="241"/>
        <v>0</v>
      </c>
      <c r="O529" s="5">
        <f t="shared" ca="1" si="241"/>
        <v>0</v>
      </c>
      <c r="P529" s="5">
        <f t="shared" ca="1" si="241"/>
        <v>0</v>
      </c>
      <c r="Q529" s="5">
        <f t="shared" ca="1" si="241"/>
        <v>0</v>
      </c>
      <c r="R529" s="5">
        <f t="shared" ca="1" si="241"/>
        <v>0</v>
      </c>
      <c r="S529" s="60">
        <f t="shared" ca="1" si="241"/>
        <v>0</v>
      </c>
      <c r="T529" s="294"/>
    </row>
    <row r="530" spans="1:20" x14ac:dyDescent="0.25">
      <c r="A530" s="302"/>
      <c r="C530" s="294"/>
      <c r="D530" s="552" t="s">
        <v>292</v>
      </c>
      <c r="H530" s="38"/>
      <c r="J530" s="5">
        <f t="shared" ref="J530:S530" ca="1" si="242">(1-$H$1380)*J238</f>
        <v>0</v>
      </c>
      <c r="K530" s="5">
        <f t="shared" ca="1" si="242"/>
        <v>0</v>
      </c>
      <c r="L530" s="5">
        <f t="shared" ca="1" si="242"/>
        <v>0</v>
      </c>
      <c r="M530" s="5">
        <f t="shared" ca="1" si="242"/>
        <v>0</v>
      </c>
      <c r="N530" s="5">
        <f t="shared" ca="1" si="242"/>
        <v>0</v>
      </c>
      <c r="O530" s="5">
        <f t="shared" ca="1" si="242"/>
        <v>0</v>
      </c>
      <c r="P530" s="5">
        <f t="shared" ca="1" si="242"/>
        <v>0</v>
      </c>
      <c r="Q530" s="5">
        <f t="shared" si="242"/>
        <v>0</v>
      </c>
      <c r="R530" s="5">
        <f t="shared" si="242"/>
        <v>0</v>
      </c>
      <c r="S530" s="60">
        <f t="shared" si="242"/>
        <v>0</v>
      </c>
      <c r="T530" s="294"/>
    </row>
    <row r="531" spans="1:20" x14ac:dyDescent="0.25">
      <c r="A531" s="302"/>
      <c r="C531" s="294"/>
      <c r="D531" s="552" t="s">
        <v>276</v>
      </c>
      <c r="J531" s="541">
        <v>0</v>
      </c>
      <c r="K531" s="541">
        <v>0</v>
      </c>
      <c r="L531" s="541">
        <v>0</v>
      </c>
      <c r="M531" s="541">
        <v>0</v>
      </c>
      <c r="N531" s="541">
        <v>0</v>
      </c>
      <c r="O531" s="541">
        <v>0</v>
      </c>
      <c r="P531" s="541">
        <v>0</v>
      </c>
      <c r="Q531" s="541">
        <v>0</v>
      </c>
      <c r="R531" s="541">
        <v>0</v>
      </c>
      <c r="S531" s="551">
        <v>0</v>
      </c>
      <c r="T531" s="294"/>
    </row>
    <row r="532" spans="1:20" ht="6.75" customHeight="1" x14ac:dyDescent="0.25">
      <c r="A532" s="302"/>
      <c r="C532" s="294"/>
      <c r="J532" s="642" t="s">
        <v>293</v>
      </c>
      <c r="K532" s="642" t="s">
        <v>293</v>
      </c>
      <c r="L532" s="642" t="s">
        <v>293</v>
      </c>
      <c r="M532" s="642" t="s">
        <v>293</v>
      </c>
      <c r="N532" s="642" t="s">
        <v>293</v>
      </c>
      <c r="O532" s="642" t="s">
        <v>293</v>
      </c>
      <c r="P532" s="642" t="s">
        <v>293</v>
      </c>
      <c r="Q532" s="642" t="s">
        <v>293</v>
      </c>
      <c r="R532" s="642" t="s">
        <v>293</v>
      </c>
      <c r="S532" s="542" t="s">
        <v>293</v>
      </c>
      <c r="T532" s="294"/>
    </row>
    <row r="533" spans="1:20" x14ac:dyDescent="0.25">
      <c r="A533" s="302"/>
      <c r="C533" s="294"/>
      <c r="J533" s="5">
        <f t="shared" ref="J533:S533" ca="1" si="243">SUM(J529:J531)</f>
        <v>0</v>
      </c>
      <c r="K533" s="5">
        <f t="shared" ca="1" si="243"/>
        <v>0</v>
      </c>
      <c r="L533" s="5">
        <f t="shared" ca="1" si="243"/>
        <v>0</v>
      </c>
      <c r="M533" s="5">
        <f t="shared" ca="1" si="243"/>
        <v>0</v>
      </c>
      <c r="N533" s="5">
        <f t="shared" ca="1" si="243"/>
        <v>0</v>
      </c>
      <c r="O533" s="5">
        <f t="shared" ca="1" si="243"/>
        <v>0</v>
      </c>
      <c r="P533" s="5">
        <f t="shared" ca="1" si="243"/>
        <v>0</v>
      </c>
      <c r="Q533" s="5">
        <f t="shared" ca="1" si="243"/>
        <v>0</v>
      </c>
      <c r="R533" s="5">
        <f t="shared" ca="1" si="243"/>
        <v>0</v>
      </c>
      <c r="S533" s="60">
        <f t="shared" ca="1" si="243"/>
        <v>0</v>
      </c>
      <c r="T533" s="294"/>
    </row>
    <row r="534" spans="1:20" x14ac:dyDescent="0.25">
      <c r="A534" s="302"/>
      <c r="C534" s="294"/>
      <c r="D534" s="638" t="s">
        <v>294</v>
      </c>
      <c r="J534" s="5"/>
      <c r="K534" s="5"/>
      <c r="L534" s="5"/>
      <c r="M534" s="5"/>
      <c r="N534" s="5"/>
      <c r="O534" s="5"/>
      <c r="P534" s="5"/>
      <c r="Q534" s="5"/>
      <c r="R534" s="5"/>
      <c r="S534" s="60"/>
      <c r="T534" s="294"/>
    </row>
    <row r="535" spans="1:20" ht="16.5" customHeight="1" x14ac:dyDescent="0.25">
      <c r="A535" s="302"/>
      <c r="C535" s="294"/>
      <c r="D535" s="552" t="s">
        <v>295</v>
      </c>
      <c r="J535" s="5">
        <f t="shared" ref="J535:S535" si="244">J114</f>
        <v>25</v>
      </c>
      <c r="K535" s="5">
        <f t="shared" si="244"/>
        <v>25</v>
      </c>
      <c r="L535" s="5">
        <f t="shared" si="244"/>
        <v>25</v>
      </c>
      <c r="M535" s="5">
        <f t="shared" si="244"/>
        <v>25</v>
      </c>
      <c r="N535" s="5">
        <f t="shared" si="244"/>
        <v>25</v>
      </c>
      <c r="O535" s="5">
        <f t="shared" si="244"/>
        <v>25</v>
      </c>
      <c r="P535" s="5">
        <f t="shared" si="244"/>
        <v>25</v>
      </c>
      <c r="Q535" s="5">
        <f t="shared" si="244"/>
        <v>25</v>
      </c>
      <c r="R535" s="5">
        <f t="shared" si="244"/>
        <v>25</v>
      </c>
      <c r="S535" s="60">
        <f t="shared" si="244"/>
        <v>25</v>
      </c>
      <c r="T535" s="294"/>
    </row>
    <row r="536" spans="1:20" x14ac:dyDescent="0.25">
      <c r="A536" s="302"/>
      <c r="C536" s="294"/>
      <c r="D536" s="552" t="s">
        <v>296</v>
      </c>
      <c r="J536" s="5">
        <f t="shared" ref="J536:S536" si="245">J115</f>
        <v>25</v>
      </c>
      <c r="K536" s="5">
        <f t="shared" si="245"/>
        <v>25</v>
      </c>
      <c r="L536" s="5">
        <f t="shared" si="245"/>
        <v>25</v>
      </c>
      <c r="M536" s="5">
        <f t="shared" si="245"/>
        <v>25</v>
      </c>
      <c r="N536" s="5">
        <f t="shared" si="245"/>
        <v>25</v>
      </c>
      <c r="O536" s="5">
        <f t="shared" si="245"/>
        <v>25</v>
      </c>
      <c r="P536" s="5">
        <f t="shared" si="245"/>
        <v>25</v>
      </c>
      <c r="Q536" s="5">
        <f t="shared" si="245"/>
        <v>25</v>
      </c>
      <c r="R536" s="5">
        <f t="shared" si="245"/>
        <v>25</v>
      </c>
      <c r="S536" s="60">
        <f t="shared" si="245"/>
        <v>25</v>
      </c>
      <c r="T536" s="294"/>
    </row>
    <row r="537" spans="1:20" ht="6.75" customHeight="1" x14ac:dyDescent="0.25">
      <c r="A537" s="302"/>
      <c r="C537" s="294"/>
      <c r="J537" s="642" t="s">
        <v>293</v>
      </c>
      <c r="K537" s="642" t="s">
        <v>293</v>
      </c>
      <c r="L537" s="642" t="s">
        <v>293</v>
      </c>
      <c r="M537" s="642" t="s">
        <v>293</v>
      </c>
      <c r="N537" s="642" t="s">
        <v>293</v>
      </c>
      <c r="O537" s="642" t="s">
        <v>293</v>
      </c>
      <c r="P537" s="642" t="s">
        <v>293</v>
      </c>
      <c r="Q537" s="642" t="s">
        <v>293</v>
      </c>
      <c r="R537" s="642" t="s">
        <v>293</v>
      </c>
      <c r="S537" s="542" t="s">
        <v>293</v>
      </c>
      <c r="T537" s="294"/>
    </row>
    <row r="538" spans="1:20" x14ac:dyDescent="0.25">
      <c r="A538" s="302"/>
      <c r="C538" s="294"/>
      <c r="J538" s="5">
        <f t="shared" ref="J538:S538" si="246">J535-J536</f>
        <v>0</v>
      </c>
      <c r="K538" s="5">
        <f t="shared" si="246"/>
        <v>0</v>
      </c>
      <c r="L538" s="5">
        <f t="shared" si="246"/>
        <v>0</v>
      </c>
      <c r="M538" s="5">
        <f t="shared" si="246"/>
        <v>0</v>
      </c>
      <c r="N538" s="5">
        <f t="shared" si="246"/>
        <v>0</v>
      </c>
      <c r="O538" s="5">
        <f t="shared" si="246"/>
        <v>0</v>
      </c>
      <c r="P538" s="5">
        <f t="shared" si="246"/>
        <v>0</v>
      </c>
      <c r="Q538" s="5">
        <f t="shared" si="246"/>
        <v>0</v>
      </c>
      <c r="R538" s="5">
        <f t="shared" si="246"/>
        <v>0</v>
      </c>
      <c r="S538" s="60">
        <f t="shared" si="246"/>
        <v>0</v>
      </c>
      <c r="T538" s="294"/>
    </row>
    <row r="539" spans="1:20" x14ac:dyDescent="0.25">
      <c r="A539" s="302"/>
      <c r="C539" s="294"/>
      <c r="J539" s="5"/>
      <c r="K539" s="5"/>
      <c r="L539" s="5"/>
      <c r="M539" s="5"/>
      <c r="N539" s="5"/>
      <c r="O539" s="5"/>
      <c r="P539" s="5"/>
      <c r="Q539" s="5"/>
      <c r="R539" s="5"/>
      <c r="S539" s="60"/>
      <c r="T539" s="294"/>
    </row>
    <row r="540" spans="1:20" x14ac:dyDescent="0.25">
      <c r="A540" s="302"/>
      <c r="C540" s="294"/>
      <c r="D540" s="552" t="s">
        <v>297</v>
      </c>
      <c r="J540" s="921">
        <v>0</v>
      </c>
      <c r="K540" s="921">
        <v>0</v>
      </c>
      <c r="L540" s="921">
        <v>0</v>
      </c>
      <c r="M540" s="921">
        <v>0</v>
      </c>
      <c r="N540" s="921">
        <v>0</v>
      </c>
      <c r="O540" s="921">
        <v>0</v>
      </c>
      <c r="P540" s="921">
        <v>0</v>
      </c>
      <c r="Q540" s="921">
        <v>0</v>
      </c>
      <c r="R540" s="921">
        <v>0</v>
      </c>
      <c r="S540" s="921">
        <v>0</v>
      </c>
      <c r="T540" s="294"/>
    </row>
    <row r="541" spans="1:20" ht="7.5" customHeight="1" x14ac:dyDescent="0.25">
      <c r="A541" s="302"/>
      <c r="C541" s="294"/>
      <c r="J541" s="642" t="s">
        <v>40</v>
      </c>
      <c r="K541" s="642" t="s">
        <v>40</v>
      </c>
      <c r="L541" s="642" t="s">
        <v>40</v>
      </c>
      <c r="M541" s="642" t="s">
        <v>40</v>
      </c>
      <c r="N541" s="642" t="s">
        <v>40</v>
      </c>
      <c r="O541" s="642" t="s">
        <v>40</v>
      </c>
      <c r="P541" s="642" t="s">
        <v>40</v>
      </c>
      <c r="Q541" s="642" t="s">
        <v>40</v>
      </c>
      <c r="R541" s="642" t="s">
        <v>40</v>
      </c>
      <c r="S541" s="542" t="s">
        <v>40</v>
      </c>
      <c r="T541" s="294"/>
    </row>
    <row r="542" spans="1:20" x14ac:dyDescent="0.25">
      <c r="A542" s="302"/>
      <c r="C542" s="294"/>
      <c r="D542" s="552" t="s">
        <v>298</v>
      </c>
      <c r="J542" s="5">
        <f t="shared" ref="J542:S542" ca="1" si="247">J526+J533+J538+J540</f>
        <v>100.80000000000001</v>
      </c>
      <c r="K542" s="5">
        <f t="shared" ca="1" si="247"/>
        <v>123.97099999999999</v>
      </c>
      <c r="L542" s="5">
        <f t="shared" ca="1" si="247"/>
        <v>150.91680749999998</v>
      </c>
      <c r="M542" s="5">
        <f t="shared" ca="1" si="247"/>
        <v>182.21336624374996</v>
      </c>
      <c r="N542" s="5">
        <f t="shared" ca="1" si="247"/>
        <v>218.5233275216718</v>
      </c>
      <c r="O542" s="5">
        <f t="shared" ca="1" si="247"/>
        <v>260.60906657237615</v>
      </c>
      <c r="P542" s="5">
        <f t="shared" ca="1" si="247"/>
        <v>309.34765177816581</v>
      </c>
      <c r="Q542" s="5">
        <f t="shared" ca="1" si="247"/>
        <v>365.74805958447178</v>
      </c>
      <c r="R542" s="5">
        <f t="shared" ca="1" si="247"/>
        <v>430.97097201301005</v>
      </c>
      <c r="S542" s="60">
        <f t="shared" ca="1" si="247"/>
        <v>506.35154416928225</v>
      </c>
      <c r="T542" s="294"/>
    </row>
    <row r="543" spans="1:20" x14ac:dyDescent="0.25">
      <c r="A543" s="302"/>
      <c r="C543" s="294"/>
      <c r="J543" s="5"/>
      <c r="K543" s="5"/>
      <c r="L543" s="5"/>
      <c r="M543" s="5"/>
      <c r="N543" s="5"/>
      <c r="O543" s="5"/>
      <c r="P543" s="5"/>
      <c r="Q543" s="5"/>
      <c r="R543" s="5"/>
      <c r="S543" s="60"/>
      <c r="T543" s="294"/>
    </row>
    <row r="544" spans="1:20" x14ac:dyDescent="0.25">
      <c r="A544" s="302"/>
      <c r="C544" s="294"/>
      <c r="D544" s="552" t="s">
        <v>299</v>
      </c>
      <c r="J544" s="5">
        <f t="shared" ref="J544:S544" ca="1" si="248">J562</f>
        <v>0</v>
      </c>
      <c r="K544" s="5">
        <f t="shared" ca="1" si="248"/>
        <v>0</v>
      </c>
      <c r="L544" s="5">
        <f t="shared" ca="1" si="248"/>
        <v>0</v>
      </c>
      <c r="M544" s="5">
        <f t="shared" ca="1" si="248"/>
        <v>0</v>
      </c>
      <c r="N544" s="5">
        <f t="shared" ca="1" si="248"/>
        <v>0</v>
      </c>
      <c r="O544" s="5">
        <f t="shared" ca="1" si="248"/>
        <v>0</v>
      </c>
      <c r="P544" s="5">
        <f t="shared" ca="1" si="248"/>
        <v>0</v>
      </c>
      <c r="Q544" s="5">
        <f t="shared" ca="1" si="248"/>
        <v>0</v>
      </c>
      <c r="R544" s="5">
        <f t="shared" ca="1" si="248"/>
        <v>0</v>
      </c>
      <c r="S544" s="60">
        <f t="shared" ca="1" si="248"/>
        <v>0</v>
      </c>
      <c r="T544" s="294"/>
    </row>
    <row r="545" spans="1:20" ht="6" customHeight="1" x14ac:dyDescent="0.25">
      <c r="A545" s="302"/>
      <c r="C545" s="294"/>
      <c r="J545" s="642" t="s">
        <v>218</v>
      </c>
      <c r="K545" s="642" t="s">
        <v>218</v>
      </c>
      <c r="L545" s="642" t="s">
        <v>218</v>
      </c>
      <c r="M545" s="642" t="s">
        <v>218</v>
      </c>
      <c r="N545" s="642" t="s">
        <v>218</v>
      </c>
      <c r="O545" s="642" t="s">
        <v>218</v>
      </c>
      <c r="P545" s="642" t="s">
        <v>218</v>
      </c>
      <c r="Q545" s="642" t="s">
        <v>218</v>
      </c>
      <c r="R545" s="642" t="s">
        <v>218</v>
      </c>
      <c r="S545" s="542" t="s">
        <v>218</v>
      </c>
      <c r="T545" s="294"/>
    </row>
    <row r="546" spans="1:20" x14ac:dyDescent="0.25">
      <c r="A546" s="302"/>
      <c r="C546" s="294"/>
      <c r="D546" s="552" t="s">
        <v>300</v>
      </c>
      <c r="J546" s="7">
        <f t="shared" ref="J546:S546" ca="1" si="249">J542-J544</f>
        <v>100.80000000000001</v>
      </c>
      <c r="K546" s="7">
        <f t="shared" ca="1" si="249"/>
        <v>123.97099999999999</v>
      </c>
      <c r="L546" s="7">
        <f t="shared" ca="1" si="249"/>
        <v>150.91680749999998</v>
      </c>
      <c r="M546" s="7">
        <f t="shared" ca="1" si="249"/>
        <v>182.21336624374996</v>
      </c>
      <c r="N546" s="7">
        <f t="shared" ca="1" si="249"/>
        <v>218.5233275216718</v>
      </c>
      <c r="O546" s="7">
        <f t="shared" ca="1" si="249"/>
        <v>260.60906657237615</v>
      </c>
      <c r="P546" s="7">
        <f t="shared" ca="1" si="249"/>
        <v>309.34765177816581</v>
      </c>
      <c r="Q546" s="7">
        <f t="shared" ca="1" si="249"/>
        <v>365.74805958447178</v>
      </c>
      <c r="R546" s="7">
        <f t="shared" ca="1" si="249"/>
        <v>430.97097201301005</v>
      </c>
      <c r="S546" s="62">
        <f t="shared" ca="1" si="249"/>
        <v>506.35154416928225</v>
      </c>
      <c r="T546" s="294"/>
    </row>
    <row r="547" spans="1:20" ht="7.5" customHeight="1" x14ac:dyDescent="0.25">
      <c r="A547" s="302"/>
      <c r="C547" s="294"/>
      <c r="J547" s="591" t="s">
        <v>301</v>
      </c>
      <c r="K547" s="591" t="s">
        <v>301</v>
      </c>
      <c r="L547" s="591" t="s">
        <v>301</v>
      </c>
      <c r="M547" s="591" t="s">
        <v>301</v>
      </c>
      <c r="N547" s="591" t="s">
        <v>301</v>
      </c>
      <c r="O547" s="591" t="s">
        <v>301</v>
      </c>
      <c r="P547" s="591" t="s">
        <v>301</v>
      </c>
      <c r="Q547" s="591" t="s">
        <v>301</v>
      </c>
      <c r="R547" s="591" t="s">
        <v>301</v>
      </c>
      <c r="S547" s="635" t="s">
        <v>301</v>
      </c>
      <c r="T547" s="294"/>
    </row>
    <row r="548" spans="1:20" ht="25.5" customHeight="1" x14ac:dyDescent="0.25">
      <c r="A548" s="302"/>
      <c r="C548" s="294"/>
      <c r="D548" s="657" t="s">
        <v>302</v>
      </c>
      <c r="J548" s="5"/>
      <c r="K548" s="5"/>
      <c r="L548" s="5"/>
      <c r="M548" s="5"/>
      <c r="N548" s="5"/>
      <c r="O548" s="5"/>
      <c r="P548" s="5"/>
      <c r="Q548" s="5"/>
      <c r="R548" s="5"/>
      <c r="S548" s="60"/>
      <c r="T548" s="294"/>
    </row>
    <row r="549" spans="1:20" ht="16.5" customHeight="1" x14ac:dyDescent="0.25">
      <c r="A549" s="302"/>
      <c r="C549" s="294"/>
      <c r="D549" s="552" t="s">
        <v>281</v>
      </c>
      <c r="J549" s="5">
        <f t="shared" ref="J549:S549" ca="1" si="250">IF(J546&gt;0,+J170*(J546-J550),0)</f>
        <v>35.28</v>
      </c>
      <c r="K549" s="5">
        <f t="shared" ca="1" si="250"/>
        <v>43.389849999999996</v>
      </c>
      <c r="L549" s="5">
        <f t="shared" ca="1" si="250"/>
        <v>52.820882624999989</v>
      </c>
      <c r="M549" s="5">
        <f t="shared" ca="1" si="250"/>
        <v>63.774678185312482</v>
      </c>
      <c r="N549" s="5">
        <f t="shared" ca="1" si="250"/>
        <v>76.48316463258513</v>
      </c>
      <c r="O549" s="5">
        <f t="shared" ca="1" si="250"/>
        <v>91.213173300331647</v>
      </c>
      <c r="P549" s="5">
        <f t="shared" ca="1" si="250"/>
        <v>108.27167812235803</v>
      </c>
      <c r="Q549" s="5">
        <f t="shared" ca="1" si="250"/>
        <v>128.01182085456512</v>
      </c>
      <c r="R549" s="5">
        <f t="shared" ca="1" si="250"/>
        <v>150.8398402045535</v>
      </c>
      <c r="S549" s="60">
        <f t="shared" ca="1" si="250"/>
        <v>177.22304045924878</v>
      </c>
      <c r="T549" s="294"/>
    </row>
    <row r="550" spans="1:20" x14ac:dyDescent="0.25">
      <c r="A550" s="302"/>
      <c r="C550" s="294"/>
      <c r="D550" s="552" t="s">
        <v>282</v>
      </c>
      <c r="J550" s="5">
        <f t="shared" ref="J550:S550" ca="1" si="251">IF(J546&gt;0,+J171*J546,0)</f>
        <v>0</v>
      </c>
      <c r="K550" s="5">
        <f t="shared" ca="1" si="251"/>
        <v>0</v>
      </c>
      <c r="L550" s="5">
        <f t="shared" ca="1" si="251"/>
        <v>0</v>
      </c>
      <c r="M550" s="5">
        <f t="shared" ca="1" si="251"/>
        <v>0</v>
      </c>
      <c r="N550" s="5">
        <f t="shared" ca="1" si="251"/>
        <v>0</v>
      </c>
      <c r="O550" s="5">
        <f t="shared" ca="1" si="251"/>
        <v>0</v>
      </c>
      <c r="P550" s="5">
        <f t="shared" ca="1" si="251"/>
        <v>0</v>
      </c>
      <c r="Q550" s="5">
        <f t="shared" ca="1" si="251"/>
        <v>0</v>
      </c>
      <c r="R550" s="5">
        <f t="shared" ca="1" si="251"/>
        <v>0</v>
      </c>
      <c r="S550" s="60">
        <f t="shared" ca="1" si="251"/>
        <v>0</v>
      </c>
      <c r="T550" s="294"/>
    </row>
    <row r="551" spans="1:20" ht="6.75" customHeight="1" x14ac:dyDescent="0.25">
      <c r="A551" s="302"/>
      <c r="C551" s="294"/>
      <c r="J551" s="642" t="s">
        <v>293</v>
      </c>
      <c r="K551" s="642" t="s">
        <v>293</v>
      </c>
      <c r="L551" s="642" t="s">
        <v>293</v>
      </c>
      <c r="M551" s="642" t="s">
        <v>293</v>
      </c>
      <c r="N551" s="642" t="s">
        <v>293</v>
      </c>
      <c r="O551" s="642" t="s">
        <v>293</v>
      </c>
      <c r="P551" s="642" t="s">
        <v>293</v>
      </c>
      <c r="Q551" s="642" t="s">
        <v>293</v>
      </c>
      <c r="R551" s="642" t="s">
        <v>293</v>
      </c>
      <c r="S551" s="542" t="s">
        <v>293</v>
      </c>
      <c r="T551" s="294"/>
    </row>
    <row r="552" spans="1:20" x14ac:dyDescent="0.25">
      <c r="A552" s="302"/>
      <c r="C552" s="294"/>
      <c r="D552" s="553" t="s">
        <v>303</v>
      </c>
      <c r="J552" s="5">
        <f t="shared" ref="J552:S552" ca="1" si="252">J549+J550</f>
        <v>35.28</v>
      </c>
      <c r="K552" s="5">
        <f t="shared" ca="1" si="252"/>
        <v>43.389849999999996</v>
      </c>
      <c r="L552" s="5">
        <f t="shared" ca="1" si="252"/>
        <v>52.820882624999989</v>
      </c>
      <c r="M552" s="5">
        <f t="shared" ca="1" si="252"/>
        <v>63.774678185312482</v>
      </c>
      <c r="N552" s="5">
        <f t="shared" ca="1" si="252"/>
        <v>76.48316463258513</v>
      </c>
      <c r="O552" s="5">
        <f t="shared" ca="1" si="252"/>
        <v>91.213173300331647</v>
      </c>
      <c r="P552" s="5">
        <f t="shared" ca="1" si="252"/>
        <v>108.27167812235803</v>
      </c>
      <c r="Q552" s="5">
        <f t="shared" ca="1" si="252"/>
        <v>128.01182085456512</v>
      </c>
      <c r="R552" s="5">
        <f t="shared" ca="1" si="252"/>
        <v>150.8398402045535</v>
      </c>
      <c r="S552" s="60">
        <f t="shared" ca="1" si="252"/>
        <v>177.22304045924878</v>
      </c>
      <c r="T552" s="294"/>
    </row>
    <row r="553" spans="1:20" x14ac:dyDescent="0.25">
      <c r="A553" s="302"/>
      <c r="C553" s="294"/>
      <c r="J553" s="5"/>
      <c r="K553" s="5"/>
      <c r="L553" s="5"/>
      <c r="M553" s="5"/>
      <c r="N553" s="5"/>
      <c r="O553" s="5"/>
      <c r="P553" s="5"/>
      <c r="Q553" s="5"/>
      <c r="R553" s="5"/>
      <c r="S553" s="60"/>
      <c r="T553" s="294"/>
    </row>
    <row r="554" spans="1:20" x14ac:dyDescent="0.25">
      <c r="A554" s="302"/>
      <c r="C554" s="294"/>
      <c r="D554" s="553" t="s">
        <v>304</v>
      </c>
      <c r="J554" s="541">
        <v>0</v>
      </c>
      <c r="K554" s="541">
        <v>0</v>
      </c>
      <c r="L554" s="541">
        <v>0</v>
      </c>
      <c r="M554" s="541">
        <v>0</v>
      </c>
      <c r="N554" s="541">
        <v>0</v>
      </c>
      <c r="O554" s="541">
        <v>0</v>
      </c>
      <c r="P554" s="541">
        <v>0</v>
      </c>
      <c r="Q554" s="541">
        <v>0</v>
      </c>
      <c r="R554" s="541">
        <v>0</v>
      </c>
      <c r="S554" s="551">
        <v>0</v>
      </c>
      <c r="T554" s="294"/>
    </row>
    <row r="555" spans="1:20" ht="7.5" customHeight="1" x14ac:dyDescent="0.25">
      <c r="A555" s="302"/>
      <c r="C555" s="294"/>
      <c r="J555" s="642" t="s">
        <v>218</v>
      </c>
      <c r="K555" s="642" t="s">
        <v>218</v>
      </c>
      <c r="L555" s="642" t="s">
        <v>218</v>
      </c>
      <c r="M555" s="642" t="s">
        <v>218</v>
      </c>
      <c r="N555" s="642" t="s">
        <v>218</v>
      </c>
      <c r="O555" s="642" t="s">
        <v>218</v>
      </c>
      <c r="P555" s="642" t="s">
        <v>218</v>
      </c>
      <c r="Q555" s="642" t="s">
        <v>218</v>
      </c>
      <c r="R555" s="642" t="s">
        <v>218</v>
      </c>
      <c r="S555" s="542" t="s">
        <v>218</v>
      </c>
      <c r="T555" s="294"/>
    </row>
    <row r="556" spans="1:20" x14ac:dyDescent="0.25">
      <c r="A556" s="302"/>
      <c r="C556" s="294"/>
      <c r="D556" s="552" t="s">
        <v>305</v>
      </c>
      <c r="J556" s="7">
        <f t="shared" ref="J556:S556" ca="1" si="253">J552-J554</f>
        <v>35.28</v>
      </c>
      <c r="K556" s="7">
        <f t="shared" ca="1" si="253"/>
        <v>43.389849999999996</v>
      </c>
      <c r="L556" s="7">
        <f t="shared" ca="1" si="253"/>
        <v>52.820882624999989</v>
      </c>
      <c r="M556" s="7">
        <f t="shared" ca="1" si="253"/>
        <v>63.774678185312482</v>
      </c>
      <c r="N556" s="7">
        <f t="shared" ca="1" si="253"/>
        <v>76.48316463258513</v>
      </c>
      <c r="O556" s="7">
        <f t="shared" ca="1" si="253"/>
        <v>91.213173300331647</v>
      </c>
      <c r="P556" s="7">
        <f t="shared" ca="1" si="253"/>
        <v>108.27167812235803</v>
      </c>
      <c r="Q556" s="7">
        <f t="shared" ca="1" si="253"/>
        <v>128.01182085456512</v>
      </c>
      <c r="R556" s="7">
        <f t="shared" ca="1" si="253"/>
        <v>150.8398402045535</v>
      </c>
      <c r="S556" s="62">
        <f t="shared" ca="1" si="253"/>
        <v>177.22304045924878</v>
      </c>
      <c r="T556" s="294"/>
    </row>
    <row r="557" spans="1:20" ht="8.25" customHeight="1" x14ac:dyDescent="0.25">
      <c r="A557" s="302"/>
      <c r="C557" s="294"/>
      <c r="J557" s="593" t="s">
        <v>76</v>
      </c>
      <c r="K557" s="593" t="s">
        <v>76</v>
      </c>
      <c r="L557" s="593" t="s">
        <v>76</v>
      </c>
      <c r="M557" s="593" t="s">
        <v>76</v>
      </c>
      <c r="N557" s="593" t="s">
        <v>76</v>
      </c>
      <c r="O557" s="593" t="s">
        <v>76</v>
      </c>
      <c r="P557" s="593" t="s">
        <v>76</v>
      </c>
      <c r="Q557" s="593" t="s">
        <v>76</v>
      </c>
      <c r="R557" s="593" t="s">
        <v>76</v>
      </c>
      <c r="S557" s="620" t="s">
        <v>76</v>
      </c>
      <c r="T557" s="294"/>
    </row>
    <row r="558" spans="1:20" x14ac:dyDescent="0.25">
      <c r="A558" s="302"/>
      <c r="C558" s="294"/>
      <c r="D558" s="4"/>
      <c r="O558" s="1"/>
      <c r="S558" s="41"/>
      <c r="T558" s="294"/>
    </row>
    <row r="559" spans="1:20" x14ac:dyDescent="0.25">
      <c r="A559" s="302"/>
      <c r="C559" s="294"/>
      <c r="D559" s="658" t="s">
        <v>306</v>
      </c>
      <c r="E559" s="39"/>
      <c r="F559" s="39"/>
      <c r="G559" s="39"/>
      <c r="H559" s="39"/>
      <c r="I559" s="39"/>
      <c r="J559" s="402">
        <f>year</f>
        <v>1998</v>
      </c>
      <c r="K559" s="402">
        <f t="shared" ref="K559:S559" si="254">J559+1</f>
        <v>1999</v>
      </c>
      <c r="L559" s="402">
        <f t="shared" si="254"/>
        <v>2000</v>
      </c>
      <c r="M559" s="402">
        <f t="shared" si="254"/>
        <v>2001</v>
      </c>
      <c r="N559" s="402">
        <f t="shared" si="254"/>
        <v>2002</v>
      </c>
      <c r="O559" s="402">
        <f t="shared" si="254"/>
        <v>2003</v>
      </c>
      <c r="P559" s="402">
        <f t="shared" si="254"/>
        <v>2004</v>
      </c>
      <c r="Q559" s="402">
        <f t="shared" si="254"/>
        <v>2005</v>
      </c>
      <c r="R559" s="402">
        <f t="shared" si="254"/>
        <v>2006</v>
      </c>
      <c r="S559" s="402">
        <f t="shared" si="254"/>
        <v>2007</v>
      </c>
      <c r="T559" s="294"/>
    </row>
    <row r="560" spans="1:20" ht="16.5" customHeight="1" x14ac:dyDescent="0.25">
      <c r="A560" s="302"/>
      <c r="C560" s="294"/>
      <c r="D560" s="659" t="s">
        <v>287</v>
      </c>
      <c r="E560" s="41"/>
      <c r="F560" s="41"/>
      <c r="G560" s="41"/>
      <c r="H560" s="41"/>
      <c r="I560" s="41"/>
      <c r="J560" s="62">
        <f>J516</f>
        <v>0</v>
      </c>
      <c r="K560" s="62">
        <f t="shared" ref="K560:S560" ca="1" si="255">J563</f>
        <v>0</v>
      </c>
      <c r="L560" s="62">
        <f t="shared" ca="1" si="255"/>
        <v>0</v>
      </c>
      <c r="M560" s="62">
        <f t="shared" ca="1" si="255"/>
        <v>0</v>
      </c>
      <c r="N560" s="62">
        <f t="shared" ca="1" si="255"/>
        <v>0</v>
      </c>
      <c r="O560" s="62">
        <f t="shared" ca="1" si="255"/>
        <v>0</v>
      </c>
      <c r="P560" s="62">
        <f t="shared" ca="1" si="255"/>
        <v>0</v>
      </c>
      <c r="Q560" s="62">
        <f t="shared" ca="1" si="255"/>
        <v>0</v>
      </c>
      <c r="R560" s="62">
        <f t="shared" ca="1" si="255"/>
        <v>0</v>
      </c>
      <c r="S560" s="62">
        <f t="shared" ca="1" si="255"/>
        <v>0</v>
      </c>
      <c r="T560" s="294"/>
    </row>
    <row r="561" spans="1:20" x14ac:dyDescent="0.25">
      <c r="A561" s="302"/>
      <c r="C561" s="294"/>
      <c r="D561" s="659" t="s">
        <v>288</v>
      </c>
      <c r="E561" s="41"/>
      <c r="F561" s="41"/>
      <c r="G561" s="41"/>
      <c r="H561" s="41"/>
      <c r="I561" s="41"/>
      <c r="J561" s="60">
        <f t="shared" ref="J561:S561" ca="1" si="256">IF(J542&lt;0,-J542,0)</f>
        <v>0</v>
      </c>
      <c r="K561" s="60">
        <f t="shared" ca="1" si="256"/>
        <v>0</v>
      </c>
      <c r="L561" s="60">
        <f t="shared" ca="1" si="256"/>
        <v>0</v>
      </c>
      <c r="M561" s="60">
        <f t="shared" ca="1" si="256"/>
        <v>0</v>
      </c>
      <c r="N561" s="60">
        <f t="shared" ca="1" si="256"/>
        <v>0</v>
      </c>
      <c r="O561" s="60">
        <f t="shared" ca="1" si="256"/>
        <v>0</v>
      </c>
      <c r="P561" s="60">
        <f t="shared" ca="1" si="256"/>
        <v>0</v>
      </c>
      <c r="Q561" s="60">
        <f t="shared" ca="1" si="256"/>
        <v>0</v>
      </c>
      <c r="R561" s="60">
        <f t="shared" ca="1" si="256"/>
        <v>0</v>
      </c>
      <c r="S561" s="60">
        <f t="shared" ca="1" si="256"/>
        <v>0</v>
      </c>
      <c r="T561" s="294"/>
    </row>
    <row r="562" spans="1:20" x14ac:dyDescent="0.25">
      <c r="A562" s="302"/>
      <c r="C562" s="294"/>
      <c r="D562" s="659" t="s">
        <v>289</v>
      </c>
      <c r="E562" s="41"/>
      <c r="F562" s="41"/>
      <c r="G562" s="41"/>
      <c r="H562" s="41"/>
      <c r="I562" s="41"/>
      <c r="J562" s="60">
        <f t="shared" ref="J562:S562" ca="1" si="257">IF(J542&gt;0,IF(J560&gt;J542,J542,J560),0)</f>
        <v>0</v>
      </c>
      <c r="K562" s="60">
        <f t="shared" ca="1" si="257"/>
        <v>0</v>
      </c>
      <c r="L562" s="60">
        <f t="shared" ca="1" si="257"/>
        <v>0</v>
      </c>
      <c r="M562" s="60">
        <f t="shared" ca="1" si="257"/>
        <v>0</v>
      </c>
      <c r="N562" s="60">
        <f t="shared" ca="1" si="257"/>
        <v>0</v>
      </c>
      <c r="O562" s="60">
        <f t="shared" ca="1" si="257"/>
        <v>0</v>
      </c>
      <c r="P562" s="60">
        <f t="shared" ca="1" si="257"/>
        <v>0</v>
      </c>
      <c r="Q562" s="60">
        <f t="shared" ca="1" si="257"/>
        <v>0</v>
      </c>
      <c r="R562" s="60">
        <f t="shared" ca="1" si="257"/>
        <v>0</v>
      </c>
      <c r="S562" s="60">
        <f t="shared" ca="1" si="257"/>
        <v>0</v>
      </c>
      <c r="T562" s="294"/>
    </row>
    <row r="563" spans="1:20" x14ac:dyDescent="0.25">
      <c r="A563" s="302"/>
      <c r="C563" s="294"/>
      <c r="D563" s="660" t="s">
        <v>290</v>
      </c>
      <c r="E563" s="18"/>
      <c r="F563" s="18"/>
      <c r="G563" s="18"/>
      <c r="H563" s="18"/>
      <c r="I563" s="18"/>
      <c r="J563" s="35">
        <f t="shared" ref="J563:S563" ca="1" si="258">J560+J561-J562</f>
        <v>0</v>
      </c>
      <c r="K563" s="35">
        <f t="shared" ca="1" si="258"/>
        <v>0</v>
      </c>
      <c r="L563" s="35">
        <f t="shared" ca="1" si="258"/>
        <v>0</v>
      </c>
      <c r="M563" s="35">
        <f t="shared" ca="1" si="258"/>
        <v>0</v>
      </c>
      <c r="N563" s="35">
        <f t="shared" ca="1" si="258"/>
        <v>0</v>
      </c>
      <c r="O563" s="35">
        <f t="shared" ca="1" si="258"/>
        <v>0</v>
      </c>
      <c r="P563" s="35">
        <f t="shared" ca="1" si="258"/>
        <v>0</v>
      </c>
      <c r="Q563" s="35">
        <f t="shared" ca="1" si="258"/>
        <v>0</v>
      </c>
      <c r="R563" s="35">
        <f t="shared" ca="1" si="258"/>
        <v>0</v>
      </c>
      <c r="S563" s="35">
        <f t="shared" ca="1" si="258"/>
        <v>0</v>
      </c>
      <c r="T563" s="294"/>
    </row>
    <row r="564" spans="1:20" x14ac:dyDescent="0.25">
      <c r="A564" s="302"/>
      <c r="C564" s="294"/>
      <c r="O564" s="1"/>
      <c r="S564" s="41"/>
      <c r="T564" s="294"/>
    </row>
    <row r="565" spans="1:20" x14ac:dyDescent="0.25">
      <c r="A565" s="302"/>
      <c r="C565" s="294"/>
      <c r="O565" s="1"/>
      <c r="S565" s="41"/>
      <c r="T565" s="294"/>
    </row>
    <row r="566" spans="1:20" x14ac:dyDescent="0.25">
      <c r="A566" s="302"/>
      <c r="C566" s="294"/>
      <c r="D566" s="661" t="s">
        <v>307</v>
      </c>
      <c r="E566" s="39"/>
      <c r="F566" s="39"/>
      <c r="G566" s="39"/>
      <c r="H566" s="39"/>
      <c r="I566" s="39"/>
      <c r="J566" s="402">
        <f>year</f>
        <v>1998</v>
      </c>
      <c r="K566" s="402">
        <f t="shared" ref="K566:S566" si="259">J566+1</f>
        <v>1999</v>
      </c>
      <c r="L566" s="402">
        <f t="shared" si="259"/>
        <v>2000</v>
      </c>
      <c r="M566" s="402">
        <f t="shared" si="259"/>
        <v>2001</v>
      </c>
      <c r="N566" s="402">
        <f t="shared" si="259"/>
        <v>2002</v>
      </c>
      <c r="O566" s="402">
        <f t="shared" si="259"/>
        <v>2003</v>
      </c>
      <c r="P566" s="402">
        <f t="shared" si="259"/>
        <v>2004</v>
      </c>
      <c r="Q566" s="402">
        <f t="shared" si="259"/>
        <v>2005</v>
      </c>
      <c r="R566" s="402">
        <f t="shared" si="259"/>
        <v>2006</v>
      </c>
      <c r="S566" s="402">
        <f t="shared" si="259"/>
        <v>2007</v>
      </c>
      <c r="T566" s="294"/>
    </row>
    <row r="567" spans="1:20" ht="15" customHeight="1" x14ac:dyDescent="0.25">
      <c r="A567" s="302"/>
      <c r="C567" s="294"/>
      <c r="D567" s="659" t="s">
        <v>308</v>
      </c>
      <c r="E567" s="41"/>
      <c r="F567" s="41"/>
      <c r="G567" s="41"/>
      <c r="H567" s="41"/>
      <c r="I567" s="41"/>
      <c r="J567" s="62">
        <f t="shared" ref="J567:S567" ca="1" si="260">J513</f>
        <v>35.28</v>
      </c>
      <c r="K567" s="62">
        <f t="shared" ca="1" si="260"/>
        <v>43.389849999999996</v>
      </c>
      <c r="L567" s="62">
        <f t="shared" ca="1" si="260"/>
        <v>52.820882624999989</v>
      </c>
      <c r="M567" s="62">
        <f t="shared" ca="1" si="260"/>
        <v>63.774678185312482</v>
      </c>
      <c r="N567" s="62">
        <f t="shared" ca="1" si="260"/>
        <v>76.48316463258513</v>
      </c>
      <c r="O567" s="62">
        <f t="shared" ca="1" si="260"/>
        <v>91.213173300331647</v>
      </c>
      <c r="P567" s="62">
        <f t="shared" ca="1" si="260"/>
        <v>108.27167812235803</v>
      </c>
      <c r="Q567" s="62">
        <f t="shared" ca="1" si="260"/>
        <v>128.01182085456512</v>
      </c>
      <c r="R567" s="62">
        <f t="shared" ca="1" si="260"/>
        <v>150.8398402045535</v>
      </c>
      <c r="S567" s="62">
        <f t="shared" ca="1" si="260"/>
        <v>177.22304045924878</v>
      </c>
      <c r="T567" s="294"/>
    </row>
    <row r="568" spans="1:20" x14ac:dyDescent="0.25">
      <c r="A568" s="302"/>
      <c r="C568" s="294"/>
      <c r="D568" s="659" t="s">
        <v>309</v>
      </c>
      <c r="E568" s="41"/>
      <c r="F568" s="41"/>
      <c r="G568" s="41"/>
      <c r="H568" s="41"/>
      <c r="I568" s="41"/>
      <c r="J568" s="60">
        <f t="shared" ref="J568:S568" ca="1" si="261">J556</f>
        <v>35.28</v>
      </c>
      <c r="K568" s="60">
        <f t="shared" ca="1" si="261"/>
        <v>43.389849999999996</v>
      </c>
      <c r="L568" s="60">
        <f t="shared" ca="1" si="261"/>
        <v>52.820882624999989</v>
      </c>
      <c r="M568" s="60">
        <f t="shared" ca="1" si="261"/>
        <v>63.774678185312482</v>
      </c>
      <c r="N568" s="60">
        <f t="shared" ca="1" si="261"/>
        <v>76.48316463258513</v>
      </c>
      <c r="O568" s="60">
        <f t="shared" ca="1" si="261"/>
        <v>91.213173300331647</v>
      </c>
      <c r="P568" s="60">
        <f t="shared" ca="1" si="261"/>
        <v>108.27167812235803</v>
      </c>
      <c r="Q568" s="60">
        <f t="shared" ca="1" si="261"/>
        <v>128.01182085456512</v>
      </c>
      <c r="R568" s="60">
        <f t="shared" ca="1" si="261"/>
        <v>150.8398402045535</v>
      </c>
      <c r="S568" s="60">
        <f t="shared" ca="1" si="261"/>
        <v>177.22304045924878</v>
      </c>
      <c r="T568" s="294"/>
    </row>
    <row r="569" spans="1:20" x14ac:dyDescent="0.25">
      <c r="A569" s="302"/>
      <c r="C569" s="294"/>
      <c r="D569" s="40"/>
      <c r="E569" s="41"/>
      <c r="F569" s="41"/>
      <c r="G569" s="41"/>
      <c r="H569" s="41"/>
      <c r="I569" s="41"/>
      <c r="J569" s="621" t="s">
        <v>293</v>
      </c>
      <c r="K569" s="621" t="s">
        <v>293</v>
      </c>
      <c r="L569" s="621" t="s">
        <v>293</v>
      </c>
      <c r="M569" s="621" t="s">
        <v>293</v>
      </c>
      <c r="N569" s="621" t="s">
        <v>293</v>
      </c>
      <c r="O569" s="621" t="s">
        <v>293</v>
      </c>
      <c r="P569" s="621" t="s">
        <v>293</v>
      </c>
      <c r="Q569" s="621" t="s">
        <v>293</v>
      </c>
      <c r="R569" s="621" t="s">
        <v>293</v>
      </c>
      <c r="S569" s="621" t="s">
        <v>293</v>
      </c>
      <c r="T569" s="294"/>
    </row>
    <row r="570" spans="1:20" x14ac:dyDescent="0.25">
      <c r="A570" s="302"/>
      <c r="C570" s="294"/>
      <c r="D570" s="660" t="s">
        <v>310</v>
      </c>
      <c r="E570" s="18"/>
      <c r="F570" s="18"/>
      <c r="G570" s="18"/>
      <c r="H570" s="18"/>
      <c r="I570" s="18"/>
      <c r="J570" s="228">
        <f t="shared" ref="J570:S570" ca="1" si="262">J567-J568</f>
        <v>0</v>
      </c>
      <c r="K570" s="228">
        <f t="shared" ca="1" si="262"/>
        <v>0</v>
      </c>
      <c r="L570" s="228">
        <f t="shared" ca="1" si="262"/>
        <v>0</v>
      </c>
      <c r="M570" s="228">
        <f t="shared" ca="1" si="262"/>
        <v>0</v>
      </c>
      <c r="N570" s="228">
        <f t="shared" ca="1" si="262"/>
        <v>0</v>
      </c>
      <c r="O570" s="228">
        <f t="shared" ca="1" si="262"/>
        <v>0</v>
      </c>
      <c r="P570" s="228">
        <f t="shared" ca="1" si="262"/>
        <v>0</v>
      </c>
      <c r="Q570" s="228">
        <f t="shared" ca="1" si="262"/>
        <v>0</v>
      </c>
      <c r="R570" s="228">
        <f t="shared" ca="1" si="262"/>
        <v>0</v>
      </c>
      <c r="S570" s="228">
        <f t="shared" ca="1" si="262"/>
        <v>0</v>
      </c>
      <c r="T570" s="294"/>
    </row>
    <row r="571" spans="1:20" x14ac:dyDescent="0.25">
      <c r="A571" s="302"/>
      <c r="C571" s="299"/>
      <c r="O571" s="1"/>
      <c r="S571" s="41"/>
      <c r="T571" s="294"/>
    </row>
    <row r="572" spans="1:20" ht="27" customHeight="1" x14ac:dyDescent="0.25">
      <c r="A572" s="304"/>
      <c r="C572" s="294"/>
      <c r="D572" s="656" t="s">
        <v>311</v>
      </c>
      <c r="E572" s="170"/>
      <c r="F572" s="170"/>
      <c r="G572" s="170"/>
      <c r="H572" s="170"/>
      <c r="I572" s="170"/>
      <c r="J572" s="170"/>
      <c r="K572" s="170"/>
      <c r="L572" s="170"/>
      <c r="M572" s="170"/>
      <c r="N572" s="170"/>
      <c r="O572" s="170"/>
      <c r="P572" s="170"/>
      <c r="Q572" s="170"/>
      <c r="R572" s="170"/>
      <c r="S572" s="213"/>
      <c r="T572" s="294"/>
    </row>
    <row r="573" spans="1:20" x14ac:dyDescent="0.25">
      <c r="A573" s="304"/>
      <c r="C573" s="294"/>
      <c r="D573" s="61"/>
      <c r="I573" s="208"/>
      <c r="J573" s="290">
        <f>H1371</f>
        <v>1998</v>
      </c>
      <c r="K573" s="290">
        <f t="shared" ref="K573:S573" si="263">J573+1</f>
        <v>1999</v>
      </c>
      <c r="L573" s="290">
        <f t="shared" si="263"/>
        <v>2000</v>
      </c>
      <c r="M573" s="290">
        <f t="shared" si="263"/>
        <v>2001</v>
      </c>
      <c r="N573" s="290">
        <f t="shared" si="263"/>
        <v>2002</v>
      </c>
      <c r="O573" s="290">
        <f t="shared" si="263"/>
        <v>2003</v>
      </c>
      <c r="P573" s="290">
        <f t="shared" si="263"/>
        <v>2004</v>
      </c>
      <c r="Q573" s="290">
        <f t="shared" si="263"/>
        <v>2005</v>
      </c>
      <c r="R573" s="290">
        <f t="shared" si="263"/>
        <v>2006</v>
      </c>
      <c r="S573" s="290">
        <f t="shared" si="263"/>
        <v>2007</v>
      </c>
      <c r="T573" s="294"/>
    </row>
    <row r="574" spans="1:20" x14ac:dyDescent="0.25">
      <c r="A574" s="302"/>
      <c r="C574" s="294"/>
      <c r="D574" s="3"/>
      <c r="I574" s="662" t="s">
        <v>312</v>
      </c>
      <c r="J574" s="663">
        <v>1</v>
      </c>
      <c r="K574" s="663">
        <v>2</v>
      </c>
      <c r="L574" s="663">
        <v>3</v>
      </c>
      <c r="M574" s="663">
        <v>4</v>
      </c>
      <c r="N574" s="663">
        <v>5</v>
      </c>
      <c r="O574" s="663">
        <v>6</v>
      </c>
      <c r="P574" s="663">
        <v>7</v>
      </c>
      <c r="Q574" s="663">
        <v>8</v>
      </c>
      <c r="R574" s="663">
        <v>9</v>
      </c>
      <c r="S574" s="664">
        <v>10</v>
      </c>
      <c r="T574" s="294"/>
    </row>
    <row r="575" spans="1:20" x14ac:dyDescent="0.25">
      <c r="A575" s="302"/>
      <c r="C575" s="294"/>
      <c r="E575" s="38"/>
      <c r="J575" s="10"/>
      <c r="K575" s="10"/>
      <c r="L575" s="10"/>
      <c r="M575" s="10"/>
      <c r="N575" s="10"/>
      <c r="O575" s="10"/>
      <c r="P575" s="10"/>
      <c r="Q575" s="10"/>
      <c r="R575" s="10"/>
      <c r="S575" s="149"/>
      <c r="T575" s="294"/>
    </row>
    <row r="576" spans="1:20" x14ac:dyDescent="0.25">
      <c r="A576" s="302"/>
      <c r="C576" s="294"/>
      <c r="D576" s="369" t="str">
        <f>TRIM(UPPER(MID($M$182,1,17)))</f>
        <v>SHORT TERM DEBT</v>
      </c>
      <c r="E576" s="39"/>
      <c r="F576" s="39"/>
      <c r="G576" s="39"/>
      <c r="H576" s="39"/>
      <c r="I576" s="39"/>
      <c r="J576" s="39"/>
      <c r="K576" s="39"/>
      <c r="L576" s="39"/>
      <c r="M576" s="39"/>
      <c r="N576" s="39"/>
      <c r="O576" s="39"/>
      <c r="P576" s="39"/>
      <c r="Q576" s="39"/>
      <c r="R576" s="39"/>
      <c r="S576" s="39"/>
      <c r="T576" s="294"/>
    </row>
    <row r="577" spans="1:20" x14ac:dyDescent="0.25">
      <c r="A577" s="302"/>
      <c r="C577" s="294"/>
      <c r="D577" s="659" t="s">
        <v>313</v>
      </c>
      <c r="E577" s="41"/>
      <c r="F577" s="41"/>
      <c r="G577" s="41"/>
      <c r="H577" s="41"/>
      <c r="I577" s="41"/>
      <c r="J577" s="62">
        <f ca="1">S182</f>
        <v>0</v>
      </c>
      <c r="K577" s="62">
        <f t="shared" ref="K577:S577" ca="1" si="264">J581</f>
        <v>0</v>
      </c>
      <c r="L577" s="62">
        <f t="shared" ca="1" si="264"/>
        <v>0</v>
      </c>
      <c r="M577" s="62">
        <f t="shared" ca="1" si="264"/>
        <v>0</v>
      </c>
      <c r="N577" s="62">
        <f t="shared" ca="1" si="264"/>
        <v>0</v>
      </c>
      <c r="O577" s="62">
        <f t="shared" ca="1" si="264"/>
        <v>0</v>
      </c>
      <c r="P577" s="62">
        <f t="shared" ca="1" si="264"/>
        <v>0</v>
      </c>
      <c r="Q577" s="62">
        <f t="shared" ca="1" si="264"/>
        <v>0</v>
      </c>
      <c r="R577" s="62">
        <f t="shared" ca="1" si="264"/>
        <v>0</v>
      </c>
      <c r="S577" s="62">
        <f t="shared" ca="1" si="264"/>
        <v>0</v>
      </c>
      <c r="T577" s="294"/>
    </row>
    <row r="578" spans="1:20" x14ac:dyDescent="0.25">
      <c r="A578" s="302"/>
      <c r="C578" s="294"/>
      <c r="D578" s="659" t="s">
        <v>314</v>
      </c>
      <c r="E578" s="41"/>
      <c r="F578"/>
      <c r="G578" s="665" t="s">
        <v>204</v>
      </c>
      <c r="H578" s="467">
        <f>+C242</f>
        <v>0</v>
      </c>
      <c r="I578" s="41"/>
      <c r="J578" s="443">
        <f t="shared" ref="J578:S578" ca="1" si="265">J242</f>
        <v>0</v>
      </c>
      <c r="K578" s="443">
        <f t="shared" ca="1" si="265"/>
        <v>0</v>
      </c>
      <c r="L578" s="443">
        <f t="shared" ca="1" si="265"/>
        <v>0</v>
      </c>
      <c r="M578" s="443">
        <f t="shared" ca="1" si="265"/>
        <v>0</v>
      </c>
      <c r="N578" s="443">
        <f t="shared" ca="1" si="265"/>
        <v>0</v>
      </c>
      <c r="O578" s="443">
        <f t="shared" ca="1" si="265"/>
        <v>0</v>
      </c>
      <c r="P578" s="443">
        <f t="shared" ca="1" si="265"/>
        <v>0</v>
      </c>
      <c r="Q578" s="443">
        <f t="shared" ca="1" si="265"/>
        <v>0</v>
      </c>
      <c r="R578" s="443">
        <f t="shared" ca="1" si="265"/>
        <v>0</v>
      </c>
      <c r="S578" s="511">
        <f t="shared" ca="1" si="265"/>
        <v>0</v>
      </c>
      <c r="T578" s="294"/>
    </row>
    <row r="579" spans="1:20" x14ac:dyDescent="0.25">
      <c r="A579" s="302"/>
      <c r="C579" s="294"/>
      <c r="D579" s="666" t="s">
        <v>315</v>
      </c>
      <c r="E579" s="41"/>
      <c r="F579" s="41"/>
      <c r="G579" s="41"/>
      <c r="H579" s="41"/>
      <c r="I579" s="41"/>
      <c r="J579" s="550">
        <v>0</v>
      </c>
      <c r="K579" s="551">
        <v>0</v>
      </c>
      <c r="L579" s="551">
        <v>0</v>
      </c>
      <c r="M579" s="551">
        <v>0</v>
      </c>
      <c r="N579" s="551">
        <v>0</v>
      </c>
      <c r="O579" s="551">
        <v>0</v>
      </c>
      <c r="P579" s="551">
        <v>0</v>
      </c>
      <c r="Q579" s="551">
        <v>0</v>
      </c>
      <c r="R579" s="551">
        <v>0</v>
      </c>
      <c r="S579" s="551">
        <v>0</v>
      </c>
      <c r="T579" s="294"/>
    </row>
    <row r="580" spans="1:20" x14ac:dyDescent="0.25">
      <c r="A580" s="302"/>
      <c r="C580" s="294"/>
      <c r="D580" s="659" t="s">
        <v>316</v>
      </c>
      <c r="E580" s="41"/>
      <c r="F580" s="41"/>
      <c r="G580" s="41"/>
      <c r="H580" s="41"/>
      <c r="I580" s="41"/>
      <c r="J580" s="550">
        <v>0</v>
      </c>
      <c r="K580" s="550">
        <v>0</v>
      </c>
      <c r="L580" s="550">
        <v>0</v>
      </c>
      <c r="M580" s="550">
        <v>0</v>
      </c>
      <c r="N580" s="550">
        <v>0</v>
      </c>
      <c r="O580" s="550">
        <v>0</v>
      </c>
      <c r="P580" s="550">
        <v>0</v>
      </c>
      <c r="Q580" s="550">
        <v>0</v>
      </c>
      <c r="R580" s="550">
        <v>0</v>
      </c>
      <c r="S580" s="550">
        <v>0</v>
      </c>
      <c r="T580" s="294"/>
    </row>
    <row r="581" spans="1:20" x14ac:dyDescent="0.25">
      <c r="A581" s="302"/>
      <c r="C581" s="294"/>
      <c r="D581" s="660" t="s">
        <v>317</v>
      </c>
      <c r="E581" s="18"/>
      <c r="F581" s="18"/>
      <c r="G581" s="18"/>
      <c r="H581" s="18"/>
      <c r="I581" s="18"/>
      <c r="J581" s="35">
        <f t="shared" ref="J581:S581" ca="1" si="266">J577-J579</f>
        <v>0</v>
      </c>
      <c r="K581" s="35">
        <f t="shared" ca="1" si="266"/>
        <v>0</v>
      </c>
      <c r="L581" s="35">
        <f t="shared" ca="1" si="266"/>
        <v>0</v>
      </c>
      <c r="M581" s="35">
        <f t="shared" ca="1" si="266"/>
        <v>0</v>
      </c>
      <c r="N581" s="35">
        <f t="shared" ca="1" si="266"/>
        <v>0</v>
      </c>
      <c r="O581" s="35">
        <f t="shared" ca="1" si="266"/>
        <v>0</v>
      </c>
      <c r="P581" s="35">
        <f t="shared" ca="1" si="266"/>
        <v>0</v>
      </c>
      <c r="Q581" s="35">
        <f t="shared" ca="1" si="266"/>
        <v>0</v>
      </c>
      <c r="R581" s="35">
        <f t="shared" ca="1" si="266"/>
        <v>0</v>
      </c>
      <c r="S581" s="35">
        <f t="shared" ca="1" si="266"/>
        <v>0</v>
      </c>
      <c r="T581" s="294"/>
    </row>
    <row r="582" spans="1:20" x14ac:dyDescent="0.25">
      <c r="A582" s="302"/>
      <c r="C582" s="294"/>
      <c r="D582" s="37"/>
      <c r="E582" s="37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294"/>
    </row>
    <row r="583" spans="1:20" x14ac:dyDescent="0.25">
      <c r="A583" s="302"/>
      <c r="C583" s="294"/>
      <c r="D583" s="369" t="str">
        <f>TRIM(UPPER(MID($M$192,1,15)))</f>
        <v>EXISTING DEBT</v>
      </c>
      <c r="E583" s="39"/>
      <c r="F583" s="831" t="s">
        <v>139</v>
      </c>
      <c r="G583" s="39"/>
      <c r="H583" s="39"/>
      <c r="I583" s="39"/>
      <c r="J583" s="39"/>
      <c r="K583" s="39"/>
      <c r="L583" s="39"/>
      <c r="M583" s="39"/>
      <c r="N583" s="39"/>
      <c r="O583" s="39"/>
      <c r="P583" s="39"/>
      <c r="Q583" s="39"/>
      <c r="R583" s="39"/>
      <c r="S583" s="39"/>
      <c r="T583" s="294"/>
    </row>
    <row r="584" spans="1:20" x14ac:dyDescent="0.25">
      <c r="A584" s="302"/>
      <c r="C584" s="294"/>
      <c r="D584" s="659" t="s">
        <v>313</v>
      </c>
      <c r="E584" s="41"/>
      <c r="F584" s="827" t="s">
        <v>139</v>
      </c>
      <c r="G584" s="41"/>
      <c r="H584" s="41"/>
      <c r="I584" s="62"/>
      <c r="J584" s="62">
        <f ca="1">S192</f>
        <v>150</v>
      </c>
      <c r="K584" s="62">
        <f t="shared" ref="K584:S584" ca="1" si="267">J588</f>
        <v>150</v>
      </c>
      <c r="L584" s="62">
        <f t="shared" ca="1" si="267"/>
        <v>150</v>
      </c>
      <c r="M584" s="62">
        <f t="shared" ca="1" si="267"/>
        <v>150</v>
      </c>
      <c r="N584" s="62">
        <f t="shared" ca="1" si="267"/>
        <v>150</v>
      </c>
      <c r="O584" s="62">
        <f t="shared" ca="1" si="267"/>
        <v>150</v>
      </c>
      <c r="P584" s="62">
        <f t="shared" ca="1" si="267"/>
        <v>150</v>
      </c>
      <c r="Q584" s="62">
        <f t="shared" ca="1" si="267"/>
        <v>150</v>
      </c>
      <c r="R584" s="62">
        <f t="shared" ca="1" si="267"/>
        <v>150</v>
      </c>
      <c r="S584" s="62">
        <f t="shared" ca="1" si="267"/>
        <v>150</v>
      </c>
      <c r="T584" s="294"/>
    </row>
    <row r="585" spans="1:20" x14ac:dyDescent="0.25">
      <c r="A585" s="302"/>
      <c r="C585" s="294"/>
      <c r="D585" s="659" t="s">
        <v>314</v>
      </c>
      <c r="E585" s="41"/>
      <c r="F585" s="827" t="s">
        <v>139</v>
      </c>
      <c r="G585" s="665" t="s">
        <v>204</v>
      </c>
      <c r="H585" s="467">
        <f>C243</f>
        <v>0</v>
      </c>
      <c r="I585" s="41"/>
      <c r="J585" s="443">
        <f t="shared" ref="J585:S585" ca="1" si="268">+J243</f>
        <v>15</v>
      </c>
      <c r="K585" s="443">
        <f t="shared" ca="1" si="268"/>
        <v>15</v>
      </c>
      <c r="L585" s="443">
        <f t="shared" ca="1" si="268"/>
        <v>15</v>
      </c>
      <c r="M585" s="443">
        <f t="shared" ca="1" si="268"/>
        <v>15</v>
      </c>
      <c r="N585" s="443">
        <f t="shared" ca="1" si="268"/>
        <v>15</v>
      </c>
      <c r="O585" s="443">
        <f t="shared" ca="1" si="268"/>
        <v>15</v>
      </c>
      <c r="P585" s="443">
        <f t="shared" ca="1" si="268"/>
        <v>15</v>
      </c>
      <c r="Q585" s="443">
        <f t="shared" ca="1" si="268"/>
        <v>15</v>
      </c>
      <c r="R585" s="443">
        <f t="shared" ca="1" si="268"/>
        <v>15</v>
      </c>
      <c r="S585" s="511">
        <f t="shared" ca="1" si="268"/>
        <v>15</v>
      </c>
      <c r="T585" s="294"/>
    </row>
    <row r="586" spans="1:20" x14ac:dyDescent="0.25">
      <c r="A586" s="302"/>
      <c r="C586" s="294"/>
      <c r="D586" s="666" t="s">
        <v>315</v>
      </c>
      <c r="E586" s="41"/>
      <c r="F586" s="827" t="s">
        <v>139</v>
      </c>
      <c r="G586" s="41"/>
      <c r="H586" s="41"/>
      <c r="I586" s="60"/>
      <c r="J586" s="551">
        <v>0</v>
      </c>
      <c r="K586" s="551">
        <v>0</v>
      </c>
      <c r="L586" s="551">
        <v>0</v>
      </c>
      <c r="M586" s="551">
        <v>0</v>
      </c>
      <c r="N586" s="551">
        <v>0</v>
      </c>
      <c r="O586" s="551">
        <v>0</v>
      </c>
      <c r="P586" s="551">
        <v>0</v>
      </c>
      <c r="Q586" s="551">
        <v>0</v>
      </c>
      <c r="R586" s="551">
        <v>0</v>
      </c>
      <c r="S586" s="551">
        <v>0</v>
      </c>
      <c r="T586" s="294"/>
    </row>
    <row r="587" spans="1:20" x14ac:dyDescent="0.25">
      <c r="A587" s="302"/>
      <c r="C587" s="294"/>
      <c r="D587" s="659" t="s">
        <v>316</v>
      </c>
      <c r="E587" s="41"/>
      <c r="F587" s="827" t="s">
        <v>139</v>
      </c>
      <c r="G587" s="41"/>
      <c r="H587" s="41"/>
      <c r="I587" s="60"/>
      <c r="J587" s="551">
        <v>0</v>
      </c>
      <c r="K587" s="551">
        <v>0</v>
      </c>
      <c r="L587" s="551">
        <v>0</v>
      </c>
      <c r="M587" s="551">
        <v>0</v>
      </c>
      <c r="N587" s="551">
        <v>0</v>
      </c>
      <c r="O587" s="551">
        <v>0</v>
      </c>
      <c r="P587" s="551">
        <v>0</v>
      </c>
      <c r="Q587" s="551">
        <v>0</v>
      </c>
      <c r="R587" s="551">
        <v>0</v>
      </c>
      <c r="S587" s="551">
        <v>0</v>
      </c>
      <c r="T587" s="294"/>
    </row>
    <row r="588" spans="1:20" x14ac:dyDescent="0.25">
      <c r="A588" s="302"/>
      <c r="C588" s="294"/>
      <c r="D588" s="660" t="s">
        <v>317</v>
      </c>
      <c r="E588" s="18"/>
      <c r="F588" s="832" t="s">
        <v>139</v>
      </c>
      <c r="G588" s="18"/>
      <c r="H588" s="18"/>
      <c r="I588" s="35"/>
      <c r="J588" s="35">
        <f t="shared" ref="J588:S588" ca="1" si="269">J584-J586-J587</f>
        <v>150</v>
      </c>
      <c r="K588" s="35">
        <f t="shared" ca="1" si="269"/>
        <v>150</v>
      </c>
      <c r="L588" s="35">
        <f t="shared" ca="1" si="269"/>
        <v>150</v>
      </c>
      <c r="M588" s="35">
        <f t="shared" ca="1" si="269"/>
        <v>150</v>
      </c>
      <c r="N588" s="35">
        <f t="shared" ca="1" si="269"/>
        <v>150</v>
      </c>
      <c r="O588" s="35">
        <f t="shared" ca="1" si="269"/>
        <v>150</v>
      </c>
      <c r="P588" s="35">
        <f t="shared" ca="1" si="269"/>
        <v>150</v>
      </c>
      <c r="Q588" s="35">
        <f t="shared" ca="1" si="269"/>
        <v>150</v>
      </c>
      <c r="R588" s="35">
        <f t="shared" ca="1" si="269"/>
        <v>150</v>
      </c>
      <c r="S588" s="35">
        <f t="shared" ca="1" si="269"/>
        <v>150</v>
      </c>
      <c r="T588" s="294"/>
    </row>
    <row r="589" spans="1:20" x14ac:dyDescent="0.25">
      <c r="A589" s="302"/>
      <c r="C589" s="294"/>
      <c r="D589" s="37"/>
      <c r="E589" s="37"/>
      <c r="F589" s="832" t="s">
        <v>139</v>
      </c>
      <c r="G589" s="18"/>
      <c r="H589" s="18"/>
      <c r="I589" s="18"/>
      <c r="J589" s="35"/>
      <c r="K589" s="35"/>
      <c r="L589" s="35"/>
      <c r="M589" s="35"/>
      <c r="N589" s="35"/>
      <c r="O589" s="35"/>
      <c r="P589" s="35"/>
      <c r="Q589" s="35"/>
      <c r="R589" s="35"/>
      <c r="S589" s="35"/>
      <c r="T589" s="294"/>
    </row>
    <row r="590" spans="1:20" x14ac:dyDescent="0.25">
      <c r="A590" s="302"/>
      <c r="C590" s="294"/>
      <c r="D590" s="368" t="str">
        <f>UPPER($D$1409)</f>
        <v>REVOLVER</v>
      </c>
      <c r="E590" s="39"/>
      <c r="F590" s="831" t="s">
        <v>139</v>
      </c>
      <c r="G590" s="39"/>
      <c r="H590" s="39"/>
      <c r="I590" s="39"/>
      <c r="J590" s="39"/>
      <c r="K590" s="39"/>
      <c r="L590" s="39"/>
      <c r="M590" s="39"/>
      <c r="N590" s="39"/>
      <c r="O590" s="39"/>
      <c r="P590" s="39"/>
      <c r="Q590" s="39"/>
      <c r="R590" s="39"/>
      <c r="S590" s="39"/>
      <c r="T590" s="294"/>
    </row>
    <row r="591" spans="1:20" x14ac:dyDescent="0.25">
      <c r="A591" s="302"/>
      <c r="C591" s="294"/>
      <c r="D591" s="659" t="s">
        <v>313</v>
      </c>
      <c r="E591" s="41"/>
      <c r="F591" s="833" t="s">
        <v>139</v>
      </c>
      <c r="G591" s="62"/>
      <c r="H591" s="62"/>
      <c r="I591" s="62"/>
      <c r="J591" s="62">
        <f ca="1">S193</f>
        <v>0</v>
      </c>
      <c r="K591" s="62">
        <f t="shared" ref="K591:S591" ca="1" si="270">J595</f>
        <v>0</v>
      </c>
      <c r="L591" s="62">
        <f t="shared" ca="1" si="270"/>
        <v>0</v>
      </c>
      <c r="M591" s="62">
        <f t="shared" ca="1" si="270"/>
        <v>0</v>
      </c>
      <c r="N591" s="62">
        <f t="shared" ca="1" si="270"/>
        <v>0</v>
      </c>
      <c r="O591" s="62">
        <f t="shared" ca="1" si="270"/>
        <v>0</v>
      </c>
      <c r="P591" s="62">
        <f t="shared" ca="1" si="270"/>
        <v>0</v>
      </c>
      <c r="Q591" s="62">
        <f t="shared" ca="1" si="270"/>
        <v>0</v>
      </c>
      <c r="R591" s="62">
        <f t="shared" ca="1" si="270"/>
        <v>0</v>
      </c>
      <c r="S591" s="62">
        <f t="shared" ca="1" si="270"/>
        <v>0</v>
      </c>
      <c r="T591" s="294"/>
    </row>
    <row r="592" spans="1:20" x14ac:dyDescent="0.25">
      <c r="A592" s="302"/>
      <c r="C592" s="294"/>
      <c r="D592" s="659" t="s">
        <v>314</v>
      </c>
      <c r="E592" s="41"/>
      <c r="F592" s="834" t="s">
        <v>139</v>
      </c>
      <c r="G592" s="665" t="s">
        <v>204</v>
      </c>
      <c r="H592" s="467">
        <f>+C244</f>
        <v>0</v>
      </c>
      <c r="I592" s="41"/>
      <c r="J592" s="443">
        <f t="shared" ref="J592:S592" ca="1" si="271">+J244</f>
        <v>0</v>
      </c>
      <c r="K592" s="443">
        <f t="shared" ca="1" si="271"/>
        <v>0</v>
      </c>
      <c r="L592" s="443">
        <f t="shared" ca="1" si="271"/>
        <v>0</v>
      </c>
      <c r="M592" s="443">
        <f t="shared" ca="1" si="271"/>
        <v>0</v>
      </c>
      <c r="N592" s="443">
        <f t="shared" ca="1" si="271"/>
        <v>0</v>
      </c>
      <c r="O592" s="443">
        <f t="shared" ca="1" si="271"/>
        <v>0</v>
      </c>
      <c r="P592" s="443">
        <f t="shared" ca="1" si="271"/>
        <v>0</v>
      </c>
      <c r="Q592" s="443">
        <f t="shared" ca="1" si="271"/>
        <v>0</v>
      </c>
      <c r="R592" s="443">
        <f t="shared" ca="1" si="271"/>
        <v>0</v>
      </c>
      <c r="S592" s="511">
        <f t="shared" ca="1" si="271"/>
        <v>0</v>
      </c>
      <c r="T592" s="294"/>
    </row>
    <row r="593" spans="1:20" x14ac:dyDescent="0.25">
      <c r="A593" s="302"/>
      <c r="C593" s="294"/>
      <c r="D593" s="659" t="s">
        <v>318</v>
      </c>
      <c r="E593" s="41"/>
      <c r="F593" s="834" t="s">
        <v>139</v>
      </c>
      <c r="G593" s="60"/>
      <c r="H593" s="60"/>
      <c r="I593" s="41"/>
      <c r="J593" s="60">
        <f t="shared" ref="J593:S593" ca="1" si="272">J395</f>
        <v>0</v>
      </c>
      <c r="K593" s="60">
        <f t="shared" ca="1" si="272"/>
        <v>0</v>
      </c>
      <c r="L593" s="60">
        <f t="shared" ca="1" si="272"/>
        <v>0</v>
      </c>
      <c r="M593" s="60">
        <f t="shared" ca="1" si="272"/>
        <v>0</v>
      </c>
      <c r="N593" s="60">
        <f t="shared" ca="1" si="272"/>
        <v>0</v>
      </c>
      <c r="O593" s="60">
        <f t="shared" ca="1" si="272"/>
        <v>0</v>
      </c>
      <c r="P593" s="60">
        <f t="shared" ca="1" si="272"/>
        <v>0</v>
      </c>
      <c r="Q593" s="60">
        <f t="shared" ca="1" si="272"/>
        <v>0</v>
      </c>
      <c r="R593" s="60">
        <f t="shared" ca="1" si="272"/>
        <v>0</v>
      </c>
      <c r="S593" s="60">
        <f t="shared" ca="1" si="272"/>
        <v>0</v>
      </c>
      <c r="T593" s="294"/>
    </row>
    <row r="594" spans="1:20" x14ac:dyDescent="0.25">
      <c r="A594" s="302"/>
      <c r="C594" s="294"/>
      <c r="D594" s="659" t="s">
        <v>319</v>
      </c>
      <c r="E594" s="41"/>
      <c r="F594" s="834" t="s">
        <v>320</v>
      </c>
      <c r="G594" s="60"/>
      <c r="H594" s="60"/>
      <c r="I594" s="60"/>
      <c r="J594" s="60">
        <f t="shared" ref="J594:S594" ca="1" si="273">J396</f>
        <v>0</v>
      </c>
      <c r="K594" s="60">
        <f t="shared" ca="1" si="273"/>
        <v>0</v>
      </c>
      <c r="L594" s="60">
        <f t="shared" ca="1" si="273"/>
        <v>0</v>
      </c>
      <c r="M594" s="60">
        <f t="shared" ca="1" si="273"/>
        <v>0</v>
      </c>
      <c r="N594" s="60">
        <f t="shared" ca="1" si="273"/>
        <v>0</v>
      </c>
      <c r="O594" s="60">
        <f t="shared" ca="1" si="273"/>
        <v>0</v>
      </c>
      <c r="P594" s="60">
        <f t="shared" ca="1" si="273"/>
        <v>0</v>
      </c>
      <c r="Q594" s="60">
        <f t="shared" ca="1" si="273"/>
        <v>0</v>
      </c>
      <c r="R594" s="60">
        <f t="shared" ca="1" si="273"/>
        <v>0</v>
      </c>
      <c r="S594" s="60">
        <f t="shared" ca="1" si="273"/>
        <v>0</v>
      </c>
      <c r="T594" s="294"/>
    </row>
    <row r="595" spans="1:20" x14ac:dyDescent="0.25">
      <c r="A595" s="302"/>
      <c r="C595" s="294"/>
      <c r="D595" s="660" t="s">
        <v>317</v>
      </c>
      <c r="E595" s="18"/>
      <c r="F595" s="835" t="s">
        <v>139</v>
      </c>
      <c r="G595" s="35"/>
      <c r="H595" s="35"/>
      <c r="I595" s="35"/>
      <c r="J595" s="35">
        <f t="shared" ref="J595:S595" ca="1" si="274">J591+J593-J594</f>
        <v>0</v>
      </c>
      <c r="K595" s="35">
        <f t="shared" ca="1" si="274"/>
        <v>0</v>
      </c>
      <c r="L595" s="35">
        <f t="shared" ca="1" si="274"/>
        <v>0</v>
      </c>
      <c r="M595" s="35">
        <f t="shared" ca="1" si="274"/>
        <v>0</v>
      </c>
      <c r="N595" s="35">
        <f t="shared" ca="1" si="274"/>
        <v>0</v>
      </c>
      <c r="O595" s="35">
        <f t="shared" ca="1" si="274"/>
        <v>0</v>
      </c>
      <c r="P595" s="35">
        <f t="shared" ca="1" si="274"/>
        <v>0</v>
      </c>
      <c r="Q595" s="35">
        <f t="shared" ca="1" si="274"/>
        <v>0</v>
      </c>
      <c r="R595" s="35">
        <f t="shared" ca="1" si="274"/>
        <v>0</v>
      </c>
      <c r="S595" s="35">
        <f t="shared" ca="1" si="274"/>
        <v>0</v>
      </c>
      <c r="T595" s="294"/>
    </row>
    <row r="596" spans="1:20" x14ac:dyDescent="0.25">
      <c r="A596" s="302"/>
      <c r="C596" s="294"/>
      <c r="D596" s="37"/>
      <c r="E596" s="37"/>
      <c r="F596" s="63"/>
      <c r="G596" s="63"/>
      <c r="H596" s="63"/>
      <c r="I596" s="18"/>
      <c r="J596" s="35"/>
      <c r="K596" s="35"/>
      <c r="L596" s="35"/>
      <c r="M596" s="35"/>
      <c r="N596" s="35"/>
      <c r="O596" s="35"/>
      <c r="P596" s="35"/>
      <c r="Q596" s="35"/>
      <c r="R596" s="35"/>
      <c r="S596" s="35"/>
      <c r="T596" s="294"/>
    </row>
    <row r="597" spans="1:20" x14ac:dyDescent="0.25">
      <c r="A597" s="302"/>
      <c r="C597" s="294"/>
      <c r="D597" s="368" t="str">
        <f>UPPER($D$1410)</f>
        <v>TERM LOAN</v>
      </c>
      <c r="E597" s="39"/>
      <c r="F597" s="667" t="s">
        <v>101</v>
      </c>
      <c r="G597" s="667" t="s">
        <v>101</v>
      </c>
      <c r="H597" s="667" t="s">
        <v>101</v>
      </c>
      <c r="I597" s="39"/>
      <c r="J597" s="39"/>
      <c r="K597" s="39"/>
      <c r="L597" s="39"/>
      <c r="M597" s="39"/>
      <c r="N597" s="39"/>
      <c r="O597" s="39"/>
      <c r="P597" s="39"/>
      <c r="Q597" s="39"/>
      <c r="R597" s="39"/>
      <c r="S597" s="39"/>
      <c r="T597" s="294"/>
    </row>
    <row r="598" spans="1:20" x14ac:dyDescent="0.25">
      <c r="A598" s="302"/>
      <c r="C598" s="294"/>
      <c r="D598" s="659" t="s">
        <v>313</v>
      </c>
      <c r="E598" s="41"/>
      <c r="F598" s="41"/>
      <c r="G598" s="41"/>
      <c r="H598" s="41"/>
      <c r="I598" s="41"/>
      <c r="J598" s="60">
        <f ca="1">S194</f>
        <v>0</v>
      </c>
      <c r="K598" s="60">
        <f t="shared" ref="K598:S598" ca="1" si="275">J602</f>
        <v>0</v>
      </c>
      <c r="L598" s="60">
        <f t="shared" ca="1" si="275"/>
        <v>0</v>
      </c>
      <c r="M598" s="60">
        <f t="shared" ca="1" si="275"/>
        <v>0</v>
      </c>
      <c r="N598" s="60">
        <f t="shared" ca="1" si="275"/>
        <v>0</v>
      </c>
      <c r="O598" s="60">
        <f t="shared" ca="1" si="275"/>
        <v>0</v>
      </c>
      <c r="P598" s="60">
        <f t="shared" ca="1" si="275"/>
        <v>0</v>
      </c>
      <c r="Q598" s="60">
        <f t="shared" ca="1" si="275"/>
        <v>0</v>
      </c>
      <c r="R598" s="60">
        <f t="shared" ca="1" si="275"/>
        <v>0</v>
      </c>
      <c r="S598" s="60">
        <f t="shared" ca="1" si="275"/>
        <v>0</v>
      </c>
      <c r="T598" s="294"/>
    </row>
    <row r="599" spans="1:20" x14ac:dyDescent="0.25">
      <c r="A599" s="302"/>
      <c r="C599" s="294"/>
      <c r="D599" s="659" t="s">
        <v>314</v>
      </c>
      <c r="E599" s="41"/>
      <c r="F599" s="41"/>
      <c r="G599" s="665" t="s">
        <v>204</v>
      </c>
      <c r="H599" s="467">
        <f>+C245</f>
        <v>0</v>
      </c>
      <c r="I599" s="827" t="s">
        <v>320</v>
      </c>
      <c r="J599" s="443">
        <f t="shared" ref="J599:S599" ca="1" si="276">J245</f>
        <v>0</v>
      </c>
      <c r="K599" s="443">
        <f t="shared" ca="1" si="276"/>
        <v>0</v>
      </c>
      <c r="L599" s="443">
        <f t="shared" ca="1" si="276"/>
        <v>0</v>
      </c>
      <c r="M599" s="443">
        <f t="shared" ca="1" si="276"/>
        <v>0</v>
      </c>
      <c r="N599" s="443">
        <f t="shared" ca="1" si="276"/>
        <v>0</v>
      </c>
      <c r="O599" s="443">
        <f t="shared" ca="1" si="276"/>
        <v>0</v>
      </c>
      <c r="P599" s="443">
        <f t="shared" ca="1" si="276"/>
        <v>0</v>
      </c>
      <c r="Q599" s="443">
        <f t="shared" ca="1" si="276"/>
        <v>0</v>
      </c>
      <c r="R599" s="443">
        <f t="shared" ca="1" si="276"/>
        <v>0</v>
      </c>
      <c r="S599" s="443">
        <f t="shared" ca="1" si="276"/>
        <v>0</v>
      </c>
      <c r="T599" s="294"/>
    </row>
    <row r="600" spans="1:20" x14ac:dyDescent="0.25">
      <c r="A600" s="302"/>
      <c r="C600" s="294"/>
      <c r="D600" s="666" t="s">
        <v>315</v>
      </c>
      <c r="E600" s="41"/>
      <c r="F600" s="41"/>
      <c r="G600" s="41"/>
      <c r="H600" s="41"/>
      <c r="I600" s="41"/>
      <c r="J600" s="168">
        <f t="shared" ref="J600:S600" ca="1" si="277">MAX($J598,J598)*J1441</f>
        <v>0</v>
      </c>
      <c r="K600" s="168">
        <f t="shared" ca="1" si="277"/>
        <v>0</v>
      </c>
      <c r="L600" s="168">
        <f t="shared" ca="1" si="277"/>
        <v>0</v>
      </c>
      <c r="M600" s="168">
        <f t="shared" ca="1" si="277"/>
        <v>0</v>
      </c>
      <c r="N600" s="168">
        <f t="shared" ca="1" si="277"/>
        <v>0</v>
      </c>
      <c r="O600" s="168">
        <f t="shared" ca="1" si="277"/>
        <v>0</v>
      </c>
      <c r="P600" s="168">
        <f t="shared" ca="1" si="277"/>
        <v>0</v>
      </c>
      <c r="Q600" s="168">
        <f t="shared" ca="1" si="277"/>
        <v>0</v>
      </c>
      <c r="R600" s="168">
        <f t="shared" ca="1" si="277"/>
        <v>0</v>
      </c>
      <c r="S600" s="168">
        <f t="shared" ca="1" si="277"/>
        <v>0</v>
      </c>
      <c r="T600" s="294"/>
    </row>
    <row r="601" spans="1:20" x14ac:dyDescent="0.25">
      <c r="A601" s="302"/>
      <c r="C601" s="294"/>
      <c r="D601" s="666" t="s">
        <v>316</v>
      </c>
      <c r="E601" s="41"/>
      <c r="F601" s="41"/>
      <c r="G601" s="41"/>
      <c r="H601" s="41"/>
      <c r="I601" s="41"/>
      <c r="J601" s="960">
        <f ca="1">IF($H$1410=0,0,1)*IF(I272-I305+(J365-J381)+J368&gt;0,MIN(I272-I305+(J365-J381)+J368,J598-J600),0)</f>
        <v>0</v>
      </c>
      <c r="K601" s="366">
        <f t="shared" ref="K601:S601" ca="1" si="278">IF($H$1410=0,0,1)*IF(J272-J305+(K365-K381)+K368&gt;0,MIN(J272-J305+(K365-K381)+K368,K598-K600),0)</f>
        <v>0</v>
      </c>
      <c r="L601" s="366">
        <f t="shared" ca="1" si="278"/>
        <v>0</v>
      </c>
      <c r="M601" s="366">
        <f t="shared" ca="1" si="278"/>
        <v>0</v>
      </c>
      <c r="N601" s="366">
        <f t="shared" ca="1" si="278"/>
        <v>0</v>
      </c>
      <c r="O601" s="366">
        <f t="shared" ca="1" si="278"/>
        <v>0</v>
      </c>
      <c r="P601" s="366">
        <f t="shared" ca="1" si="278"/>
        <v>0</v>
      </c>
      <c r="Q601" s="366">
        <f t="shared" ca="1" si="278"/>
        <v>0</v>
      </c>
      <c r="R601" s="366">
        <f t="shared" ca="1" si="278"/>
        <v>0</v>
      </c>
      <c r="S601" s="366">
        <f t="shared" ca="1" si="278"/>
        <v>0</v>
      </c>
      <c r="T601" s="294"/>
    </row>
    <row r="602" spans="1:20" x14ac:dyDescent="0.25">
      <c r="A602" s="302"/>
      <c r="C602" s="294"/>
      <c r="D602" s="660" t="s">
        <v>317</v>
      </c>
      <c r="E602" s="18"/>
      <c r="F602" s="18"/>
      <c r="G602" s="18"/>
      <c r="H602" s="18"/>
      <c r="I602" s="18"/>
      <c r="J602" s="35">
        <f t="shared" ref="J602:S602" ca="1" si="279">J598-J600-J601</f>
        <v>0</v>
      </c>
      <c r="K602" s="35">
        <f t="shared" ca="1" si="279"/>
        <v>0</v>
      </c>
      <c r="L602" s="35">
        <f t="shared" ca="1" si="279"/>
        <v>0</v>
      </c>
      <c r="M602" s="35">
        <f t="shared" ca="1" si="279"/>
        <v>0</v>
      </c>
      <c r="N602" s="35">
        <f t="shared" ca="1" si="279"/>
        <v>0</v>
      </c>
      <c r="O602" s="35">
        <f t="shared" ca="1" si="279"/>
        <v>0</v>
      </c>
      <c r="P602" s="35">
        <f t="shared" ca="1" si="279"/>
        <v>0</v>
      </c>
      <c r="Q602" s="35">
        <f t="shared" ca="1" si="279"/>
        <v>0</v>
      </c>
      <c r="R602" s="35">
        <f t="shared" ca="1" si="279"/>
        <v>0</v>
      </c>
      <c r="S602" s="35">
        <f t="shared" ca="1" si="279"/>
        <v>0</v>
      </c>
      <c r="T602" s="294"/>
    </row>
    <row r="603" spans="1:20" x14ac:dyDescent="0.25">
      <c r="A603" s="302"/>
      <c r="C603" s="294"/>
      <c r="D603" s="37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294"/>
    </row>
    <row r="604" spans="1:20" x14ac:dyDescent="0.25">
      <c r="A604" s="302"/>
      <c r="C604" s="294"/>
      <c r="D604" s="368" t="str">
        <f>UPPER($D$1411)</f>
        <v>EVERGREEN REVOLVER</v>
      </c>
      <c r="E604" s="39"/>
      <c r="F604" s="667" t="s">
        <v>101</v>
      </c>
      <c r="G604" s="667" t="s">
        <v>101</v>
      </c>
      <c r="H604" s="667" t="s">
        <v>101</v>
      </c>
      <c r="I604" s="39"/>
      <c r="J604" s="39"/>
      <c r="K604" s="39"/>
      <c r="L604" s="39"/>
      <c r="M604" s="39"/>
      <c r="N604" s="39"/>
      <c r="O604" s="39"/>
      <c r="P604" s="39"/>
      <c r="Q604" s="39"/>
      <c r="R604" s="39"/>
      <c r="S604" s="39"/>
      <c r="T604" s="294"/>
    </row>
    <row r="605" spans="1:20" x14ac:dyDescent="0.25">
      <c r="A605" s="302"/>
      <c r="C605" s="294"/>
      <c r="D605" s="659" t="s">
        <v>313</v>
      </c>
      <c r="E605" s="41"/>
      <c r="F605" s="41"/>
      <c r="G605" s="41"/>
      <c r="H605" s="41"/>
      <c r="I605" s="41"/>
      <c r="J605" s="60">
        <f ca="1">S195</f>
        <v>0</v>
      </c>
      <c r="K605" s="60">
        <f t="shared" ref="K605:S605" ca="1" si="280">J609</f>
        <v>0</v>
      </c>
      <c r="L605" s="60">
        <f t="shared" ca="1" si="280"/>
        <v>0</v>
      </c>
      <c r="M605" s="60">
        <f t="shared" ca="1" si="280"/>
        <v>0</v>
      </c>
      <c r="N605" s="60">
        <f t="shared" ca="1" si="280"/>
        <v>0</v>
      </c>
      <c r="O605" s="60">
        <f t="shared" ca="1" si="280"/>
        <v>0</v>
      </c>
      <c r="P605" s="60">
        <f t="shared" ca="1" si="280"/>
        <v>0</v>
      </c>
      <c r="Q605" s="60">
        <f t="shared" ca="1" si="280"/>
        <v>0</v>
      </c>
      <c r="R605" s="60">
        <f t="shared" ca="1" si="280"/>
        <v>0</v>
      </c>
      <c r="S605" s="60">
        <f t="shared" ca="1" si="280"/>
        <v>0</v>
      </c>
      <c r="T605" s="294"/>
    </row>
    <row r="606" spans="1:20" x14ac:dyDescent="0.25">
      <c r="A606" s="302"/>
      <c r="C606" s="294"/>
      <c r="D606" s="659" t="s">
        <v>314</v>
      </c>
      <c r="E606" s="41"/>
      <c r="F606" s="41"/>
      <c r="G606" s="665" t="s">
        <v>204</v>
      </c>
      <c r="H606" s="467">
        <f>+C246</f>
        <v>0</v>
      </c>
      <c r="I606" s="41"/>
      <c r="J606" s="443">
        <f t="shared" ref="J606:S606" ca="1" si="281">+J246</f>
        <v>0</v>
      </c>
      <c r="K606" s="443">
        <f t="shared" ca="1" si="281"/>
        <v>0</v>
      </c>
      <c r="L606" s="443">
        <f t="shared" ca="1" si="281"/>
        <v>0</v>
      </c>
      <c r="M606" s="443">
        <f t="shared" ca="1" si="281"/>
        <v>0</v>
      </c>
      <c r="N606" s="443">
        <f t="shared" ca="1" si="281"/>
        <v>0</v>
      </c>
      <c r="O606" s="443">
        <f t="shared" ca="1" si="281"/>
        <v>0</v>
      </c>
      <c r="P606" s="443">
        <f t="shared" ca="1" si="281"/>
        <v>0</v>
      </c>
      <c r="Q606" s="443">
        <f t="shared" ca="1" si="281"/>
        <v>0</v>
      </c>
      <c r="R606" s="443">
        <f t="shared" ca="1" si="281"/>
        <v>0</v>
      </c>
      <c r="S606" s="511">
        <f t="shared" ca="1" si="281"/>
        <v>0</v>
      </c>
      <c r="T606" s="294"/>
    </row>
    <row r="607" spans="1:20" x14ac:dyDescent="0.25">
      <c r="A607" s="302"/>
      <c r="C607" s="294"/>
      <c r="D607" s="666" t="s">
        <v>321</v>
      </c>
      <c r="E607" s="41"/>
      <c r="F607" s="41"/>
      <c r="G607" s="41"/>
      <c r="H607" s="41"/>
      <c r="I607" s="41"/>
      <c r="J607" s="367">
        <f t="shared" ref="J607:S607" ca="1" si="282">($P$1411*J274)+($Q$1411*J275)-J605</f>
        <v>0</v>
      </c>
      <c r="K607" s="367">
        <f t="shared" ca="1" si="282"/>
        <v>0</v>
      </c>
      <c r="L607" s="367">
        <f t="shared" ca="1" si="282"/>
        <v>0</v>
      </c>
      <c r="M607" s="367">
        <f t="shared" ca="1" si="282"/>
        <v>0</v>
      </c>
      <c r="N607" s="367">
        <f t="shared" ca="1" si="282"/>
        <v>0</v>
      </c>
      <c r="O607" s="367">
        <f t="shared" ca="1" si="282"/>
        <v>0</v>
      </c>
      <c r="P607" s="367">
        <f t="shared" ca="1" si="282"/>
        <v>0</v>
      </c>
      <c r="Q607" s="367">
        <f t="shared" ca="1" si="282"/>
        <v>0</v>
      </c>
      <c r="R607" s="367">
        <f t="shared" ca="1" si="282"/>
        <v>0</v>
      </c>
      <c r="S607" s="367">
        <f t="shared" ca="1" si="282"/>
        <v>0</v>
      </c>
      <c r="T607" s="294"/>
    </row>
    <row r="608" spans="1:20" x14ac:dyDescent="0.25">
      <c r="A608" s="302"/>
      <c r="C608" s="294"/>
      <c r="D608" s="666" t="s">
        <v>319</v>
      </c>
      <c r="E608" s="41"/>
      <c r="F608" s="41"/>
      <c r="G608" s="41"/>
      <c r="H608" s="41"/>
      <c r="I608" s="41"/>
      <c r="J608" s="366">
        <f ca="1">IF($H$1411=0,0,1)*IF(I272-I305+(J365-J381)+J607-J601&gt;0,MIN(I272-I305+(J365-J381)-J601,I307+J607),0)</f>
        <v>0</v>
      </c>
      <c r="K608" s="366">
        <f t="shared" ref="K608:S608" ca="1" si="283">IF($H$1411=0,0,1)*IF(J272-J305+(K365-K381)+K607-K601&gt;0,MIN(J272-J305+(K365-K381)-K601,J307+K607),0)</f>
        <v>0</v>
      </c>
      <c r="L608" s="366">
        <f t="shared" ca="1" si="283"/>
        <v>0</v>
      </c>
      <c r="M608" s="366">
        <f t="shared" ca="1" si="283"/>
        <v>0</v>
      </c>
      <c r="N608" s="366">
        <f t="shared" ca="1" si="283"/>
        <v>0</v>
      </c>
      <c r="O608" s="366">
        <f t="shared" ca="1" si="283"/>
        <v>0</v>
      </c>
      <c r="P608" s="366">
        <f t="shared" ca="1" si="283"/>
        <v>0</v>
      </c>
      <c r="Q608" s="366">
        <f t="shared" ca="1" si="283"/>
        <v>0</v>
      </c>
      <c r="R608" s="366">
        <f t="shared" ca="1" si="283"/>
        <v>0</v>
      </c>
      <c r="S608" s="366">
        <f t="shared" ca="1" si="283"/>
        <v>0</v>
      </c>
      <c r="T608" s="294"/>
    </row>
    <row r="609" spans="1:20" x14ac:dyDescent="0.25">
      <c r="A609" s="302"/>
      <c r="C609" s="294"/>
      <c r="D609" s="660" t="s">
        <v>317</v>
      </c>
      <c r="E609" s="18"/>
      <c r="F609" s="18"/>
      <c r="G609" s="18"/>
      <c r="H609" s="18"/>
      <c r="I609" s="18"/>
      <c r="J609" s="35">
        <f t="shared" ref="J609:S609" ca="1" si="284">J605+J607-J608</f>
        <v>0</v>
      </c>
      <c r="K609" s="35">
        <f t="shared" ca="1" si="284"/>
        <v>0</v>
      </c>
      <c r="L609" s="35">
        <f t="shared" ca="1" si="284"/>
        <v>0</v>
      </c>
      <c r="M609" s="35">
        <f t="shared" ca="1" si="284"/>
        <v>0</v>
      </c>
      <c r="N609" s="35">
        <f t="shared" ca="1" si="284"/>
        <v>0</v>
      </c>
      <c r="O609" s="35">
        <f t="shared" ca="1" si="284"/>
        <v>0</v>
      </c>
      <c r="P609" s="35">
        <f t="shared" ca="1" si="284"/>
        <v>0</v>
      </c>
      <c r="Q609" s="35">
        <f t="shared" ca="1" si="284"/>
        <v>0</v>
      </c>
      <c r="R609" s="35">
        <f t="shared" ca="1" si="284"/>
        <v>0</v>
      </c>
      <c r="S609" s="35">
        <f t="shared" ca="1" si="284"/>
        <v>0</v>
      </c>
      <c r="T609" s="294"/>
    </row>
    <row r="610" spans="1:20" x14ac:dyDescent="0.25">
      <c r="A610" s="302"/>
      <c r="C610" s="294"/>
      <c r="D610" s="37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294"/>
    </row>
    <row r="611" spans="1:20" x14ac:dyDescent="0.25">
      <c r="A611" s="302"/>
      <c r="C611" s="294"/>
      <c r="D611" s="368" t="str">
        <f>UPPER($D$1412)</f>
        <v>DEBT 1</v>
      </c>
      <c r="E611" s="39"/>
      <c r="F611" s="667" t="s">
        <v>101</v>
      </c>
      <c r="G611" s="667" t="s">
        <v>101</v>
      </c>
      <c r="H611" s="667" t="s">
        <v>101</v>
      </c>
      <c r="I611" s="39"/>
      <c r="J611" s="39"/>
      <c r="K611" s="39"/>
      <c r="L611" s="39"/>
      <c r="M611" s="39"/>
      <c r="N611" s="39"/>
      <c r="O611" s="39"/>
      <c r="P611" s="39"/>
      <c r="Q611" s="39"/>
      <c r="R611" s="39"/>
      <c r="S611" s="39"/>
      <c r="T611" s="294"/>
    </row>
    <row r="612" spans="1:20" x14ac:dyDescent="0.25">
      <c r="A612" s="302"/>
      <c r="C612" s="294"/>
      <c r="D612" s="659" t="s">
        <v>313</v>
      </c>
      <c r="E612" s="41"/>
      <c r="F612" s="41"/>
      <c r="G612" s="41"/>
      <c r="H612" s="41"/>
      <c r="I612" s="41"/>
      <c r="J612" s="60">
        <f ca="1">S196</f>
        <v>0</v>
      </c>
      <c r="K612" s="60">
        <f t="shared" ref="K612:S612" ca="1" si="285">J617</f>
        <v>0</v>
      </c>
      <c r="L612" s="60">
        <f t="shared" ca="1" si="285"/>
        <v>0</v>
      </c>
      <c r="M612" s="60">
        <f t="shared" ca="1" si="285"/>
        <v>0</v>
      </c>
      <c r="N612" s="60">
        <f t="shared" ca="1" si="285"/>
        <v>0</v>
      </c>
      <c r="O612" s="60">
        <f t="shared" ca="1" si="285"/>
        <v>0</v>
      </c>
      <c r="P612" s="60">
        <f t="shared" ca="1" si="285"/>
        <v>0</v>
      </c>
      <c r="Q612" s="60">
        <f t="shared" ca="1" si="285"/>
        <v>0</v>
      </c>
      <c r="R612" s="60">
        <f t="shared" ca="1" si="285"/>
        <v>0</v>
      </c>
      <c r="S612" s="60">
        <f t="shared" ca="1" si="285"/>
        <v>0</v>
      </c>
      <c r="T612" s="294"/>
    </row>
    <row r="613" spans="1:20" x14ac:dyDescent="0.25">
      <c r="A613" s="302"/>
      <c r="C613" s="294"/>
      <c r="D613" s="659" t="s">
        <v>314</v>
      </c>
      <c r="E613" s="41" t="str">
        <f>IF(J1412&gt;0,"PIK Until "&amp;FIXED($H$1371+$J$1412-1,0,TRUE),"Cash Pay")</f>
        <v>Cash Pay</v>
      </c>
      <c r="F613" s="41"/>
      <c r="G613" s="665" t="s">
        <v>204</v>
      </c>
      <c r="H613" s="467">
        <f>+C247</f>
        <v>0</v>
      </c>
      <c r="I613" s="41"/>
      <c r="J613" s="443">
        <f t="shared" ref="J613:S613" ca="1" si="286">+J247</f>
        <v>0</v>
      </c>
      <c r="K613" s="443">
        <f t="shared" ca="1" si="286"/>
        <v>0</v>
      </c>
      <c r="L613" s="443">
        <f t="shared" ca="1" si="286"/>
        <v>0</v>
      </c>
      <c r="M613" s="443">
        <f t="shared" ca="1" si="286"/>
        <v>0</v>
      </c>
      <c r="N613" s="443">
        <f t="shared" ca="1" si="286"/>
        <v>0</v>
      </c>
      <c r="O613" s="443">
        <f t="shared" ca="1" si="286"/>
        <v>0</v>
      </c>
      <c r="P613" s="443">
        <f t="shared" ca="1" si="286"/>
        <v>0</v>
      </c>
      <c r="Q613" s="443">
        <f t="shared" ca="1" si="286"/>
        <v>0</v>
      </c>
      <c r="R613" s="443">
        <f t="shared" ca="1" si="286"/>
        <v>0</v>
      </c>
      <c r="S613" s="511">
        <f t="shared" ca="1" si="286"/>
        <v>0</v>
      </c>
      <c r="T613" s="294"/>
    </row>
    <row r="614" spans="1:20" x14ac:dyDescent="0.25">
      <c r="A614" s="302"/>
      <c r="C614" s="294"/>
      <c r="D614" s="666" t="s">
        <v>322</v>
      </c>
      <c r="E614" s="41"/>
      <c r="F614" s="41"/>
      <c r="G614" s="41"/>
      <c r="H614" s="41"/>
      <c r="I614" s="41"/>
      <c r="J614" s="60">
        <f>IF($J$1412=0,0,IF($J$1412&gt;=J$574,J247,0))</f>
        <v>0</v>
      </c>
      <c r="K614" s="60">
        <f t="shared" ref="K614:S614" si="287">IF($J$1412=0,0,IF($J$1412&gt;=K$574,K247,0))</f>
        <v>0</v>
      </c>
      <c r="L614" s="60">
        <f t="shared" si="287"/>
        <v>0</v>
      </c>
      <c r="M614" s="60">
        <f t="shared" si="287"/>
        <v>0</v>
      </c>
      <c r="N614" s="60">
        <f t="shared" si="287"/>
        <v>0</v>
      </c>
      <c r="O614" s="60">
        <f t="shared" si="287"/>
        <v>0</v>
      </c>
      <c r="P614" s="60">
        <f t="shared" si="287"/>
        <v>0</v>
      </c>
      <c r="Q614" s="60">
        <f t="shared" si="287"/>
        <v>0</v>
      </c>
      <c r="R614" s="60">
        <f t="shared" si="287"/>
        <v>0</v>
      </c>
      <c r="S614" s="60">
        <f t="shared" si="287"/>
        <v>0</v>
      </c>
      <c r="T614" s="294"/>
    </row>
    <row r="615" spans="1:20" x14ac:dyDescent="0.25">
      <c r="A615" s="302"/>
      <c r="C615" s="294"/>
      <c r="D615" s="666" t="s">
        <v>315</v>
      </c>
      <c r="E615" s="41"/>
      <c r="F615" s="41"/>
      <c r="G615" s="41"/>
      <c r="H615" s="41"/>
      <c r="I615" s="41"/>
      <c r="J615" s="367">
        <f t="shared" ref="J615:S615" ca="1" si="288">MAX($J612,J612)*J1442</f>
        <v>0</v>
      </c>
      <c r="K615" s="367">
        <f t="shared" ca="1" si="288"/>
        <v>0</v>
      </c>
      <c r="L615" s="367">
        <f t="shared" ca="1" si="288"/>
        <v>0</v>
      </c>
      <c r="M615" s="367">
        <f t="shared" ca="1" si="288"/>
        <v>0</v>
      </c>
      <c r="N615" s="367">
        <f t="shared" ca="1" si="288"/>
        <v>0</v>
      </c>
      <c r="O615" s="367">
        <f t="shared" ca="1" si="288"/>
        <v>0</v>
      </c>
      <c r="P615" s="367">
        <f t="shared" ca="1" si="288"/>
        <v>0</v>
      </c>
      <c r="Q615" s="367">
        <f t="shared" ca="1" si="288"/>
        <v>0</v>
      </c>
      <c r="R615" s="367">
        <f t="shared" ca="1" si="288"/>
        <v>0</v>
      </c>
      <c r="S615" s="367">
        <f t="shared" ca="1" si="288"/>
        <v>0</v>
      </c>
      <c r="T615" s="294"/>
    </row>
    <row r="616" spans="1:20" x14ac:dyDescent="0.25">
      <c r="A616" s="302"/>
      <c r="C616" s="294"/>
      <c r="D616" s="666" t="s">
        <v>316</v>
      </c>
      <c r="E616" s="41"/>
      <c r="F616" s="41"/>
      <c r="G616" s="41"/>
      <c r="H616" s="41"/>
      <c r="I616" s="365"/>
      <c r="J616" s="366">
        <f ca="1">IF($H$1412=0,0,1)*IF(I272-I305+(J365-J381)+J607-J601-J608&gt;0,MIN(I272-I305+(J365-J381)+J607-J601-J608,J612+J614-J615),0)</f>
        <v>0</v>
      </c>
      <c r="K616" s="366">
        <f t="shared" ref="K616:S616" ca="1" si="289">IF($H$1412=0,0,1)*IF(J272-J305+(K365-K381)+K607-K601-K608&gt;0,MIN(J272-J305+(K365-K381)+K607-K601-K608,K612+K614-K615),0)</f>
        <v>0</v>
      </c>
      <c r="L616" s="366">
        <f t="shared" ca="1" si="289"/>
        <v>0</v>
      </c>
      <c r="M616" s="366">
        <f t="shared" ca="1" si="289"/>
        <v>0</v>
      </c>
      <c r="N616" s="366">
        <f t="shared" ca="1" si="289"/>
        <v>0</v>
      </c>
      <c r="O616" s="366">
        <f t="shared" ca="1" si="289"/>
        <v>0</v>
      </c>
      <c r="P616" s="366">
        <f t="shared" ca="1" si="289"/>
        <v>0</v>
      </c>
      <c r="Q616" s="366">
        <f t="shared" ca="1" si="289"/>
        <v>0</v>
      </c>
      <c r="R616" s="366">
        <f t="shared" ca="1" si="289"/>
        <v>0</v>
      </c>
      <c r="S616" s="366">
        <f t="shared" ca="1" si="289"/>
        <v>0</v>
      </c>
      <c r="T616" s="294"/>
    </row>
    <row r="617" spans="1:20" x14ac:dyDescent="0.25">
      <c r="A617" s="302"/>
      <c r="C617" s="294"/>
      <c r="D617" s="660" t="s">
        <v>317</v>
      </c>
      <c r="E617" s="18"/>
      <c r="F617" s="18"/>
      <c r="G617" s="18"/>
      <c r="H617" s="18"/>
      <c r="I617" s="18"/>
      <c r="J617" s="35">
        <f t="shared" ref="J617:S617" ca="1" si="290">J612+J614-J616-J615</f>
        <v>0</v>
      </c>
      <c r="K617" s="35">
        <f t="shared" ca="1" si="290"/>
        <v>0</v>
      </c>
      <c r="L617" s="35">
        <f t="shared" ca="1" si="290"/>
        <v>0</v>
      </c>
      <c r="M617" s="35">
        <f t="shared" ca="1" si="290"/>
        <v>0</v>
      </c>
      <c r="N617" s="35">
        <f t="shared" ca="1" si="290"/>
        <v>0</v>
      </c>
      <c r="O617" s="35">
        <f t="shared" ca="1" si="290"/>
        <v>0</v>
      </c>
      <c r="P617" s="35">
        <f t="shared" ca="1" si="290"/>
        <v>0</v>
      </c>
      <c r="Q617" s="35">
        <f t="shared" ca="1" si="290"/>
        <v>0</v>
      </c>
      <c r="R617" s="35">
        <f t="shared" ca="1" si="290"/>
        <v>0</v>
      </c>
      <c r="S617" s="35">
        <f t="shared" ca="1" si="290"/>
        <v>0</v>
      </c>
      <c r="T617" s="294"/>
    </row>
    <row r="618" spans="1:20" x14ac:dyDescent="0.25">
      <c r="A618" s="302"/>
      <c r="C618" s="294"/>
      <c r="D618" s="37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294"/>
    </row>
    <row r="619" spans="1:20" x14ac:dyDescent="0.25">
      <c r="A619" s="302"/>
      <c r="C619" s="294"/>
      <c r="D619" s="368" t="str">
        <f>UPPER($D$1413)</f>
        <v>DEBT 2</v>
      </c>
      <c r="E619" s="39"/>
      <c r="F619" s="667" t="s">
        <v>101</v>
      </c>
      <c r="G619" s="667" t="s">
        <v>101</v>
      </c>
      <c r="H619" s="667" t="s">
        <v>101</v>
      </c>
      <c r="I619" s="39"/>
      <c r="J619" s="39"/>
      <c r="K619" s="39"/>
      <c r="L619" s="39"/>
      <c r="M619" s="39"/>
      <c r="N619" s="39"/>
      <c r="O619" s="39"/>
      <c r="P619" s="39"/>
      <c r="Q619" s="39"/>
      <c r="R619" s="39"/>
      <c r="S619" s="39"/>
      <c r="T619" s="294"/>
    </row>
    <row r="620" spans="1:20" x14ac:dyDescent="0.25">
      <c r="A620" s="302"/>
      <c r="C620" s="294"/>
      <c r="D620" s="659" t="s">
        <v>313</v>
      </c>
      <c r="E620" s="41"/>
      <c r="F620" s="41"/>
      <c r="G620" s="41"/>
      <c r="H620" s="41"/>
      <c r="I620" s="41"/>
      <c r="J620" s="60">
        <f ca="1">S197</f>
        <v>0</v>
      </c>
      <c r="K620" s="60">
        <f t="shared" ref="K620:S620" ca="1" si="291">J625</f>
        <v>0</v>
      </c>
      <c r="L620" s="60">
        <f t="shared" ca="1" si="291"/>
        <v>0</v>
      </c>
      <c r="M620" s="60">
        <f t="shared" ca="1" si="291"/>
        <v>0</v>
      </c>
      <c r="N620" s="60">
        <f t="shared" ca="1" si="291"/>
        <v>0</v>
      </c>
      <c r="O620" s="60">
        <f t="shared" ca="1" si="291"/>
        <v>0</v>
      </c>
      <c r="P620" s="60">
        <f t="shared" ca="1" si="291"/>
        <v>0</v>
      </c>
      <c r="Q620" s="60">
        <f t="shared" ca="1" si="291"/>
        <v>0</v>
      </c>
      <c r="R620" s="60">
        <f t="shared" ca="1" si="291"/>
        <v>0</v>
      </c>
      <c r="S620" s="60">
        <f t="shared" ca="1" si="291"/>
        <v>0</v>
      </c>
      <c r="T620" s="294"/>
    </row>
    <row r="621" spans="1:20" x14ac:dyDescent="0.25">
      <c r="A621" s="302"/>
      <c r="C621" s="294"/>
      <c r="D621" s="659" t="s">
        <v>314</v>
      </c>
      <c r="E621" s="41" t="str">
        <f>IF($J$1413&gt;0,"PIK Until "&amp;FIXED($H$1371+$J$1413-1,0,TRUE),"Cash Pay")</f>
        <v>Cash Pay</v>
      </c>
      <c r="F621" s="41"/>
      <c r="G621" s="665" t="s">
        <v>204</v>
      </c>
      <c r="H621" s="467">
        <f>+C248</f>
        <v>0</v>
      </c>
      <c r="I621" s="41"/>
      <c r="J621" s="443">
        <f t="shared" ref="J621:S621" ca="1" si="292">+J248</f>
        <v>0</v>
      </c>
      <c r="K621" s="443">
        <f t="shared" ca="1" si="292"/>
        <v>0</v>
      </c>
      <c r="L621" s="443">
        <f t="shared" ca="1" si="292"/>
        <v>0</v>
      </c>
      <c r="M621" s="443">
        <f t="shared" ca="1" si="292"/>
        <v>0</v>
      </c>
      <c r="N621" s="443">
        <f t="shared" ca="1" si="292"/>
        <v>0</v>
      </c>
      <c r="O621" s="443">
        <f t="shared" ca="1" si="292"/>
        <v>0</v>
      </c>
      <c r="P621" s="443">
        <f t="shared" ca="1" si="292"/>
        <v>0</v>
      </c>
      <c r="Q621" s="443">
        <f t="shared" ca="1" si="292"/>
        <v>0</v>
      </c>
      <c r="R621" s="443">
        <f t="shared" ca="1" si="292"/>
        <v>0</v>
      </c>
      <c r="S621" s="511">
        <f t="shared" ca="1" si="292"/>
        <v>0</v>
      </c>
      <c r="T621" s="294"/>
    </row>
    <row r="622" spans="1:20" x14ac:dyDescent="0.25">
      <c r="A622" s="302"/>
      <c r="C622" s="294"/>
      <c r="D622" s="666" t="s">
        <v>322</v>
      </c>
      <c r="E622" s="41"/>
      <c r="F622" s="41"/>
      <c r="G622" s="41"/>
      <c r="H622" s="41"/>
      <c r="I622" s="41"/>
      <c r="J622" s="60">
        <f>IF($J$1413=0,0,IF($J$1413&gt;=J$574,J248,0))</f>
        <v>0</v>
      </c>
      <c r="K622" s="60">
        <f t="shared" ref="K622:S622" si="293">IF($J$1413=0,0,IF($J$1413&gt;=K$574,K248,0))</f>
        <v>0</v>
      </c>
      <c r="L622" s="60">
        <f t="shared" si="293"/>
        <v>0</v>
      </c>
      <c r="M622" s="60">
        <f t="shared" si="293"/>
        <v>0</v>
      </c>
      <c r="N622" s="60">
        <f t="shared" si="293"/>
        <v>0</v>
      </c>
      <c r="O622" s="60">
        <f t="shared" si="293"/>
        <v>0</v>
      </c>
      <c r="P622" s="60">
        <f t="shared" si="293"/>
        <v>0</v>
      </c>
      <c r="Q622" s="60">
        <f t="shared" si="293"/>
        <v>0</v>
      </c>
      <c r="R622" s="60">
        <f t="shared" si="293"/>
        <v>0</v>
      </c>
      <c r="S622" s="60">
        <f t="shared" si="293"/>
        <v>0</v>
      </c>
      <c r="T622" s="294"/>
    </row>
    <row r="623" spans="1:20" x14ac:dyDescent="0.25">
      <c r="A623" s="302"/>
      <c r="C623" s="294"/>
      <c r="D623" s="666" t="s">
        <v>315</v>
      </c>
      <c r="E623" s="41"/>
      <c r="F623" s="41"/>
      <c r="G623" s="41"/>
      <c r="H623" s="41"/>
      <c r="I623" s="41"/>
      <c r="J623" s="367">
        <f t="shared" ref="J623:S623" ca="1" si="294">MAX($J620,J620)*J1443</f>
        <v>0</v>
      </c>
      <c r="K623" s="367">
        <f t="shared" ca="1" si="294"/>
        <v>0</v>
      </c>
      <c r="L623" s="367">
        <f t="shared" ca="1" si="294"/>
        <v>0</v>
      </c>
      <c r="M623" s="367">
        <f t="shared" ca="1" si="294"/>
        <v>0</v>
      </c>
      <c r="N623" s="367">
        <f t="shared" ca="1" si="294"/>
        <v>0</v>
      </c>
      <c r="O623" s="367">
        <f t="shared" ca="1" si="294"/>
        <v>0</v>
      </c>
      <c r="P623" s="367">
        <f t="shared" ca="1" si="294"/>
        <v>0</v>
      </c>
      <c r="Q623" s="367">
        <f t="shared" ca="1" si="294"/>
        <v>0</v>
      </c>
      <c r="R623" s="367">
        <f t="shared" ca="1" si="294"/>
        <v>0</v>
      </c>
      <c r="S623" s="367">
        <f t="shared" ca="1" si="294"/>
        <v>0</v>
      </c>
      <c r="T623" s="294"/>
    </row>
    <row r="624" spans="1:20" x14ac:dyDescent="0.25">
      <c r="A624" s="302"/>
      <c r="C624" s="294"/>
      <c r="D624" s="666" t="s">
        <v>316</v>
      </c>
      <c r="E624" s="41"/>
      <c r="F624" s="41"/>
      <c r="G624" s="41"/>
      <c r="H624" s="41"/>
      <c r="I624" s="41"/>
      <c r="J624" s="366">
        <f ca="1">IF($H$1413=0,0,1)*IF(I272-I305+(J365-J381)+J607-J601-J608-J616&gt;0,MIN(I272-I305+(J365-J381)+J607-J601-J608-J616,J620+J622-J623),0)</f>
        <v>0</v>
      </c>
      <c r="K624" s="366">
        <f t="shared" ref="K624:S624" ca="1" si="295">IF($H$1413=0,0,1)*IF(J272-J305+(K365-K381)+K607-K601-K608-K616&gt;0,MIN(J272-J305+(K365-K381)+K607-K601-K608-K616,K620+K622-K623),0)</f>
        <v>0</v>
      </c>
      <c r="L624" s="366">
        <f t="shared" ca="1" si="295"/>
        <v>0</v>
      </c>
      <c r="M624" s="366">
        <f t="shared" ca="1" si="295"/>
        <v>0</v>
      </c>
      <c r="N624" s="366">
        <f t="shared" ca="1" si="295"/>
        <v>0</v>
      </c>
      <c r="O624" s="366">
        <f t="shared" ca="1" si="295"/>
        <v>0</v>
      </c>
      <c r="P624" s="366">
        <f t="shared" ca="1" si="295"/>
        <v>0</v>
      </c>
      <c r="Q624" s="366">
        <f t="shared" ca="1" si="295"/>
        <v>0</v>
      </c>
      <c r="R624" s="366">
        <f t="shared" ca="1" si="295"/>
        <v>0</v>
      </c>
      <c r="S624" s="366">
        <f t="shared" ca="1" si="295"/>
        <v>0</v>
      </c>
      <c r="T624" s="294"/>
    </row>
    <row r="625" spans="1:20" x14ac:dyDescent="0.25">
      <c r="A625" s="302"/>
      <c r="C625" s="294"/>
      <c r="D625" s="660" t="s">
        <v>317</v>
      </c>
      <c r="E625" s="18"/>
      <c r="F625" s="18"/>
      <c r="G625" s="18"/>
      <c r="H625" s="18"/>
      <c r="I625" s="18"/>
      <c r="J625" s="35">
        <f t="shared" ref="J625:S625" ca="1" si="296">J620+J622-J624-J623</f>
        <v>0</v>
      </c>
      <c r="K625" s="35">
        <f t="shared" ca="1" si="296"/>
        <v>0</v>
      </c>
      <c r="L625" s="35">
        <f t="shared" ca="1" si="296"/>
        <v>0</v>
      </c>
      <c r="M625" s="35">
        <f t="shared" ca="1" si="296"/>
        <v>0</v>
      </c>
      <c r="N625" s="35">
        <f t="shared" ca="1" si="296"/>
        <v>0</v>
      </c>
      <c r="O625" s="35">
        <f t="shared" ca="1" si="296"/>
        <v>0</v>
      </c>
      <c r="P625" s="35">
        <f t="shared" ca="1" si="296"/>
        <v>0</v>
      </c>
      <c r="Q625" s="35">
        <f t="shared" ca="1" si="296"/>
        <v>0</v>
      </c>
      <c r="R625" s="35">
        <f t="shared" ca="1" si="296"/>
        <v>0</v>
      </c>
      <c r="S625" s="35">
        <f t="shared" ca="1" si="296"/>
        <v>0</v>
      </c>
      <c r="T625" s="294"/>
    </row>
    <row r="626" spans="1:20" s="41" customFormat="1" x14ac:dyDescent="0.25">
      <c r="A626" s="302"/>
      <c r="B626" s="1"/>
      <c r="C626" s="294"/>
      <c r="D626" s="70"/>
      <c r="T626" s="294"/>
    </row>
    <row r="627" spans="1:20" x14ac:dyDescent="0.25">
      <c r="A627" s="302"/>
      <c r="C627" s="294"/>
      <c r="E627" s="41"/>
      <c r="F627" s="41"/>
      <c r="G627" s="41"/>
      <c r="H627" s="41"/>
      <c r="I627" s="41"/>
      <c r="J627" s="41"/>
      <c r="K627" s="41"/>
      <c r="L627" s="41"/>
      <c r="M627" s="41"/>
      <c r="N627" s="41"/>
      <c r="P627" s="41"/>
      <c r="Q627" s="41"/>
      <c r="R627" s="41"/>
      <c r="S627" s="41"/>
      <c r="T627" s="294"/>
    </row>
    <row r="628" spans="1:20" ht="25.5" customHeight="1" x14ac:dyDescent="0.25">
      <c r="A628" s="302"/>
      <c r="C628" s="294"/>
      <c r="D628" s="656" t="s">
        <v>323</v>
      </c>
      <c r="E628" s="170"/>
      <c r="F628" s="170"/>
      <c r="G628" s="170"/>
      <c r="H628" s="170"/>
      <c r="I628" s="170"/>
      <c r="J628" s="170"/>
      <c r="K628" s="170"/>
      <c r="L628" s="170"/>
      <c r="M628" s="170"/>
      <c r="N628" s="170"/>
      <c r="O628" s="170"/>
      <c r="P628" s="170"/>
      <c r="Q628" s="170"/>
      <c r="R628" s="170"/>
      <c r="S628" s="213"/>
      <c r="T628" s="294"/>
    </row>
    <row r="629" spans="1:20" x14ac:dyDescent="0.25">
      <c r="A629" s="302"/>
      <c r="C629" s="294"/>
      <c r="D629" s="61"/>
      <c r="I629" s="208"/>
      <c r="J629" s="290">
        <f>H1371</f>
        <v>1998</v>
      </c>
      <c r="K629" s="290">
        <f t="shared" ref="K629:S629" si="297">J629+1</f>
        <v>1999</v>
      </c>
      <c r="L629" s="290">
        <f t="shared" si="297"/>
        <v>2000</v>
      </c>
      <c r="M629" s="290">
        <f t="shared" si="297"/>
        <v>2001</v>
      </c>
      <c r="N629" s="290">
        <f t="shared" si="297"/>
        <v>2002</v>
      </c>
      <c r="O629" s="290">
        <f t="shared" si="297"/>
        <v>2003</v>
      </c>
      <c r="P629" s="290">
        <f t="shared" si="297"/>
        <v>2004</v>
      </c>
      <c r="Q629" s="290">
        <f t="shared" si="297"/>
        <v>2005</v>
      </c>
      <c r="R629" s="290">
        <f t="shared" si="297"/>
        <v>2006</v>
      </c>
      <c r="S629" s="290">
        <f t="shared" si="297"/>
        <v>2007</v>
      </c>
      <c r="T629" s="294"/>
    </row>
    <row r="630" spans="1:20" x14ac:dyDescent="0.25">
      <c r="A630" s="302"/>
      <c r="C630" s="294"/>
      <c r="D630" s="3"/>
      <c r="I630" s="662" t="s">
        <v>312</v>
      </c>
      <c r="J630" s="663">
        <v>1</v>
      </c>
      <c r="K630" s="663">
        <v>2</v>
      </c>
      <c r="L630" s="663">
        <v>3</v>
      </c>
      <c r="M630" s="663">
        <v>4</v>
      </c>
      <c r="N630" s="663">
        <v>5</v>
      </c>
      <c r="O630" s="663">
        <v>6</v>
      </c>
      <c r="P630" s="663">
        <v>7</v>
      </c>
      <c r="Q630" s="663">
        <v>8</v>
      </c>
      <c r="R630" s="663">
        <v>9</v>
      </c>
      <c r="S630" s="664">
        <v>10</v>
      </c>
      <c r="T630" s="294"/>
    </row>
    <row r="631" spans="1:20" x14ac:dyDescent="0.25">
      <c r="A631" s="302"/>
      <c r="C631" s="294"/>
      <c r="D631" s="3"/>
      <c r="I631" s="77"/>
      <c r="J631" s="285"/>
      <c r="K631" s="285"/>
      <c r="L631" s="285"/>
      <c r="M631" s="285"/>
      <c r="N631" s="285"/>
      <c r="O631" s="285"/>
      <c r="P631" s="285"/>
      <c r="Q631" s="285"/>
      <c r="R631" s="285"/>
      <c r="S631" s="512"/>
      <c r="T631" s="294"/>
    </row>
    <row r="632" spans="1:20" x14ac:dyDescent="0.25">
      <c r="A632" s="302"/>
      <c r="C632" s="294"/>
      <c r="D632" s="37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294"/>
    </row>
    <row r="633" spans="1:20" x14ac:dyDescent="0.25">
      <c r="A633" s="302"/>
      <c r="C633" s="294"/>
      <c r="D633" s="368" t="str">
        <f>UPPER($D$1414)</f>
        <v>DEBT 3</v>
      </c>
      <c r="E633" s="39"/>
      <c r="F633" s="39"/>
      <c r="G633" s="39"/>
      <c r="H633" s="39"/>
      <c r="I633" s="39"/>
      <c r="J633" s="39"/>
      <c r="K633" s="39"/>
      <c r="L633" s="39"/>
      <c r="M633" s="39"/>
      <c r="N633" s="39"/>
      <c r="O633" s="39"/>
      <c r="P633" s="39"/>
      <c r="Q633" s="39"/>
      <c r="R633" s="39"/>
      <c r="S633" s="39"/>
      <c r="T633" s="294"/>
    </row>
    <row r="634" spans="1:20" x14ac:dyDescent="0.25">
      <c r="A634" s="302"/>
      <c r="C634" s="294"/>
      <c r="D634" s="659" t="s">
        <v>313</v>
      </c>
      <c r="E634" s="41"/>
      <c r="F634" s="41"/>
      <c r="G634" s="41"/>
      <c r="H634" s="41"/>
      <c r="I634" s="41"/>
      <c r="J634" s="62">
        <f ca="1">S198</f>
        <v>0</v>
      </c>
      <c r="K634" s="62">
        <f t="shared" ref="K634:S634" ca="1" si="298">J639</f>
        <v>0</v>
      </c>
      <c r="L634" s="62">
        <f t="shared" ca="1" si="298"/>
        <v>0</v>
      </c>
      <c r="M634" s="62">
        <f t="shared" ca="1" si="298"/>
        <v>0</v>
      </c>
      <c r="N634" s="62">
        <f t="shared" ca="1" si="298"/>
        <v>0</v>
      </c>
      <c r="O634" s="62">
        <f t="shared" ca="1" si="298"/>
        <v>0</v>
      </c>
      <c r="P634" s="62">
        <f t="shared" ca="1" si="298"/>
        <v>0</v>
      </c>
      <c r="Q634" s="62">
        <f t="shared" ca="1" si="298"/>
        <v>0</v>
      </c>
      <c r="R634" s="62">
        <f t="shared" ca="1" si="298"/>
        <v>0</v>
      </c>
      <c r="S634" s="62">
        <f t="shared" ca="1" si="298"/>
        <v>0</v>
      </c>
      <c r="T634" s="294"/>
    </row>
    <row r="635" spans="1:20" x14ac:dyDescent="0.25">
      <c r="A635" s="302"/>
      <c r="C635" s="294"/>
      <c r="D635" s="659" t="s">
        <v>314</v>
      </c>
      <c r="E635" s="41" t="str">
        <f>IF($J$1414&gt;0,"PIK Until "&amp;FIXED($H$1371+$J$1414-1,0,TRUE),"Cash Pay")</f>
        <v>Cash Pay</v>
      </c>
      <c r="F635" s="41"/>
      <c r="G635" s="665" t="s">
        <v>204</v>
      </c>
      <c r="H635" s="467">
        <f>+C249</f>
        <v>0</v>
      </c>
      <c r="I635" s="41"/>
      <c r="J635" s="443">
        <f t="shared" ref="J635:S635" ca="1" si="299">+J249</f>
        <v>0</v>
      </c>
      <c r="K635" s="443">
        <f t="shared" ca="1" si="299"/>
        <v>0</v>
      </c>
      <c r="L635" s="443">
        <f t="shared" ca="1" si="299"/>
        <v>0</v>
      </c>
      <c r="M635" s="443">
        <f t="shared" ca="1" si="299"/>
        <v>0</v>
      </c>
      <c r="N635" s="443">
        <f t="shared" ca="1" si="299"/>
        <v>0</v>
      </c>
      <c r="O635" s="443">
        <f t="shared" ca="1" si="299"/>
        <v>0</v>
      </c>
      <c r="P635" s="443">
        <f t="shared" ca="1" si="299"/>
        <v>0</v>
      </c>
      <c r="Q635" s="443">
        <f t="shared" ca="1" si="299"/>
        <v>0</v>
      </c>
      <c r="R635" s="443">
        <f t="shared" ca="1" si="299"/>
        <v>0</v>
      </c>
      <c r="S635" s="511">
        <f t="shared" ca="1" si="299"/>
        <v>0</v>
      </c>
      <c r="T635" s="294"/>
    </row>
    <row r="636" spans="1:20" x14ac:dyDescent="0.25">
      <c r="A636" s="302"/>
      <c r="C636" s="294"/>
      <c r="D636" s="666" t="s">
        <v>322</v>
      </c>
      <c r="E636" s="41"/>
      <c r="F636" s="41"/>
      <c r="G636" s="41"/>
      <c r="H636" s="41"/>
      <c r="I636" s="41"/>
      <c r="J636" s="60">
        <f>IF($J$1414=0,0,IF($J$1414&gt;=J$574,J249,0))</f>
        <v>0</v>
      </c>
      <c r="K636" s="60">
        <f t="shared" ref="K636:S636" si="300">IF($J$1414=0,0,IF($J$1414&gt;=K$574,K249,0))</f>
        <v>0</v>
      </c>
      <c r="L636" s="60">
        <f t="shared" si="300"/>
        <v>0</v>
      </c>
      <c r="M636" s="60">
        <f t="shared" si="300"/>
        <v>0</v>
      </c>
      <c r="N636" s="60">
        <f t="shared" si="300"/>
        <v>0</v>
      </c>
      <c r="O636" s="60">
        <f t="shared" si="300"/>
        <v>0</v>
      </c>
      <c r="P636" s="60">
        <f t="shared" si="300"/>
        <v>0</v>
      </c>
      <c r="Q636" s="60">
        <f t="shared" si="300"/>
        <v>0</v>
      </c>
      <c r="R636" s="60">
        <f t="shared" si="300"/>
        <v>0</v>
      </c>
      <c r="S636" s="60">
        <f t="shared" si="300"/>
        <v>0</v>
      </c>
      <c r="T636" s="294"/>
    </row>
    <row r="637" spans="1:20" x14ac:dyDescent="0.25">
      <c r="A637" s="302"/>
      <c r="C637" s="294"/>
      <c r="D637" s="666" t="s">
        <v>315</v>
      </c>
      <c r="E637" s="41"/>
      <c r="F637" s="41"/>
      <c r="G637" s="41"/>
      <c r="H637" s="41"/>
      <c r="I637" s="41"/>
      <c r="J637" s="60">
        <f t="shared" ref="J637:S637" ca="1" si="301">MAX($J634,J634)*J1444</f>
        <v>0</v>
      </c>
      <c r="K637" s="60">
        <f t="shared" ca="1" si="301"/>
        <v>0</v>
      </c>
      <c r="L637" s="60">
        <f t="shared" ca="1" si="301"/>
        <v>0</v>
      </c>
      <c r="M637" s="60">
        <f t="shared" ca="1" si="301"/>
        <v>0</v>
      </c>
      <c r="N637" s="60">
        <f t="shared" ca="1" si="301"/>
        <v>0</v>
      </c>
      <c r="O637" s="60">
        <f t="shared" ca="1" si="301"/>
        <v>0</v>
      </c>
      <c r="P637" s="60">
        <f t="shared" ca="1" si="301"/>
        <v>0</v>
      </c>
      <c r="Q637" s="60">
        <f t="shared" ca="1" si="301"/>
        <v>0</v>
      </c>
      <c r="R637" s="60">
        <f t="shared" ca="1" si="301"/>
        <v>0</v>
      </c>
      <c r="S637" s="60">
        <f t="shared" ca="1" si="301"/>
        <v>0</v>
      </c>
      <c r="T637" s="294"/>
    </row>
    <row r="638" spans="1:20" x14ac:dyDescent="0.25">
      <c r="A638" s="302"/>
      <c r="C638" s="294"/>
      <c r="D638" s="666" t="s">
        <v>316</v>
      </c>
      <c r="E638" s="41"/>
      <c r="F638" s="41"/>
      <c r="G638" s="41"/>
      <c r="H638" s="41"/>
      <c r="I638" s="41"/>
      <c r="J638" s="366">
        <f ca="1">IF($H$1414=0,0,1)*IF(I272-I305+(J365-J381)+J607-J601-J608-J616-J624&gt;0,MIN(I272-I305+(J365-J381)+J607-J601-J608-J616-J624,J634+J636-J637),0)</f>
        <v>0</v>
      </c>
      <c r="K638" s="366">
        <f t="shared" ref="K638:S638" ca="1" si="302">IF($H$1414=0,0,1)*IF(J272-J305+(K365-K381)+K607-K601-K608-K616-K624&gt;0,MIN(J272-J305+(K365-K381)+K607-K601-K608-K616-K624,K634+K636-K637),0)</f>
        <v>0</v>
      </c>
      <c r="L638" s="366">
        <f t="shared" ca="1" si="302"/>
        <v>0</v>
      </c>
      <c r="M638" s="366">
        <f t="shared" ca="1" si="302"/>
        <v>0</v>
      </c>
      <c r="N638" s="366">
        <f t="shared" ca="1" si="302"/>
        <v>0</v>
      </c>
      <c r="O638" s="366">
        <f t="shared" ca="1" si="302"/>
        <v>0</v>
      </c>
      <c r="P638" s="366">
        <f t="shared" ca="1" si="302"/>
        <v>0</v>
      </c>
      <c r="Q638" s="366">
        <f t="shared" ca="1" si="302"/>
        <v>0</v>
      </c>
      <c r="R638" s="366">
        <f t="shared" ca="1" si="302"/>
        <v>0</v>
      </c>
      <c r="S638" s="366">
        <f t="shared" ca="1" si="302"/>
        <v>0</v>
      </c>
      <c r="T638" s="294"/>
    </row>
    <row r="639" spans="1:20" x14ac:dyDescent="0.25">
      <c r="A639" s="302"/>
      <c r="C639" s="294"/>
      <c r="D639" s="660" t="s">
        <v>317</v>
      </c>
      <c r="E639" s="18"/>
      <c r="F639" s="18"/>
      <c r="G639" s="18"/>
      <c r="H639" s="18"/>
      <c r="I639" s="18"/>
      <c r="J639" s="35">
        <f t="shared" ref="J639:S639" ca="1" si="303">J634+J636-J637-J638</f>
        <v>0</v>
      </c>
      <c r="K639" s="35">
        <f t="shared" ca="1" si="303"/>
        <v>0</v>
      </c>
      <c r="L639" s="35">
        <f t="shared" ca="1" si="303"/>
        <v>0</v>
      </c>
      <c r="M639" s="35">
        <f t="shared" ca="1" si="303"/>
        <v>0</v>
      </c>
      <c r="N639" s="35">
        <f t="shared" ca="1" si="303"/>
        <v>0</v>
      </c>
      <c r="O639" s="35">
        <f t="shared" ca="1" si="303"/>
        <v>0</v>
      </c>
      <c r="P639" s="35">
        <f t="shared" ca="1" si="303"/>
        <v>0</v>
      </c>
      <c r="Q639" s="35">
        <f t="shared" ca="1" si="303"/>
        <v>0</v>
      </c>
      <c r="R639" s="35">
        <f t="shared" ca="1" si="303"/>
        <v>0</v>
      </c>
      <c r="S639" s="35">
        <f t="shared" ca="1" si="303"/>
        <v>0</v>
      </c>
      <c r="T639" s="294"/>
    </row>
    <row r="640" spans="1:20" x14ac:dyDescent="0.25">
      <c r="A640" s="302"/>
      <c r="C640" s="294"/>
      <c r="D640" s="37"/>
      <c r="E640" s="37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294"/>
    </row>
    <row r="641" spans="1:20" x14ac:dyDescent="0.25">
      <c r="A641" s="302"/>
      <c r="C641" s="294"/>
      <c r="D641" s="368" t="str">
        <f>UPPER($D$1415)</f>
        <v>DEBT 4</v>
      </c>
      <c r="E641" s="39"/>
      <c r="F641" s="39"/>
      <c r="G641" s="39"/>
      <c r="H641" s="39"/>
      <c r="I641" s="39"/>
      <c r="J641" s="39"/>
      <c r="K641" s="39"/>
      <c r="L641" s="39"/>
      <c r="M641" s="39"/>
      <c r="N641" s="39"/>
      <c r="O641" s="39"/>
      <c r="P641" s="39"/>
      <c r="Q641" s="39"/>
      <c r="R641" s="39"/>
      <c r="S641" s="39"/>
      <c r="T641" s="294"/>
    </row>
    <row r="642" spans="1:20" x14ac:dyDescent="0.25">
      <c r="A642" s="302"/>
      <c r="C642" s="294"/>
      <c r="D642" s="659" t="s">
        <v>313</v>
      </c>
      <c r="E642" s="41"/>
      <c r="F642" s="41"/>
      <c r="G642" s="41"/>
      <c r="H642" s="41"/>
      <c r="I642" s="41"/>
      <c r="J642" s="62">
        <f ca="1">S199</f>
        <v>0</v>
      </c>
      <c r="K642" s="62">
        <f t="shared" ref="K642:S642" ca="1" si="304">J647</f>
        <v>0</v>
      </c>
      <c r="L642" s="62">
        <f t="shared" ca="1" si="304"/>
        <v>0</v>
      </c>
      <c r="M642" s="62">
        <f t="shared" ca="1" si="304"/>
        <v>0</v>
      </c>
      <c r="N642" s="62">
        <f t="shared" ca="1" si="304"/>
        <v>0</v>
      </c>
      <c r="O642" s="62">
        <f t="shared" ca="1" si="304"/>
        <v>0</v>
      </c>
      <c r="P642" s="62">
        <f t="shared" ca="1" si="304"/>
        <v>0</v>
      </c>
      <c r="Q642" s="62">
        <f t="shared" ca="1" si="304"/>
        <v>0</v>
      </c>
      <c r="R642" s="62">
        <f t="shared" ca="1" si="304"/>
        <v>0</v>
      </c>
      <c r="S642" s="62">
        <f t="shared" ca="1" si="304"/>
        <v>0</v>
      </c>
      <c r="T642" s="294"/>
    </row>
    <row r="643" spans="1:20" x14ac:dyDescent="0.25">
      <c r="A643" s="302"/>
      <c r="C643" s="294"/>
      <c r="D643" s="659" t="s">
        <v>314</v>
      </c>
      <c r="E643" s="41" t="str">
        <f>IF($J$1415&gt;0,"PIK Until "&amp;FIXED($H$1371+$J$1415-1,0,TRUE),"Cash Pay")</f>
        <v>Cash Pay</v>
      </c>
      <c r="F643" s="41"/>
      <c r="G643" s="665" t="s">
        <v>204</v>
      </c>
      <c r="H643" s="467">
        <f>C250</f>
        <v>0</v>
      </c>
      <c r="I643" s="41"/>
      <c r="J643" s="500">
        <f t="shared" ref="J643:S643" ca="1" si="305">J250</f>
        <v>0</v>
      </c>
      <c r="K643" s="500">
        <f t="shared" ca="1" si="305"/>
        <v>0</v>
      </c>
      <c r="L643" s="500">
        <f t="shared" ca="1" si="305"/>
        <v>0</v>
      </c>
      <c r="M643" s="500">
        <f t="shared" ca="1" si="305"/>
        <v>0</v>
      </c>
      <c r="N643" s="500">
        <f t="shared" ca="1" si="305"/>
        <v>0</v>
      </c>
      <c r="O643" s="500">
        <f t="shared" ca="1" si="305"/>
        <v>0</v>
      </c>
      <c r="P643" s="500">
        <f t="shared" ca="1" si="305"/>
        <v>0</v>
      </c>
      <c r="Q643" s="500">
        <f t="shared" ca="1" si="305"/>
        <v>0</v>
      </c>
      <c r="R643" s="500">
        <f t="shared" ca="1" si="305"/>
        <v>0</v>
      </c>
      <c r="S643" s="513">
        <f t="shared" ca="1" si="305"/>
        <v>0</v>
      </c>
      <c r="T643" s="294"/>
    </row>
    <row r="644" spans="1:20" x14ac:dyDescent="0.25">
      <c r="A644" s="302"/>
      <c r="C644" s="294"/>
      <c r="D644" s="659" t="s">
        <v>322</v>
      </c>
      <c r="E644" s="41"/>
      <c r="F644" s="41"/>
      <c r="G644" s="41"/>
      <c r="H644" s="41"/>
      <c r="I644" s="41"/>
      <c r="J644" s="60">
        <f>IF($J$1415=0,0,IF($J$1415&gt;J$574,J250,0))</f>
        <v>0</v>
      </c>
      <c r="K644" s="60">
        <f t="shared" ref="K644:S644" si="306">IF($J$1415=0,0,IF($J$1415&gt;K$574-1,K250,0))</f>
        <v>0</v>
      </c>
      <c r="L644" s="60">
        <f t="shared" si="306"/>
        <v>0</v>
      </c>
      <c r="M644" s="60">
        <f t="shared" si="306"/>
        <v>0</v>
      </c>
      <c r="N644" s="60">
        <f t="shared" si="306"/>
        <v>0</v>
      </c>
      <c r="O644" s="60">
        <f t="shared" si="306"/>
        <v>0</v>
      </c>
      <c r="P644" s="60">
        <f t="shared" si="306"/>
        <v>0</v>
      </c>
      <c r="Q644" s="60">
        <f t="shared" si="306"/>
        <v>0</v>
      </c>
      <c r="R644" s="60">
        <f t="shared" si="306"/>
        <v>0</v>
      </c>
      <c r="S644" s="60">
        <f t="shared" si="306"/>
        <v>0</v>
      </c>
      <c r="T644" s="294"/>
    </row>
    <row r="645" spans="1:20" x14ac:dyDescent="0.25">
      <c r="A645" s="302"/>
      <c r="C645" s="294"/>
      <c r="D645" s="666" t="s">
        <v>315</v>
      </c>
      <c r="E645" s="41"/>
      <c r="F645" s="41"/>
      <c r="G645" s="41"/>
      <c r="H645" s="41"/>
      <c r="I645" s="41"/>
      <c r="J645" s="60">
        <f t="shared" ref="J645:S645" ca="1" si="307">MAX($J642,J642)*J1445</f>
        <v>0</v>
      </c>
      <c r="K645" s="60">
        <f t="shared" ca="1" si="307"/>
        <v>0</v>
      </c>
      <c r="L645" s="60">
        <f t="shared" ca="1" si="307"/>
        <v>0</v>
      </c>
      <c r="M645" s="60">
        <f t="shared" ca="1" si="307"/>
        <v>0</v>
      </c>
      <c r="N645" s="60">
        <f t="shared" ca="1" si="307"/>
        <v>0</v>
      </c>
      <c r="O645" s="60">
        <f t="shared" ca="1" si="307"/>
        <v>0</v>
      </c>
      <c r="P645" s="60">
        <f t="shared" ca="1" si="307"/>
        <v>0</v>
      </c>
      <c r="Q645" s="60">
        <f t="shared" ca="1" si="307"/>
        <v>0</v>
      </c>
      <c r="R645" s="60">
        <f t="shared" ca="1" si="307"/>
        <v>0</v>
      </c>
      <c r="S645" s="60">
        <f t="shared" ca="1" si="307"/>
        <v>0</v>
      </c>
      <c r="T645" s="294"/>
    </row>
    <row r="646" spans="1:20" x14ac:dyDescent="0.25">
      <c r="A646" s="302"/>
      <c r="C646" s="294"/>
      <c r="D646" s="659" t="s">
        <v>316</v>
      </c>
      <c r="E646" s="41"/>
      <c r="F646" s="41"/>
      <c r="G646" s="41"/>
      <c r="H646" s="41"/>
      <c r="I646" s="41"/>
      <c r="J646" s="366">
        <f ca="1">IF($H$1415=0,0,1)*IF(I272-I305+(J365-J381)+J607-J601-J608-J616-J624-J638&gt;0,MIN(I272-I305+(J365-J381)+J607-J601-J608-J616-J624-J638,J642+J644-J645),0)</f>
        <v>0</v>
      </c>
      <c r="K646" s="366">
        <f t="shared" ref="K646:S646" ca="1" si="308">IF($H$1415=0,0,1)*IF(J272-J305+(K365-K381)+K607-K601-K608-K616-K624-K638&gt;0,MIN(J272-J305+(K365-K381)+K607-K601-K608-K616-K624-K638,K642+K644-K645),0)</f>
        <v>0</v>
      </c>
      <c r="L646" s="366">
        <f t="shared" ca="1" si="308"/>
        <v>0</v>
      </c>
      <c r="M646" s="366">
        <f t="shared" ca="1" si="308"/>
        <v>0</v>
      </c>
      <c r="N646" s="366">
        <f t="shared" ca="1" si="308"/>
        <v>0</v>
      </c>
      <c r="O646" s="366">
        <f t="shared" ca="1" si="308"/>
        <v>0</v>
      </c>
      <c r="P646" s="366">
        <f t="shared" ca="1" si="308"/>
        <v>0</v>
      </c>
      <c r="Q646" s="366">
        <f t="shared" ca="1" si="308"/>
        <v>0</v>
      </c>
      <c r="R646" s="366">
        <f t="shared" ca="1" si="308"/>
        <v>0</v>
      </c>
      <c r="S646" s="366">
        <f t="shared" ca="1" si="308"/>
        <v>0</v>
      </c>
      <c r="T646" s="294"/>
    </row>
    <row r="647" spans="1:20" x14ac:dyDescent="0.25">
      <c r="A647" s="302"/>
      <c r="C647" s="294"/>
      <c r="D647" s="660" t="s">
        <v>317</v>
      </c>
      <c r="E647" s="18"/>
      <c r="F647" s="18"/>
      <c r="G647" s="18"/>
      <c r="H647" s="18"/>
      <c r="I647" s="18"/>
      <c r="J647" s="35">
        <f t="shared" ref="J647:S647" ca="1" si="309">J642+J644-J645-J646</f>
        <v>0</v>
      </c>
      <c r="K647" s="35">
        <f t="shared" ca="1" si="309"/>
        <v>0</v>
      </c>
      <c r="L647" s="35">
        <f t="shared" ca="1" si="309"/>
        <v>0</v>
      </c>
      <c r="M647" s="35">
        <f t="shared" ca="1" si="309"/>
        <v>0</v>
      </c>
      <c r="N647" s="35">
        <f t="shared" ca="1" si="309"/>
        <v>0</v>
      </c>
      <c r="O647" s="35">
        <f t="shared" ca="1" si="309"/>
        <v>0</v>
      </c>
      <c r="P647" s="35">
        <f t="shared" ca="1" si="309"/>
        <v>0</v>
      </c>
      <c r="Q647" s="35">
        <f t="shared" ca="1" si="309"/>
        <v>0</v>
      </c>
      <c r="R647" s="35">
        <f t="shared" ca="1" si="309"/>
        <v>0</v>
      </c>
      <c r="S647" s="35">
        <f t="shared" ca="1" si="309"/>
        <v>0</v>
      </c>
      <c r="T647" s="294"/>
    </row>
    <row r="648" spans="1:20" x14ac:dyDescent="0.25">
      <c r="A648" s="302"/>
      <c r="C648" s="294"/>
      <c r="D648" s="37"/>
      <c r="E648" s="37"/>
      <c r="F648" s="18"/>
      <c r="G648" s="18"/>
      <c r="H648" s="18"/>
      <c r="I648" s="18"/>
      <c r="J648" s="35"/>
      <c r="K648" s="35"/>
      <c r="L648" s="35"/>
      <c r="M648" s="35"/>
      <c r="N648" s="35"/>
      <c r="O648" s="35"/>
      <c r="P648" s="35"/>
      <c r="Q648" s="35"/>
      <c r="R648" s="35"/>
      <c r="S648" s="35"/>
      <c r="T648" s="294"/>
    </row>
    <row r="649" spans="1:20" x14ac:dyDescent="0.25">
      <c r="A649" s="302"/>
      <c r="C649" s="294">
        <f>IF(ISNUMBER(C641),C641+1,0)</f>
        <v>0</v>
      </c>
      <c r="D649" s="368" t="str">
        <f ca="1">UPPER(OFFSET($D$1416,$C649,0))</f>
        <v>DEBT 5</v>
      </c>
      <c r="E649" s="39"/>
      <c r="F649" s="39"/>
      <c r="G649" s="39"/>
      <c r="H649" s="39"/>
      <c r="I649" s="39"/>
      <c r="J649" s="39"/>
      <c r="K649" s="39"/>
      <c r="L649" s="39"/>
      <c r="M649" s="39"/>
      <c r="N649" s="39"/>
      <c r="O649" s="39"/>
      <c r="P649" s="39"/>
      <c r="Q649" s="39"/>
      <c r="R649" s="39"/>
      <c r="S649" s="371"/>
      <c r="T649" s="294"/>
    </row>
    <row r="650" spans="1:20" x14ac:dyDescent="0.25">
      <c r="A650" s="302"/>
      <c r="C650" s="294"/>
      <c r="D650" s="659" t="s">
        <v>313</v>
      </c>
      <c r="E650" s="41"/>
      <c r="F650" s="41"/>
      <c r="G650" s="41"/>
      <c r="H650" s="41"/>
      <c r="I650" s="41"/>
      <c r="J650" s="62">
        <f ca="1">OFFSET($S$200,$C649,0)</f>
        <v>0</v>
      </c>
      <c r="K650" s="62">
        <f t="shared" ref="K650:S650" ca="1" si="310">J655</f>
        <v>0</v>
      </c>
      <c r="L650" s="62">
        <f t="shared" ca="1" si="310"/>
        <v>0</v>
      </c>
      <c r="M650" s="62">
        <f t="shared" ca="1" si="310"/>
        <v>0</v>
      </c>
      <c r="N650" s="62">
        <f t="shared" ca="1" si="310"/>
        <v>0</v>
      </c>
      <c r="O650" s="62">
        <f t="shared" ca="1" si="310"/>
        <v>0</v>
      </c>
      <c r="P650" s="62">
        <f t="shared" ca="1" si="310"/>
        <v>0</v>
      </c>
      <c r="Q650" s="62">
        <f t="shared" ca="1" si="310"/>
        <v>0</v>
      </c>
      <c r="R650" s="62">
        <f t="shared" ca="1" si="310"/>
        <v>0</v>
      </c>
      <c r="S650" s="62">
        <f t="shared" ca="1" si="310"/>
        <v>0</v>
      </c>
      <c r="T650" s="294"/>
    </row>
    <row r="651" spans="1:20" x14ac:dyDescent="0.25">
      <c r="A651" s="302"/>
      <c r="C651" s="294"/>
      <c r="D651" s="659" t="s">
        <v>314</v>
      </c>
      <c r="E651" s="41" t="str">
        <f>IF($J$1416&gt;0,"PIK Until "&amp;FIXED($H$1371+$J$1416-1,0,TRUE),"Cash Pay")</f>
        <v>Cash Pay</v>
      </c>
      <c r="F651" s="41"/>
      <c r="G651" s="665" t="s">
        <v>204</v>
      </c>
      <c r="H651" s="467">
        <f ca="1">OFFSET($C$251,$C649,0)</f>
        <v>0</v>
      </c>
      <c r="I651" s="41"/>
      <c r="J651" s="500">
        <f t="shared" ref="J651:S651" ca="1" si="311">OFFSET(J$251,$C649,0)</f>
        <v>0</v>
      </c>
      <c r="K651" s="500">
        <f t="shared" ca="1" si="311"/>
        <v>0</v>
      </c>
      <c r="L651" s="500">
        <f t="shared" ca="1" si="311"/>
        <v>0</v>
      </c>
      <c r="M651" s="500">
        <f t="shared" ca="1" si="311"/>
        <v>0</v>
      </c>
      <c r="N651" s="500">
        <f t="shared" ca="1" si="311"/>
        <v>0</v>
      </c>
      <c r="O651" s="500">
        <f t="shared" ca="1" si="311"/>
        <v>0</v>
      </c>
      <c r="P651" s="500">
        <f t="shared" ca="1" si="311"/>
        <v>0</v>
      </c>
      <c r="Q651" s="500">
        <f t="shared" ca="1" si="311"/>
        <v>0</v>
      </c>
      <c r="R651" s="500">
        <f t="shared" ca="1" si="311"/>
        <v>0</v>
      </c>
      <c r="S651" s="500">
        <f t="shared" ca="1" si="311"/>
        <v>0</v>
      </c>
      <c r="T651" s="294"/>
    </row>
    <row r="652" spans="1:20" x14ac:dyDescent="0.25">
      <c r="A652" s="302"/>
      <c r="C652" s="294"/>
      <c r="D652" s="659" t="s">
        <v>322</v>
      </c>
      <c r="E652" s="41"/>
      <c r="F652" s="41"/>
      <c r="G652" s="41"/>
      <c r="H652" s="41"/>
      <c r="I652" s="41"/>
      <c r="J652" s="60">
        <f t="shared" ref="J652:S652" ca="1" si="312">IF(OFFSET($J$1416,$C649,0)=0,0,IF(OFFSET($J$1416,$C649,0)&gt;J$574-1,OFFSET(J$251,$C649,0),0))</f>
        <v>0</v>
      </c>
      <c r="K652" s="60">
        <f t="shared" ca="1" si="312"/>
        <v>0</v>
      </c>
      <c r="L652" s="60">
        <f t="shared" ca="1" si="312"/>
        <v>0</v>
      </c>
      <c r="M652" s="60">
        <f t="shared" ca="1" si="312"/>
        <v>0</v>
      </c>
      <c r="N652" s="60">
        <f t="shared" ca="1" si="312"/>
        <v>0</v>
      </c>
      <c r="O652" s="60">
        <f t="shared" ca="1" si="312"/>
        <v>0</v>
      </c>
      <c r="P652" s="60">
        <f t="shared" ca="1" si="312"/>
        <v>0</v>
      </c>
      <c r="Q652" s="60">
        <f t="shared" ca="1" si="312"/>
        <v>0</v>
      </c>
      <c r="R652" s="60">
        <f t="shared" ca="1" si="312"/>
        <v>0</v>
      </c>
      <c r="S652" s="60">
        <f t="shared" ca="1" si="312"/>
        <v>0</v>
      </c>
      <c r="T652" s="294"/>
    </row>
    <row r="653" spans="1:20" x14ac:dyDescent="0.25">
      <c r="A653" s="302"/>
      <c r="C653" s="294"/>
      <c r="D653" s="666" t="s">
        <v>315</v>
      </c>
      <c r="E653" s="41"/>
      <c r="F653" s="41"/>
      <c r="G653" s="41"/>
      <c r="H653" s="41"/>
      <c r="I653" s="41"/>
      <c r="J653" s="60">
        <f t="shared" ref="J653:S653" ca="1" si="313">MAX($J650,J650)*OFFSET(J$1446,$C649,0)</f>
        <v>0</v>
      </c>
      <c r="K653" s="60">
        <f t="shared" ca="1" si="313"/>
        <v>0</v>
      </c>
      <c r="L653" s="60">
        <f t="shared" ca="1" si="313"/>
        <v>0</v>
      </c>
      <c r="M653" s="60">
        <f t="shared" ca="1" si="313"/>
        <v>0</v>
      </c>
      <c r="N653" s="60">
        <f t="shared" ca="1" si="313"/>
        <v>0</v>
      </c>
      <c r="O653" s="60">
        <f t="shared" ca="1" si="313"/>
        <v>0</v>
      </c>
      <c r="P653" s="60">
        <f t="shared" ca="1" si="313"/>
        <v>0</v>
      </c>
      <c r="Q653" s="60">
        <f t="shared" ca="1" si="313"/>
        <v>0</v>
      </c>
      <c r="R653" s="60">
        <f t="shared" ca="1" si="313"/>
        <v>0</v>
      </c>
      <c r="S653" s="60">
        <f t="shared" ca="1" si="313"/>
        <v>0</v>
      </c>
      <c r="T653" s="294"/>
    </row>
    <row r="654" spans="1:20" x14ac:dyDescent="0.25">
      <c r="A654" s="302"/>
      <c r="C654" s="294"/>
      <c r="D654" s="659" t="s">
        <v>316</v>
      </c>
      <c r="E654" s="41"/>
      <c r="F654" s="41"/>
      <c r="G654" s="41"/>
      <c r="H654" s="41"/>
      <c r="I654" s="41"/>
      <c r="J654" s="366">
        <f ca="1">IF(OFFSET($H$1416,$C649,0)=0,0,1)*IF(I$272-I305+(J$365-J$381)+J$607-J$601-J$608-J$616-J$624-J$638-J$646&gt;0,MIN(I$272-I305+(J$365-J$381)+J$607-J$601-J$608-J$616-J$624-J$638-J$646,J650+J652-J653),0)</f>
        <v>0</v>
      </c>
      <c r="K654" s="366">
        <f t="shared" ref="K654:S654" ca="1" si="314">IF(OFFSET($H$1416,$C649,0)=0,0,1)*IF(J$272-J305+(K$365-K$381)+K$607-K$601-K$608-K$616-K$624-K$638-K$646&gt;0,MIN(J$272-J305+(K$365-K$381)+K$607-K$601-K$608-K$616-K$624-K$638-K$646,K650+K652-K653),0)</f>
        <v>0</v>
      </c>
      <c r="L654" s="366">
        <f t="shared" ca="1" si="314"/>
        <v>0</v>
      </c>
      <c r="M654" s="366">
        <f t="shared" ca="1" si="314"/>
        <v>0</v>
      </c>
      <c r="N654" s="366">
        <f t="shared" ca="1" si="314"/>
        <v>0</v>
      </c>
      <c r="O654" s="366">
        <f t="shared" ca="1" si="314"/>
        <v>0</v>
      </c>
      <c r="P654" s="366">
        <f t="shared" ca="1" si="314"/>
        <v>0</v>
      </c>
      <c r="Q654" s="366">
        <f t="shared" ca="1" si="314"/>
        <v>0</v>
      </c>
      <c r="R654" s="366">
        <f t="shared" ca="1" si="314"/>
        <v>0</v>
      </c>
      <c r="S654" s="366">
        <f t="shared" ca="1" si="314"/>
        <v>0</v>
      </c>
      <c r="T654" s="294"/>
    </row>
    <row r="655" spans="1:20" x14ac:dyDescent="0.25">
      <c r="A655" s="302"/>
      <c r="C655" s="294"/>
      <c r="D655" s="660" t="s">
        <v>317</v>
      </c>
      <c r="E655" s="18"/>
      <c r="F655" s="18"/>
      <c r="G655" s="18"/>
      <c r="H655" s="18"/>
      <c r="I655" s="18"/>
      <c r="J655" s="35">
        <f t="shared" ref="J655:S655" ca="1" si="315">J650+J652-J653-J654</f>
        <v>0</v>
      </c>
      <c r="K655" s="35">
        <f t="shared" ca="1" si="315"/>
        <v>0</v>
      </c>
      <c r="L655" s="35">
        <f t="shared" ca="1" si="315"/>
        <v>0</v>
      </c>
      <c r="M655" s="35">
        <f t="shared" ca="1" si="315"/>
        <v>0</v>
      </c>
      <c r="N655" s="35">
        <f t="shared" ca="1" si="315"/>
        <v>0</v>
      </c>
      <c r="O655" s="35">
        <f t="shared" ca="1" si="315"/>
        <v>0</v>
      </c>
      <c r="P655" s="35">
        <f t="shared" ca="1" si="315"/>
        <v>0</v>
      </c>
      <c r="Q655" s="35">
        <f t="shared" ca="1" si="315"/>
        <v>0</v>
      </c>
      <c r="R655" s="35">
        <f t="shared" ca="1" si="315"/>
        <v>0</v>
      </c>
      <c r="S655" s="35">
        <f t="shared" ca="1" si="315"/>
        <v>0</v>
      </c>
      <c r="T655" s="294"/>
    </row>
    <row r="656" spans="1:20" x14ac:dyDescent="0.25">
      <c r="A656" s="302"/>
      <c r="C656" s="294"/>
      <c r="D656" s="37"/>
      <c r="E656" s="37"/>
      <c r="F656" s="18"/>
      <c r="G656" s="18"/>
      <c r="H656" s="18"/>
      <c r="I656" s="18"/>
      <c r="J656" s="35"/>
      <c r="K656" s="35"/>
      <c r="L656" s="35"/>
      <c r="M656" s="35"/>
      <c r="N656" s="35"/>
      <c r="O656" s="35"/>
      <c r="P656" s="35"/>
      <c r="Q656" s="35"/>
      <c r="R656" s="35"/>
      <c r="S656" s="35"/>
      <c r="T656" s="294"/>
    </row>
    <row r="657" spans="1:20" x14ac:dyDescent="0.25">
      <c r="A657" s="302"/>
      <c r="C657" s="294"/>
      <c r="D657" s="368" t="str">
        <f>UPPER($D$1417)</f>
        <v>PREFERRED 1</v>
      </c>
      <c r="E657" s="370"/>
      <c r="F657" s="39"/>
      <c r="G657" s="39"/>
      <c r="H657" s="39"/>
      <c r="I657" s="39"/>
      <c r="J657" s="371"/>
      <c r="K657" s="371"/>
      <c r="L657" s="371"/>
      <c r="M657" s="371"/>
      <c r="N657" s="371"/>
      <c r="O657" s="371"/>
      <c r="P657" s="371"/>
      <c r="Q657" s="371"/>
      <c r="R657" s="371"/>
      <c r="S657" s="371"/>
      <c r="T657" s="294"/>
    </row>
    <row r="658" spans="1:20" x14ac:dyDescent="0.25">
      <c r="A658" s="302"/>
      <c r="C658" s="294"/>
      <c r="D658" s="659" t="s">
        <v>324</v>
      </c>
      <c r="E658" s="70"/>
      <c r="F658" s="41"/>
      <c r="G658" s="41"/>
      <c r="H658" s="41"/>
      <c r="I658" s="41"/>
      <c r="J658" s="60">
        <f ca="1">S210</f>
        <v>0</v>
      </c>
      <c r="K658" s="60">
        <f t="shared" ref="K658:S658" ca="1" si="316">J662</f>
        <v>0</v>
      </c>
      <c r="L658" s="60">
        <f t="shared" ca="1" si="316"/>
        <v>0</v>
      </c>
      <c r="M658" s="60">
        <f t="shared" ca="1" si="316"/>
        <v>0</v>
      </c>
      <c r="N658" s="60">
        <f t="shared" ca="1" si="316"/>
        <v>0</v>
      </c>
      <c r="O658" s="60">
        <f t="shared" ca="1" si="316"/>
        <v>0</v>
      </c>
      <c r="P658" s="60">
        <f t="shared" ca="1" si="316"/>
        <v>0</v>
      </c>
      <c r="Q658" s="60">
        <f t="shared" ca="1" si="316"/>
        <v>0</v>
      </c>
      <c r="R658" s="60">
        <f t="shared" ca="1" si="316"/>
        <v>0</v>
      </c>
      <c r="S658" s="60">
        <f t="shared" ca="1" si="316"/>
        <v>0</v>
      </c>
      <c r="T658" s="294"/>
    </row>
    <row r="659" spans="1:20" x14ac:dyDescent="0.25">
      <c r="A659" s="302"/>
      <c r="C659" s="294"/>
      <c r="D659" s="659" t="s">
        <v>325</v>
      </c>
      <c r="E659" s="41" t="str">
        <f>IF($J$1417&gt;0,"PIK Until "&amp;FIXED($H$1371+$J$1417-1,0,TRUE),"Cash Pay")</f>
        <v>Cash Pay</v>
      </c>
      <c r="F659" s="41"/>
      <c r="G659"/>
      <c r="H659"/>
      <c r="I659" s="41"/>
      <c r="J659" s="180">
        <f ca="1">J658*J1433*($H$1374/12)</f>
        <v>0</v>
      </c>
      <c r="K659" s="60">
        <f t="shared" ref="K659:S659" ca="1" si="317">K658*K1433</f>
        <v>0</v>
      </c>
      <c r="L659" s="60">
        <f t="shared" ca="1" si="317"/>
        <v>0</v>
      </c>
      <c r="M659" s="60">
        <f t="shared" ca="1" si="317"/>
        <v>0</v>
      </c>
      <c r="N659" s="60">
        <f t="shared" ca="1" si="317"/>
        <v>0</v>
      </c>
      <c r="O659" s="60">
        <f t="shared" ca="1" si="317"/>
        <v>0</v>
      </c>
      <c r="P659" s="60">
        <f t="shared" ca="1" si="317"/>
        <v>0</v>
      </c>
      <c r="Q659" s="60">
        <f t="shared" ca="1" si="317"/>
        <v>0</v>
      </c>
      <c r="R659" s="60">
        <f t="shared" ca="1" si="317"/>
        <v>0</v>
      </c>
      <c r="S659" s="60">
        <f t="shared" ca="1" si="317"/>
        <v>0</v>
      </c>
      <c r="T659" s="294"/>
    </row>
    <row r="660" spans="1:20" x14ac:dyDescent="0.25">
      <c r="A660" s="302"/>
      <c r="C660" s="294"/>
      <c r="D660" s="659" t="s">
        <v>326</v>
      </c>
      <c r="E660" s="70"/>
      <c r="F660" s="41"/>
      <c r="G660" s="41"/>
      <c r="H660" s="41"/>
      <c r="I660" s="41"/>
      <c r="J660" s="60">
        <f>IF($J$1417=0,0,IF($J$1417&gt;J$574-1,J659,0))*H1374/12</f>
        <v>0</v>
      </c>
      <c r="K660" s="60">
        <f t="shared" ref="K660:S660" si="318">IF($J$1417=0,0,IF($J$1417&gt;K$574-1,K659,0))</f>
        <v>0</v>
      </c>
      <c r="L660" s="60">
        <f t="shared" si="318"/>
        <v>0</v>
      </c>
      <c r="M660" s="60">
        <f t="shared" si="318"/>
        <v>0</v>
      </c>
      <c r="N660" s="60">
        <f t="shared" si="318"/>
        <v>0</v>
      </c>
      <c r="O660" s="60">
        <f t="shared" si="318"/>
        <v>0</v>
      </c>
      <c r="P660" s="60">
        <f t="shared" si="318"/>
        <v>0</v>
      </c>
      <c r="Q660" s="60">
        <f t="shared" si="318"/>
        <v>0</v>
      </c>
      <c r="R660" s="60">
        <f t="shared" si="318"/>
        <v>0</v>
      </c>
      <c r="S660" s="60">
        <f t="shared" si="318"/>
        <v>0</v>
      </c>
      <c r="T660" s="294"/>
    </row>
    <row r="661" spans="1:20" x14ac:dyDescent="0.25">
      <c r="A661" s="302"/>
      <c r="C661" s="294"/>
      <c r="D661" s="659" t="s">
        <v>327</v>
      </c>
      <c r="E661" s="70"/>
      <c r="F661" s="41"/>
      <c r="G661" s="41"/>
      <c r="H661" s="41"/>
      <c r="I661" s="41"/>
      <c r="J661" s="60">
        <f t="shared" ref="J661:S661" ca="1" si="319">MAX($J658,J658)*J1447</f>
        <v>0</v>
      </c>
      <c r="K661" s="60">
        <f t="shared" ca="1" si="319"/>
        <v>0</v>
      </c>
      <c r="L661" s="60">
        <f t="shared" ca="1" si="319"/>
        <v>0</v>
      </c>
      <c r="M661" s="60">
        <f t="shared" ca="1" si="319"/>
        <v>0</v>
      </c>
      <c r="N661" s="60">
        <f t="shared" ca="1" si="319"/>
        <v>0</v>
      </c>
      <c r="O661" s="60">
        <f t="shared" ca="1" si="319"/>
        <v>0</v>
      </c>
      <c r="P661" s="60">
        <f t="shared" ca="1" si="319"/>
        <v>0</v>
      </c>
      <c r="Q661" s="60">
        <f t="shared" ca="1" si="319"/>
        <v>0</v>
      </c>
      <c r="R661" s="60">
        <f t="shared" ca="1" si="319"/>
        <v>0</v>
      </c>
      <c r="S661" s="60">
        <f t="shared" ca="1" si="319"/>
        <v>0</v>
      </c>
      <c r="T661" s="294"/>
    </row>
    <row r="662" spans="1:20" x14ac:dyDescent="0.25">
      <c r="A662" s="302"/>
      <c r="C662" s="294"/>
      <c r="D662" s="660" t="s">
        <v>328</v>
      </c>
      <c r="E662" s="37"/>
      <c r="F662" s="18"/>
      <c r="G662" s="18"/>
      <c r="H662" s="18"/>
      <c r="I662" s="18"/>
      <c r="J662" s="35">
        <f t="shared" ref="J662:S662" ca="1" si="320">J658+J660-J661</f>
        <v>0</v>
      </c>
      <c r="K662" s="35">
        <f t="shared" ca="1" si="320"/>
        <v>0</v>
      </c>
      <c r="L662" s="35">
        <f t="shared" ca="1" si="320"/>
        <v>0</v>
      </c>
      <c r="M662" s="35">
        <f t="shared" ca="1" si="320"/>
        <v>0</v>
      </c>
      <c r="N662" s="35">
        <f t="shared" ca="1" si="320"/>
        <v>0</v>
      </c>
      <c r="O662" s="35">
        <f t="shared" ca="1" si="320"/>
        <v>0</v>
      </c>
      <c r="P662" s="35">
        <f t="shared" ca="1" si="320"/>
        <v>0</v>
      </c>
      <c r="Q662" s="35">
        <f t="shared" ca="1" si="320"/>
        <v>0</v>
      </c>
      <c r="R662" s="35">
        <f t="shared" ca="1" si="320"/>
        <v>0</v>
      </c>
      <c r="S662" s="35">
        <f t="shared" ca="1" si="320"/>
        <v>0</v>
      </c>
      <c r="T662" s="294"/>
    </row>
    <row r="663" spans="1:20" x14ac:dyDescent="0.25">
      <c r="A663" s="302"/>
      <c r="C663" s="294"/>
      <c r="D663" s="61"/>
      <c r="E663" s="70"/>
      <c r="F663" s="41"/>
      <c r="G663" s="41"/>
      <c r="H663" s="41"/>
      <c r="I663" s="41"/>
      <c r="J663" s="60"/>
      <c r="K663" s="60"/>
      <c r="L663" s="60"/>
      <c r="M663" s="60"/>
      <c r="N663" s="60"/>
      <c r="O663" s="60"/>
      <c r="P663" s="60"/>
      <c r="Q663" s="60"/>
      <c r="R663" s="60"/>
      <c r="S663" s="60"/>
      <c r="T663" s="294"/>
    </row>
    <row r="664" spans="1:20" x14ac:dyDescent="0.25">
      <c r="A664" s="302"/>
      <c r="C664" s="294">
        <f>IF(ISNUMBER(C657),C657+1,0)</f>
        <v>0</v>
      </c>
      <c r="D664" s="368" t="str">
        <f ca="1">UPPER(OFFSET($D$1418,$C664,0))</f>
        <v>PREFERRED 2</v>
      </c>
      <c r="E664" s="370"/>
      <c r="F664" s="39"/>
      <c r="G664" s="39"/>
      <c r="H664" s="39"/>
      <c r="I664" s="39"/>
      <c r="J664" s="371"/>
      <c r="K664" s="371"/>
      <c r="L664" s="371"/>
      <c r="M664" s="371"/>
      <c r="N664" s="371"/>
      <c r="O664" s="371"/>
      <c r="P664" s="371"/>
      <c r="Q664" s="371"/>
      <c r="R664" s="371"/>
      <c r="S664" s="371"/>
      <c r="T664" s="294"/>
    </row>
    <row r="665" spans="1:20" x14ac:dyDescent="0.25">
      <c r="A665" s="302"/>
      <c r="C665" s="294"/>
      <c r="D665" s="659" t="s">
        <v>324</v>
      </c>
      <c r="E665" s="70"/>
      <c r="F665" s="41"/>
      <c r="G665" s="41"/>
      <c r="H665" s="41"/>
      <c r="I665" s="41"/>
      <c r="J665" s="62">
        <f ca="1">OFFSET(S$211,$C664,0)</f>
        <v>0</v>
      </c>
      <c r="K665" s="62">
        <f t="shared" ref="K665:S665" ca="1" si="321">J669</f>
        <v>0</v>
      </c>
      <c r="L665" s="62">
        <f t="shared" ca="1" si="321"/>
        <v>0</v>
      </c>
      <c r="M665" s="62">
        <f t="shared" ca="1" si="321"/>
        <v>0</v>
      </c>
      <c r="N665" s="62">
        <f t="shared" ca="1" si="321"/>
        <v>0</v>
      </c>
      <c r="O665" s="62">
        <f t="shared" ca="1" si="321"/>
        <v>0</v>
      </c>
      <c r="P665" s="62">
        <f t="shared" ca="1" si="321"/>
        <v>0</v>
      </c>
      <c r="Q665" s="62">
        <f t="shared" ca="1" si="321"/>
        <v>0</v>
      </c>
      <c r="R665" s="62">
        <f t="shared" ca="1" si="321"/>
        <v>0</v>
      </c>
      <c r="S665" s="62">
        <f t="shared" ca="1" si="321"/>
        <v>0</v>
      </c>
      <c r="T665" s="294"/>
    </row>
    <row r="666" spans="1:20" x14ac:dyDescent="0.25">
      <c r="A666" s="302"/>
      <c r="C666" s="294"/>
      <c r="D666" s="659" t="s">
        <v>325</v>
      </c>
      <c r="E666" s="41" t="str">
        <f>IF($J$1418&gt;0,"PIK Until "&amp;FIXED($H$1371+$J$1418-1,0,TRUE),"Cash Pay")</f>
        <v>Cash Pay</v>
      </c>
      <c r="F666" s="41"/>
      <c r="G666" s="41"/>
      <c r="H666" s="41"/>
      <c r="I666" s="41"/>
      <c r="J666" s="60">
        <f ca="1">J665*OFFSET(J$1434,$C664,0)*(H$1374/12)</f>
        <v>0</v>
      </c>
      <c r="K666" s="60">
        <f t="shared" ref="K666:S666" ca="1" si="322">K665*OFFSET(K$1434,$C664,0)</f>
        <v>0</v>
      </c>
      <c r="L666" s="60">
        <f t="shared" ca="1" si="322"/>
        <v>0</v>
      </c>
      <c r="M666" s="60">
        <f t="shared" ca="1" si="322"/>
        <v>0</v>
      </c>
      <c r="N666" s="60">
        <f t="shared" ca="1" si="322"/>
        <v>0</v>
      </c>
      <c r="O666" s="60">
        <f t="shared" ca="1" si="322"/>
        <v>0</v>
      </c>
      <c r="P666" s="60">
        <f t="shared" ca="1" si="322"/>
        <v>0</v>
      </c>
      <c r="Q666" s="60">
        <f t="shared" ca="1" si="322"/>
        <v>0</v>
      </c>
      <c r="R666" s="60">
        <f t="shared" ca="1" si="322"/>
        <v>0</v>
      </c>
      <c r="S666" s="60">
        <f t="shared" ca="1" si="322"/>
        <v>0</v>
      </c>
      <c r="T666" s="294"/>
    </row>
    <row r="667" spans="1:20" x14ac:dyDescent="0.25">
      <c r="A667" s="302"/>
      <c r="C667" s="294"/>
      <c r="D667" s="659" t="s">
        <v>326</v>
      </c>
      <c r="E667" s="70"/>
      <c r="F667" s="41"/>
      <c r="G667" s="41"/>
      <c r="H667" s="41"/>
      <c r="I667" s="41"/>
      <c r="J667" s="60">
        <f ca="1">IF(OFFSET($J$1418,$C664,0)=0,0,IF(OFFSET($J$1418,$C664,0)&gt;J$574-1,J666,0))*H$1374/12</f>
        <v>0</v>
      </c>
      <c r="K667" s="60">
        <f t="shared" ref="K667:S667" ca="1" si="323">IF(OFFSET($J$1418,$C664,0)=0,0,IF(OFFSET($J$1418,$C664,0)&gt;K$574-1,K666,0))</f>
        <v>0</v>
      </c>
      <c r="L667" s="60">
        <f t="shared" ca="1" si="323"/>
        <v>0</v>
      </c>
      <c r="M667" s="60">
        <f t="shared" ca="1" si="323"/>
        <v>0</v>
      </c>
      <c r="N667" s="60">
        <f t="shared" ca="1" si="323"/>
        <v>0</v>
      </c>
      <c r="O667" s="60">
        <f t="shared" ca="1" si="323"/>
        <v>0</v>
      </c>
      <c r="P667" s="60">
        <f t="shared" ca="1" si="323"/>
        <v>0</v>
      </c>
      <c r="Q667" s="60">
        <f t="shared" ca="1" si="323"/>
        <v>0</v>
      </c>
      <c r="R667" s="60">
        <f t="shared" ca="1" si="323"/>
        <v>0</v>
      </c>
      <c r="S667" s="60">
        <f t="shared" ca="1" si="323"/>
        <v>0</v>
      </c>
      <c r="T667" s="294"/>
    </row>
    <row r="668" spans="1:20" x14ac:dyDescent="0.25">
      <c r="A668" s="302"/>
      <c r="C668" s="294"/>
      <c r="D668" s="659" t="s">
        <v>327</v>
      </c>
      <c r="E668" s="70"/>
      <c r="F668" s="41"/>
      <c r="G668" s="41"/>
      <c r="H668" s="41"/>
      <c r="I668" s="41"/>
      <c r="J668" s="60">
        <f t="shared" ref="J668:S668" ca="1" si="324">MAX($J665,J665)*OFFSET(J$1448,$C664,0)</f>
        <v>0</v>
      </c>
      <c r="K668" s="60">
        <f t="shared" ca="1" si="324"/>
        <v>0</v>
      </c>
      <c r="L668" s="60">
        <f t="shared" ca="1" si="324"/>
        <v>0</v>
      </c>
      <c r="M668" s="60">
        <f t="shared" ca="1" si="324"/>
        <v>0</v>
      </c>
      <c r="N668" s="60">
        <f t="shared" ca="1" si="324"/>
        <v>0</v>
      </c>
      <c r="O668" s="60">
        <f t="shared" ca="1" si="324"/>
        <v>0</v>
      </c>
      <c r="P668" s="60">
        <f t="shared" ca="1" si="324"/>
        <v>0</v>
      </c>
      <c r="Q668" s="60">
        <f t="shared" ca="1" si="324"/>
        <v>0</v>
      </c>
      <c r="R668" s="60">
        <f t="shared" ca="1" si="324"/>
        <v>0</v>
      </c>
      <c r="S668" s="60">
        <f t="shared" ca="1" si="324"/>
        <v>0</v>
      </c>
      <c r="T668" s="294"/>
    </row>
    <row r="669" spans="1:20" x14ac:dyDescent="0.25">
      <c r="A669" s="302"/>
      <c r="C669" s="294"/>
      <c r="D669" s="660" t="s">
        <v>328</v>
      </c>
      <c r="E669" s="37"/>
      <c r="F669" s="18"/>
      <c r="G669" s="18"/>
      <c r="H669" s="18"/>
      <c r="I669" s="18"/>
      <c r="J669" s="35">
        <f t="shared" ref="J669:S669" ca="1" si="325">J665+J667-J668</f>
        <v>0</v>
      </c>
      <c r="K669" s="35">
        <f t="shared" ca="1" si="325"/>
        <v>0</v>
      </c>
      <c r="L669" s="35">
        <f t="shared" ca="1" si="325"/>
        <v>0</v>
      </c>
      <c r="M669" s="35">
        <f t="shared" ca="1" si="325"/>
        <v>0</v>
      </c>
      <c r="N669" s="35">
        <f t="shared" ca="1" si="325"/>
        <v>0</v>
      </c>
      <c r="O669" s="35">
        <f t="shared" ca="1" si="325"/>
        <v>0</v>
      </c>
      <c r="P669" s="35">
        <f t="shared" ca="1" si="325"/>
        <v>0</v>
      </c>
      <c r="Q669" s="35">
        <f t="shared" ca="1" si="325"/>
        <v>0</v>
      </c>
      <c r="R669" s="35">
        <f t="shared" ca="1" si="325"/>
        <v>0</v>
      </c>
      <c r="S669" s="35">
        <f t="shared" ca="1" si="325"/>
        <v>0</v>
      </c>
      <c r="T669" s="294"/>
    </row>
    <row r="670" spans="1:20" x14ac:dyDescent="0.25">
      <c r="A670" s="302"/>
      <c r="C670" s="294"/>
      <c r="D670" s="61"/>
      <c r="E670" s="70"/>
      <c r="F670" s="41"/>
      <c r="G670" s="41"/>
      <c r="H670" s="41"/>
      <c r="I670" s="41"/>
      <c r="J670" s="60"/>
      <c r="K670" s="60"/>
      <c r="L670" s="60"/>
      <c r="M670" s="60"/>
      <c r="N670" s="60"/>
      <c r="O670" s="60"/>
      <c r="P670" s="60"/>
      <c r="Q670" s="60"/>
      <c r="R670" s="60"/>
      <c r="S670" s="60"/>
      <c r="T670" s="294"/>
    </row>
    <row r="671" spans="1:20" x14ac:dyDescent="0.25">
      <c r="A671" s="302"/>
      <c r="C671" s="294"/>
      <c r="D671" s="668" t="s">
        <v>329</v>
      </c>
      <c r="E671" s="39"/>
      <c r="F671" s="39"/>
      <c r="G671" s="39"/>
      <c r="H671" s="39"/>
      <c r="I671" s="39"/>
      <c r="J671" s="39"/>
      <c r="K671" s="39"/>
      <c r="L671" s="39"/>
      <c r="M671" s="39"/>
      <c r="N671" s="39"/>
      <c r="O671" s="39"/>
      <c r="P671" s="39"/>
      <c r="Q671" s="39"/>
      <c r="R671" s="39"/>
      <c r="S671" s="39"/>
      <c r="T671" s="294"/>
    </row>
    <row r="672" spans="1:20" x14ac:dyDescent="0.25">
      <c r="A672" s="302"/>
      <c r="C672" s="294"/>
      <c r="D672" s="666" t="s">
        <v>330</v>
      </c>
      <c r="E672" s="41"/>
      <c r="F672" s="41"/>
      <c r="G672" s="41"/>
      <c r="H672" s="41"/>
      <c r="I672" s="41"/>
      <c r="J672" s="62">
        <f ca="1">I182</f>
        <v>125</v>
      </c>
      <c r="K672" s="62">
        <f t="shared" ref="K672:S672" ca="1" si="326">J675</f>
        <v>184.77</v>
      </c>
      <c r="L672" s="62">
        <f t="shared" ca="1" si="326"/>
        <v>259.48865000000001</v>
      </c>
      <c r="M672" s="62">
        <f t="shared" ca="1" si="326"/>
        <v>351.59269987499999</v>
      </c>
      <c r="N672" s="62">
        <f t="shared" ca="1" si="326"/>
        <v>463.89073168343748</v>
      </c>
      <c r="O672" s="62">
        <f t="shared" ca="1" si="326"/>
        <v>599.6191398850242</v>
      </c>
      <c r="P672" s="62">
        <f t="shared" ca="1" si="326"/>
        <v>762.50651526644367</v>
      </c>
      <c r="Q672" s="62">
        <f t="shared" ca="1" si="326"/>
        <v>956.84769334803275</v>
      </c>
      <c r="R672" s="62">
        <f t="shared" ca="1" si="326"/>
        <v>1187.5889171675879</v>
      </c>
      <c r="S672" s="62">
        <f t="shared" ca="1" si="326"/>
        <v>1460.4257818291401</v>
      </c>
      <c r="T672" s="294"/>
    </row>
    <row r="673" spans="1:20" x14ac:dyDescent="0.25">
      <c r="A673" s="302"/>
      <c r="C673" s="294"/>
      <c r="D673" s="659" t="s">
        <v>331</v>
      </c>
      <c r="E673" s="41"/>
      <c r="F673" s="60"/>
      <c r="G673" s="60"/>
      <c r="H673" s="60"/>
      <c r="I673" s="62"/>
      <c r="J673" s="60">
        <f ca="1">J1435*(J672+wcint*$I$183)*(H1374/12)</f>
        <v>6.25</v>
      </c>
      <c r="K673" s="60">
        <f ca="1">(K672+wcint*J273)*K1435</f>
        <v>9.2385000000000002</v>
      </c>
      <c r="L673" s="60">
        <f t="shared" ref="L673:S673" ca="1" si="327">(L672+wcint*K273)*L1435</f>
        <v>12.974432500000001</v>
      </c>
      <c r="M673" s="60">
        <f t="shared" ca="1" si="327"/>
        <v>17.579634993750002</v>
      </c>
      <c r="N673" s="60">
        <f t="shared" ca="1" si="327"/>
        <v>23.194536584171875</v>
      </c>
      <c r="O673" s="60">
        <f t="shared" ca="1" si="327"/>
        <v>29.980956994251212</v>
      </c>
      <c r="P673" s="60">
        <f t="shared" ca="1" si="327"/>
        <v>38.125325763322188</v>
      </c>
      <c r="Q673" s="60">
        <f t="shared" ca="1" si="327"/>
        <v>47.842384667401639</v>
      </c>
      <c r="R673" s="60">
        <f t="shared" ca="1" si="327"/>
        <v>59.379445858379398</v>
      </c>
      <c r="S673" s="60">
        <f t="shared" ca="1" si="327"/>
        <v>73.021289091457007</v>
      </c>
      <c r="T673" s="294"/>
    </row>
    <row r="674" spans="1:20" x14ac:dyDescent="0.25">
      <c r="A674" s="302"/>
      <c r="C674" s="294"/>
      <c r="D674" s="659" t="s">
        <v>332</v>
      </c>
      <c r="E674" s="41"/>
      <c r="F674" s="60"/>
      <c r="G674" s="60"/>
      <c r="H674" s="60"/>
      <c r="I674" s="60"/>
      <c r="J674" s="60">
        <f t="shared" ref="J674:S674" ca="1" si="328">J393</f>
        <v>59.77000000000001</v>
      </c>
      <c r="K674" s="60">
        <f t="shared" ca="1" si="328"/>
        <v>74.718649999999997</v>
      </c>
      <c r="L674" s="60">
        <f t="shared" ca="1" si="328"/>
        <v>92.104049874999987</v>
      </c>
      <c r="M674" s="60">
        <f t="shared" ca="1" si="328"/>
        <v>112.29803180843749</v>
      </c>
      <c r="N674" s="60">
        <f t="shared" ca="1" si="328"/>
        <v>135.72840820158669</v>
      </c>
      <c r="O674" s="60">
        <f t="shared" ca="1" si="328"/>
        <v>162.8873753814195</v>
      </c>
      <c r="P674" s="60">
        <f t="shared" ca="1" si="328"/>
        <v>194.34117808158905</v>
      </c>
      <c r="Q674" s="60">
        <f t="shared" ca="1" si="328"/>
        <v>230.7412238195551</v>
      </c>
      <c r="R674" s="60">
        <f t="shared" ca="1" si="328"/>
        <v>272.83686466155223</v>
      </c>
      <c r="S674" s="60">
        <f t="shared" ca="1" si="328"/>
        <v>321.49009649109348</v>
      </c>
      <c r="T674" s="294"/>
    </row>
    <row r="675" spans="1:20" x14ac:dyDescent="0.25">
      <c r="A675" s="302"/>
      <c r="C675" s="294"/>
      <c r="D675" s="669" t="s">
        <v>333</v>
      </c>
      <c r="E675" s="18"/>
      <c r="F675" s="35"/>
      <c r="G675" s="35"/>
      <c r="H675" s="35"/>
      <c r="I675" s="35"/>
      <c r="J675" s="35">
        <f t="shared" ref="J675:S675" ca="1" si="329">J672+J674</f>
        <v>184.77</v>
      </c>
      <c r="K675" s="35">
        <f t="shared" ca="1" si="329"/>
        <v>259.48865000000001</v>
      </c>
      <c r="L675" s="35">
        <f t="shared" ca="1" si="329"/>
        <v>351.59269987499999</v>
      </c>
      <c r="M675" s="35">
        <f t="shared" ca="1" si="329"/>
        <v>463.89073168343748</v>
      </c>
      <c r="N675" s="35">
        <f t="shared" ca="1" si="329"/>
        <v>599.6191398850242</v>
      </c>
      <c r="O675" s="35">
        <f t="shared" ca="1" si="329"/>
        <v>762.50651526644367</v>
      </c>
      <c r="P675" s="35">
        <f t="shared" ca="1" si="329"/>
        <v>956.84769334803275</v>
      </c>
      <c r="Q675" s="35">
        <f t="shared" ca="1" si="329"/>
        <v>1187.5889171675879</v>
      </c>
      <c r="R675" s="35">
        <f t="shared" ca="1" si="329"/>
        <v>1460.4257818291401</v>
      </c>
      <c r="S675" s="35">
        <f t="shared" ca="1" si="329"/>
        <v>1781.9158783202336</v>
      </c>
      <c r="T675" s="294"/>
    </row>
    <row r="676" spans="1:20" x14ac:dyDescent="0.25">
      <c r="A676" s="302"/>
      <c r="C676" s="294"/>
      <c r="D676" s="70"/>
      <c r="E676" s="70"/>
      <c r="F676" s="41"/>
      <c r="G676" s="41"/>
      <c r="H676" s="41"/>
      <c r="I676" s="41"/>
      <c r="J676" s="41"/>
      <c r="K676" s="41"/>
      <c r="L676" s="41"/>
      <c r="M676" s="60"/>
      <c r="N676" s="60"/>
      <c r="O676" s="60"/>
      <c r="P676" s="60"/>
      <c r="Q676" s="60"/>
      <c r="R676" s="60"/>
      <c r="S676" s="60"/>
      <c r="T676" s="439"/>
    </row>
    <row r="677" spans="1:20" ht="23.25" customHeight="1" x14ac:dyDescent="0.25">
      <c r="A677" s="302"/>
      <c r="C677" s="294"/>
      <c r="D677" s="656" t="s">
        <v>334</v>
      </c>
      <c r="E677" s="220"/>
      <c r="F677" s="213"/>
      <c r="G677" s="213"/>
      <c r="H677" s="213"/>
      <c r="I677" s="213"/>
      <c r="J677" s="213"/>
      <c r="K677" s="170"/>
      <c r="L677" s="170"/>
      <c r="M677" s="170"/>
      <c r="N677" s="170"/>
      <c r="O677" s="170"/>
      <c r="P677" s="170"/>
      <c r="Q677" s="170"/>
      <c r="R677" s="170"/>
      <c r="S677" s="213"/>
      <c r="T677" s="294"/>
    </row>
    <row r="678" spans="1:20" ht="12.75" customHeight="1" x14ac:dyDescent="0.25">
      <c r="A678" s="302"/>
      <c r="C678" s="294"/>
      <c r="D678" s="661" t="s">
        <v>335</v>
      </c>
      <c r="E678" s="240"/>
      <c r="F678" s="241"/>
      <c r="G678" s="241"/>
      <c r="H678" s="241"/>
      <c r="I678" s="241"/>
      <c r="J678" s="166" t="str">
        <f>"For the Fiscal Year Ending "&amp;fye</f>
        <v>For the Fiscal Year Ending December 31,</v>
      </c>
      <c r="K678" s="165"/>
      <c r="L678" s="165"/>
      <c r="M678" s="165"/>
      <c r="N678" s="165"/>
      <c r="O678" s="165"/>
      <c r="P678" s="165"/>
      <c r="Q678" s="165"/>
      <c r="R678" s="165"/>
      <c r="S678" s="165"/>
      <c r="T678" s="294"/>
    </row>
    <row r="679" spans="1:20" x14ac:dyDescent="0.25">
      <c r="A679" s="302"/>
      <c r="C679" s="294"/>
      <c r="D679" s="615" t="s">
        <v>336</v>
      </c>
      <c r="E679" s="41"/>
      <c r="F679" s="41"/>
      <c r="G679" s="41"/>
      <c r="H679" s="41"/>
      <c r="I679" s="41"/>
      <c r="J679" s="225">
        <f>$H$1371</f>
        <v>1998</v>
      </c>
      <c r="K679" s="101">
        <f t="shared" ref="K679:S679" si="330">J679+1</f>
        <v>1999</v>
      </c>
      <c r="L679" s="101">
        <f t="shared" si="330"/>
        <v>2000</v>
      </c>
      <c r="M679" s="101">
        <f t="shared" si="330"/>
        <v>2001</v>
      </c>
      <c r="N679" s="101">
        <f t="shared" si="330"/>
        <v>2002</v>
      </c>
      <c r="O679" s="101">
        <f t="shared" si="330"/>
        <v>2003</v>
      </c>
      <c r="P679" s="101">
        <f t="shared" si="330"/>
        <v>2004</v>
      </c>
      <c r="Q679" s="101">
        <f t="shared" si="330"/>
        <v>2005</v>
      </c>
      <c r="R679" s="101">
        <f t="shared" si="330"/>
        <v>2006</v>
      </c>
      <c r="S679" s="514">
        <f t="shared" si="330"/>
        <v>2007</v>
      </c>
      <c r="T679" s="294"/>
    </row>
    <row r="680" spans="1:20" x14ac:dyDescent="0.25">
      <c r="A680" s="302"/>
      <c r="C680" s="294"/>
      <c r="D680" s="243"/>
      <c r="E680" s="41"/>
      <c r="F680" s="41"/>
      <c r="G680" s="41"/>
      <c r="H680" s="41"/>
      <c r="I680" s="41"/>
      <c r="O680" s="1"/>
      <c r="S680" s="41"/>
      <c r="T680" s="294"/>
    </row>
    <row r="681" spans="1:20" x14ac:dyDescent="0.25">
      <c r="A681" s="302"/>
      <c r="C681" s="294"/>
      <c r="D681" s="40"/>
      <c r="E681" s="41"/>
      <c r="F681" s="670" t="s">
        <v>101</v>
      </c>
      <c r="G681" s="41"/>
      <c r="H681" s="611" t="s">
        <v>337</v>
      </c>
      <c r="I681" s="41"/>
      <c r="J681" s="78">
        <f t="shared" ref="J681:S681" si="331">J1536</f>
        <v>30</v>
      </c>
      <c r="K681" s="78">
        <f t="shared" si="331"/>
        <v>30</v>
      </c>
      <c r="L681" s="78">
        <f t="shared" si="331"/>
        <v>30</v>
      </c>
      <c r="M681" s="78">
        <f t="shared" si="331"/>
        <v>30</v>
      </c>
      <c r="N681" s="78">
        <f t="shared" si="331"/>
        <v>30</v>
      </c>
      <c r="O681" s="78">
        <f t="shared" si="331"/>
        <v>30</v>
      </c>
      <c r="P681" s="78">
        <f t="shared" si="331"/>
        <v>30</v>
      </c>
      <c r="Q681" s="78">
        <f t="shared" si="331"/>
        <v>30</v>
      </c>
      <c r="R681" s="78">
        <f t="shared" si="331"/>
        <v>30</v>
      </c>
      <c r="S681" s="245">
        <f t="shared" si="331"/>
        <v>30</v>
      </c>
      <c r="T681" s="294"/>
    </row>
    <row r="682" spans="1:20" ht="6" customHeight="1" x14ac:dyDescent="0.25">
      <c r="A682" s="302"/>
      <c r="C682" s="294"/>
      <c r="D682" s="40"/>
      <c r="E682" s="41"/>
      <c r="F682" s="242"/>
      <c r="G682" s="41"/>
      <c r="H682" s="211"/>
      <c r="I682" s="41"/>
      <c r="J682" s="542" t="s">
        <v>66</v>
      </c>
      <c r="K682" s="542" t="s">
        <v>66</v>
      </c>
      <c r="L682" s="542" t="s">
        <v>66</v>
      </c>
      <c r="M682" s="542" t="s">
        <v>66</v>
      </c>
      <c r="N682" s="542" t="s">
        <v>66</v>
      </c>
      <c r="O682" s="542" t="s">
        <v>66</v>
      </c>
      <c r="P682" s="542" t="s">
        <v>66</v>
      </c>
      <c r="Q682" s="542" t="s">
        <v>66</v>
      </c>
      <c r="R682" s="542" t="s">
        <v>66</v>
      </c>
      <c r="S682" s="542" t="s">
        <v>66</v>
      </c>
      <c r="T682" s="294"/>
    </row>
    <row r="683" spans="1:20" x14ac:dyDescent="0.25">
      <c r="A683" s="302"/>
      <c r="C683" s="294"/>
      <c r="D683" s="40"/>
      <c r="E683" s="41"/>
      <c r="F683" s="670" t="s">
        <v>101</v>
      </c>
      <c r="G683" s="41"/>
      <c r="H683" s="61" t="str">
        <f>PROPER(D689)&amp;"................................................................."</f>
        <v>5.0 Year Assets:.................................................................</v>
      </c>
      <c r="I683" s="41"/>
      <c r="J683" s="103">
        <f t="shared" ref="J683:S686" si="332">J1548*J$681</f>
        <v>7.5</v>
      </c>
      <c r="K683" s="103">
        <f t="shared" si="332"/>
        <v>7.5</v>
      </c>
      <c r="L683" s="103">
        <f t="shared" si="332"/>
        <v>7.5</v>
      </c>
      <c r="M683" s="103">
        <f t="shared" si="332"/>
        <v>7.5</v>
      </c>
      <c r="N683" s="103">
        <f t="shared" si="332"/>
        <v>7.5</v>
      </c>
      <c r="O683" s="103">
        <f t="shared" si="332"/>
        <v>7.5</v>
      </c>
      <c r="P683" s="103">
        <f t="shared" si="332"/>
        <v>7.5</v>
      </c>
      <c r="Q683" s="103">
        <f t="shared" si="332"/>
        <v>7.5</v>
      </c>
      <c r="R683" s="103">
        <f t="shared" si="332"/>
        <v>7.5</v>
      </c>
      <c r="S683" s="231">
        <f t="shared" si="332"/>
        <v>7.5</v>
      </c>
      <c r="T683" s="294"/>
    </row>
    <row r="684" spans="1:20" x14ac:dyDescent="0.25">
      <c r="A684" s="302"/>
      <c r="C684" s="294"/>
      <c r="D684" s="40"/>
      <c r="E684" s="41"/>
      <c r="F684" s="670" t="s">
        <v>101</v>
      </c>
      <c r="G684" s="41"/>
      <c r="H684" s="61" t="str">
        <f>PROPER(D704)&amp;"....................................................................................."</f>
        <v>7.0 Year Assets:.....................................................................................</v>
      </c>
      <c r="I684" s="41"/>
      <c r="J684" s="103">
        <f t="shared" si="332"/>
        <v>7.5</v>
      </c>
      <c r="K684" s="103">
        <f t="shared" si="332"/>
        <v>7.5</v>
      </c>
      <c r="L684" s="103">
        <f t="shared" si="332"/>
        <v>7.5</v>
      </c>
      <c r="M684" s="103">
        <f t="shared" si="332"/>
        <v>7.5</v>
      </c>
      <c r="N684" s="103">
        <f t="shared" si="332"/>
        <v>7.5</v>
      </c>
      <c r="O684" s="103">
        <f t="shared" si="332"/>
        <v>7.5</v>
      </c>
      <c r="P684" s="103">
        <f t="shared" si="332"/>
        <v>7.5</v>
      </c>
      <c r="Q684" s="103">
        <f t="shared" si="332"/>
        <v>7.5</v>
      </c>
      <c r="R684" s="103">
        <f t="shared" si="332"/>
        <v>7.5</v>
      </c>
      <c r="S684" s="231">
        <f t="shared" si="332"/>
        <v>7.5</v>
      </c>
      <c r="T684" s="294"/>
    </row>
    <row r="685" spans="1:20" x14ac:dyDescent="0.25">
      <c r="A685" s="302"/>
      <c r="C685" s="294"/>
      <c r="D685" s="40"/>
      <c r="E685" s="41"/>
      <c r="F685" s="670" t="s">
        <v>101</v>
      </c>
      <c r="G685" s="41"/>
      <c r="H685" s="61" t="str">
        <f>PROPER(D719)&amp;"..............................................................."</f>
        <v>10.0 Year Assets:...............................................................</v>
      </c>
      <c r="I685" s="41"/>
      <c r="J685" s="103">
        <f t="shared" si="332"/>
        <v>7.5</v>
      </c>
      <c r="K685" s="103">
        <f t="shared" si="332"/>
        <v>7.5</v>
      </c>
      <c r="L685" s="103">
        <f t="shared" si="332"/>
        <v>7.5</v>
      </c>
      <c r="M685" s="103">
        <f t="shared" si="332"/>
        <v>7.5</v>
      </c>
      <c r="N685" s="103">
        <f t="shared" si="332"/>
        <v>7.5</v>
      </c>
      <c r="O685" s="103">
        <f t="shared" si="332"/>
        <v>7.5</v>
      </c>
      <c r="P685" s="103">
        <f t="shared" si="332"/>
        <v>7.5</v>
      </c>
      <c r="Q685" s="103">
        <f t="shared" si="332"/>
        <v>7.5</v>
      </c>
      <c r="R685" s="103">
        <f t="shared" si="332"/>
        <v>7.5</v>
      </c>
      <c r="S685" s="231">
        <f t="shared" si="332"/>
        <v>7.5</v>
      </c>
      <c r="T685" s="294"/>
    </row>
    <row r="686" spans="1:20" x14ac:dyDescent="0.25">
      <c r="A686" s="302"/>
      <c r="C686" s="294"/>
      <c r="D686" s="40"/>
      <c r="E686" s="41"/>
      <c r="F686" s="670" t="s">
        <v>101</v>
      </c>
      <c r="G686" s="41"/>
      <c r="H686" s="41" t="str">
        <f>PROPER(D736)&amp;"....................................................................."</f>
        <v>31.5 Year Assets:.....................................................................</v>
      </c>
      <c r="I686" s="41"/>
      <c r="J686" s="103">
        <f t="shared" si="332"/>
        <v>7.5</v>
      </c>
      <c r="K686" s="103">
        <f t="shared" si="332"/>
        <v>7.5</v>
      </c>
      <c r="L686" s="103">
        <f t="shared" si="332"/>
        <v>7.5</v>
      </c>
      <c r="M686" s="103">
        <f t="shared" si="332"/>
        <v>7.5</v>
      </c>
      <c r="N686" s="103">
        <f t="shared" si="332"/>
        <v>7.5</v>
      </c>
      <c r="O686" s="103">
        <f t="shared" si="332"/>
        <v>7.5</v>
      </c>
      <c r="P686" s="103">
        <f t="shared" si="332"/>
        <v>7.5</v>
      </c>
      <c r="Q686" s="103">
        <f t="shared" si="332"/>
        <v>7.5</v>
      </c>
      <c r="R686" s="103">
        <f t="shared" si="332"/>
        <v>7.5</v>
      </c>
      <c r="S686" s="231">
        <f t="shared" si="332"/>
        <v>7.5</v>
      </c>
      <c r="T686" s="294"/>
    </row>
    <row r="687" spans="1:20" x14ac:dyDescent="0.25">
      <c r="A687" s="302"/>
      <c r="C687" s="294"/>
      <c r="D687" s="43"/>
      <c r="E687" s="18"/>
      <c r="F687" s="671" t="s">
        <v>101</v>
      </c>
      <c r="G687" s="18"/>
      <c r="H687" s="671" t="s">
        <v>338</v>
      </c>
      <c r="I687" s="18"/>
      <c r="J687" s="244">
        <f t="shared" ref="J687:S687" si="333">J681-SUM(J683:J686)</f>
        <v>0</v>
      </c>
      <c r="K687" s="244">
        <f t="shared" si="333"/>
        <v>0</v>
      </c>
      <c r="L687" s="244">
        <f t="shared" si="333"/>
        <v>0</v>
      </c>
      <c r="M687" s="244">
        <f t="shared" si="333"/>
        <v>0</v>
      </c>
      <c r="N687" s="244">
        <f t="shared" si="333"/>
        <v>0</v>
      </c>
      <c r="O687" s="244">
        <f t="shared" si="333"/>
        <v>0</v>
      </c>
      <c r="P687" s="244">
        <f t="shared" si="333"/>
        <v>0</v>
      </c>
      <c r="Q687" s="244">
        <f t="shared" si="333"/>
        <v>0</v>
      </c>
      <c r="R687" s="244">
        <f t="shared" si="333"/>
        <v>0</v>
      </c>
      <c r="S687" s="244">
        <f t="shared" si="333"/>
        <v>0</v>
      </c>
      <c r="T687" s="294"/>
    </row>
    <row r="688" spans="1:20" x14ac:dyDescent="0.25">
      <c r="A688" s="302"/>
      <c r="C688" s="294"/>
      <c r="D688" s="40"/>
      <c r="E688" s="41"/>
      <c r="F688" s="242"/>
      <c r="G688" s="41"/>
      <c r="H688" s="242"/>
      <c r="I688" s="41"/>
      <c r="J688" s="244"/>
      <c r="K688" s="244"/>
      <c r="L688" s="244"/>
      <c r="M688" s="244"/>
      <c r="N688" s="244"/>
      <c r="O688" s="244"/>
      <c r="P688" s="244"/>
      <c r="Q688" s="244"/>
      <c r="R688" s="244"/>
      <c r="S688" s="244"/>
      <c r="T688" s="294"/>
    </row>
    <row r="689" spans="1:20" x14ac:dyDescent="0.25">
      <c r="A689" s="302"/>
      <c r="C689" s="294"/>
      <c r="D689" s="226" t="str">
        <f>UPPER(FIXED(D1548,1,TRUE)&amp;" Year Assets:")</f>
        <v>5.0 YEAR ASSETS:</v>
      </c>
      <c r="E689" s="39"/>
      <c r="F689" s="672" t="s">
        <v>101</v>
      </c>
      <c r="G689" s="39"/>
      <c r="H689" s="39"/>
      <c r="I689" s="241"/>
      <c r="J689" s="223" t="str">
        <f>"For the Fiscal Year Ending "&amp;H1372</f>
        <v>For the Fiscal Year Ending December 31,</v>
      </c>
      <c r="K689" s="224"/>
      <c r="L689" s="224"/>
      <c r="M689" s="224"/>
      <c r="N689" s="224"/>
      <c r="O689" s="224"/>
      <c r="P689" s="224"/>
      <c r="Q689" s="224"/>
      <c r="R689" s="224"/>
      <c r="S689" s="224"/>
      <c r="T689" s="294"/>
    </row>
    <row r="690" spans="1:20" x14ac:dyDescent="0.25">
      <c r="A690" s="302"/>
      <c r="C690" s="294"/>
      <c r="D690" s="40"/>
      <c r="E690" s="41"/>
      <c r="F690" s="41"/>
      <c r="G690" s="62"/>
      <c r="H690" s="673" t="s">
        <v>339</v>
      </c>
      <c r="I690" s="673" t="s">
        <v>340</v>
      </c>
      <c r="J690" s="221">
        <f>$H$1371</f>
        <v>1998</v>
      </c>
      <c r="K690" s="222">
        <f t="shared" ref="K690:S690" si="334">J690+1</f>
        <v>1999</v>
      </c>
      <c r="L690" s="222">
        <f t="shared" si="334"/>
        <v>2000</v>
      </c>
      <c r="M690" s="222">
        <f t="shared" si="334"/>
        <v>2001</v>
      </c>
      <c r="N690" s="222">
        <f t="shared" si="334"/>
        <v>2002</v>
      </c>
      <c r="O690" s="222">
        <f t="shared" si="334"/>
        <v>2003</v>
      </c>
      <c r="P690" s="222">
        <f t="shared" si="334"/>
        <v>2004</v>
      </c>
      <c r="Q690" s="222">
        <f t="shared" si="334"/>
        <v>2005</v>
      </c>
      <c r="R690" s="222">
        <f t="shared" si="334"/>
        <v>2006</v>
      </c>
      <c r="S690" s="222">
        <f t="shared" si="334"/>
        <v>2007</v>
      </c>
      <c r="T690" s="294"/>
    </row>
    <row r="691" spans="1:20" x14ac:dyDescent="0.25">
      <c r="A691" s="302"/>
      <c r="C691" s="294"/>
      <c r="D691" s="40"/>
      <c r="E691" s="41"/>
      <c r="F691" s="41"/>
      <c r="G691" s="41"/>
      <c r="H691" s="674">
        <v>1</v>
      </c>
      <c r="I691" s="828">
        <f>IF(J1439&gt;$D1548+1,0,IF(J1439=$D1548+1,0.5*1/$D1548,1/$D$1548))*0.5</f>
        <v>0.1</v>
      </c>
      <c r="J691" s="60">
        <f>$I$691*E$1548*$J$1536</f>
        <v>0.75</v>
      </c>
      <c r="K691" s="60">
        <f>$I$692*E$1548*$J$1536</f>
        <v>1.5</v>
      </c>
      <c r="L691" s="60">
        <f>$I$693*E$1548*$J$1536</f>
        <v>1.5</v>
      </c>
      <c r="M691" s="60">
        <f>$I$694*E$1548*$J$1536</f>
        <v>1.5</v>
      </c>
      <c r="N691" s="60">
        <f>$I$695*E$1548*$J$1536</f>
        <v>1.5</v>
      </c>
      <c r="O691" s="60">
        <f>$I$696*E$1548*$J$1536</f>
        <v>0.75</v>
      </c>
      <c r="P691" s="60">
        <f>$I$697*E$1548*$J$1536</f>
        <v>0</v>
      </c>
      <c r="Q691" s="60">
        <f>$I$698*E$1548*$J$1536</f>
        <v>0</v>
      </c>
      <c r="R691" s="60">
        <f>$I$699*E$1548*$J$1536</f>
        <v>0</v>
      </c>
      <c r="S691" s="60">
        <f>$I$700*E$1548*$J$1536</f>
        <v>0</v>
      </c>
      <c r="T691" s="294"/>
    </row>
    <row r="692" spans="1:20" x14ac:dyDescent="0.25">
      <c r="A692" s="302"/>
      <c r="C692" s="294"/>
      <c r="D692" s="40"/>
      <c r="E692" s="41"/>
      <c r="F692" s="41"/>
      <c r="G692" s="41"/>
      <c r="H692" s="51">
        <f t="shared" ref="H692:H700" si="335">H691+1</f>
        <v>2</v>
      </c>
      <c r="I692" s="828">
        <f>IF(K1439&gt;$D1548+1,0,IF(K1439=$D1548+1,0.5*1/$D1548,1/$D$1548))</f>
        <v>0.2</v>
      </c>
      <c r="J692" s="60"/>
      <c r="K692" s="60">
        <f>$I$691*E$1548*$K$1536</f>
        <v>0.75</v>
      </c>
      <c r="L692" s="60">
        <f>$I$692*E$1548*$K$1536</f>
        <v>1.5</v>
      </c>
      <c r="M692" s="60">
        <f>$I$693*E$1548*$K$1536</f>
        <v>1.5</v>
      </c>
      <c r="N692" s="60">
        <f>$I$694*E$1548*$K$1536</f>
        <v>1.5</v>
      </c>
      <c r="O692" s="60">
        <f>$I$695*E$1548*$K$1536</f>
        <v>1.5</v>
      </c>
      <c r="P692" s="60">
        <f>$I$696*E$1548*$K$1536</f>
        <v>0.75</v>
      </c>
      <c r="Q692" s="60">
        <f>$I$697*E$1548*$K$1536</f>
        <v>0</v>
      </c>
      <c r="R692" s="60">
        <f>$I$698*E$1548*$K$1536</f>
        <v>0</v>
      </c>
      <c r="S692" s="60">
        <f>$I$699*E$1548*$K$1536</f>
        <v>0</v>
      </c>
      <c r="T692" s="294"/>
    </row>
    <row r="693" spans="1:20" x14ac:dyDescent="0.25">
      <c r="A693" s="302"/>
      <c r="C693" s="294"/>
      <c r="D693" s="40"/>
      <c r="E693" s="41"/>
      <c r="F693" s="41"/>
      <c r="G693" s="41"/>
      <c r="H693" s="51">
        <f t="shared" si="335"/>
        <v>3</v>
      </c>
      <c r="I693" s="828">
        <f>IF(L1439&gt;$D1548+1,0,IF(L1439=$D1548+1,0.5*1/$D1548,1/$D$1548))</f>
        <v>0.2</v>
      </c>
      <c r="J693" s="60"/>
      <c r="K693" s="60"/>
      <c r="L693" s="60">
        <f>$I$691*E$1548*$L$1536</f>
        <v>0.75</v>
      </c>
      <c r="M693" s="60">
        <f>$I$692*E$1548*$L$1536</f>
        <v>1.5</v>
      </c>
      <c r="N693" s="60">
        <f>$I$693*E$1548*$L$1536</f>
        <v>1.5</v>
      </c>
      <c r="O693" s="60">
        <f>$I$694*E$1548*$L$1536</f>
        <v>1.5</v>
      </c>
      <c r="P693" s="60">
        <f>$I$695*E$1548*$L$1536</f>
        <v>1.5</v>
      </c>
      <c r="Q693" s="60">
        <f>$I$696*E$1548*$L$1536</f>
        <v>0.75</v>
      </c>
      <c r="R693" s="60">
        <f>$I$697*E$1548*$L$1536</f>
        <v>0</v>
      </c>
      <c r="S693" s="60">
        <f>$I$698*E$1548*$L$1536</f>
        <v>0</v>
      </c>
      <c r="T693" s="294"/>
    </row>
    <row r="694" spans="1:20" x14ac:dyDescent="0.25">
      <c r="A694" s="302"/>
      <c r="C694" s="294"/>
      <c r="D694" s="40"/>
      <c r="E694" s="41"/>
      <c r="F694" s="41"/>
      <c r="G694" s="41"/>
      <c r="H694" s="51">
        <f t="shared" si="335"/>
        <v>4</v>
      </c>
      <c r="I694" s="828">
        <f>IF(M1439&gt;$D1548+1,0,IF(M1439=$D1548+1,0.5*1/$D1548,1/$D$1548))</f>
        <v>0.2</v>
      </c>
      <c r="J694" s="60"/>
      <c r="K694" s="60"/>
      <c r="L694" s="60"/>
      <c r="M694" s="60">
        <f>$I$691*E$1548*$M$1536</f>
        <v>0.75</v>
      </c>
      <c r="N694" s="60">
        <f>$I$692*E$1548*$M$1536</f>
        <v>1.5</v>
      </c>
      <c r="O694" s="60">
        <f>$I$693*E$1548*$M$1536</f>
        <v>1.5</v>
      </c>
      <c r="P694" s="60">
        <f>$I$694*E$1548*$M$1536</f>
        <v>1.5</v>
      </c>
      <c r="Q694" s="60">
        <f>$I$695*E$1548*$M$1536</f>
        <v>1.5</v>
      </c>
      <c r="R694" s="60">
        <f>$I$696*E$1548*$M$1536</f>
        <v>0.75</v>
      </c>
      <c r="S694" s="60">
        <f>$I$697*E$1548*$M$1536</f>
        <v>0</v>
      </c>
      <c r="T694" s="294"/>
    </row>
    <row r="695" spans="1:20" x14ac:dyDescent="0.25">
      <c r="A695" s="302"/>
      <c r="C695" s="294"/>
      <c r="D695" s="40"/>
      <c r="E695" s="41"/>
      <c r="F695" s="41"/>
      <c r="G695" s="41"/>
      <c r="H695" s="51">
        <f t="shared" si="335"/>
        <v>5</v>
      </c>
      <c r="I695" s="828">
        <f>IF(N1439&gt;$D1548+1,0,IF(N1439=$D1548+1,0.5*1/$D1548,1/$D$1548))</f>
        <v>0.2</v>
      </c>
      <c r="J695" s="60"/>
      <c r="K695" s="60"/>
      <c r="L695" s="60"/>
      <c r="M695" s="60"/>
      <c r="N695" s="60">
        <f>$I$691*E$1548*$N$1536</f>
        <v>0.75</v>
      </c>
      <c r="O695" s="60">
        <f>$I$692*E$1548*$N$1536</f>
        <v>1.5</v>
      </c>
      <c r="P695" s="60">
        <f>$I$693*E$1548*$N$1536</f>
        <v>1.5</v>
      </c>
      <c r="Q695" s="60">
        <f>$I$694*E$1548*$N$1536</f>
        <v>1.5</v>
      </c>
      <c r="R695" s="60">
        <f>$I$695*E$1548*$N$1536</f>
        <v>1.5</v>
      </c>
      <c r="S695" s="60">
        <f>$I$696*E$1548*$N$1536</f>
        <v>0.75</v>
      </c>
      <c r="T695" s="294"/>
    </row>
    <row r="696" spans="1:20" x14ac:dyDescent="0.25">
      <c r="A696" s="302"/>
      <c r="C696" s="294"/>
      <c r="D696" s="40"/>
      <c r="E696" s="41"/>
      <c r="F696" s="41"/>
      <c r="G696" s="41"/>
      <c r="H696" s="51">
        <f t="shared" si="335"/>
        <v>6</v>
      </c>
      <c r="I696" s="828">
        <f>IF(O1439&gt;$D1548+1,0,IF(O1439=$D1548+1,0.5*1/$D1548,1/$D$1548))</f>
        <v>0.1</v>
      </c>
      <c r="J696" s="60"/>
      <c r="K696" s="60"/>
      <c r="L696" s="60"/>
      <c r="M696" s="60"/>
      <c r="N696" s="60"/>
      <c r="O696" s="60">
        <f>$I$691*E$1548*$O$1536</f>
        <v>0.75</v>
      </c>
      <c r="P696" s="60">
        <f>$I$692*E$1548*$O$1536</f>
        <v>1.5</v>
      </c>
      <c r="Q696" s="60">
        <f>$I$693*E$1548*$O$1536</f>
        <v>1.5</v>
      </c>
      <c r="R696" s="60">
        <f>$I$694*E$1548*$O$1536</f>
        <v>1.5</v>
      </c>
      <c r="S696" s="60">
        <f>$I$695*E$1548*$O$1536</f>
        <v>1.5</v>
      </c>
      <c r="T696" s="294"/>
    </row>
    <row r="697" spans="1:20" x14ac:dyDescent="0.25">
      <c r="A697" s="302"/>
      <c r="C697" s="294"/>
      <c r="D697" s="40"/>
      <c r="E697" s="41"/>
      <c r="F697" s="41"/>
      <c r="G697" s="41"/>
      <c r="H697" s="51">
        <f t="shared" si="335"/>
        <v>7</v>
      </c>
      <c r="I697" s="828">
        <f>IF(P1439&gt;$D1548+1,0,IF(P1439=$D1548+1,0.5*1/$D1548,1/$D$1548))</f>
        <v>0</v>
      </c>
      <c r="J697" s="60"/>
      <c r="K697" s="60"/>
      <c r="L697" s="60"/>
      <c r="M697" s="60"/>
      <c r="N697" s="60"/>
      <c r="O697" s="60"/>
      <c r="P697" s="60">
        <f>$I$691*E$1548*$P$1536</f>
        <v>0.75</v>
      </c>
      <c r="Q697" s="60">
        <f>$I$692*E$1548*$P$1536</f>
        <v>1.5</v>
      </c>
      <c r="R697" s="60">
        <f>$I$693*E$1548*$P$1536</f>
        <v>1.5</v>
      </c>
      <c r="S697" s="60">
        <f>$I$694*E$1548*$P$1536</f>
        <v>1.5</v>
      </c>
      <c r="T697" s="294"/>
    </row>
    <row r="698" spans="1:20" x14ac:dyDescent="0.25">
      <c r="A698" s="302"/>
      <c r="C698" s="294"/>
      <c r="D698" s="40"/>
      <c r="E698" s="41"/>
      <c r="F698" s="41"/>
      <c r="G698" s="41"/>
      <c r="H698" s="51">
        <f t="shared" si="335"/>
        <v>8</v>
      </c>
      <c r="I698" s="828">
        <f>IF(Q1439&gt;$D1548+1,0,IF(Q1439=$D1548+1,0.5*1/$D1548,1/$D$1548))</f>
        <v>0</v>
      </c>
      <c r="J698" s="60"/>
      <c r="K698" s="60"/>
      <c r="L698" s="60"/>
      <c r="M698" s="60"/>
      <c r="N698" s="60"/>
      <c r="O698" s="60"/>
      <c r="P698" s="60"/>
      <c r="Q698" s="60">
        <f>$I$691*E$1548*$Q$1536</f>
        <v>0.75</v>
      </c>
      <c r="R698" s="60">
        <f>$I$692*E$1548*$Q$1536</f>
        <v>1.5</v>
      </c>
      <c r="S698" s="60">
        <f>$I$693*E$1548*$Q$1536</f>
        <v>1.5</v>
      </c>
      <c r="T698" s="294"/>
    </row>
    <row r="699" spans="1:20" x14ac:dyDescent="0.25">
      <c r="A699" s="302"/>
      <c r="C699" s="294"/>
      <c r="D699" s="40"/>
      <c r="E699" s="41"/>
      <c r="F699" s="41"/>
      <c r="G699" s="41"/>
      <c r="H699" s="51">
        <f t="shared" si="335"/>
        <v>9</v>
      </c>
      <c r="I699" s="828">
        <f>IF(R1439&gt;$D1548+1,0,IF(R1439=$D1548+1,0.5*1/$D1548,1/$D$1548))</f>
        <v>0</v>
      </c>
      <c r="J699" s="60"/>
      <c r="K699" s="60"/>
      <c r="L699" s="60"/>
      <c r="M699" s="60"/>
      <c r="N699" s="60"/>
      <c r="O699" s="60"/>
      <c r="P699" s="60"/>
      <c r="Q699" s="60"/>
      <c r="R699" s="60">
        <f>$I$691*E$1548*$R$1536</f>
        <v>0.75</v>
      </c>
      <c r="S699" s="60">
        <f>$I$692*E$1548*$R$1536</f>
        <v>1.5</v>
      </c>
      <c r="T699" s="294"/>
    </row>
    <row r="700" spans="1:20" x14ac:dyDescent="0.25">
      <c r="A700" s="302"/>
      <c r="C700" s="294"/>
      <c r="D700" s="40"/>
      <c r="E700" s="41"/>
      <c r="F700" s="41"/>
      <c r="G700" s="41"/>
      <c r="H700" s="51">
        <f t="shared" si="335"/>
        <v>10</v>
      </c>
      <c r="I700" s="828">
        <f>IF(S1439&gt;$D1548+1,0,IF(S1439=$D1548+1,0.5*1/$D1548,1/$D$1548))</f>
        <v>0</v>
      </c>
      <c r="J700" s="60"/>
      <c r="K700" s="60"/>
      <c r="L700" s="60"/>
      <c r="M700" s="60"/>
      <c r="N700" s="60"/>
      <c r="O700" s="60"/>
      <c r="P700" s="60"/>
      <c r="Q700" s="60"/>
      <c r="R700" s="60"/>
      <c r="S700" s="60">
        <f>$I$691*E$1548*$S$1536</f>
        <v>0.75</v>
      </c>
      <c r="T700" s="294"/>
    </row>
    <row r="701" spans="1:20" x14ac:dyDescent="0.25">
      <c r="A701" s="302"/>
      <c r="C701" s="294"/>
      <c r="D701" s="40"/>
      <c r="E701" s="41"/>
      <c r="F701" s="41"/>
      <c r="G701" s="41"/>
      <c r="H701" s="41"/>
      <c r="I701" s="41"/>
      <c r="J701" s="542" t="s">
        <v>66</v>
      </c>
      <c r="K701" s="542" t="s">
        <v>66</v>
      </c>
      <c r="L701" s="542" t="s">
        <v>66</v>
      </c>
      <c r="M701" s="542" t="s">
        <v>66</v>
      </c>
      <c r="N701" s="542" t="s">
        <v>66</v>
      </c>
      <c r="O701" s="542" t="s">
        <v>66</v>
      </c>
      <c r="P701" s="542" t="s">
        <v>66</v>
      </c>
      <c r="Q701" s="542" t="s">
        <v>66</v>
      </c>
      <c r="R701" s="542" t="s">
        <v>66</v>
      </c>
      <c r="S701" s="542" t="s">
        <v>66</v>
      </c>
      <c r="T701" s="294"/>
    </row>
    <row r="702" spans="1:20" x14ac:dyDescent="0.25">
      <c r="A702" s="302"/>
      <c r="C702" s="294"/>
      <c r="D702" s="43"/>
      <c r="E702" s="18"/>
      <c r="F702" s="64"/>
      <c r="G702" s="18"/>
      <c r="H702" s="671" t="s">
        <v>341</v>
      </c>
      <c r="I702" s="18"/>
      <c r="J702" s="228">
        <f t="shared" ref="J702:S702" si="336">SUM(J691:J700)</f>
        <v>0.75</v>
      </c>
      <c r="K702" s="228">
        <f t="shared" si="336"/>
        <v>2.25</v>
      </c>
      <c r="L702" s="228">
        <f t="shared" si="336"/>
        <v>3.75</v>
      </c>
      <c r="M702" s="228">
        <f t="shared" si="336"/>
        <v>5.25</v>
      </c>
      <c r="N702" s="228">
        <f t="shared" si="336"/>
        <v>6.75</v>
      </c>
      <c r="O702" s="228">
        <f t="shared" si="336"/>
        <v>7.5</v>
      </c>
      <c r="P702" s="228">
        <f t="shared" si="336"/>
        <v>7.5</v>
      </c>
      <c r="Q702" s="228">
        <f t="shared" si="336"/>
        <v>7.5</v>
      </c>
      <c r="R702" s="228">
        <f t="shared" si="336"/>
        <v>7.5</v>
      </c>
      <c r="S702" s="228">
        <f t="shared" si="336"/>
        <v>7.5</v>
      </c>
      <c r="T702" s="294"/>
    </row>
    <row r="703" spans="1:20" x14ac:dyDescent="0.25">
      <c r="A703" s="302"/>
      <c r="C703" s="294"/>
      <c r="F703" s="3"/>
      <c r="J703" s="7"/>
      <c r="K703" s="7"/>
      <c r="L703" s="7"/>
      <c r="M703" s="7"/>
      <c r="N703" s="7"/>
      <c r="O703" s="7"/>
      <c r="P703" s="7"/>
      <c r="Q703" s="7"/>
      <c r="R703" s="7"/>
      <c r="S703" s="62"/>
      <c r="T703" s="294"/>
    </row>
    <row r="704" spans="1:20" x14ac:dyDescent="0.25">
      <c r="A704" s="302"/>
      <c r="C704" s="294"/>
      <c r="D704" s="226" t="str">
        <f>UPPER(FIXED(D1549,1,TRUE)&amp;" Year Assets:")</f>
        <v>7.0 YEAR ASSETS:</v>
      </c>
      <c r="E704" s="39"/>
      <c r="F704" s="672" t="s">
        <v>101</v>
      </c>
      <c r="G704" s="39"/>
      <c r="H704" s="39"/>
      <c r="I704" s="241"/>
      <c r="J704" s="223" t="str">
        <f>"For the Fiscal Year Ending "&amp;$H$1372</f>
        <v>For the Fiscal Year Ending December 31,</v>
      </c>
      <c r="K704" s="224"/>
      <c r="L704" s="224"/>
      <c r="M704" s="224"/>
      <c r="N704" s="224"/>
      <c r="O704" s="224"/>
      <c r="P704" s="224"/>
      <c r="Q704" s="224"/>
      <c r="R704" s="224"/>
      <c r="S704" s="224"/>
      <c r="T704" s="294"/>
    </row>
    <row r="705" spans="1:20" x14ac:dyDescent="0.25">
      <c r="A705" s="302"/>
      <c r="C705" s="294"/>
      <c r="D705" s="40"/>
      <c r="E705" s="41"/>
      <c r="F705" s="41"/>
      <c r="G705" s="41"/>
      <c r="H705" s="674" t="s">
        <v>339</v>
      </c>
      <c r="I705" s="674" t="s">
        <v>340</v>
      </c>
      <c r="J705" s="221">
        <f>$H$1371</f>
        <v>1998</v>
      </c>
      <c r="K705" s="222">
        <f t="shared" ref="K705:S705" si="337">J705+1</f>
        <v>1999</v>
      </c>
      <c r="L705" s="222">
        <f t="shared" si="337"/>
        <v>2000</v>
      </c>
      <c r="M705" s="222">
        <f t="shared" si="337"/>
        <v>2001</v>
      </c>
      <c r="N705" s="222">
        <f t="shared" si="337"/>
        <v>2002</v>
      </c>
      <c r="O705" s="222">
        <f t="shared" si="337"/>
        <v>2003</v>
      </c>
      <c r="P705" s="222">
        <f t="shared" si="337"/>
        <v>2004</v>
      </c>
      <c r="Q705" s="222">
        <f t="shared" si="337"/>
        <v>2005</v>
      </c>
      <c r="R705" s="222">
        <f t="shared" si="337"/>
        <v>2006</v>
      </c>
      <c r="S705" s="222">
        <f t="shared" si="337"/>
        <v>2007</v>
      </c>
      <c r="T705" s="294"/>
    </row>
    <row r="706" spans="1:20" x14ac:dyDescent="0.25">
      <c r="A706" s="302"/>
      <c r="C706" s="294"/>
      <c r="D706" s="40"/>
      <c r="E706" s="41"/>
      <c r="F706" s="229"/>
      <c r="G706" s="41"/>
      <c r="H706" s="674">
        <v>1</v>
      </c>
      <c r="I706" s="828">
        <f>IF(J1439&gt;$D1549+1,0,IF(J1439=$D1549+1,0.5*1/$D1549,1/$D$1549))*0.5</f>
        <v>7.1428571428571425E-2</v>
      </c>
      <c r="J706" s="60">
        <f>$I$706*E$1549*$J$1536</f>
        <v>0.5357142857142857</v>
      </c>
      <c r="K706" s="60">
        <f>$I$707*E$1549*$J$1536</f>
        <v>1.0714285714285714</v>
      </c>
      <c r="L706" s="60">
        <f>$I$708*E$1549*$J$1536</f>
        <v>1.0714285714285714</v>
      </c>
      <c r="M706" s="60">
        <f>$I$709*E$1549*$J$1536</f>
        <v>1.0714285714285714</v>
      </c>
      <c r="N706" s="60">
        <f>$I$710*E$1549*$J$1536</f>
        <v>1.0714285714285714</v>
      </c>
      <c r="O706" s="60">
        <f>$I$711*E$1549*$J$1536</f>
        <v>1.0714285714285714</v>
      </c>
      <c r="P706" s="60">
        <f>$I$712*E$1549*$J$1536</f>
        <v>1.0714285714285714</v>
      </c>
      <c r="Q706" s="60">
        <f>$I$713*E$1549*$J$1536</f>
        <v>0.5357142857142857</v>
      </c>
      <c r="R706" s="60">
        <f>$I$714*E$1549*$J$1536</f>
        <v>0</v>
      </c>
      <c r="S706" s="60">
        <f>$I$715*E$1549*$J$1536</f>
        <v>0</v>
      </c>
      <c r="T706" s="294"/>
    </row>
    <row r="707" spans="1:20" x14ac:dyDescent="0.25">
      <c r="A707" s="302"/>
      <c r="C707" s="294"/>
      <c r="D707" s="40"/>
      <c r="E707" s="41"/>
      <c r="F707" s="41"/>
      <c r="G707" s="41"/>
      <c r="H707" s="51">
        <f t="shared" ref="H707:H715" si="338">H706+1</f>
        <v>2</v>
      </c>
      <c r="I707" s="828">
        <f>IF(K1439&gt;$D1549+1,0,IF(K1439=$D1549+1,0.5*1/$D1549,1/$D$1549))</f>
        <v>0.14285714285714285</v>
      </c>
      <c r="J707" s="60"/>
      <c r="K707" s="60">
        <f>$I$706*E$1549*$K$1536</f>
        <v>0.5357142857142857</v>
      </c>
      <c r="L707" s="60">
        <f>$I$707*E$1549*$K$1536</f>
        <v>1.0714285714285714</v>
      </c>
      <c r="M707" s="60">
        <f>$I$708*E$1549*$K$1536</f>
        <v>1.0714285714285714</v>
      </c>
      <c r="N707" s="60">
        <f>$I$709*E$1549*$K$1536</f>
        <v>1.0714285714285714</v>
      </c>
      <c r="O707" s="60">
        <f>$I$710*E$1549*$K$1536</f>
        <v>1.0714285714285714</v>
      </c>
      <c r="P707" s="60">
        <f>$I$711*E$1549*$K$1536</f>
        <v>1.0714285714285714</v>
      </c>
      <c r="Q707" s="60">
        <f>$I$712*E$1549*$K$1536</f>
        <v>1.0714285714285714</v>
      </c>
      <c r="R707" s="60">
        <f>$I$713*E$1549*$K$1536</f>
        <v>0.5357142857142857</v>
      </c>
      <c r="S707" s="60">
        <f>$I$714*E$1549*$K$1536</f>
        <v>0</v>
      </c>
      <c r="T707" s="294"/>
    </row>
    <row r="708" spans="1:20" x14ac:dyDescent="0.25">
      <c r="A708" s="302"/>
      <c r="C708" s="294"/>
      <c r="D708" s="40"/>
      <c r="E708" s="41"/>
      <c r="F708" s="41"/>
      <c r="G708" s="41"/>
      <c r="H708" s="51">
        <f t="shared" si="338"/>
        <v>3</v>
      </c>
      <c r="I708" s="828">
        <f>IF(L1439&gt;$D1549+1,0,IF(L1439=$D1549+1,0.5*1/$D1549,1/$D$1549))</f>
        <v>0.14285714285714285</v>
      </c>
      <c r="J708" s="60"/>
      <c r="K708" s="60"/>
      <c r="L708" s="60">
        <f>$I$706*E$1549*$L$1536</f>
        <v>0.5357142857142857</v>
      </c>
      <c r="M708" s="60">
        <f>$I$707*E$1549*$L$1536</f>
        <v>1.0714285714285714</v>
      </c>
      <c r="N708" s="60">
        <f>$I$708*E$1549*$L$1536</f>
        <v>1.0714285714285714</v>
      </c>
      <c r="O708" s="60">
        <f>$I$709*E$1549*$L$1536</f>
        <v>1.0714285714285714</v>
      </c>
      <c r="P708" s="60">
        <f>$I$710*E$1549*$L$1536</f>
        <v>1.0714285714285714</v>
      </c>
      <c r="Q708" s="60">
        <f>$I$711*E$1549*$L$1536</f>
        <v>1.0714285714285714</v>
      </c>
      <c r="R708" s="60">
        <f>$I$712*E$1549*$L$1536</f>
        <v>1.0714285714285714</v>
      </c>
      <c r="S708" s="60">
        <f>$I$713*E$1549*$L$1536</f>
        <v>0.5357142857142857</v>
      </c>
      <c r="T708" s="294"/>
    </row>
    <row r="709" spans="1:20" x14ac:dyDescent="0.25">
      <c r="A709" s="302"/>
      <c r="C709" s="294"/>
      <c r="D709" s="40"/>
      <c r="E709" s="41"/>
      <c r="F709" s="41"/>
      <c r="G709" s="41"/>
      <c r="H709" s="51">
        <f t="shared" si="338"/>
        <v>4</v>
      </c>
      <c r="I709" s="828">
        <f>IF(M1439&gt;$D1549+1,0,IF(M1439=$D1549+1,0.5*1/$D1549,1/$D$1549))</f>
        <v>0.14285714285714285</v>
      </c>
      <c r="J709" s="60"/>
      <c r="K709" s="60"/>
      <c r="L709" s="60"/>
      <c r="M709" s="60">
        <f>$I$706*E$1549*$M$1536</f>
        <v>0.5357142857142857</v>
      </c>
      <c r="N709" s="60">
        <f>$I$707*E$1549*$M$1536</f>
        <v>1.0714285714285714</v>
      </c>
      <c r="O709" s="60">
        <f>$I$708*E$1549*$M$1536</f>
        <v>1.0714285714285714</v>
      </c>
      <c r="P709" s="60">
        <f>$I$709*E$1549*$M$1536</f>
        <v>1.0714285714285714</v>
      </c>
      <c r="Q709" s="60">
        <f>$I$710*E$1549*$M$1536</f>
        <v>1.0714285714285714</v>
      </c>
      <c r="R709" s="60">
        <f>$I$711*E$1549*$M$1536</f>
        <v>1.0714285714285714</v>
      </c>
      <c r="S709" s="60">
        <f>$I$712*E$1549*$M$1536</f>
        <v>1.0714285714285714</v>
      </c>
      <c r="T709" s="294"/>
    </row>
    <row r="710" spans="1:20" x14ac:dyDescent="0.25">
      <c r="A710" s="302"/>
      <c r="C710" s="294"/>
      <c r="D710" s="40"/>
      <c r="E710" s="41"/>
      <c r="F710" s="41"/>
      <c r="G710" s="41"/>
      <c r="H710" s="51">
        <f t="shared" si="338"/>
        <v>5</v>
      </c>
      <c r="I710" s="828">
        <f>IF(N1439&gt;$D1549+1,0,IF(N1439=$D1549+1,0.5*1/$D1549,1/$D$1549))</f>
        <v>0.14285714285714285</v>
      </c>
      <c r="J710" s="60"/>
      <c r="K710" s="60"/>
      <c r="L710" s="60"/>
      <c r="M710" s="60"/>
      <c r="N710" s="60">
        <f>$I$706*E$1549*$N$1536</f>
        <v>0.5357142857142857</v>
      </c>
      <c r="O710" s="60">
        <f>$I$707*E$1549*$N$1536</f>
        <v>1.0714285714285714</v>
      </c>
      <c r="P710" s="60">
        <f>$I$708*E$1549*$N$1536</f>
        <v>1.0714285714285714</v>
      </c>
      <c r="Q710" s="60">
        <f>$I$709*E$1549*$N$1536</f>
        <v>1.0714285714285714</v>
      </c>
      <c r="R710" s="60">
        <f>$I$710*E$1549*$N$1536</f>
        <v>1.0714285714285714</v>
      </c>
      <c r="S710" s="60">
        <f>$I$711*E$1549*$N$1536</f>
        <v>1.0714285714285714</v>
      </c>
      <c r="T710" s="294"/>
    </row>
    <row r="711" spans="1:20" x14ac:dyDescent="0.25">
      <c r="A711" s="302"/>
      <c r="C711" s="294"/>
      <c r="D711" s="40"/>
      <c r="E711" s="41"/>
      <c r="F711" s="41"/>
      <c r="G711" s="41"/>
      <c r="H711" s="51">
        <f t="shared" si="338"/>
        <v>6</v>
      </c>
      <c r="I711" s="828">
        <f>IF(O1439&gt;$D1549+1,0,IF(O1439=$D1549+1,0.5*1/$D1549,1/$D$1549))</f>
        <v>0.14285714285714285</v>
      </c>
      <c r="J711" s="60"/>
      <c r="K711" s="60"/>
      <c r="L711" s="60"/>
      <c r="M711" s="60"/>
      <c r="N711" s="60"/>
      <c r="O711" s="60">
        <f>$I$706*E$1549*$O$1536</f>
        <v>0.5357142857142857</v>
      </c>
      <c r="P711" s="60">
        <f>$I$707*E$1549*$O$1536</f>
        <v>1.0714285714285714</v>
      </c>
      <c r="Q711" s="60">
        <f>$I$708*E$1549*$O$1536</f>
        <v>1.0714285714285714</v>
      </c>
      <c r="R711" s="60">
        <f>$I$709*E$1549*$O$1536</f>
        <v>1.0714285714285714</v>
      </c>
      <c r="S711" s="60">
        <f>$I$710*E$1549*$O$1536</f>
        <v>1.0714285714285714</v>
      </c>
      <c r="T711" s="294"/>
    </row>
    <row r="712" spans="1:20" x14ac:dyDescent="0.25">
      <c r="A712" s="302"/>
      <c r="C712" s="294"/>
      <c r="D712" s="40"/>
      <c r="E712" s="41"/>
      <c r="F712" s="41"/>
      <c r="G712" s="41"/>
      <c r="H712" s="51">
        <f t="shared" si="338"/>
        <v>7</v>
      </c>
      <c r="I712" s="828">
        <f>IF(P1439&gt;$D1549+1,0,IF(P1439=$D1549+1,0.5*1/$D1549,1/$D$1549))</f>
        <v>0.14285714285714285</v>
      </c>
      <c r="J712" s="60"/>
      <c r="K712" s="60"/>
      <c r="L712" s="60"/>
      <c r="M712" s="60"/>
      <c r="N712" s="60"/>
      <c r="O712" s="60"/>
      <c r="P712" s="60">
        <f>$I$706*E$1549*$P$1536</f>
        <v>0.5357142857142857</v>
      </c>
      <c r="Q712" s="60">
        <f>$I$707*E$1549*$P$1536</f>
        <v>1.0714285714285714</v>
      </c>
      <c r="R712" s="60">
        <f>$I$708*E$1549*$P$1536</f>
        <v>1.0714285714285714</v>
      </c>
      <c r="S712" s="60">
        <f>$I$709*E$1549*$P$1536</f>
        <v>1.0714285714285714</v>
      </c>
      <c r="T712" s="294"/>
    </row>
    <row r="713" spans="1:20" x14ac:dyDescent="0.25">
      <c r="A713" s="302"/>
      <c r="C713" s="294"/>
      <c r="D713" s="40"/>
      <c r="E713" s="41"/>
      <c r="F713" s="41"/>
      <c r="G713" s="41"/>
      <c r="H713" s="51">
        <f t="shared" si="338"/>
        <v>8</v>
      </c>
      <c r="I713" s="828">
        <f>IF(Q1439&gt;$D1549+1,0,IF(Q1439=$D1549+1,0.5*1/$D1549,1/$D$1549))</f>
        <v>7.1428571428571425E-2</v>
      </c>
      <c r="J713" s="60"/>
      <c r="K713" s="60"/>
      <c r="L713" s="60"/>
      <c r="M713" s="60"/>
      <c r="N713" s="60"/>
      <c r="O713" s="60"/>
      <c r="P713" s="60"/>
      <c r="Q713" s="60">
        <f>$I$706*E$1549*$Q$1536</f>
        <v>0.5357142857142857</v>
      </c>
      <c r="R713" s="60">
        <f>$I$707*E$1549*$Q$1536</f>
        <v>1.0714285714285714</v>
      </c>
      <c r="S713" s="60">
        <f>$I$708*E$1549*$Q$1536</f>
        <v>1.0714285714285714</v>
      </c>
      <c r="T713" s="294"/>
    </row>
    <row r="714" spans="1:20" x14ac:dyDescent="0.25">
      <c r="A714" s="302"/>
      <c r="C714" s="294"/>
      <c r="D714" s="40"/>
      <c r="E714" s="41"/>
      <c r="F714" s="41"/>
      <c r="G714" s="41"/>
      <c r="H714" s="51">
        <f t="shared" si="338"/>
        <v>9</v>
      </c>
      <c r="I714" s="828">
        <f>IF(R1439&gt;$D1549+1,0,IF(R1439=$D1549+1,0.5*1/$D1549,1/$D$1549))</f>
        <v>0</v>
      </c>
      <c r="J714" s="60"/>
      <c r="K714" s="60"/>
      <c r="L714" s="60"/>
      <c r="M714" s="60"/>
      <c r="N714" s="60"/>
      <c r="O714" s="60"/>
      <c r="P714" s="60"/>
      <c r="Q714" s="60"/>
      <c r="R714" s="60">
        <f>$I$706*E$1549*$R$1536</f>
        <v>0.5357142857142857</v>
      </c>
      <c r="S714" s="60">
        <f>$I$707*E$1549*$R$1536</f>
        <v>1.0714285714285714</v>
      </c>
      <c r="T714" s="294"/>
    </row>
    <row r="715" spans="1:20" x14ac:dyDescent="0.25">
      <c r="A715" s="302"/>
      <c r="C715" s="294"/>
      <c r="D715" s="40"/>
      <c r="E715" s="41"/>
      <c r="F715" s="41"/>
      <c r="G715" s="41"/>
      <c r="H715" s="51">
        <f t="shared" si="338"/>
        <v>10</v>
      </c>
      <c r="I715" s="829">
        <f>IF(S1439&gt;$D1549+1,0,IF(S1439=$D1549+1,0.5*1/$D1549,1/$D$1549))</f>
        <v>0</v>
      </c>
      <c r="J715" s="60"/>
      <c r="K715" s="60"/>
      <c r="L715" s="60"/>
      <c r="M715" s="60"/>
      <c r="N715" s="60"/>
      <c r="O715" s="60"/>
      <c r="P715" s="60"/>
      <c r="Q715" s="60"/>
      <c r="R715" s="60"/>
      <c r="S715" s="60">
        <f>$I$706*E$1549*$S$1536</f>
        <v>0.5357142857142857</v>
      </c>
      <c r="T715" s="294"/>
    </row>
    <row r="716" spans="1:20" x14ac:dyDescent="0.25">
      <c r="A716" s="302"/>
      <c r="C716" s="294"/>
      <c r="D716" s="40"/>
      <c r="E716" s="41"/>
      <c r="F716" s="41"/>
      <c r="G716" s="41"/>
      <c r="H716" s="41"/>
      <c r="I716" s="41"/>
      <c r="J716" s="542" t="s">
        <v>66</v>
      </c>
      <c r="K716" s="542" t="s">
        <v>66</v>
      </c>
      <c r="L716" s="542" t="s">
        <v>66</v>
      </c>
      <c r="M716" s="542" t="s">
        <v>66</v>
      </c>
      <c r="N716" s="542" t="s">
        <v>66</v>
      </c>
      <c r="O716" s="542" t="s">
        <v>66</v>
      </c>
      <c r="P716" s="542" t="s">
        <v>66</v>
      </c>
      <c r="Q716" s="542" t="s">
        <v>66</v>
      </c>
      <c r="R716" s="542" t="s">
        <v>66</v>
      </c>
      <c r="S716" s="542" t="s">
        <v>66</v>
      </c>
      <c r="T716" s="294"/>
    </row>
    <row r="717" spans="1:20" x14ac:dyDescent="0.25">
      <c r="A717" s="302"/>
      <c r="C717" s="294"/>
      <c r="D717" s="43"/>
      <c r="E717" s="18"/>
      <c r="F717" s="64"/>
      <c r="G717" s="18"/>
      <c r="H717" s="671" t="s">
        <v>341</v>
      </c>
      <c r="I717" s="18"/>
      <c r="J717" s="228">
        <f t="shared" ref="J717:S717" si="339">SUM(J706:J715)</f>
        <v>0.5357142857142857</v>
      </c>
      <c r="K717" s="228">
        <f t="shared" si="339"/>
        <v>1.6071428571428572</v>
      </c>
      <c r="L717" s="228">
        <f t="shared" si="339"/>
        <v>2.6785714285714284</v>
      </c>
      <c r="M717" s="228">
        <f t="shared" si="339"/>
        <v>3.75</v>
      </c>
      <c r="N717" s="228">
        <f t="shared" si="339"/>
        <v>4.8214285714285712</v>
      </c>
      <c r="O717" s="228">
        <f t="shared" si="339"/>
        <v>5.8928571428571423</v>
      </c>
      <c r="P717" s="228">
        <f t="shared" si="339"/>
        <v>6.9642857142857135</v>
      </c>
      <c r="Q717" s="228">
        <f t="shared" si="339"/>
        <v>7.4999999999999991</v>
      </c>
      <c r="R717" s="228">
        <f t="shared" si="339"/>
        <v>7.4999999999999991</v>
      </c>
      <c r="S717" s="228">
        <f t="shared" si="339"/>
        <v>7.4999999999999991</v>
      </c>
      <c r="T717" s="294"/>
    </row>
    <row r="718" spans="1:20" x14ac:dyDescent="0.25">
      <c r="A718" s="302"/>
      <c r="C718" s="294"/>
      <c r="D718" s="40"/>
      <c r="E718" s="41"/>
      <c r="F718" s="229"/>
      <c r="G718" s="41"/>
      <c r="H718" s="242"/>
      <c r="I718" s="41"/>
      <c r="J718" s="228"/>
      <c r="K718" s="228"/>
      <c r="L718" s="228"/>
      <c r="M718" s="228"/>
      <c r="N718" s="228"/>
      <c r="O718" s="228"/>
      <c r="P718" s="228"/>
      <c r="Q718" s="228"/>
      <c r="R718" s="228"/>
      <c r="S718" s="228"/>
      <c r="T718" s="294"/>
    </row>
    <row r="719" spans="1:20" x14ac:dyDescent="0.25">
      <c r="A719" s="302"/>
      <c r="C719" s="294"/>
      <c r="D719" s="226" t="str">
        <f>UPPER(FIXED(D1550,1,TRUE)&amp;" Year Assets:")</f>
        <v>10.0 YEAR ASSETS:</v>
      </c>
      <c r="E719" s="39"/>
      <c r="F719" s="672" t="s">
        <v>101</v>
      </c>
      <c r="G719" s="39"/>
      <c r="H719" s="39"/>
      <c r="I719" s="241"/>
      <c r="J719" s="223" t="str">
        <f>"For the Fiscal Year Ending "&amp;$H$1372</f>
        <v>For the Fiscal Year Ending December 31,</v>
      </c>
      <c r="K719" s="224"/>
      <c r="L719" s="224"/>
      <c r="M719" s="224"/>
      <c r="N719" s="224"/>
      <c r="O719" s="224"/>
      <c r="P719" s="224"/>
      <c r="Q719" s="224"/>
      <c r="R719" s="224"/>
      <c r="S719" s="224"/>
      <c r="T719" s="294"/>
    </row>
    <row r="720" spans="1:20" x14ac:dyDescent="0.25">
      <c r="A720" s="302"/>
      <c r="C720" s="294"/>
      <c r="D720" s="40"/>
      <c r="E720" s="41"/>
      <c r="F720" s="41"/>
      <c r="G720" s="41"/>
      <c r="H720" s="673" t="s">
        <v>339</v>
      </c>
      <c r="I720" s="674" t="s">
        <v>340</v>
      </c>
      <c r="J720" s="221">
        <f>$H$1371</f>
        <v>1998</v>
      </c>
      <c r="K720" s="222">
        <f t="shared" ref="K720:S720" si="340">J720+1</f>
        <v>1999</v>
      </c>
      <c r="L720" s="222">
        <f t="shared" si="340"/>
        <v>2000</v>
      </c>
      <c r="M720" s="222">
        <f t="shared" si="340"/>
        <v>2001</v>
      </c>
      <c r="N720" s="222">
        <f t="shared" si="340"/>
        <v>2002</v>
      </c>
      <c r="O720" s="222">
        <f t="shared" si="340"/>
        <v>2003</v>
      </c>
      <c r="P720" s="222">
        <f t="shared" si="340"/>
        <v>2004</v>
      </c>
      <c r="Q720" s="222">
        <f t="shared" si="340"/>
        <v>2005</v>
      </c>
      <c r="R720" s="222">
        <f t="shared" si="340"/>
        <v>2006</v>
      </c>
      <c r="S720" s="222">
        <f t="shared" si="340"/>
        <v>2007</v>
      </c>
      <c r="T720" s="294"/>
    </row>
    <row r="721" spans="1:20" x14ac:dyDescent="0.25">
      <c r="A721" s="302"/>
      <c r="C721" s="294"/>
      <c r="D721" s="40"/>
      <c r="E721" s="41"/>
      <c r="F721" s="41"/>
      <c r="G721" s="41"/>
      <c r="H721" s="674">
        <v>1</v>
      </c>
      <c r="I721" s="828">
        <f>IF(J1439&gt;$D1550+1,0,IF(J1439=$D1550+1,0.5*1/$D1550,1/$D$1550))*0.5</f>
        <v>0.05</v>
      </c>
      <c r="J721" s="60">
        <f>$I$721*E$1550*$J$1536</f>
        <v>0.375</v>
      </c>
      <c r="K721" s="60">
        <f>$I$722*E$1550*$J$1536</f>
        <v>0.75</v>
      </c>
      <c r="L721" s="60">
        <f>$I$723*E$1550*$J$1536</f>
        <v>0.75</v>
      </c>
      <c r="M721" s="60">
        <f>$I$724*E$1550*$J$1536</f>
        <v>0.75</v>
      </c>
      <c r="N721" s="60">
        <f>$I$725*E$1550*$J$1536</f>
        <v>0.75</v>
      </c>
      <c r="O721" s="60">
        <f>$I$726*E$1550*$J$1536</f>
        <v>0.75</v>
      </c>
      <c r="P721" s="60">
        <f>$I$727*E$1550*$J$1536</f>
        <v>0.75</v>
      </c>
      <c r="Q721" s="60">
        <f>$I$728*E$1550*$J$1536</f>
        <v>0.75</v>
      </c>
      <c r="R721" s="60">
        <f>$I$729*E$1550*$J$1536</f>
        <v>0.75</v>
      </c>
      <c r="S721" s="60">
        <f>$I$730*E$1550*$J$1536</f>
        <v>0.75</v>
      </c>
      <c r="T721" s="294"/>
    </row>
    <row r="722" spans="1:20" x14ac:dyDescent="0.25">
      <c r="A722" s="302"/>
      <c r="C722" s="294"/>
      <c r="D722" s="40"/>
      <c r="E722" s="41"/>
      <c r="F722" s="41"/>
      <c r="G722" s="41"/>
      <c r="H722" s="51">
        <f t="shared" ref="H722:H730" si="341">H721+1</f>
        <v>2</v>
      </c>
      <c r="I722" s="828">
        <f>IF(K1439&gt;$D1550+1,0,IF(K1439=$D1550+1,0.5*1/$D1550,1/$D$1550))</f>
        <v>0.1</v>
      </c>
      <c r="J722" s="60"/>
      <c r="K722" s="60">
        <f>$I$721*E$1550*$K$1536</f>
        <v>0.375</v>
      </c>
      <c r="L722" s="60">
        <f>$I$722*E$1550*$K$1536</f>
        <v>0.75</v>
      </c>
      <c r="M722" s="60">
        <f>$I$723*E$1550*$K$1536</f>
        <v>0.75</v>
      </c>
      <c r="N722" s="60">
        <f>$I$724*E$1550*$K$1536</f>
        <v>0.75</v>
      </c>
      <c r="O722" s="60">
        <f>$I$725*E$1550*$K$1536</f>
        <v>0.75</v>
      </c>
      <c r="P722" s="60">
        <f>$I$726*E$1550*$K$1536</f>
        <v>0.75</v>
      </c>
      <c r="Q722" s="60">
        <f>$I$727*E$1550*$K$1536</f>
        <v>0.75</v>
      </c>
      <c r="R722" s="60">
        <f>$I$728*E$1550*$K$1536</f>
        <v>0.75</v>
      </c>
      <c r="S722" s="60">
        <f>$I$729*E$1550*$K$1536</f>
        <v>0.75</v>
      </c>
      <c r="T722" s="294"/>
    </row>
    <row r="723" spans="1:20" x14ac:dyDescent="0.25">
      <c r="A723" s="302"/>
      <c r="C723" s="294"/>
      <c r="D723" s="40"/>
      <c r="E723" s="41"/>
      <c r="F723" s="41"/>
      <c r="G723" s="41"/>
      <c r="H723" s="51">
        <f t="shared" si="341"/>
        <v>3</v>
      </c>
      <c r="I723" s="828">
        <f>IF(L1439&gt;$D1550+1,0,IF(L1439=$D1550+1,0.5*1/$D1550,1/$D$1550))</f>
        <v>0.1</v>
      </c>
      <c r="J723" s="60"/>
      <c r="K723" s="60"/>
      <c r="L723" s="60">
        <f>$I$721*E$1550*$L$1536</f>
        <v>0.375</v>
      </c>
      <c r="M723" s="60">
        <f>$I$722*E$1550*$L$1536</f>
        <v>0.75</v>
      </c>
      <c r="N723" s="60">
        <f>$I$723*E$1550*$L$1536</f>
        <v>0.75</v>
      </c>
      <c r="O723" s="60">
        <f>$I$724*E$1550*$L$1536</f>
        <v>0.75</v>
      </c>
      <c r="P723" s="60">
        <f>$I$725*E$1550*$L$1536</f>
        <v>0.75</v>
      </c>
      <c r="Q723" s="60">
        <f>$I$726*E$1550*$L$1536</f>
        <v>0.75</v>
      </c>
      <c r="R723" s="60">
        <f>$I$727*E$1550*$L$1536</f>
        <v>0.75</v>
      </c>
      <c r="S723" s="60">
        <f>$I$728*E$1550*$L$1536</f>
        <v>0.75</v>
      </c>
      <c r="T723" s="294"/>
    </row>
    <row r="724" spans="1:20" x14ac:dyDescent="0.25">
      <c r="A724" s="302"/>
      <c r="C724" s="294"/>
      <c r="D724" s="40"/>
      <c r="E724" s="41"/>
      <c r="F724" s="41"/>
      <c r="G724" s="41"/>
      <c r="H724" s="51">
        <f t="shared" si="341"/>
        <v>4</v>
      </c>
      <c r="I724" s="828">
        <f>IF(M1439&gt;$D1550+1,0,IF(M1439=$D1550+1,0.5*1/$D1550,1/$D$1550))</f>
        <v>0.1</v>
      </c>
      <c r="J724" s="60"/>
      <c r="K724" s="60"/>
      <c r="L724" s="60"/>
      <c r="M724" s="60">
        <f>$I$721*E$1550*$M$1536</f>
        <v>0.375</v>
      </c>
      <c r="N724" s="60">
        <f>$I$722*E$1550*$M$1536</f>
        <v>0.75</v>
      </c>
      <c r="O724" s="60">
        <f>$I$723*E$1550*$M$1536</f>
        <v>0.75</v>
      </c>
      <c r="P724" s="60">
        <f>$I$724*E$1550*$M$1536</f>
        <v>0.75</v>
      </c>
      <c r="Q724" s="60">
        <f>$I$725*E$1550*$M$1536</f>
        <v>0.75</v>
      </c>
      <c r="R724" s="60">
        <f>$I$726*E$1550*$M$1536</f>
        <v>0.75</v>
      </c>
      <c r="S724" s="60">
        <f>$I$727*E$1550*$M$1536</f>
        <v>0.75</v>
      </c>
      <c r="T724" s="294"/>
    </row>
    <row r="725" spans="1:20" x14ac:dyDescent="0.25">
      <c r="A725" s="302"/>
      <c r="C725" s="294"/>
      <c r="D725" s="40"/>
      <c r="E725" s="41"/>
      <c r="F725" s="41"/>
      <c r="G725" s="41"/>
      <c r="H725" s="51">
        <f t="shared" si="341"/>
        <v>5</v>
      </c>
      <c r="I725" s="828">
        <f>IF(N1439&gt;$D1550+1,0,IF(N1439=$D1550+1,0.5*1/$D1550,1/$D$1550))</f>
        <v>0.1</v>
      </c>
      <c r="J725" s="60"/>
      <c r="K725" s="60"/>
      <c r="L725" s="60"/>
      <c r="M725" s="60"/>
      <c r="N725" s="855">
        <f>$I$721*E$1550*$N$1536</f>
        <v>0.375</v>
      </c>
      <c r="O725" s="855">
        <f>$I$722*E$1550*$N$1536</f>
        <v>0.75</v>
      </c>
      <c r="P725" s="855">
        <f>$I$723*E$1550*$N$1536</f>
        <v>0.75</v>
      </c>
      <c r="Q725" s="855">
        <f>$I$724*E$1550*$N$1536</f>
        <v>0.75</v>
      </c>
      <c r="R725" s="855">
        <f>$I$725*E$1550*$J$1536</f>
        <v>0.75</v>
      </c>
      <c r="S725" s="855">
        <f>$I$726*E$1550*$N$1536</f>
        <v>0.75</v>
      </c>
      <c r="T725" s="294"/>
    </row>
    <row r="726" spans="1:20" x14ac:dyDescent="0.25">
      <c r="A726" s="302"/>
      <c r="C726" s="294"/>
      <c r="D726" s="40"/>
      <c r="E726" s="41"/>
      <c r="F726" s="41"/>
      <c r="G726" s="41"/>
      <c r="H726" s="51">
        <f t="shared" si="341"/>
        <v>6</v>
      </c>
      <c r="I726" s="828">
        <f>IF(O1439&gt;$D1550+1,0,IF(O1439=$D1550+1,0.5*1/$D1550,1/$D$1550))</f>
        <v>0.1</v>
      </c>
      <c r="J726" s="60"/>
      <c r="K726" s="60"/>
      <c r="L726" s="60"/>
      <c r="M726" s="60"/>
      <c r="N726" s="855"/>
      <c r="O726" s="855">
        <f>$I$721*E$1550*$O$1536</f>
        <v>0.375</v>
      </c>
      <c r="P726" s="855">
        <f>$I$722*E$1550*$O$1536</f>
        <v>0.75</v>
      </c>
      <c r="Q726" s="855">
        <f>$I$723*E$1550*$O$1536</f>
        <v>0.75</v>
      </c>
      <c r="R726" s="855">
        <f>$I$724*E$1550*$O$1536</f>
        <v>0.75</v>
      </c>
      <c r="S726" s="855">
        <f>$I$725*E$1550*$O$1536</f>
        <v>0.75</v>
      </c>
      <c r="T726" s="294"/>
    </row>
    <row r="727" spans="1:20" x14ac:dyDescent="0.25">
      <c r="A727" s="302"/>
      <c r="C727" s="294"/>
      <c r="D727" s="40"/>
      <c r="E727" s="41"/>
      <c r="F727" s="41"/>
      <c r="G727" s="41"/>
      <c r="H727" s="51">
        <f t="shared" si="341"/>
        <v>7</v>
      </c>
      <c r="I727" s="828">
        <f>IF(P1439&gt;$D1550+1,0,IF(P1439=$D1550+1,0.5*1/$D1550,1/$D$1550))</f>
        <v>0.1</v>
      </c>
      <c r="J727" s="60"/>
      <c r="K727" s="60"/>
      <c r="L727" s="60"/>
      <c r="M727" s="60"/>
      <c r="N727" s="855"/>
      <c r="O727" s="855"/>
      <c r="P727" s="855">
        <f>$I$721*E$1550*$P$1536</f>
        <v>0.375</v>
      </c>
      <c r="Q727" s="855">
        <f>$I$722*E$1550*$P$1536</f>
        <v>0.75</v>
      </c>
      <c r="R727" s="855">
        <f>$I$723*E$1550*$P$1536</f>
        <v>0.75</v>
      </c>
      <c r="S727" s="855">
        <f>$I$724*E$1550*$P$1536</f>
        <v>0.75</v>
      </c>
      <c r="T727" s="294"/>
    </row>
    <row r="728" spans="1:20" x14ac:dyDescent="0.25">
      <c r="A728" s="302"/>
      <c r="C728" s="294"/>
      <c r="D728" s="40"/>
      <c r="E728" s="41"/>
      <c r="F728" s="41"/>
      <c r="G728" s="41"/>
      <c r="H728" s="51">
        <f t="shared" si="341"/>
        <v>8</v>
      </c>
      <c r="I728" s="828">
        <f>IF(Q1439&gt;$D1550+1,0,IF(Q1439=$D1550+1,0.5*1/$D1550,1/$D$1550))</f>
        <v>0.1</v>
      </c>
      <c r="J728" s="60"/>
      <c r="K728" s="60"/>
      <c r="L728" s="60"/>
      <c r="M728" s="60"/>
      <c r="N728" s="855"/>
      <c r="O728" s="855"/>
      <c r="P728" s="855"/>
      <c r="Q728" s="855">
        <f>$I$721*E$1550*$Q$1536</f>
        <v>0.375</v>
      </c>
      <c r="R728" s="855">
        <f>$I$722*E$1550*$Q$1536</f>
        <v>0.75</v>
      </c>
      <c r="S728" s="855">
        <f>$I$723*E$1550*$Q$1536</f>
        <v>0.75</v>
      </c>
      <c r="T728" s="294"/>
    </row>
    <row r="729" spans="1:20" x14ac:dyDescent="0.25">
      <c r="A729" s="302"/>
      <c r="C729" s="294"/>
      <c r="D729" s="40"/>
      <c r="E729" s="41"/>
      <c r="F729" s="41"/>
      <c r="G729" s="41"/>
      <c r="H729" s="51">
        <f t="shared" si="341"/>
        <v>9</v>
      </c>
      <c r="I729" s="828">
        <f>IF(R1439&gt;$D1550+1,0,IF(R1439=$D1550+1,0.5*1/$D1550,1/$D$1550))</f>
        <v>0.1</v>
      </c>
      <c r="J729" s="60"/>
      <c r="K729" s="60"/>
      <c r="L729" s="60"/>
      <c r="M729" s="60"/>
      <c r="N729" s="855"/>
      <c r="O729" s="855"/>
      <c r="P729" s="855"/>
      <c r="Q729" s="855"/>
      <c r="R729" s="855">
        <f>$I$721*E$1550*$R$1536</f>
        <v>0.375</v>
      </c>
      <c r="S729" s="855">
        <f>$I$722*E$1550*$R$1536</f>
        <v>0.75</v>
      </c>
      <c r="T729" s="294"/>
    </row>
    <row r="730" spans="1:20" x14ac:dyDescent="0.25">
      <c r="A730" s="302"/>
      <c r="C730" s="294"/>
      <c r="D730" s="40"/>
      <c r="E730" s="41"/>
      <c r="F730" s="41"/>
      <c r="G730" s="41"/>
      <c r="H730" s="51">
        <f t="shared" si="341"/>
        <v>10</v>
      </c>
      <c r="I730" s="828">
        <f>IF(S1439&gt;$D1550+1,0,IF(S1439=$D1550+1,0.5*1/$D1550,1/$D$1550))</f>
        <v>0.1</v>
      </c>
      <c r="J730" s="60"/>
      <c r="K730" s="60"/>
      <c r="L730" s="60"/>
      <c r="M730" s="60"/>
      <c r="N730" s="855"/>
      <c r="O730" s="855"/>
      <c r="P730" s="855"/>
      <c r="Q730" s="855"/>
      <c r="R730" s="855"/>
      <c r="S730" s="855">
        <f>$I$721*E$1550*$S$1536</f>
        <v>0.375</v>
      </c>
      <c r="T730" s="294"/>
    </row>
    <row r="731" spans="1:20" x14ac:dyDescent="0.25">
      <c r="A731" s="302"/>
      <c r="C731" s="294"/>
      <c r="D731" s="40"/>
      <c r="E731" s="41"/>
      <c r="F731" s="41"/>
      <c r="G731" s="41"/>
      <c r="H731" s="41"/>
      <c r="I731" s="41"/>
      <c r="J731" s="542" t="s">
        <v>66</v>
      </c>
      <c r="K731" s="542" t="s">
        <v>66</v>
      </c>
      <c r="L731" s="542" t="s">
        <v>66</v>
      </c>
      <c r="M731" s="542" t="s">
        <v>66</v>
      </c>
      <c r="N731" s="542" t="s">
        <v>66</v>
      </c>
      <c r="O731" s="542" t="s">
        <v>66</v>
      </c>
      <c r="P731" s="542" t="s">
        <v>66</v>
      </c>
      <c r="Q731" s="542" t="s">
        <v>66</v>
      </c>
      <c r="R731" s="542" t="s">
        <v>66</v>
      </c>
      <c r="S731" s="542" t="s">
        <v>66</v>
      </c>
      <c r="T731" s="294"/>
    </row>
    <row r="732" spans="1:20" x14ac:dyDescent="0.25">
      <c r="A732" s="302"/>
      <c r="C732" s="294"/>
      <c r="D732" s="43"/>
      <c r="E732" s="18"/>
      <c r="F732" s="64"/>
      <c r="G732" s="18"/>
      <c r="H732" s="671" t="s">
        <v>341</v>
      </c>
      <c r="I732" s="18"/>
      <c r="J732" s="228">
        <f t="shared" ref="J732:S732" si="342">SUM(J721:J730)</f>
        <v>0.375</v>
      </c>
      <c r="K732" s="228">
        <f t="shared" si="342"/>
        <v>1.125</v>
      </c>
      <c r="L732" s="228">
        <f t="shared" si="342"/>
        <v>1.875</v>
      </c>
      <c r="M732" s="228">
        <f t="shared" si="342"/>
        <v>2.625</v>
      </c>
      <c r="N732" s="228">
        <f t="shared" si="342"/>
        <v>3.375</v>
      </c>
      <c r="O732" s="228">
        <f t="shared" si="342"/>
        <v>4.125</v>
      </c>
      <c r="P732" s="228">
        <f t="shared" si="342"/>
        <v>4.875</v>
      </c>
      <c r="Q732" s="228">
        <f t="shared" si="342"/>
        <v>5.625</v>
      </c>
      <c r="R732" s="228">
        <f t="shared" si="342"/>
        <v>6.375</v>
      </c>
      <c r="S732" s="228">
        <f t="shared" si="342"/>
        <v>7.125</v>
      </c>
      <c r="T732" s="294"/>
    </row>
    <row r="733" spans="1:20" x14ac:dyDescent="0.25">
      <c r="A733" s="302"/>
      <c r="C733" s="294"/>
      <c r="O733" s="1"/>
      <c r="S733" s="41"/>
      <c r="T733" s="294"/>
    </row>
    <row r="734" spans="1:20" ht="29.25" customHeight="1" x14ac:dyDescent="0.25">
      <c r="A734" s="302"/>
      <c r="C734" s="294"/>
      <c r="D734" s="656" t="s">
        <v>342</v>
      </c>
      <c r="E734" s="170"/>
      <c r="F734" s="170"/>
      <c r="G734" s="170"/>
      <c r="H734" s="170"/>
      <c r="I734" s="170"/>
      <c r="J734" s="170"/>
      <c r="K734" s="170"/>
      <c r="L734" s="170"/>
      <c r="M734" s="170"/>
      <c r="N734" s="170"/>
      <c r="O734" s="170"/>
      <c r="P734" s="170"/>
      <c r="Q734" s="170"/>
      <c r="R734" s="170"/>
      <c r="S734" s="213"/>
      <c r="T734" s="294"/>
    </row>
    <row r="735" spans="1:20" x14ac:dyDescent="0.25">
      <c r="A735" s="302"/>
      <c r="C735" s="294"/>
      <c r="D735" s="104"/>
      <c r="J735" s="77"/>
      <c r="K735" s="77"/>
      <c r="L735" s="77"/>
      <c r="M735" s="77"/>
      <c r="N735" s="77"/>
      <c r="O735" s="77"/>
      <c r="P735" s="77"/>
      <c r="Q735" s="77"/>
      <c r="R735" s="77"/>
      <c r="S735" s="515"/>
      <c r="T735" s="294"/>
    </row>
    <row r="736" spans="1:20" x14ac:dyDescent="0.25">
      <c r="A736" s="302"/>
      <c r="C736" s="294"/>
      <c r="D736" s="226" t="str">
        <f>UPPER(FIXED(D1551,1,TRUE)&amp;" Year Assets:")</f>
        <v>31.5 YEAR ASSETS:</v>
      </c>
      <c r="E736" s="39"/>
      <c r="F736" s="672" t="s">
        <v>101</v>
      </c>
      <c r="G736" s="39"/>
      <c r="H736" s="39"/>
      <c r="I736" s="176"/>
      <c r="J736" s="223" t="str">
        <f>"For the Fiscal Year Ending "&amp;H1372</f>
        <v>For the Fiscal Year Ending December 31,</v>
      </c>
      <c r="K736" s="224"/>
      <c r="L736" s="224"/>
      <c r="M736" s="224"/>
      <c r="N736" s="224"/>
      <c r="O736" s="224"/>
      <c r="P736" s="224"/>
      <c r="Q736" s="224"/>
      <c r="R736" s="224"/>
      <c r="S736" s="224"/>
      <c r="T736" s="294"/>
    </row>
    <row r="737" spans="1:20" x14ac:dyDescent="0.25">
      <c r="A737" s="302"/>
      <c r="C737" s="294"/>
      <c r="D737" s="40"/>
      <c r="E737" s="41"/>
      <c r="F737" s="41"/>
      <c r="G737" s="41"/>
      <c r="H737" s="673" t="s">
        <v>339</v>
      </c>
      <c r="I737" s="675" t="s">
        <v>340</v>
      </c>
      <c r="J737" s="221">
        <f>$H$1371</f>
        <v>1998</v>
      </c>
      <c r="K737" s="222">
        <f t="shared" ref="K737:S737" si="343">J737+1</f>
        <v>1999</v>
      </c>
      <c r="L737" s="222">
        <f t="shared" si="343"/>
        <v>2000</v>
      </c>
      <c r="M737" s="222">
        <f t="shared" si="343"/>
        <v>2001</v>
      </c>
      <c r="N737" s="222">
        <f t="shared" si="343"/>
        <v>2002</v>
      </c>
      <c r="O737" s="222">
        <f t="shared" si="343"/>
        <v>2003</v>
      </c>
      <c r="P737" s="222">
        <f t="shared" si="343"/>
        <v>2004</v>
      </c>
      <c r="Q737" s="222">
        <f t="shared" si="343"/>
        <v>2005</v>
      </c>
      <c r="R737" s="222">
        <f t="shared" si="343"/>
        <v>2006</v>
      </c>
      <c r="S737" s="222">
        <f t="shared" si="343"/>
        <v>2007</v>
      </c>
      <c r="T737" s="294"/>
    </row>
    <row r="738" spans="1:20" x14ac:dyDescent="0.25">
      <c r="A738" s="302"/>
      <c r="C738" s="294"/>
      <c r="D738" s="40"/>
      <c r="E738" s="41"/>
      <c r="F738" s="41"/>
      <c r="G738" s="41"/>
      <c r="H738" s="674">
        <v>1</v>
      </c>
      <c r="I738" s="828">
        <f>IF(J1439&gt;$D1551+1,0,IF(J1439=$D1551+1,0.5*1/$D1551,1/$D$1551))*0.5</f>
        <v>1.5873015873015872E-2</v>
      </c>
      <c r="J738" s="60">
        <f>$I$738*E$1551*$J$1536</f>
        <v>0.11904761904761904</v>
      </c>
      <c r="K738" s="60">
        <f>$I$739*E$1551*$J$1536</f>
        <v>0.23809523809523808</v>
      </c>
      <c r="L738" s="60">
        <f>$I$740*E$1551*$J$1536</f>
        <v>0.23809523809523808</v>
      </c>
      <c r="M738" s="60">
        <f>$I$741*E$1551*$J$1536</f>
        <v>0.23809523809523808</v>
      </c>
      <c r="N738" s="60">
        <f>$I$742*E$1551*$J$1536</f>
        <v>0.23809523809523808</v>
      </c>
      <c r="O738" s="60">
        <f>$I$743*E$1551*$J$1536</f>
        <v>0.23809523809523808</v>
      </c>
      <c r="P738" s="60">
        <f>$I$744*E$1551*$J$1536</f>
        <v>0.23809523809523808</v>
      </c>
      <c r="Q738" s="60">
        <f>$I$745*E$1551*$J$1536</f>
        <v>0.23809523809523808</v>
      </c>
      <c r="R738" s="60">
        <f>$I$746*E$1551*$J$1536</f>
        <v>0.23809523809523808</v>
      </c>
      <c r="S738" s="60">
        <f>$I$747*E$1551*$J$1536</f>
        <v>0.23809523809523808</v>
      </c>
      <c r="T738" s="294"/>
    </row>
    <row r="739" spans="1:20" x14ac:dyDescent="0.25">
      <c r="A739" s="302"/>
      <c r="C739" s="294"/>
      <c r="D739" s="40"/>
      <c r="E739" s="41"/>
      <c r="F739" s="41"/>
      <c r="G739" s="41"/>
      <c r="H739" s="51">
        <f t="shared" ref="H739:H747" si="344">H738+1</f>
        <v>2</v>
      </c>
      <c r="I739" s="828">
        <f>IF(K1439&gt;$D1551+1,0,IF(K1439=$D1551+1,0.5*1/$D1551,1/$D$1551))</f>
        <v>3.1746031746031744E-2</v>
      </c>
      <c r="J739" s="60"/>
      <c r="K739" s="60">
        <f>$I$738*E$1551*$K$1536</f>
        <v>0.11904761904761904</v>
      </c>
      <c r="L739" s="60">
        <f>$I$739*E$1551*$K$1536</f>
        <v>0.23809523809523808</v>
      </c>
      <c r="M739" s="60">
        <f>$I$740*E$1551*$K$1536</f>
        <v>0.23809523809523808</v>
      </c>
      <c r="N739" s="60">
        <f>$I$741*E$1551*$K$1536</f>
        <v>0.23809523809523808</v>
      </c>
      <c r="O739" s="60">
        <f>$I$742*E$1551*$K$1536</f>
        <v>0.23809523809523808</v>
      </c>
      <c r="P739" s="60">
        <f>$I$743*E$1551*$K$1536</f>
        <v>0.23809523809523808</v>
      </c>
      <c r="Q739" s="60">
        <f>$I$744*E$1551*$K$1536</f>
        <v>0.23809523809523808</v>
      </c>
      <c r="R739" s="60">
        <f>$I$745*E$1551*$K$1536</f>
        <v>0.23809523809523808</v>
      </c>
      <c r="S739" s="60">
        <f>$I$746*E$1551*$K$1536</f>
        <v>0.23809523809523808</v>
      </c>
      <c r="T739" s="294"/>
    </row>
    <row r="740" spans="1:20" x14ac:dyDescent="0.25">
      <c r="A740" s="302"/>
      <c r="C740" s="294"/>
      <c r="D740" s="40"/>
      <c r="E740" s="41"/>
      <c r="F740" s="41"/>
      <c r="G740" s="41"/>
      <c r="H740" s="51">
        <f t="shared" si="344"/>
        <v>3</v>
      </c>
      <c r="I740" s="828">
        <f>IF(L1439&gt;$D1551+1,0,IF(L1439=$D1551+1,0.5*1/$D1551,1/$D$1551))</f>
        <v>3.1746031746031744E-2</v>
      </c>
      <c r="J740" s="60"/>
      <c r="K740" s="60"/>
      <c r="L740" s="60">
        <f>$I$738*E$1551*$L$1536</f>
        <v>0.11904761904761904</v>
      </c>
      <c r="M740" s="60">
        <f>$I$739*E$1551*$L$1536</f>
        <v>0.23809523809523808</v>
      </c>
      <c r="N740" s="60">
        <f>$I$740*E$1551*$L$1536</f>
        <v>0.23809523809523808</v>
      </c>
      <c r="O740" s="60">
        <f>$I$741*E$1551*$L$1536</f>
        <v>0.23809523809523808</v>
      </c>
      <c r="P740" s="60">
        <f>$I$742*E$1551*$L$1536</f>
        <v>0.23809523809523808</v>
      </c>
      <c r="Q740" s="60">
        <f>$I$743*E$1551*$L$1536</f>
        <v>0.23809523809523808</v>
      </c>
      <c r="R740" s="60">
        <f>$I$744*E$1551*$L$1536</f>
        <v>0.23809523809523808</v>
      </c>
      <c r="S740" s="60">
        <f>$I$745*E$1551*$L$1536</f>
        <v>0.23809523809523808</v>
      </c>
      <c r="T740" s="294"/>
    </row>
    <row r="741" spans="1:20" x14ac:dyDescent="0.25">
      <c r="A741" s="302"/>
      <c r="C741" s="294"/>
      <c r="D741" s="40"/>
      <c r="E741" s="41"/>
      <c r="F741" s="41"/>
      <c r="G741" s="41"/>
      <c r="H741" s="51">
        <f t="shared" si="344"/>
        <v>4</v>
      </c>
      <c r="I741" s="828">
        <f>IF(M1439&gt;$D1551+1,0,IF(M1439=$D1551+1,0.5*1/$D1551,1/$D$1551))</f>
        <v>3.1746031746031744E-2</v>
      </c>
      <c r="J741" s="60"/>
      <c r="K741" s="60"/>
      <c r="L741" s="60"/>
      <c r="M741" s="60">
        <f>$I$738*E$1551*$M$1536</f>
        <v>0.11904761904761904</v>
      </c>
      <c r="N741" s="60">
        <f>$I$739*E$1551*$M$1536</f>
        <v>0.23809523809523808</v>
      </c>
      <c r="O741" s="60">
        <f>$I$740*E$1551*$M$1536</f>
        <v>0.23809523809523808</v>
      </c>
      <c r="P741" s="60">
        <f>$I$741*E$1551*$M$1536</f>
        <v>0.23809523809523808</v>
      </c>
      <c r="Q741" s="60">
        <f>$I$742*E$1551*$M$1536</f>
        <v>0.23809523809523808</v>
      </c>
      <c r="R741" s="60">
        <f>$I$743*E$1551*$M$1536</f>
        <v>0.23809523809523808</v>
      </c>
      <c r="S741" s="60">
        <f>$I$744*E$1551*$M$1536</f>
        <v>0.23809523809523808</v>
      </c>
      <c r="T741" s="294"/>
    </row>
    <row r="742" spans="1:20" x14ac:dyDescent="0.25">
      <c r="A742" s="302"/>
      <c r="C742" s="294"/>
      <c r="D742" s="40"/>
      <c r="E742" s="41"/>
      <c r="F742" s="41"/>
      <c r="G742" s="41"/>
      <c r="H742" s="51">
        <f t="shared" si="344"/>
        <v>5</v>
      </c>
      <c r="I742" s="828">
        <f>IF(N1439&gt;$D1551+1,0,IF(N1439=$D1551+1,0.5*1/$D1551,1/$D$1551))</f>
        <v>3.1746031746031744E-2</v>
      </c>
      <c r="J742" s="60"/>
      <c r="K742" s="60"/>
      <c r="L742" s="60"/>
      <c r="M742" s="60"/>
      <c r="N742" s="60">
        <f>$I$738*E$1551*$N$1536</f>
        <v>0.11904761904761904</v>
      </c>
      <c r="O742" s="60">
        <f>$I$739*E$1551*$N$1536</f>
        <v>0.23809523809523808</v>
      </c>
      <c r="P742" s="60">
        <f>$I$740*E$1551*$N$1536</f>
        <v>0.23809523809523808</v>
      </c>
      <c r="Q742" s="60">
        <f>$I$741*E$1551*$N$1536</f>
        <v>0.23809523809523808</v>
      </c>
      <c r="R742" s="60">
        <f>$I$742*E$1551*$N$1536</f>
        <v>0.23809523809523808</v>
      </c>
      <c r="S742" s="60">
        <f>$I$743*E$1551*$N$1536</f>
        <v>0.23809523809523808</v>
      </c>
      <c r="T742" s="294"/>
    </row>
    <row r="743" spans="1:20" x14ac:dyDescent="0.25">
      <c r="A743" s="302"/>
      <c r="C743" s="294"/>
      <c r="D743" s="40"/>
      <c r="E743" s="41"/>
      <c r="F743" s="41"/>
      <c r="G743" s="41"/>
      <c r="H743" s="51">
        <f t="shared" si="344"/>
        <v>6</v>
      </c>
      <c r="I743" s="828">
        <f>IF(O1439&gt;$D1551+1,0,IF(O1439=$D1551+1,0.5*1/$D1551,1/$D$1551))</f>
        <v>3.1746031746031744E-2</v>
      </c>
      <c r="J743" s="60"/>
      <c r="K743" s="60"/>
      <c r="L743" s="60"/>
      <c r="M743" s="60"/>
      <c r="N743" s="60"/>
      <c r="O743" s="60">
        <f>$I$738*E$1551*$O$1536</f>
        <v>0.11904761904761904</v>
      </c>
      <c r="P743" s="60">
        <f>$I$739*E$1551*$O$1536</f>
        <v>0.23809523809523808</v>
      </c>
      <c r="Q743" s="60">
        <f>$I$740*E$1551*$O$1536</f>
        <v>0.23809523809523808</v>
      </c>
      <c r="R743" s="60">
        <f>$I$741*E$1551*$O$1536</f>
        <v>0.23809523809523808</v>
      </c>
      <c r="S743" s="60">
        <f>$I$742*E$1551*$O$1536</f>
        <v>0.23809523809523808</v>
      </c>
      <c r="T743" s="294"/>
    </row>
    <row r="744" spans="1:20" x14ac:dyDescent="0.25">
      <c r="A744" s="302"/>
      <c r="C744" s="294"/>
      <c r="D744" s="40"/>
      <c r="E744" s="41"/>
      <c r="F744" s="41"/>
      <c r="G744" s="41"/>
      <c r="H744" s="51">
        <f t="shared" si="344"/>
        <v>7</v>
      </c>
      <c r="I744" s="828">
        <f>IF(P1439&gt;$D1551+1,0,IF(P1439=$D1551+1,0.5*1/$D1551,1/$D$1551))</f>
        <v>3.1746031746031744E-2</v>
      </c>
      <c r="J744" s="60"/>
      <c r="K744" s="60"/>
      <c r="L744" s="60"/>
      <c r="M744" s="60"/>
      <c r="N744" s="60"/>
      <c r="O744" s="60"/>
      <c r="P744" s="60">
        <f>$I$738*E$1551*$P$1536</f>
        <v>0.11904761904761904</v>
      </c>
      <c r="Q744" s="60">
        <f>$I$739*E$1551*$P$1536</f>
        <v>0.23809523809523808</v>
      </c>
      <c r="R744" s="60">
        <f>$I$740*E$1551*$P$1536</f>
        <v>0.23809523809523808</v>
      </c>
      <c r="S744" s="60">
        <f>$I$741*E$1551*$P$1536</f>
        <v>0.23809523809523808</v>
      </c>
      <c r="T744" s="294"/>
    </row>
    <row r="745" spans="1:20" x14ac:dyDescent="0.25">
      <c r="A745" s="302"/>
      <c r="C745" s="294"/>
      <c r="D745" s="40"/>
      <c r="E745" s="41"/>
      <c r="F745" s="41"/>
      <c r="G745" s="41"/>
      <c r="H745" s="51">
        <f t="shared" si="344"/>
        <v>8</v>
      </c>
      <c r="I745" s="828">
        <f>IF(Q1439&gt;$D1551+1,0,IF(Q1439=$D1551+1,0.5*1/$D1551,1/$D$1551))</f>
        <v>3.1746031746031744E-2</v>
      </c>
      <c r="J745" s="60"/>
      <c r="K745" s="60"/>
      <c r="L745" s="60"/>
      <c r="M745" s="60"/>
      <c r="N745" s="60"/>
      <c r="O745" s="60"/>
      <c r="P745" s="60"/>
      <c r="Q745" s="60">
        <f>$I$738*E$1551*$Q$1536</f>
        <v>0.11904761904761904</v>
      </c>
      <c r="R745" s="60">
        <f>$I$739*E$1551*$Q$1536</f>
        <v>0.23809523809523808</v>
      </c>
      <c r="S745" s="60">
        <f>$I$740*E$1551*$Q$1536</f>
        <v>0.23809523809523808</v>
      </c>
      <c r="T745" s="294"/>
    </row>
    <row r="746" spans="1:20" x14ac:dyDescent="0.25">
      <c r="A746" s="302"/>
      <c r="C746" s="294"/>
      <c r="D746" s="40"/>
      <c r="E746" s="41"/>
      <c r="F746" s="41"/>
      <c r="G746" s="41"/>
      <c r="H746" s="51">
        <f t="shared" si="344"/>
        <v>9</v>
      </c>
      <c r="I746" s="828">
        <f>IF(R1439&gt;$D1551+1,0,IF(R1439=$D1551+1,0.5*1/$D1551,1/$D$1551))</f>
        <v>3.1746031746031744E-2</v>
      </c>
      <c r="J746" s="60"/>
      <c r="K746" s="60"/>
      <c r="L746" s="60"/>
      <c r="M746" s="60"/>
      <c r="N746" s="60"/>
      <c r="O746" s="60"/>
      <c r="P746" s="60"/>
      <c r="Q746" s="60"/>
      <c r="R746" s="60">
        <f>$I$738*E$1551*$R$1536</f>
        <v>0.11904761904761904</v>
      </c>
      <c r="S746" s="60">
        <f>$I$739*E$1551*$R$1536</f>
        <v>0.23809523809523808</v>
      </c>
      <c r="T746" s="294"/>
    </row>
    <row r="747" spans="1:20" x14ac:dyDescent="0.25">
      <c r="A747" s="302"/>
      <c r="C747" s="294"/>
      <c r="D747" s="40"/>
      <c r="E747" s="41"/>
      <c r="F747" s="41"/>
      <c r="G747" s="41"/>
      <c r="H747" s="51">
        <f t="shared" si="344"/>
        <v>10</v>
      </c>
      <c r="I747" s="828">
        <f>IF(S1439&gt;$D1551+1,0,IF(S1439=$D1551+1,0.5*1/$D1551,1/$D$1551))</f>
        <v>3.1746031746031744E-2</v>
      </c>
      <c r="J747" s="60"/>
      <c r="K747" s="60"/>
      <c r="L747" s="60"/>
      <c r="M747" s="60"/>
      <c r="N747" s="60"/>
      <c r="O747" s="60"/>
      <c r="P747" s="60"/>
      <c r="Q747" s="60"/>
      <c r="R747" s="60"/>
      <c r="S747" s="60">
        <f>$I$738*E$1551*$S$1536</f>
        <v>0.11904761904761904</v>
      </c>
      <c r="T747" s="294"/>
    </row>
    <row r="748" spans="1:20" x14ac:dyDescent="0.25">
      <c r="A748" s="302"/>
      <c r="C748" s="294"/>
      <c r="D748" s="40"/>
      <c r="E748" s="41"/>
      <c r="F748" s="41"/>
      <c r="G748" s="41"/>
      <c r="H748" s="41"/>
      <c r="I748" s="41"/>
      <c r="J748" s="542" t="s">
        <v>66</v>
      </c>
      <c r="K748" s="542" t="s">
        <v>66</v>
      </c>
      <c r="L748" s="542" t="s">
        <v>66</v>
      </c>
      <c r="M748" s="542" t="s">
        <v>66</v>
      </c>
      <c r="N748" s="542" t="s">
        <v>66</v>
      </c>
      <c r="O748" s="542" t="s">
        <v>66</v>
      </c>
      <c r="P748" s="542" t="s">
        <v>66</v>
      </c>
      <c r="Q748" s="542" t="s">
        <v>66</v>
      </c>
      <c r="R748" s="542" t="s">
        <v>66</v>
      </c>
      <c r="S748" s="542" t="s">
        <v>66</v>
      </c>
      <c r="T748" s="294"/>
    </row>
    <row r="749" spans="1:20" x14ac:dyDescent="0.25">
      <c r="A749" s="302"/>
      <c r="C749" s="294"/>
      <c r="D749" s="43"/>
      <c r="E749" s="18"/>
      <c r="F749" s="64"/>
      <c r="G749" s="18"/>
      <c r="H749" s="671" t="s">
        <v>341</v>
      </c>
      <c r="I749" s="18"/>
      <c r="J749" s="228">
        <f t="shared" ref="J749:S749" si="345">SUM(J738:J747)</f>
        <v>0.11904761904761904</v>
      </c>
      <c r="K749" s="228">
        <f t="shared" si="345"/>
        <v>0.3571428571428571</v>
      </c>
      <c r="L749" s="228">
        <f t="shared" si="345"/>
        <v>0.59523809523809523</v>
      </c>
      <c r="M749" s="228">
        <f t="shared" si="345"/>
        <v>0.83333333333333326</v>
      </c>
      <c r="N749" s="228">
        <f t="shared" si="345"/>
        <v>1.0714285714285714</v>
      </c>
      <c r="O749" s="228">
        <f t="shared" si="345"/>
        <v>1.3095238095238095</v>
      </c>
      <c r="P749" s="228">
        <f t="shared" si="345"/>
        <v>1.5476190476190477</v>
      </c>
      <c r="Q749" s="228">
        <f t="shared" si="345"/>
        <v>1.7857142857142858</v>
      </c>
      <c r="R749" s="228">
        <f t="shared" si="345"/>
        <v>2.0238095238095237</v>
      </c>
      <c r="S749" s="228">
        <f t="shared" si="345"/>
        <v>2.2619047619047619</v>
      </c>
      <c r="T749" s="294"/>
    </row>
    <row r="750" spans="1:20" x14ac:dyDescent="0.25">
      <c r="A750" s="302"/>
      <c r="C750" s="294"/>
      <c r="J750" s="154"/>
      <c r="K750" s="154"/>
      <c r="L750" s="154"/>
      <c r="M750" s="154"/>
      <c r="N750" s="154"/>
      <c r="O750" s="154"/>
      <c r="P750" s="154"/>
      <c r="Q750" s="154"/>
      <c r="R750" s="154"/>
      <c r="S750" s="154"/>
      <c r="T750" s="294"/>
    </row>
    <row r="751" spans="1:20" x14ac:dyDescent="0.25">
      <c r="A751" s="302"/>
      <c r="C751" s="294"/>
      <c r="D751" s="676" t="s">
        <v>343</v>
      </c>
      <c r="E751" s="39"/>
      <c r="F751" s="39"/>
      <c r="G751" s="39"/>
      <c r="H751" s="39"/>
      <c r="I751" s="39"/>
      <c r="J751" s="223" t="str">
        <f>"For the Fiscal Year Ending "&amp;H1372</f>
        <v>For the Fiscal Year Ending December 31,</v>
      </c>
      <c r="K751" s="224"/>
      <c r="L751" s="224"/>
      <c r="M751" s="224"/>
      <c r="N751" s="224"/>
      <c r="O751" s="224"/>
      <c r="P751" s="224"/>
      <c r="Q751" s="224"/>
      <c r="R751" s="224"/>
      <c r="S751" s="224"/>
      <c r="T751" s="294"/>
    </row>
    <row r="752" spans="1:20" x14ac:dyDescent="0.25">
      <c r="A752" s="302"/>
      <c r="C752" s="294"/>
      <c r="D752" s="40"/>
      <c r="E752" s="41"/>
      <c r="F752" s="41"/>
      <c r="G752" s="41"/>
      <c r="H752" s="41"/>
      <c r="I752" s="41"/>
      <c r="J752" s="221">
        <f>$H$1371</f>
        <v>1998</v>
      </c>
      <c r="K752" s="222">
        <f t="shared" ref="K752:S752" si="346">J752+1</f>
        <v>1999</v>
      </c>
      <c r="L752" s="222">
        <f t="shared" si="346"/>
        <v>2000</v>
      </c>
      <c r="M752" s="222">
        <f t="shared" si="346"/>
        <v>2001</v>
      </c>
      <c r="N752" s="222">
        <f t="shared" si="346"/>
        <v>2002</v>
      </c>
      <c r="O752" s="222">
        <f t="shared" si="346"/>
        <v>2003</v>
      </c>
      <c r="P752" s="222">
        <f t="shared" si="346"/>
        <v>2004</v>
      </c>
      <c r="Q752" s="222">
        <f t="shared" si="346"/>
        <v>2005</v>
      </c>
      <c r="R752" s="222">
        <f t="shared" si="346"/>
        <v>2006</v>
      </c>
      <c r="S752" s="222">
        <f t="shared" si="346"/>
        <v>2007</v>
      </c>
      <c r="T752" s="294"/>
    </row>
    <row r="753" spans="1:20" x14ac:dyDescent="0.25">
      <c r="A753" s="302"/>
      <c r="C753" s="294"/>
      <c r="D753" s="40"/>
      <c r="E753" s="41"/>
      <c r="F753" s="41"/>
      <c r="G753" s="41"/>
      <c r="H753" s="640" t="s">
        <v>344</v>
      </c>
      <c r="I753" s="41"/>
      <c r="J753" s="231">
        <f t="shared" ref="J753:S753" si="347">J1556</f>
        <v>0</v>
      </c>
      <c r="K753" s="231">
        <f t="shared" si="347"/>
        <v>0</v>
      </c>
      <c r="L753" s="231">
        <f t="shared" si="347"/>
        <v>0</v>
      </c>
      <c r="M753" s="231">
        <f t="shared" si="347"/>
        <v>0</v>
      </c>
      <c r="N753" s="231">
        <f t="shared" si="347"/>
        <v>0</v>
      </c>
      <c r="O753" s="231">
        <f t="shared" si="347"/>
        <v>0</v>
      </c>
      <c r="P753" s="231">
        <f t="shared" si="347"/>
        <v>0</v>
      </c>
      <c r="Q753" s="231">
        <f t="shared" si="347"/>
        <v>0</v>
      </c>
      <c r="R753" s="231">
        <f t="shared" si="347"/>
        <v>0</v>
      </c>
      <c r="S753" s="231">
        <f t="shared" si="347"/>
        <v>0</v>
      </c>
      <c r="T753" s="294"/>
    </row>
    <row r="754" spans="1:20" x14ac:dyDescent="0.25">
      <c r="A754" s="302"/>
      <c r="C754" s="294"/>
      <c r="D754" s="40"/>
      <c r="E754" s="41"/>
      <c r="F754" s="41"/>
      <c r="G754" s="41"/>
      <c r="H754" s="670" t="s">
        <v>345</v>
      </c>
      <c r="I754" s="41"/>
      <c r="J754" s="231">
        <f t="shared" ref="J754:S754" si="348">J1557</f>
        <v>3</v>
      </c>
      <c r="K754" s="231">
        <f t="shared" si="348"/>
        <v>3</v>
      </c>
      <c r="L754" s="231">
        <f t="shared" si="348"/>
        <v>5</v>
      </c>
      <c r="M754" s="231">
        <f t="shared" si="348"/>
        <v>5</v>
      </c>
      <c r="N754" s="231">
        <f t="shared" si="348"/>
        <v>7</v>
      </c>
      <c r="O754" s="231">
        <f t="shared" si="348"/>
        <v>7</v>
      </c>
      <c r="P754" s="231">
        <f t="shared" si="348"/>
        <v>7</v>
      </c>
      <c r="Q754" s="231">
        <f t="shared" si="348"/>
        <v>10</v>
      </c>
      <c r="R754" s="231">
        <f t="shared" si="348"/>
        <v>10</v>
      </c>
      <c r="S754" s="231">
        <f t="shared" si="348"/>
        <v>15</v>
      </c>
      <c r="T754" s="294"/>
    </row>
    <row r="755" spans="1:20" x14ac:dyDescent="0.25">
      <c r="A755" s="302"/>
      <c r="C755" s="294"/>
      <c r="D755" s="40"/>
      <c r="E755" s="41"/>
      <c r="F755" s="41"/>
      <c r="G755" s="41"/>
      <c r="H755" s="242"/>
      <c r="I755" s="41"/>
      <c r="J755" s="41"/>
      <c r="K755" s="41"/>
      <c r="L755" s="41"/>
      <c r="M755" s="41"/>
      <c r="N755" s="41"/>
      <c r="P755" s="41"/>
      <c r="Q755" s="41"/>
      <c r="R755" s="41"/>
      <c r="S755" s="41"/>
      <c r="T755" s="294"/>
    </row>
    <row r="756" spans="1:20" x14ac:dyDescent="0.25">
      <c r="A756" s="302"/>
      <c r="C756" s="294"/>
      <c r="D756" s="40"/>
      <c r="E756" s="229"/>
      <c r="F756" s="41"/>
      <c r="G756" s="41"/>
      <c r="H756" s="242"/>
      <c r="I756" s="44"/>
      <c r="J756" s="60">
        <f>IF($J$753=0,0,$J$753/$J$754*0.5)</f>
        <v>0</v>
      </c>
      <c r="K756" s="60">
        <f t="shared" ref="K756:S756" si="349">IF($J$753=0,0,IF(1+K$752-$H$1371&lt;=$J$754,$J$753/$J$754,IF(1+K$752-$H$1371=$J$754+1,$J$753/$J$754*0.5,0)))</f>
        <v>0</v>
      </c>
      <c r="L756" s="60">
        <f t="shared" si="349"/>
        <v>0</v>
      </c>
      <c r="M756" s="60">
        <f t="shared" si="349"/>
        <v>0</v>
      </c>
      <c r="N756" s="60">
        <f t="shared" si="349"/>
        <v>0</v>
      </c>
      <c r="O756" s="60">
        <f t="shared" si="349"/>
        <v>0</v>
      </c>
      <c r="P756" s="60">
        <f t="shared" si="349"/>
        <v>0</v>
      </c>
      <c r="Q756" s="60">
        <f t="shared" si="349"/>
        <v>0</v>
      </c>
      <c r="R756" s="60">
        <f t="shared" si="349"/>
        <v>0</v>
      </c>
      <c r="S756" s="60">
        <f t="shared" si="349"/>
        <v>0</v>
      </c>
      <c r="T756" s="294"/>
    </row>
    <row r="757" spans="1:20" x14ac:dyDescent="0.25">
      <c r="A757" s="302"/>
      <c r="C757" s="294"/>
      <c r="D757" s="40"/>
      <c r="E757" s="41"/>
      <c r="F757" s="41"/>
      <c r="G757" s="41"/>
      <c r="H757" s="41"/>
      <c r="I757" s="44"/>
      <c r="J757" s="60"/>
      <c r="K757" s="60">
        <f>IF($K$753=0,0,$K$753/$K$754*0.5)</f>
        <v>0</v>
      </c>
      <c r="L757" s="60">
        <f t="shared" ref="L757:S757" si="350">IF($K$753=0,0,IF(L$752-$H$1371&lt;=$K$754,$K$753/$K$754,IF(L$752-$H$1371=$K$754+1,$K$753/$K$754*0.5,0)))</f>
        <v>0</v>
      </c>
      <c r="M757" s="60">
        <f t="shared" si="350"/>
        <v>0</v>
      </c>
      <c r="N757" s="60">
        <f t="shared" si="350"/>
        <v>0</v>
      </c>
      <c r="O757" s="60">
        <f t="shared" si="350"/>
        <v>0</v>
      </c>
      <c r="P757" s="60">
        <f t="shared" si="350"/>
        <v>0</v>
      </c>
      <c r="Q757" s="60">
        <f t="shared" si="350"/>
        <v>0</v>
      </c>
      <c r="R757" s="60">
        <f t="shared" si="350"/>
        <v>0</v>
      </c>
      <c r="S757" s="60">
        <f t="shared" si="350"/>
        <v>0</v>
      </c>
      <c r="T757" s="294"/>
    </row>
    <row r="758" spans="1:20" x14ac:dyDescent="0.25">
      <c r="A758" s="302"/>
      <c r="C758" s="294"/>
      <c r="D758" s="40"/>
      <c r="E758" s="41"/>
      <c r="F758" s="41"/>
      <c r="G758" s="41"/>
      <c r="H758" s="41"/>
      <c r="I758" s="44"/>
      <c r="J758" s="60"/>
      <c r="K758" s="60"/>
      <c r="L758" s="60">
        <f>IF(L$753=0,0,L$753/L$754*0.5)</f>
        <v>0</v>
      </c>
      <c r="M758" s="60">
        <f>IF(L$753=0,0,IF(-1+M$752-$H$1371&lt;=L$754,L$753/L$754,IF(-1+M$752-$H$1371=L$754+1,L$753/L$754*0.5,0)))</f>
        <v>0</v>
      </c>
      <c r="N758" s="60">
        <f>IF(L$753=0,0,IF(-1+N$752-$H$1371&lt;=L$754,L$753/L$754,IF(-1+N$752-$H$1371=L$754+1,L$753/L$754*0.5,0)))</f>
        <v>0</v>
      </c>
      <c r="O758" s="60">
        <f>IF(L$753=0,0,IF(-1+O$752-$H$1371&lt;=L$754,L$753/L$754,IF(-1+O$752-$H$1371=L$754+1,L$753/L$754*0.5,0)))</f>
        <v>0</v>
      </c>
      <c r="P758" s="60">
        <f>IF(L$753=0,0,IF(-1+P$752-$H$1371&lt;=L$754,L$753/L$754,IF(-1+P$752-$H$1371=L$754+1,L$753/L$754*0.5,0)))</f>
        <v>0</v>
      </c>
      <c r="Q758" s="60">
        <f>IF(L$753=0,0,IF(-1+Q$752-$H$1371&lt;=L$754,L$753/L$754,IF(-1+Q$752-$H$1371=L$754+1,L$753/L$754*0.5,0)))</f>
        <v>0</v>
      </c>
      <c r="R758" s="60">
        <f>IF(L$753=0,0,IF(-1+R$752-$H$1371&lt;=L$754,L$753/L$754,IF(-1+R$752-$H$1371=L$754+1,L$753/L$754*0.5,0)))</f>
        <v>0</v>
      </c>
      <c r="S758" s="60">
        <f>IF(L$753=0,0,IF(-1+S$752-$H$1371&lt;=L$754,L$753/L$754,IF(-1+S$752-$H$1371=L$754+1,L$753/L$754*0.5,0)))</f>
        <v>0</v>
      </c>
      <c r="T758" s="294"/>
    </row>
    <row r="759" spans="1:20" x14ac:dyDescent="0.25">
      <c r="A759" s="302"/>
      <c r="C759" s="294"/>
      <c r="D759" s="40"/>
      <c r="E759" s="41"/>
      <c r="F759" s="41"/>
      <c r="G759" s="41"/>
      <c r="H759" s="41"/>
      <c r="I759" s="44"/>
      <c r="J759" s="60"/>
      <c r="K759" s="60"/>
      <c r="L759" s="60"/>
      <c r="M759" s="60">
        <f>IF(M$753=0,0,M$753/M$754*0.5)</f>
        <v>0</v>
      </c>
      <c r="N759" s="60">
        <f t="shared" ref="N759:S759" si="351">IF($M$753=0,0,IF(-2+N$752-$H$1371&lt;=$M$754,$M$753/$M$754,IF(-2+N$752-$H$1371=$M$754+1,$M$753/$M$754*0.5,0)))</f>
        <v>0</v>
      </c>
      <c r="O759" s="60">
        <f t="shared" si="351"/>
        <v>0</v>
      </c>
      <c r="P759" s="60">
        <f t="shared" si="351"/>
        <v>0</v>
      </c>
      <c r="Q759" s="60">
        <f t="shared" si="351"/>
        <v>0</v>
      </c>
      <c r="R759" s="60">
        <f t="shared" si="351"/>
        <v>0</v>
      </c>
      <c r="S759" s="60">
        <f t="shared" si="351"/>
        <v>0</v>
      </c>
      <c r="T759" s="294"/>
    </row>
    <row r="760" spans="1:20" x14ac:dyDescent="0.25">
      <c r="A760" s="302"/>
      <c r="C760" s="294"/>
      <c r="D760" s="40"/>
      <c r="E760" s="41"/>
      <c r="F760" s="41"/>
      <c r="G760" s="41"/>
      <c r="H760" s="41"/>
      <c r="I760" s="44"/>
      <c r="J760" s="60"/>
      <c r="K760" s="60"/>
      <c r="L760" s="60"/>
      <c r="M760" s="60"/>
      <c r="N760" s="60">
        <f>IF(N$753=0,0,N$753/N$754*0.5)</f>
        <v>0</v>
      </c>
      <c r="O760" s="60">
        <f>IF($N$753=0,0,IF(-3+O$752-$H$1371&lt;=$N$754,$N$753/$N$754,IF(-3+O$752-$H$1371=$N$754+1,$N$753/$N$754*0.5,0)))</f>
        <v>0</v>
      </c>
      <c r="P760" s="60">
        <f>IF($N$753=0,0,IF(-3+P$752-$H$1371&lt;=$N$754,$N$753/$N$754,IF(-3+P$752-$H$1371=$N$754+1,$N$753/$N$754*0.5,0)))</f>
        <v>0</v>
      </c>
      <c r="Q760" s="60">
        <f>IF($N$753=0,0,IF(-3+Q$752-$H$1371&lt;=$N$754,$N$753/$N$754,IF(-3+Q$752-$H$1371=$N$754+1,$N$753/$N$754*0.5,0)))</f>
        <v>0</v>
      </c>
      <c r="R760" s="60">
        <f>IF($N$753=0,0,IF(-3+R$752-$H$1371&lt;=$N$754,$N$753/$N$754,IF(-3+R$752-$H$1371=$N$754+1,$N$753/$N$754*0.5,0)))</f>
        <v>0</v>
      </c>
      <c r="S760" s="60">
        <f>IF($N$753=0,0,IF(-3+S$752-$H$1371&lt;=$N$754,$N$753/$N$754,IF(-3+S$752-$H$1371=$N$754+1,$N$753/$N$754*0.5,0)))</f>
        <v>0</v>
      </c>
      <c r="T760" s="435"/>
    </row>
    <row r="761" spans="1:20" x14ac:dyDescent="0.25">
      <c r="A761" s="302"/>
      <c r="C761" s="294"/>
      <c r="D761" s="40"/>
      <c r="E761" s="41"/>
      <c r="F761" s="41"/>
      <c r="G761" s="41"/>
      <c r="H761" s="41"/>
      <c r="I761" s="41"/>
      <c r="J761" s="60"/>
      <c r="K761" s="60"/>
      <c r="L761" s="60"/>
      <c r="M761" s="60"/>
      <c r="N761" s="60"/>
      <c r="O761" s="60">
        <f>IF(O$753=0,0,O$753/O$754*0.5)</f>
        <v>0</v>
      </c>
      <c r="P761" s="60">
        <f>IF($O$753=0,0,IF(-4+P$752-$H$1371&lt;=$O$754,$O$753/$O$754,IF(-4+P$752-$H$1371=$O$754+1,$O$753/$O$754*0.5,0)))</f>
        <v>0</v>
      </c>
      <c r="Q761" s="60">
        <f>IF($O$753=0,0,IF(-4+Q$752-$H$1371&lt;=$O$754,$O$753/$O$754,IF(-4+Q$752-$H$1371=$O$754+1,$O$753/$O$754*0.5,0)))</f>
        <v>0</v>
      </c>
      <c r="R761" s="60">
        <f>IF($O$753=0,0,IF(-4+R$752-$H$1371&lt;=$O$754,$O$753/$O$754,IF(-4+R$752-$H$1371=$O$754+1,$O$753/$O$754*0.5,0)))</f>
        <v>0</v>
      </c>
      <c r="S761" s="60">
        <f>IF($O$753=0,0,IF(-4+S$752-$H$1371&lt;=$O$754,$O$753/$O$754,IF(-4+S$752-$H$1371=$O$754+1,$O$753/$O$754*0.5,0)))</f>
        <v>0</v>
      </c>
      <c r="T761" s="435"/>
    </row>
    <row r="762" spans="1:20" x14ac:dyDescent="0.25">
      <c r="A762" s="302"/>
      <c r="C762" s="294"/>
      <c r="D762" s="40"/>
      <c r="E762" s="41"/>
      <c r="F762" s="41"/>
      <c r="G762" s="41"/>
      <c r="H762" s="41"/>
      <c r="I762" s="41"/>
      <c r="J762" s="60"/>
      <c r="K762" s="60"/>
      <c r="L762" s="60"/>
      <c r="M762" s="60"/>
      <c r="N762" s="60"/>
      <c r="O762" s="60"/>
      <c r="P762" s="60">
        <f>IF(P$753=0,0,P$753/P$754*0.5)</f>
        <v>0</v>
      </c>
      <c r="Q762" s="60">
        <f>IF($P$753=0,0,IF(-5+Q$752-$H$1371&lt;=$P$754,$P$753/$P$754,IF(-5+Q$752-$H$1371=$P$754+1,$P$753/$P$754*0.5,0)))</f>
        <v>0</v>
      </c>
      <c r="R762" s="60">
        <f>IF($P$753=0,0,IF(-5+R$752-$H$1371&lt;=$P$754,$P$753/$P$754,IF(-5+R$752-$H$1371=$P$754+1,$P$753/$P$754*0.5,0)))</f>
        <v>0</v>
      </c>
      <c r="S762" s="60">
        <f>IF($P$753=0,0,IF(-5+S$752-$H$1371&lt;=$P$754,$P$753/$P$754,IF(-5+S$752-$H$1371=$P$754+1,$P$753/$P$754*0.5,0)))</f>
        <v>0</v>
      </c>
      <c r="T762" s="435"/>
    </row>
    <row r="763" spans="1:20" x14ac:dyDescent="0.25">
      <c r="A763" s="302"/>
      <c r="C763" s="294"/>
      <c r="D763" s="40"/>
      <c r="E763" s="41"/>
      <c r="F763" s="41"/>
      <c r="G763" s="41"/>
      <c r="H763" s="41"/>
      <c r="I763" s="41"/>
      <c r="J763" s="60"/>
      <c r="K763" s="60"/>
      <c r="L763" s="60"/>
      <c r="M763" s="60"/>
      <c r="N763" s="60"/>
      <c r="O763" s="60"/>
      <c r="P763" s="60"/>
      <c r="Q763" s="60">
        <f>IF(Q$753=0,0,Q$753/Q$754*0.5)</f>
        <v>0</v>
      </c>
      <c r="R763" s="60">
        <f>IF($Q$753=0,0,IF(-6+R$752-$H$1371&lt;=$Q$754,$Q$753/Q$754,IF(-6+R$752-$H$1371=$Q$754+1,$Q$753/$Q$754*0.5,0)))</f>
        <v>0</v>
      </c>
      <c r="S763" s="60">
        <f>IF($Q$753=0,0,IF(-6+S$752-$H$1371&lt;=$Q$754,$Q$753/R$754,IF(-6+S$752-$H$1371=$Q$754+1,$Q$753/$Q$754*0.5,0)))</f>
        <v>0</v>
      </c>
      <c r="T763" s="435"/>
    </row>
    <row r="764" spans="1:20" x14ac:dyDescent="0.25">
      <c r="A764" s="302"/>
      <c r="C764" s="294"/>
      <c r="D764" s="40"/>
      <c r="E764" s="41"/>
      <c r="F764" s="41"/>
      <c r="G764" s="41"/>
      <c r="H764" s="41"/>
      <c r="I764" s="41"/>
      <c r="J764" s="60"/>
      <c r="K764" s="60"/>
      <c r="L764" s="60"/>
      <c r="M764" s="60"/>
      <c r="N764" s="60"/>
      <c r="O764" s="60"/>
      <c r="P764" s="60"/>
      <c r="Q764" s="60"/>
      <c r="R764" s="60">
        <f>IF(R$753=0,0,R$753/R$754*0.5)</f>
        <v>0</v>
      </c>
      <c r="S764" s="60">
        <f>IF($R$753=0,0,IF(-7+S$752-$H$1371&lt;=$R$754,$R$753/$R$754,IF(-7+S$752-$H$1371=$R$754+1,$R$753/$R$754*0.5,0)))</f>
        <v>0</v>
      </c>
      <c r="T764" s="435"/>
    </row>
    <row r="765" spans="1:20" x14ac:dyDescent="0.25">
      <c r="A765" s="302"/>
      <c r="C765" s="294"/>
      <c r="D765" s="40"/>
      <c r="E765" s="41"/>
      <c r="F765" s="41"/>
      <c r="G765" s="41"/>
      <c r="H765" s="41"/>
      <c r="I765" s="41"/>
      <c r="J765" s="60"/>
      <c r="K765" s="60"/>
      <c r="L765" s="60"/>
      <c r="M765" s="60"/>
      <c r="N765" s="60"/>
      <c r="O765" s="60"/>
      <c r="P765" s="60"/>
      <c r="Q765" s="60"/>
      <c r="R765" s="60"/>
      <c r="S765" s="60">
        <f>IF(S$753=0,0,S$753/S$754*0.5)</f>
        <v>0</v>
      </c>
      <c r="T765" s="435"/>
    </row>
    <row r="766" spans="1:20" x14ac:dyDescent="0.25">
      <c r="A766" s="302"/>
      <c r="C766" s="294"/>
      <c r="D766" s="40"/>
      <c r="E766" s="41"/>
      <c r="F766" s="41"/>
      <c r="G766" s="41"/>
      <c r="H766" s="41"/>
      <c r="I766" s="41"/>
      <c r="J766" s="542" t="s">
        <v>66</v>
      </c>
      <c r="K766" s="542" t="s">
        <v>66</v>
      </c>
      <c r="L766" s="542" t="s">
        <v>66</v>
      </c>
      <c r="M766" s="542" t="s">
        <v>66</v>
      </c>
      <c r="N766" s="542" t="s">
        <v>66</v>
      </c>
      <c r="O766" s="542" t="s">
        <v>66</v>
      </c>
      <c r="P766" s="542" t="s">
        <v>66</v>
      </c>
      <c r="Q766" s="542" t="s">
        <v>66</v>
      </c>
      <c r="R766" s="542" t="s">
        <v>66</v>
      </c>
      <c r="S766" s="542" t="s">
        <v>66</v>
      </c>
      <c r="T766" s="294"/>
    </row>
    <row r="767" spans="1:20" x14ac:dyDescent="0.25">
      <c r="A767" s="302"/>
      <c r="C767" s="294"/>
      <c r="D767" s="232"/>
      <c r="E767" s="18"/>
      <c r="F767" s="18"/>
      <c r="G767" s="18"/>
      <c r="H767" s="671" t="s">
        <v>341</v>
      </c>
      <c r="I767" s="18"/>
      <c r="J767" s="228">
        <f t="shared" ref="J767:S767" si="352">SUM(J756:J765)</f>
        <v>0</v>
      </c>
      <c r="K767" s="228">
        <f t="shared" si="352"/>
        <v>0</v>
      </c>
      <c r="L767" s="228">
        <f t="shared" si="352"/>
        <v>0</v>
      </c>
      <c r="M767" s="228">
        <f t="shared" si="352"/>
        <v>0</v>
      </c>
      <c r="N767" s="228">
        <f t="shared" si="352"/>
        <v>0</v>
      </c>
      <c r="O767" s="228">
        <f t="shared" si="352"/>
        <v>0</v>
      </c>
      <c r="P767" s="228">
        <f t="shared" si="352"/>
        <v>0</v>
      </c>
      <c r="Q767" s="228">
        <f t="shared" si="352"/>
        <v>0</v>
      </c>
      <c r="R767" s="228">
        <f t="shared" si="352"/>
        <v>0</v>
      </c>
      <c r="S767" s="228">
        <f t="shared" si="352"/>
        <v>0</v>
      </c>
      <c r="T767" s="294"/>
    </row>
    <row r="768" spans="1:20" x14ac:dyDescent="0.25">
      <c r="A768" s="302"/>
      <c r="C768" s="294"/>
      <c r="J768" s="154"/>
      <c r="K768" s="154"/>
      <c r="L768" s="154"/>
      <c r="M768" s="154"/>
      <c r="N768" s="154"/>
      <c r="O768" s="154"/>
      <c r="P768" s="154"/>
      <c r="Q768" s="154"/>
      <c r="R768" s="154"/>
      <c r="S768" s="154"/>
      <c r="T768" s="294"/>
    </row>
    <row r="769" spans="1:20" x14ac:dyDescent="0.25">
      <c r="A769" s="302"/>
      <c r="C769" s="294"/>
      <c r="D769" s="676" t="s">
        <v>346</v>
      </c>
      <c r="E769" s="39"/>
      <c r="F769" s="39"/>
      <c r="G769" s="39"/>
      <c r="H769" s="39"/>
      <c r="I769" s="39"/>
      <c r="J769" s="223" t="str">
        <f>"For the Fiscal Year Ending "&amp;H1372</f>
        <v>For the Fiscal Year Ending December 31,</v>
      </c>
      <c r="K769" s="224"/>
      <c r="L769" s="224"/>
      <c r="M769" s="224"/>
      <c r="N769" s="224"/>
      <c r="O769" s="224"/>
      <c r="P769" s="224"/>
      <c r="Q769" s="224"/>
      <c r="R769" s="224"/>
      <c r="S769" s="224"/>
      <c r="T769" s="294"/>
    </row>
    <row r="770" spans="1:20" x14ac:dyDescent="0.25">
      <c r="A770" s="302"/>
      <c r="C770" s="294"/>
      <c r="D770" s="40"/>
      <c r="E770" s="41"/>
      <c r="F770" s="41"/>
      <c r="G770" s="41"/>
      <c r="H770" s="41"/>
      <c r="I770" s="41"/>
      <c r="J770" s="221">
        <f>$H$1371</f>
        <v>1998</v>
      </c>
      <c r="K770" s="222">
        <f t="shared" ref="K770:S770" si="353">J770+1</f>
        <v>1999</v>
      </c>
      <c r="L770" s="222">
        <f t="shared" si="353"/>
        <v>2000</v>
      </c>
      <c r="M770" s="222">
        <f t="shared" si="353"/>
        <v>2001</v>
      </c>
      <c r="N770" s="222">
        <f t="shared" si="353"/>
        <v>2002</v>
      </c>
      <c r="O770" s="222">
        <f t="shared" si="353"/>
        <v>2003</v>
      </c>
      <c r="P770" s="222">
        <f t="shared" si="353"/>
        <v>2004</v>
      </c>
      <c r="Q770" s="222">
        <f t="shared" si="353"/>
        <v>2005</v>
      </c>
      <c r="R770" s="222">
        <f t="shared" si="353"/>
        <v>2006</v>
      </c>
      <c r="S770" s="222">
        <f t="shared" si="353"/>
        <v>2007</v>
      </c>
      <c r="T770" s="294"/>
    </row>
    <row r="771" spans="1:20" x14ac:dyDescent="0.25">
      <c r="A771" s="302"/>
      <c r="C771" s="294"/>
      <c r="D771" s="40"/>
      <c r="E771" s="41"/>
      <c r="F771" s="41"/>
      <c r="G771" s="41"/>
      <c r="H771" s="41"/>
      <c r="I771" s="41"/>
      <c r="J771" s="250"/>
      <c r="K771" s="250"/>
      <c r="L771" s="250"/>
      <c r="M771" s="250"/>
      <c r="N771" s="250"/>
      <c r="O771" s="250"/>
      <c r="P771" s="250"/>
      <c r="Q771" s="250"/>
      <c r="R771" s="250"/>
      <c r="S771" s="250"/>
      <c r="T771" s="294"/>
    </row>
    <row r="772" spans="1:20" x14ac:dyDescent="0.25">
      <c r="A772" s="302"/>
      <c r="C772" s="294"/>
      <c r="D772" s="40"/>
      <c r="E772" s="41"/>
      <c r="F772" s="41"/>
      <c r="G772" s="41"/>
      <c r="H772" s="41" t="str">
        <f>H683</f>
        <v>5.0 Year Assets:.................................................................</v>
      </c>
      <c r="I772" s="41"/>
      <c r="J772" s="262">
        <f t="shared" ref="J772:S772" si="354">J702</f>
        <v>0.75</v>
      </c>
      <c r="K772" s="262">
        <f t="shared" si="354"/>
        <v>2.25</v>
      </c>
      <c r="L772" s="262">
        <f t="shared" si="354"/>
        <v>3.75</v>
      </c>
      <c r="M772" s="262">
        <f t="shared" si="354"/>
        <v>5.25</v>
      </c>
      <c r="N772" s="262">
        <f t="shared" si="354"/>
        <v>6.75</v>
      </c>
      <c r="O772" s="262">
        <f t="shared" si="354"/>
        <v>7.5</v>
      </c>
      <c r="P772" s="262">
        <f t="shared" si="354"/>
        <v>7.5</v>
      </c>
      <c r="Q772" s="262">
        <f t="shared" si="354"/>
        <v>7.5</v>
      </c>
      <c r="R772" s="262">
        <f t="shared" si="354"/>
        <v>7.5</v>
      </c>
      <c r="S772" s="262">
        <f t="shared" si="354"/>
        <v>7.5</v>
      </c>
      <c r="T772" s="294"/>
    </row>
    <row r="773" spans="1:20" x14ac:dyDescent="0.25">
      <c r="A773" s="302"/>
      <c r="C773" s="294"/>
      <c r="D773" s="40"/>
      <c r="E773" s="41"/>
      <c r="F773" s="41"/>
      <c r="G773" s="41"/>
      <c r="H773" s="41" t="str">
        <f>H684</f>
        <v>7.0 Year Assets:.....................................................................................</v>
      </c>
      <c r="I773" s="41"/>
      <c r="J773" s="261">
        <f t="shared" ref="J773:S773" si="355">J717</f>
        <v>0.5357142857142857</v>
      </c>
      <c r="K773" s="261">
        <f t="shared" si="355"/>
        <v>1.6071428571428572</v>
      </c>
      <c r="L773" s="261">
        <f t="shared" si="355"/>
        <v>2.6785714285714284</v>
      </c>
      <c r="M773" s="261">
        <f t="shared" si="355"/>
        <v>3.75</v>
      </c>
      <c r="N773" s="261">
        <f t="shared" si="355"/>
        <v>4.8214285714285712</v>
      </c>
      <c r="O773" s="261">
        <f t="shared" si="355"/>
        <v>5.8928571428571423</v>
      </c>
      <c r="P773" s="261">
        <f t="shared" si="355"/>
        <v>6.9642857142857135</v>
      </c>
      <c r="Q773" s="261">
        <f t="shared" si="355"/>
        <v>7.4999999999999991</v>
      </c>
      <c r="R773" s="261">
        <f t="shared" si="355"/>
        <v>7.4999999999999991</v>
      </c>
      <c r="S773" s="261">
        <f t="shared" si="355"/>
        <v>7.4999999999999991</v>
      </c>
      <c r="T773" s="294"/>
    </row>
    <row r="774" spans="1:20" x14ac:dyDescent="0.25">
      <c r="A774" s="302"/>
      <c r="C774" s="294"/>
      <c r="D774" s="40"/>
      <c r="E774" s="41"/>
      <c r="F774" s="41"/>
      <c r="G774" s="41"/>
      <c r="H774" s="41" t="str">
        <f>H685</f>
        <v>10.0 Year Assets:...............................................................</v>
      </c>
      <c r="I774" s="41"/>
      <c r="J774" s="261">
        <f t="shared" ref="J774:S774" si="356">J732</f>
        <v>0.375</v>
      </c>
      <c r="K774" s="261">
        <f t="shared" si="356"/>
        <v>1.125</v>
      </c>
      <c r="L774" s="261">
        <f t="shared" si="356"/>
        <v>1.875</v>
      </c>
      <c r="M774" s="261">
        <f t="shared" si="356"/>
        <v>2.625</v>
      </c>
      <c r="N774" s="261">
        <f t="shared" si="356"/>
        <v>3.375</v>
      </c>
      <c r="O774" s="261">
        <f t="shared" si="356"/>
        <v>4.125</v>
      </c>
      <c r="P774" s="261">
        <f t="shared" si="356"/>
        <v>4.875</v>
      </c>
      <c r="Q774" s="261">
        <f t="shared" si="356"/>
        <v>5.625</v>
      </c>
      <c r="R774" s="261">
        <f t="shared" si="356"/>
        <v>6.375</v>
      </c>
      <c r="S774" s="261">
        <f t="shared" si="356"/>
        <v>7.125</v>
      </c>
      <c r="T774" s="294"/>
    </row>
    <row r="775" spans="1:20" x14ac:dyDescent="0.25">
      <c r="A775" s="302"/>
      <c r="C775" s="294"/>
      <c r="D775" s="40"/>
      <c r="E775" s="41"/>
      <c r="F775" s="41"/>
      <c r="G775" s="41"/>
      <c r="H775" s="41" t="str">
        <f>H686</f>
        <v>31.5 Year Assets:.....................................................................</v>
      </c>
      <c r="I775" s="41"/>
      <c r="J775" s="261">
        <f t="shared" ref="J775:S775" si="357">J749</f>
        <v>0.11904761904761904</v>
      </c>
      <c r="K775" s="261">
        <f t="shared" si="357"/>
        <v>0.3571428571428571</v>
      </c>
      <c r="L775" s="261">
        <f t="shared" si="357"/>
        <v>0.59523809523809523</v>
      </c>
      <c r="M775" s="261">
        <f t="shared" si="357"/>
        <v>0.83333333333333326</v>
      </c>
      <c r="N775" s="261">
        <f t="shared" si="357"/>
        <v>1.0714285714285714</v>
      </c>
      <c r="O775" s="261">
        <f t="shared" si="357"/>
        <v>1.3095238095238095</v>
      </c>
      <c r="P775" s="261">
        <f t="shared" si="357"/>
        <v>1.5476190476190477</v>
      </c>
      <c r="Q775" s="261">
        <f t="shared" si="357"/>
        <v>1.7857142857142858</v>
      </c>
      <c r="R775" s="261">
        <f t="shared" si="357"/>
        <v>2.0238095238095237</v>
      </c>
      <c r="S775" s="261">
        <f t="shared" si="357"/>
        <v>2.2619047619047619</v>
      </c>
      <c r="T775" s="294"/>
    </row>
    <row r="776" spans="1:20" x14ac:dyDescent="0.25">
      <c r="A776" s="302"/>
      <c r="C776" s="294"/>
      <c r="D776" s="40"/>
      <c r="E776" s="41"/>
      <c r="F776" s="41"/>
      <c r="G776" s="41"/>
      <c r="H776" s="640" t="s">
        <v>347</v>
      </c>
      <c r="I776" s="41"/>
      <c r="J776" s="261">
        <f t="shared" ref="J776:S776" si="358">J767</f>
        <v>0</v>
      </c>
      <c r="K776" s="261">
        <f t="shared" si="358"/>
        <v>0</v>
      </c>
      <c r="L776" s="261">
        <f t="shared" si="358"/>
        <v>0</v>
      </c>
      <c r="M776" s="261">
        <f t="shared" si="358"/>
        <v>0</v>
      </c>
      <c r="N776" s="261">
        <f t="shared" si="358"/>
        <v>0</v>
      </c>
      <c r="O776" s="261">
        <f t="shared" si="358"/>
        <v>0</v>
      </c>
      <c r="P776" s="261">
        <f t="shared" si="358"/>
        <v>0</v>
      </c>
      <c r="Q776" s="261">
        <f t="shared" si="358"/>
        <v>0</v>
      </c>
      <c r="R776" s="261">
        <f t="shared" si="358"/>
        <v>0</v>
      </c>
      <c r="S776" s="261">
        <f t="shared" si="358"/>
        <v>0</v>
      </c>
      <c r="T776" s="294"/>
    </row>
    <row r="777" spans="1:20" x14ac:dyDescent="0.25">
      <c r="A777" s="302"/>
      <c r="C777" s="294"/>
      <c r="D777" s="40"/>
      <c r="E777" s="41"/>
      <c r="F777" s="41"/>
      <c r="G777" s="41"/>
      <c r="H777" s="41"/>
      <c r="I777" s="41"/>
      <c r="J777" s="542" t="s">
        <v>66</v>
      </c>
      <c r="K777" s="542" t="s">
        <v>66</v>
      </c>
      <c r="L777" s="542" t="s">
        <v>66</v>
      </c>
      <c r="M777" s="542" t="s">
        <v>66</v>
      </c>
      <c r="N777" s="542" t="s">
        <v>66</v>
      </c>
      <c r="O777" s="542" t="s">
        <v>66</v>
      </c>
      <c r="P777" s="542" t="s">
        <v>66</v>
      </c>
      <c r="Q777" s="542" t="s">
        <v>66</v>
      </c>
      <c r="R777" s="542" t="s">
        <v>66</v>
      </c>
      <c r="S777" s="542" t="s">
        <v>66</v>
      </c>
      <c r="T777" s="294"/>
    </row>
    <row r="778" spans="1:20" x14ac:dyDescent="0.25">
      <c r="A778" s="302"/>
      <c r="C778" s="294"/>
      <c r="D778" s="246"/>
      <c r="E778" s="41"/>
      <c r="F778" s="41"/>
      <c r="G778" s="41"/>
      <c r="H778" s="670" t="s">
        <v>348</v>
      </c>
      <c r="I778" s="41"/>
      <c r="J778" s="245">
        <f t="shared" ref="J778:S778" si="359">SUM(J772:J777)</f>
        <v>1.7797619047619047</v>
      </c>
      <c r="K778" s="245">
        <f t="shared" si="359"/>
        <v>5.3392857142857144</v>
      </c>
      <c r="L778" s="245">
        <f t="shared" si="359"/>
        <v>8.8988095238095237</v>
      </c>
      <c r="M778" s="245">
        <f t="shared" si="359"/>
        <v>12.458333333333334</v>
      </c>
      <c r="N778" s="245">
        <f t="shared" si="359"/>
        <v>16.017857142857142</v>
      </c>
      <c r="O778" s="245">
        <f t="shared" si="359"/>
        <v>18.827380952380953</v>
      </c>
      <c r="P778" s="245">
        <f t="shared" si="359"/>
        <v>20.886904761904763</v>
      </c>
      <c r="Q778" s="245">
        <f t="shared" si="359"/>
        <v>22.410714285714285</v>
      </c>
      <c r="R778" s="245">
        <f t="shared" si="359"/>
        <v>23.398809523809526</v>
      </c>
      <c r="S778" s="245">
        <f t="shared" si="359"/>
        <v>24.386904761904763</v>
      </c>
      <c r="T778" s="294"/>
    </row>
    <row r="779" spans="1:20" x14ac:dyDescent="0.25">
      <c r="A779" s="302"/>
      <c r="C779" s="294"/>
      <c r="D779" s="40"/>
      <c r="E779" s="41"/>
      <c r="F779" s="41"/>
      <c r="G779" s="41"/>
      <c r="H779" s="41"/>
      <c r="I779" s="41"/>
      <c r="J779" s="41"/>
      <c r="K779" s="41"/>
      <c r="L779" s="41"/>
      <c r="M779" s="41"/>
      <c r="N779" s="41"/>
      <c r="P779" s="41"/>
      <c r="Q779" s="41"/>
      <c r="R779" s="41"/>
      <c r="S779" s="41"/>
      <c r="T779" s="294"/>
    </row>
    <row r="780" spans="1:20" x14ac:dyDescent="0.25">
      <c r="A780" s="302"/>
      <c r="C780" s="294"/>
      <c r="D780" s="247"/>
      <c r="E780" s="41"/>
      <c r="F780" s="41"/>
      <c r="G780" s="41"/>
      <c r="H780" s="670" t="s">
        <v>349</v>
      </c>
      <c r="I780" s="41"/>
      <c r="J780" s="850">
        <f>IF($I$194-(($E$1535*$E$1540*J1540)+($E$1535*$E$1541*J1541)+($E$1535*$E$1542*J1542)+($E$1535*$E$1543*J1543))&lt;0,$I$194,($E$1535*$E$1540*J1540)+($E$1535*$E$1541*J1541)+($E$1535*$E$1542*J1542)+($E$1535*$E$1543*J1543))</f>
        <v>29.662698412698415</v>
      </c>
      <c r="K780" s="850">
        <f>IF($I$194-SUM($J$780:J780)-(($E$1535*$E$1540*K1540)+($E$1535*$E$1541*K1541)+($E$1535*$E$1542*K1542)+($E$1535*$E$1543*K1543))&lt;0,$I$194-SUM($J$780:J780),($E$1535*$E$1540*K1540)+($E$1535*$E$1541*K1541)+($E$1535*$E$1542*K1542)+($E$1535*$E$1543*K1543))</f>
        <v>29.662698412698415</v>
      </c>
      <c r="L780" s="850">
        <f>IF($I$194-SUM($J$780:K780)-(($E$1535*$E$1540*L1540)+($E$1535*$E$1541*L1541)+($E$1535*$E$1542*L1542)+($E$1535*$E$1543*L1543))&lt;0,$I$194-SUM($J$780:K780),($E$1535*$E$1540*L1540)+($E$1535*$E$1541*L1541)+($E$1535*$E$1542*L1542)+($E$1535*$E$1543*L1543))</f>
        <v>29.662698412698415</v>
      </c>
      <c r="M780" s="850">
        <f>IF($I$194-SUM($J$780:L780)-(($E$1535*$E$1540*M1540)+($E$1535*$E$1541*M1541)+($E$1535*$E$1542*M1542)+($E$1535*$E$1543*M1543))&lt;0,$I$194-SUM($J$780:L780),($E$1535*$E$1540*M1540)+($E$1535*$E$1541*M1541)+($E$1535*$E$1542*M1542)+($E$1535*$E$1543*M1543))</f>
        <v>29.662698412698415</v>
      </c>
      <c r="N780" s="850">
        <f>IF($I$194-SUM($J$780:M780)-(($E$1535*$E$1540*N1540)+($E$1535*$E$1541*N1541)+($E$1535*$E$1542*N1542)+($E$1535*$E$1543*N1543))&lt;0,$I$194-SUM($J$780:M780),($E$1535*$E$1540*N1540)+($E$1535*$E$1541*N1541)+($E$1535*$E$1542*N1542)+($E$1535*$E$1543*N1543))</f>
        <v>29.662698412698415</v>
      </c>
      <c r="O780" s="850">
        <f>IF($I$194-SUM($J$780:N780)-(($E$1535*$E$1540*O1540)+($E$1535*$E$1541*O1541)+($E$1535*$E$1542*O1542)+($E$1535*$E$1543*O1543))&lt;0,$I$194-SUM($J$780:N780),($E$1535*$E$1540*O1540)+($E$1535*$E$1541*O1541)+($E$1535*$E$1542*O1542)+($E$1535*$E$1543*O1543))</f>
        <v>17.162698412698411</v>
      </c>
      <c r="P780" s="850">
        <f>IF($I$194-SUM($J$780:O780)-(($E$1535*$E$1540*P1540)+($E$1535*$E$1541*P1541)+($E$1535*$E$1542*P1542)+($E$1535*$E$1543*P1543))&lt;0,$I$194-SUM($J$780:O780),($E$1535*$E$1540*P1540)+($E$1535*$E$1541*P1541)+($E$1535*$E$1542*P1542)+($E$1535*$E$1543*P1543))</f>
        <v>9.5238095238095184</v>
      </c>
      <c r="Q780" s="850">
        <f>IF($I$194-SUM($J$780:P780)-(($E$1535*$E$1540*Q1540)+($E$1535*$E$1541*Q1541)+($E$1535*$E$1542*Q1542)+($E$1535*$E$1543*Q1543))&lt;0,$I$194-SUM($J$780:P780),($E$1535*$E$1540*Q1540)+($E$1535*$E$1541*Q1541)+($E$1535*$E$1542*Q1542)+($E$1535*$E$1543*Q1543))</f>
        <v>0</v>
      </c>
      <c r="R780" s="850">
        <f>IF($I$194-SUM($J$780:Q780)-(($E$1535*$E$1540*R1540)+($E$1535*$E$1541*R1541)+($E$1535*$E$1542*R1542)+($E$1535*$E$1543*R1543))&lt;0,$I$194-SUM($J$780:Q780),($E$1535*$E$1540*R1540)+($E$1535*$E$1541*R1541)+($E$1535*$E$1542*R1542)+($E$1535*$E$1543*R1543))</f>
        <v>0</v>
      </c>
      <c r="S780" s="850">
        <f>IF($I$194-SUM($J$780:R780)-(($E$1535*$E$1540*S1540)+($E$1535*$E$1541*S1541)+($E$1535*$E$1542*S1542)+($E$1535*$E$1543*S1543))&lt;0,$I$194-SUM($J$780:R780),($E$1535*$E$1540*S1540)+($E$1535*$E$1541*S1541)+($E$1535*$E$1542*S1542)+($E$1535*$E$1543*S1543))</f>
        <v>0</v>
      </c>
      <c r="T780" s="294"/>
    </row>
    <row r="781" spans="1:20" ht="7.5" customHeight="1" x14ac:dyDescent="0.25">
      <c r="A781" s="302"/>
      <c r="C781" s="294"/>
      <c r="D781" s="40"/>
      <c r="E781" s="41"/>
      <c r="F781" s="41"/>
      <c r="G781" s="41"/>
      <c r="H781" s="41"/>
      <c r="I781" s="41"/>
      <c r="J781" s="677" t="s">
        <v>66</v>
      </c>
      <c r="K781" s="677" t="s">
        <v>66</v>
      </c>
      <c r="L781" s="677" t="s">
        <v>66</v>
      </c>
      <c r="M781" s="677" t="s">
        <v>66</v>
      </c>
      <c r="N781" s="677" t="s">
        <v>66</v>
      </c>
      <c r="O781" s="677" t="s">
        <v>66</v>
      </c>
      <c r="P781" s="677" t="s">
        <v>66</v>
      </c>
      <c r="Q781" s="677" t="s">
        <v>66</v>
      </c>
      <c r="R781" s="677" t="s">
        <v>66</v>
      </c>
      <c r="S781" s="677" t="s">
        <v>66</v>
      </c>
      <c r="T781" s="294"/>
    </row>
    <row r="782" spans="1:20" x14ac:dyDescent="0.25">
      <c r="A782" s="302"/>
      <c r="C782" s="294"/>
      <c r="D782" s="40"/>
      <c r="E782" s="41"/>
      <c r="F782" s="41"/>
      <c r="G782" s="41"/>
      <c r="H782" s="41"/>
      <c r="I782" s="41"/>
      <c r="J782" s="41"/>
      <c r="K782" s="41"/>
      <c r="L782" s="41"/>
      <c r="M782" s="41"/>
      <c r="N782" s="41"/>
      <c r="P782" s="41"/>
      <c r="Q782" s="41"/>
      <c r="R782" s="41"/>
      <c r="S782" s="41"/>
      <c r="T782" s="294"/>
    </row>
    <row r="783" spans="1:20" x14ac:dyDescent="0.25">
      <c r="A783" s="302"/>
      <c r="C783" s="294"/>
      <c r="D783" s="248"/>
      <c r="E783" s="18"/>
      <c r="F783" s="18"/>
      <c r="G783" s="18"/>
      <c r="H783" s="671" t="s">
        <v>350</v>
      </c>
      <c r="I783" s="18"/>
      <c r="J783" s="249">
        <f t="shared" ref="J783:S783" si="360">IF($G1391=0,J780+J778,J1391)</f>
        <v>25</v>
      </c>
      <c r="K783" s="249">
        <f t="shared" si="360"/>
        <v>25</v>
      </c>
      <c r="L783" s="249">
        <f t="shared" si="360"/>
        <v>25</v>
      </c>
      <c r="M783" s="249">
        <f t="shared" si="360"/>
        <v>25</v>
      </c>
      <c r="N783" s="249">
        <f t="shared" si="360"/>
        <v>25</v>
      </c>
      <c r="O783" s="249">
        <f t="shared" si="360"/>
        <v>25</v>
      </c>
      <c r="P783" s="249">
        <f t="shared" si="360"/>
        <v>25</v>
      </c>
      <c r="Q783" s="249">
        <f t="shared" si="360"/>
        <v>25</v>
      </c>
      <c r="R783" s="249">
        <f t="shared" si="360"/>
        <v>25</v>
      </c>
      <c r="S783" s="249">
        <f t="shared" si="360"/>
        <v>25</v>
      </c>
      <c r="T783" s="294"/>
    </row>
    <row r="784" spans="1:20" ht="15.6" x14ac:dyDescent="0.3">
      <c r="A784" s="302"/>
      <c r="C784" s="294"/>
      <c r="D784" s="678" t="s">
        <v>351</v>
      </c>
      <c r="E784" s="170"/>
      <c r="F784" s="170"/>
      <c r="G784" s="170"/>
      <c r="H784" s="170"/>
      <c r="I784" s="170"/>
      <c r="J784" s="170"/>
      <c r="K784" s="170"/>
      <c r="L784" s="170"/>
      <c r="M784" s="170"/>
      <c r="N784" s="170"/>
      <c r="O784" s="170"/>
      <c r="P784" s="170"/>
      <c r="Q784" s="170"/>
      <c r="R784" s="170"/>
      <c r="S784" s="213"/>
      <c r="T784" s="294"/>
    </row>
    <row r="785" spans="1:20" x14ac:dyDescent="0.25">
      <c r="A785" s="302"/>
      <c r="C785" s="294"/>
      <c r="D785" s="3"/>
      <c r="O785" s="1"/>
      <c r="S785" s="41"/>
      <c r="T785" s="294"/>
    </row>
    <row r="786" spans="1:20" x14ac:dyDescent="0.25">
      <c r="A786" s="302"/>
      <c r="C786" s="294"/>
      <c r="D786" s="3"/>
      <c r="H786" s="683" t="s">
        <v>352</v>
      </c>
      <c r="I786" s="188"/>
      <c r="J786" s="188"/>
      <c r="K786" s="188"/>
      <c r="L786" s="188"/>
      <c r="M786" s="188"/>
      <c r="N786" s="188"/>
      <c r="O786" s="190"/>
      <c r="P786" s="190"/>
      <c r="Q786" s="190"/>
      <c r="S786" s="41"/>
      <c r="T786" s="294"/>
    </row>
    <row r="787" spans="1:20" x14ac:dyDescent="0.25">
      <c r="A787" s="302"/>
      <c r="C787" s="294"/>
      <c r="G787" s="679" t="s">
        <v>339</v>
      </c>
      <c r="H787" s="679">
        <v>3</v>
      </c>
      <c r="I787" s="679">
        <v>5</v>
      </c>
      <c r="J787" s="679">
        <v>7</v>
      </c>
      <c r="K787" s="679">
        <v>10</v>
      </c>
      <c r="L787" s="679">
        <v>15</v>
      </c>
      <c r="M787" s="679">
        <v>20</v>
      </c>
      <c r="N787" s="680">
        <v>31.5</v>
      </c>
      <c r="O787" s="681" t="s">
        <v>353</v>
      </c>
      <c r="P787" s="681" t="s">
        <v>353</v>
      </c>
      <c r="Q787" s="681" t="s">
        <v>353</v>
      </c>
      <c r="S787" s="41"/>
      <c r="T787" s="294"/>
    </row>
    <row r="788" spans="1:20" x14ac:dyDescent="0.25">
      <c r="A788" s="302"/>
      <c r="B788" s="682" t="s">
        <v>354</v>
      </c>
      <c r="C788" s="417"/>
      <c r="D788" s="36" t="s">
        <v>101</v>
      </c>
      <c r="G788" s="685">
        <v>1</v>
      </c>
      <c r="H788" s="534">
        <v>0.33329999999999999</v>
      </c>
      <c r="I788" s="97">
        <v>0.22</v>
      </c>
      <c r="J788" s="97">
        <v>0.1429</v>
      </c>
      <c r="K788" s="535">
        <v>0.1</v>
      </c>
      <c r="L788" s="536">
        <v>0.05</v>
      </c>
      <c r="M788" s="534">
        <v>3.7499999999999999E-2</v>
      </c>
      <c r="N788" s="537">
        <f>0.5/31.5</f>
        <v>1.5873015873015872E-2</v>
      </c>
      <c r="O788" s="236"/>
      <c r="P788" s="236"/>
      <c r="Q788" s="236"/>
      <c r="S788" s="41"/>
      <c r="T788" s="294"/>
    </row>
    <row r="789" spans="1:20" x14ac:dyDescent="0.25">
      <c r="A789" s="302"/>
      <c r="B789" s="596" t="s">
        <v>355</v>
      </c>
      <c r="C789" s="327"/>
      <c r="D789" s="36" t="s">
        <v>101</v>
      </c>
      <c r="G789" s="685">
        <v>2</v>
      </c>
      <c r="H789" s="538">
        <v>0.44450000000000001</v>
      </c>
      <c r="I789" s="97">
        <v>0.32</v>
      </c>
      <c r="J789" s="97">
        <v>0.24490000000000001</v>
      </c>
      <c r="K789" s="535">
        <v>0.18</v>
      </c>
      <c r="L789" s="536">
        <v>9.5000000000000001E-2</v>
      </c>
      <c r="M789" s="534">
        <v>7.2190000000000004E-2</v>
      </c>
      <c r="N789" s="537">
        <f>1/31.5</f>
        <v>3.1746031746031744E-2</v>
      </c>
      <c r="O789" s="236"/>
      <c r="P789" s="236"/>
      <c r="Q789" s="236"/>
      <c r="S789" s="41"/>
      <c r="T789" s="294"/>
    </row>
    <row r="790" spans="1:20" x14ac:dyDescent="0.25">
      <c r="A790" s="302"/>
      <c r="B790" s="597" t="s">
        <v>356</v>
      </c>
      <c r="C790" s="327"/>
      <c r="D790" s="36" t="s">
        <v>101</v>
      </c>
      <c r="G790" s="686">
        <v>3</v>
      </c>
      <c r="H790" s="535">
        <v>0.14810000000000001</v>
      </c>
      <c r="I790" s="97">
        <v>0.192</v>
      </c>
      <c r="J790" s="97">
        <v>0.1749</v>
      </c>
      <c r="K790" s="535">
        <v>0.14399999999999999</v>
      </c>
      <c r="L790" s="536">
        <v>8.5500000000000007E-2</v>
      </c>
      <c r="M790" s="534">
        <v>6.6769999999999996E-2</v>
      </c>
      <c r="N790" s="537">
        <f t="shared" ref="N790:N797" si="361">N789</f>
        <v>3.1746031746031744E-2</v>
      </c>
      <c r="O790" s="236"/>
      <c r="P790" s="236"/>
      <c r="Q790" s="236"/>
      <c r="S790" s="41"/>
      <c r="T790" s="294"/>
    </row>
    <row r="791" spans="1:20" x14ac:dyDescent="0.25">
      <c r="A791" s="302"/>
      <c r="B791" s="596" t="s">
        <v>357</v>
      </c>
      <c r="C791" s="327"/>
      <c r="D791" s="36" t="s">
        <v>101</v>
      </c>
      <c r="G791" s="685">
        <v>4</v>
      </c>
      <c r="H791" s="535">
        <v>7.4099999999999999E-2</v>
      </c>
      <c r="I791" s="97">
        <v>0.1152</v>
      </c>
      <c r="J791" s="97">
        <v>0.1249</v>
      </c>
      <c r="K791" s="535">
        <v>0.1152</v>
      </c>
      <c r="L791" s="536">
        <v>7.6999999999999999E-2</v>
      </c>
      <c r="M791" s="534">
        <v>6.1769999999999999E-2</v>
      </c>
      <c r="N791" s="537">
        <f t="shared" si="361"/>
        <v>3.1746031746031744E-2</v>
      </c>
      <c r="O791" s="236"/>
      <c r="P791" s="236"/>
      <c r="Q791" s="236"/>
      <c r="S791" s="41"/>
      <c r="T791" s="294"/>
    </row>
    <row r="792" spans="1:20" x14ac:dyDescent="0.25">
      <c r="A792" s="302"/>
      <c r="B792" s="247" t="str">
        <f>"heading in row ("&amp;ROW(B787)&amp;") with the life in"</f>
        <v>heading in row (787) with the life in</v>
      </c>
      <c r="C792" s="327"/>
      <c r="D792" s="36" t="s">
        <v>101</v>
      </c>
      <c r="G792" s="687">
        <v>5</v>
      </c>
      <c r="H792" s="264"/>
      <c r="I792" s="97">
        <v>0.1152</v>
      </c>
      <c r="J792" s="97">
        <v>8.9300000000000004E-2</v>
      </c>
      <c r="K792" s="535">
        <v>9.2200000000000004E-2</v>
      </c>
      <c r="L792" s="536">
        <v>6.93E-2</v>
      </c>
      <c r="M792" s="534">
        <v>5.713E-2</v>
      </c>
      <c r="N792" s="537">
        <f t="shared" si="361"/>
        <v>3.1746031746031744E-2</v>
      </c>
      <c r="O792" s="236"/>
      <c r="P792" s="236"/>
      <c r="Q792" s="236"/>
      <c r="S792" s="41"/>
      <c r="T792" s="294"/>
    </row>
    <row r="793" spans="1:20" x14ac:dyDescent="0.25">
      <c r="A793" s="302"/>
      <c r="B793" s="596" t="s">
        <v>358</v>
      </c>
      <c r="C793" s="327"/>
      <c r="D793" s="36" t="s">
        <v>101</v>
      </c>
      <c r="G793" s="687">
        <v>6</v>
      </c>
      <c r="H793" s="264"/>
      <c r="I793" s="97">
        <v>5.7599999999999998E-2</v>
      </c>
      <c r="J793" s="97">
        <v>8.9200000000000002E-2</v>
      </c>
      <c r="K793" s="539">
        <v>7.3700000000000002E-2</v>
      </c>
      <c r="L793" s="536">
        <v>6.2300000000000001E-2</v>
      </c>
      <c r="M793" s="534">
        <v>5.2850000000000001E-2</v>
      </c>
      <c r="N793" s="537">
        <f t="shared" si="361"/>
        <v>3.1746031746031744E-2</v>
      </c>
      <c r="O793" s="236"/>
      <c r="P793" s="236"/>
      <c r="Q793" s="236"/>
      <c r="S793" s="41"/>
      <c r="T793" s="294"/>
    </row>
    <row r="794" spans="1:20" x14ac:dyDescent="0.25">
      <c r="A794" s="302"/>
      <c r="B794" s="839" t="s">
        <v>359</v>
      </c>
      <c r="C794" s="418"/>
      <c r="D794" s="36" t="s">
        <v>101</v>
      </c>
      <c r="G794" s="685">
        <v>7</v>
      </c>
      <c r="H794" s="539"/>
      <c r="I794" s="97"/>
      <c r="J794" s="97">
        <v>8.9300000000000004E-2</v>
      </c>
      <c r="K794" s="539">
        <v>6.5500000000000003E-2</v>
      </c>
      <c r="L794" s="536">
        <v>5.8999999999999997E-2</v>
      </c>
      <c r="M794" s="534">
        <v>4.888E-2</v>
      </c>
      <c r="N794" s="537">
        <f t="shared" si="361"/>
        <v>3.1746031746031744E-2</v>
      </c>
      <c r="O794" s="236"/>
      <c r="P794" s="236"/>
      <c r="Q794" s="236"/>
      <c r="S794" s="41"/>
      <c r="T794" s="294"/>
    </row>
    <row r="795" spans="1:20" x14ac:dyDescent="0.25">
      <c r="A795" s="302"/>
      <c r="C795" s="294"/>
      <c r="D795" s="3"/>
      <c r="G795" s="685">
        <v>8</v>
      </c>
      <c r="H795" s="539"/>
      <c r="I795" s="97"/>
      <c r="J795" s="97">
        <v>4.4600000000000001E-2</v>
      </c>
      <c r="K795" s="539">
        <v>6.5500000000000003E-2</v>
      </c>
      <c r="L795" s="536">
        <v>5.8999999999999997E-2</v>
      </c>
      <c r="M795" s="534">
        <v>4.5220000000000003E-2</v>
      </c>
      <c r="N795" s="537">
        <f t="shared" si="361"/>
        <v>3.1746031746031744E-2</v>
      </c>
      <c r="O795" s="236"/>
      <c r="P795" s="236"/>
      <c r="Q795" s="236"/>
      <c r="S795" s="41"/>
      <c r="T795" s="294"/>
    </row>
    <row r="796" spans="1:20" x14ac:dyDescent="0.25">
      <c r="A796" s="302"/>
      <c r="C796" s="294"/>
      <c r="G796" s="685">
        <v>9</v>
      </c>
      <c r="H796" s="539"/>
      <c r="I796" s="97"/>
      <c r="J796" s="97"/>
      <c r="K796" s="539">
        <v>6.5600000000000006E-2</v>
      </c>
      <c r="L796" s="536">
        <v>5.91E-2</v>
      </c>
      <c r="M796" s="534">
        <v>4.462E-2</v>
      </c>
      <c r="N796" s="537">
        <f t="shared" si="361"/>
        <v>3.1746031746031744E-2</v>
      </c>
      <c r="O796" s="236"/>
      <c r="P796" s="236"/>
      <c r="Q796" s="236"/>
      <c r="S796" s="41"/>
      <c r="T796" s="294"/>
    </row>
    <row r="797" spans="1:20" x14ac:dyDescent="0.25">
      <c r="A797" s="302"/>
      <c r="C797" s="294"/>
      <c r="G797" s="685">
        <v>10</v>
      </c>
      <c r="H797" s="539"/>
      <c r="I797" s="97"/>
      <c r="J797" s="97"/>
      <c r="K797" s="539">
        <v>6.5500000000000003E-2</v>
      </c>
      <c r="L797" s="536">
        <v>5.8999999999999997E-2</v>
      </c>
      <c r="M797" s="534">
        <v>4.4609999999999997E-2</v>
      </c>
      <c r="N797" s="537">
        <f t="shared" si="361"/>
        <v>3.1746031746031744E-2</v>
      </c>
      <c r="O797" s="236"/>
      <c r="P797" s="236"/>
      <c r="Q797" s="236"/>
      <c r="S797" s="41"/>
      <c r="T797" s="294"/>
    </row>
    <row r="798" spans="1:20" x14ac:dyDescent="0.25">
      <c r="A798" s="302"/>
      <c r="C798" s="294"/>
      <c r="F798" s="684" t="s">
        <v>360</v>
      </c>
      <c r="G798" s="688" t="s">
        <v>361</v>
      </c>
      <c r="H798" s="265"/>
      <c r="I798" s="265"/>
      <c r="J798" s="265"/>
      <c r="K798" s="265"/>
      <c r="L798" s="265"/>
      <c r="M798" s="265"/>
      <c r="N798" s="265"/>
      <c r="O798" s="1"/>
      <c r="S798" s="41"/>
      <c r="T798" s="294"/>
    </row>
    <row r="799" spans="1:20" x14ac:dyDescent="0.25">
      <c r="A799" s="302"/>
      <c r="C799" s="294"/>
      <c r="G799" s="688" t="s">
        <v>362</v>
      </c>
      <c r="H799" s="265"/>
      <c r="I799" s="266"/>
      <c r="J799" s="266"/>
      <c r="K799" s="265"/>
      <c r="L799" s="267"/>
      <c r="M799" s="268"/>
      <c r="N799" s="192"/>
      <c r="O799" s="1"/>
      <c r="S799" s="41"/>
      <c r="T799" s="294"/>
    </row>
    <row r="800" spans="1:20" x14ac:dyDescent="0.25">
      <c r="A800" s="302"/>
      <c r="C800" s="294"/>
      <c r="F800" s="689" t="s">
        <v>363</v>
      </c>
      <c r="G800" s="688" t="s">
        <v>364</v>
      </c>
      <c r="I800" s="32"/>
      <c r="J800" s="259"/>
      <c r="O800" s="1"/>
      <c r="S800" s="41"/>
      <c r="T800" s="294"/>
    </row>
    <row r="801" spans="1:20" x14ac:dyDescent="0.25">
      <c r="A801" s="302"/>
      <c r="C801" s="294"/>
      <c r="F801" s="270"/>
      <c r="G801" s="269"/>
      <c r="I801" s="32"/>
      <c r="J801" s="259"/>
      <c r="O801" s="1"/>
      <c r="S801" s="41"/>
      <c r="T801" s="294"/>
    </row>
    <row r="802" spans="1:20" x14ac:dyDescent="0.25">
      <c r="A802" s="302"/>
      <c r="C802" s="294"/>
      <c r="D802" s="271" t="str">
        <f>UPPER(FIXED(D1563,1)&amp;" Year Assets:")</f>
        <v>5.0 YEAR ASSETS:</v>
      </c>
      <c r="E802" s="39"/>
      <c r="F802" s="39"/>
      <c r="G802" s="39"/>
      <c r="H802" s="39"/>
      <c r="I802" s="39"/>
      <c r="J802" s="223" t="str">
        <f>"For the Fiscal Year Ending "&amp;H1372</f>
        <v>For the Fiscal Year Ending December 31,</v>
      </c>
      <c r="K802" s="224"/>
      <c r="L802" s="224"/>
      <c r="M802" s="224"/>
      <c r="N802" s="224"/>
      <c r="O802" s="224"/>
      <c r="P802" s="224"/>
      <c r="Q802" s="224"/>
      <c r="R802" s="224"/>
      <c r="S802" s="224"/>
      <c r="T802" s="294"/>
    </row>
    <row r="803" spans="1:20" x14ac:dyDescent="0.25">
      <c r="A803" s="302"/>
      <c r="C803" s="294"/>
      <c r="D803" s="40"/>
      <c r="E803" s="41"/>
      <c r="F803" s="41"/>
      <c r="G803" s="41"/>
      <c r="H803" s="41"/>
      <c r="I803" s="41"/>
      <c r="J803" s="221">
        <f>$H$1371</f>
        <v>1998</v>
      </c>
      <c r="K803" s="222">
        <f t="shared" ref="K803:S803" si="362">J803+1</f>
        <v>1999</v>
      </c>
      <c r="L803" s="222">
        <f t="shared" si="362"/>
        <v>2000</v>
      </c>
      <c r="M803" s="222">
        <f t="shared" si="362"/>
        <v>2001</v>
      </c>
      <c r="N803" s="222">
        <f t="shared" si="362"/>
        <v>2002</v>
      </c>
      <c r="O803" s="222">
        <f t="shared" si="362"/>
        <v>2003</v>
      </c>
      <c r="P803" s="222">
        <f t="shared" si="362"/>
        <v>2004</v>
      </c>
      <c r="Q803" s="222">
        <f t="shared" si="362"/>
        <v>2005</v>
      </c>
      <c r="R803" s="222">
        <f t="shared" si="362"/>
        <v>2006</v>
      </c>
      <c r="S803" s="222">
        <f t="shared" si="362"/>
        <v>2007</v>
      </c>
      <c r="T803" s="294"/>
    </row>
    <row r="804" spans="1:20" x14ac:dyDescent="0.25">
      <c r="A804" s="302"/>
      <c r="C804" s="294"/>
      <c r="D804" s="40"/>
      <c r="E804" s="41"/>
      <c r="F804" s="41"/>
      <c r="G804" s="41"/>
      <c r="H804" s="640" t="s">
        <v>365</v>
      </c>
      <c r="I804" s="41"/>
      <c r="J804" s="62">
        <f t="shared" ref="J804:S804" si="363">J$1536*J1571</f>
        <v>7.5</v>
      </c>
      <c r="K804" s="62">
        <f t="shared" si="363"/>
        <v>7.5</v>
      </c>
      <c r="L804" s="62">
        <f t="shared" si="363"/>
        <v>7.5</v>
      </c>
      <c r="M804" s="62">
        <f t="shared" si="363"/>
        <v>7.5</v>
      </c>
      <c r="N804" s="62">
        <f t="shared" si="363"/>
        <v>7.5</v>
      </c>
      <c r="O804" s="62">
        <f t="shared" si="363"/>
        <v>7.5</v>
      </c>
      <c r="P804" s="62">
        <f t="shared" si="363"/>
        <v>7.5</v>
      </c>
      <c r="Q804" s="62">
        <f t="shared" si="363"/>
        <v>7.5</v>
      </c>
      <c r="R804" s="62">
        <f t="shared" si="363"/>
        <v>7.5</v>
      </c>
      <c r="S804" s="62">
        <f t="shared" si="363"/>
        <v>7.5</v>
      </c>
      <c r="T804" s="294"/>
    </row>
    <row r="805" spans="1:20" x14ac:dyDescent="0.25">
      <c r="A805" s="302"/>
      <c r="C805" s="294"/>
      <c r="D805" s="40"/>
      <c r="E805" s="41"/>
      <c r="F805" s="41"/>
      <c r="G805" s="41"/>
      <c r="H805" s="41"/>
      <c r="I805" s="41"/>
      <c r="J805" s="62"/>
      <c r="K805" s="62"/>
      <c r="L805" s="62"/>
      <c r="M805" s="62"/>
      <c r="N805" s="62"/>
      <c r="O805" s="62"/>
      <c r="P805" s="62"/>
      <c r="Q805" s="62"/>
      <c r="R805" s="62"/>
      <c r="S805" s="62"/>
      <c r="T805" s="294"/>
    </row>
    <row r="806" spans="1:20" x14ac:dyDescent="0.25">
      <c r="A806" s="302"/>
      <c r="C806" s="294"/>
      <c r="D806" s="40"/>
      <c r="E806" s="41"/>
      <c r="F806" s="41"/>
      <c r="G806" s="41"/>
      <c r="J806" s="41"/>
      <c r="K806" s="41"/>
      <c r="L806" s="41"/>
      <c r="M806" s="41"/>
      <c r="N806" s="41"/>
      <c r="P806" s="41"/>
      <c r="Q806" s="41"/>
      <c r="R806" s="41"/>
      <c r="S806" s="41"/>
      <c r="T806" s="294"/>
    </row>
    <row r="807" spans="1:20" x14ac:dyDescent="0.25">
      <c r="A807" s="302"/>
      <c r="C807" s="294"/>
      <c r="D807" s="40"/>
      <c r="E807" s="41"/>
      <c r="F807" s="41"/>
      <c r="G807" s="272"/>
      <c r="J807" s="60">
        <f t="shared" ref="J807:S807" si="364">$J$804*(HLOOKUP($D$1563,$G$787:$Q$797,J$1439-$J$1439+2))</f>
        <v>1.65</v>
      </c>
      <c r="K807" s="60">
        <f t="shared" si="364"/>
        <v>2.4</v>
      </c>
      <c r="L807" s="60">
        <f t="shared" si="364"/>
        <v>1.44</v>
      </c>
      <c r="M807" s="60">
        <f t="shared" si="364"/>
        <v>0.86399999999999999</v>
      </c>
      <c r="N807" s="60">
        <f t="shared" si="364"/>
        <v>0.86399999999999999</v>
      </c>
      <c r="O807" s="60">
        <f t="shared" si="364"/>
        <v>0.432</v>
      </c>
      <c r="P807" s="60">
        <f t="shared" si="364"/>
        <v>0</v>
      </c>
      <c r="Q807" s="60">
        <f t="shared" si="364"/>
        <v>0</v>
      </c>
      <c r="R807" s="60">
        <f t="shared" si="364"/>
        <v>0</v>
      </c>
      <c r="S807" s="60">
        <f t="shared" si="364"/>
        <v>0</v>
      </c>
      <c r="T807" s="294"/>
    </row>
    <row r="808" spans="1:20" x14ac:dyDescent="0.25">
      <c r="A808" s="302"/>
      <c r="C808" s="294"/>
      <c r="D808" s="40"/>
      <c r="E808" s="41"/>
      <c r="F808" s="41"/>
      <c r="G808" s="272"/>
      <c r="J808" s="60"/>
      <c r="K808" s="60">
        <f t="shared" ref="K808:S808" si="365">$K$804*(HLOOKUP($D$1563,$G$787:$Q$797,K$1439-$K$1439+2))</f>
        <v>1.65</v>
      </c>
      <c r="L808" s="60">
        <f t="shared" si="365"/>
        <v>2.4</v>
      </c>
      <c r="M808" s="60">
        <f t="shared" si="365"/>
        <v>1.44</v>
      </c>
      <c r="N808" s="60">
        <f t="shared" si="365"/>
        <v>0.86399999999999999</v>
      </c>
      <c r="O808" s="60">
        <f t="shared" si="365"/>
        <v>0.86399999999999999</v>
      </c>
      <c r="P808" s="60">
        <f t="shared" si="365"/>
        <v>0.432</v>
      </c>
      <c r="Q808" s="60">
        <f t="shared" si="365"/>
        <v>0</v>
      </c>
      <c r="R808" s="60">
        <f t="shared" si="365"/>
        <v>0</v>
      </c>
      <c r="S808" s="60">
        <f t="shared" si="365"/>
        <v>0</v>
      </c>
      <c r="T808" s="294"/>
    </row>
    <row r="809" spans="1:20" x14ac:dyDescent="0.25">
      <c r="A809" s="302"/>
      <c r="C809" s="294"/>
      <c r="D809" s="40"/>
      <c r="E809" s="41"/>
      <c r="F809" s="41"/>
      <c r="G809" s="273"/>
      <c r="J809" s="60"/>
      <c r="K809" s="60"/>
      <c r="L809" s="60">
        <f t="shared" ref="L809:S809" si="366">$L$804*(HLOOKUP($D$1563,$G$787:$Q$797,L$1439-$L$1439+2))</f>
        <v>1.65</v>
      </c>
      <c r="M809" s="60">
        <f t="shared" si="366"/>
        <v>2.4</v>
      </c>
      <c r="N809" s="60">
        <f t="shared" si="366"/>
        <v>1.44</v>
      </c>
      <c r="O809" s="60">
        <f t="shared" si="366"/>
        <v>0.86399999999999999</v>
      </c>
      <c r="P809" s="60">
        <f t="shared" si="366"/>
        <v>0.86399999999999999</v>
      </c>
      <c r="Q809" s="60">
        <f t="shared" si="366"/>
        <v>0.432</v>
      </c>
      <c r="R809" s="60">
        <f t="shared" si="366"/>
        <v>0</v>
      </c>
      <c r="S809" s="60">
        <f t="shared" si="366"/>
        <v>0</v>
      </c>
      <c r="T809" s="435"/>
    </row>
    <row r="810" spans="1:20" x14ac:dyDescent="0.25">
      <c r="A810" s="302"/>
      <c r="C810" s="294"/>
      <c r="D810" s="40"/>
      <c r="E810" s="41"/>
      <c r="F810" s="41"/>
      <c r="G810" s="272"/>
      <c r="J810" s="60"/>
      <c r="K810" s="60"/>
      <c r="L810" s="60"/>
      <c r="M810" s="60">
        <f t="shared" ref="M810:S810" si="367">$M$804*(HLOOKUP($D$1563,$G$787:$Q$797,M$1439-$M$1439+2))</f>
        <v>1.65</v>
      </c>
      <c r="N810" s="60">
        <f t="shared" si="367"/>
        <v>2.4</v>
      </c>
      <c r="O810" s="60">
        <f t="shared" si="367"/>
        <v>1.44</v>
      </c>
      <c r="P810" s="60">
        <f t="shared" si="367"/>
        <v>0.86399999999999999</v>
      </c>
      <c r="Q810" s="60">
        <f t="shared" si="367"/>
        <v>0.86399999999999999</v>
      </c>
      <c r="R810" s="60">
        <f t="shared" si="367"/>
        <v>0.432</v>
      </c>
      <c r="S810" s="60">
        <f t="shared" si="367"/>
        <v>0</v>
      </c>
      <c r="T810" s="435"/>
    </row>
    <row r="811" spans="1:20" x14ac:dyDescent="0.25">
      <c r="A811" s="302"/>
      <c r="C811" s="294"/>
      <c r="D811" s="40"/>
      <c r="E811" s="41"/>
      <c r="F811" s="41"/>
      <c r="G811" s="274"/>
      <c r="J811" s="60"/>
      <c r="K811" s="60"/>
      <c r="L811" s="60"/>
      <c r="M811" s="60"/>
      <c r="N811" s="60">
        <f t="shared" ref="N811:S811" si="368">$N$804*(HLOOKUP($D$1563,$G$787:$Q$797,N$1439-$N$1439+2))</f>
        <v>1.65</v>
      </c>
      <c r="O811" s="60">
        <f t="shared" si="368"/>
        <v>2.4</v>
      </c>
      <c r="P811" s="60">
        <f t="shared" si="368"/>
        <v>1.44</v>
      </c>
      <c r="Q811" s="60">
        <f t="shared" si="368"/>
        <v>0.86399999999999999</v>
      </c>
      <c r="R811" s="60">
        <f t="shared" si="368"/>
        <v>0.86399999999999999</v>
      </c>
      <c r="S811" s="60">
        <f t="shared" si="368"/>
        <v>0.432</v>
      </c>
      <c r="T811" s="435"/>
    </row>
    <row r="812" spans="1:20" x14ac:dyDescent="0.25">
      <c r="A812" s="302"/>
      <c r="C812" s="294"/>
      <c r="D812" s="40"/>
      <c r="E812" s="41"/>
      <c r="F812" s="41"/>
      <c r="G812" s="274"/>
      <c r="J812" s="60"/>
      <c r="K812" s="60"/>
      <c r="L812" s="60"/>
      <c r="M812" s="60"/>
      <c r="N812" s="60"/>
      <c r="O812" s="60">
        <f>$O$804*(HLOOKUP($D$1563,$G$787:$Q$797,O$1439-$O$1439+2))</f>
        <v>1.65</v>
      </c>
      <c r="P812" s="60">
        <f>$O$804*(HLOOKUP($D$1563,$G$787:$Q$797,P$1439-$O$1439+2))</f>
        <v>2.4</v>
      </c>
      <c r="Q812" s="60">
        <f>$O$804*(HLOOKUP($D$1563,$G$787:$Q$797,Q$1439-$O$1439+2))</f>
        <v>1.44</v>
      </c>
      <c r="R812" s="60">
        <f>$O$804*(HLOOKUP($D$1563,$G$787:$Q$797,R$1439-$O$1439+2))</f>
        <v>0.86399999999999999</v>
      </c>
      <c r="S812" s="60">
        <f>$O$804*(HLOOKUP($D$1563,$G$787:$Q$797,S$1439-$O$1439+2))</f>
        <v>0.86399999999999999</v>
      </c>
      <c r="T812" s="435"/>
    </row>
    <row r="813" spans="1:20" x14ac:dyDescent="0.25">
      <c r="A813" s="302"/>
      <c r="C813" s="294"/>
      <c r="D813" s="40"/>
      <c r="E813" s="41"/>
      <c r="F813" s="41"/>
      <c r="G813" s="272"/>
      <c r="J813" s="60"/>
      <c r="K813" s="60"/>
      <c r="L813" s="60"/>
      <c r="M813" s="60"/>
      <c r="N813" s="60"/>
      <c r="O813" s="60"/>
      <c r="P813" s="60">
        <f>$P$804*(HLOOKUP($D$1563,$G$787:$Q$797,P$1439-$P$1439+2))</f>
        <v>1.65</v>
      </c>
      <c r="Q813" s="60">
        <f>$P$804*(HLOOKUP($D$1563,$G$787:$Q$797,Q$1439-$P$1439+2))</f>
        <v>2.4</v>
      </c>
      <c r="R813" s="60">
        <f>$P$804*(HLOOKUP($D$1563,$G$787:$Q$797,R$1439-$P$1439+2))</f>
        <v>1.44</v>
      </c>
      <c r="S813" s="60">
        <f>$P$804*(HLOOKUP($D$1563,$G$787:$Q$797,S$1439-$P$1439+2))</f>
        <v>0.86399999999999999</v>
      </c>
      <c r="T813" s="435"/>
    </row>
    <row r="814" spans="1:20" x14ac:dyDescent="0.25">
      <c r="A814" s="302"/>
      <c r="C814" s="294"/>
      <c r="D814" s="40"/>
      <c r="E814" s="41"/>
      <c r="F814" s="41"/>
      <c r="G814" s="272"/>
      <c r="J814" s="60"/>
      <c r="K814" s="60"/>
      <c r="L814" s="60"/>
      <c r="M814" s="60"/>
      <c r="N814" s="60"/>
      <c r="O814" s="60"/>
      <c r="P814" s="60"/>
      <c r="Q814" s="60">
        <f>$Q$804*(HLOOKUP($D$1563,$G$787:$Q$797,Q$1439-$Q$1439+2))</f>
        <v>1.65</v>
      </c>
      <c r="R814" s="60">
        <f>$Q$804*(HLOOKUP($D$1563,$G$787:$Q$797,R$1439-$Q$1439+2))</f>
        <v>2.4</v>
      </c>
      <c r="S814" s="60">
        <f>$Q$804*(HLOOKUP($D$1563,$G$787:$Q$797,S$1439-$Q$1439+2))</f>
        <v>1.44</v>
      </c>
      <c r="T814" s="435"/>
    </row>
    <row r="815" spans="1:20" x14ac:dyDescent="0.25">
      <c r="A815" s="302"/>
      <c r="C815" s="294"/>
      <c r="D815" s="40"/>
      <c r="E815" s="41"/>
      <c r="F815" s="41"/>
      <c r="G815" s="272"/>
      <c r="J815" s="60"/>
      <c r="K815" s="60"/>
      <c r="L815" s="60"/>
      <c r="M815" s="60"/>
      <c r="N815" s="60"/>
      <c r="O815" s="60"/>
      <c r="P815" s="60"/>
      <c r="Q815" s="60"/>
      <c r="R815" s="60">
        <f>$R$804*(HLOOKUP($D$1563,$G$787:$Q$797,R$1439-$R$1439+2))</f>
        <v>1.65</v>
      </c>
      <c r="S815" s="60">
        <f>$R$804*(HLOOKUP($D$1563,$G$787:$Q$797,S$1439-$R$1439+2))</f>
        <v>2.4</v>
      </c>
      <c r="T815" s="435"/>
    </row>
    <row r="816" spans="1:20" x14ac:dyDescent="0.25">
      <c r="A816" s="302"/>
      <c r="C816" s="294"/>
      <c r="D816" s="40"/>
      <c r="E816" s="41"/>
      <c r="F816" s="41"/>
      <c r="G816" s="272"/>
      <c r="J816" s="60"/>
      <c r="K816" s="60"/>
      <c r="L816" s="60"/>
      <c r="M816" s="60"/>
      <c r="N816" s="60"/>
      <c r="O816" s="60"/>
      <c r="P816" s="60"/>
      <c r="Q816" s="60"/>
      <c r="R816" s="60"/>
      <c r="S816" s="60">
        <f>$S$804*(HLOOKUP($D$1563,$G$787:$Q$797,S$1439-$S$1439+2))</f>
        <v>1.65</v>
      </c>
      <c r="T816" s="435"/>
    </row>
    <row r="817" spans="1:20" x14ac:dyDescent="0.25">
      <c r="A817" s="302"/>
      <c r="C817" s="294"/>
      <c r="D817" s="40"/>
      <c r="E817" s="41"/>
      <c r="F817" s="41"/>
      <c r="G817" s="41"/>
      <c r="H817" s="41"/>
      <c r="I817" s="41"/>
      <c r="J817" s="542" t="s">
        <v>366</v>
      </c>
      <c r="K817" s="542" t="s">
        <v>366</v>
      </c>
      <c r="L817" s="542" t="s">
        <v>366</v>
      </c>
      <c r="M817" s="542" t="s">
        <v>366</v>
      </c>
      <c r="N817" s="542" t="s">
        <v>366</v>
      </c>
      <c r="O817" s="542" t="s">
        <v>366</v>
      </c>
      <c r="P817" s="542" t="s">
        <v>366</v>
      </c>
      <c r="Q817" s="542" t="s">
        <v>366</v>
      </c>
      <c r="R817" s="542" t="s">
        <v>366</v>
      </c>
      <c r="S817" s="542" t="s">
        <v>366</v>
      </c>
      <c r="T817" s="294"/>
    </row>
    <row r="818" spans="1:20" x14ac:dyDescent="0.25">
      <c r="A818" s="302"/>
      <c r="C818" s="294"/>
      <c r="D818" s="232"/>
      <c r="E818" s="18"/>
      <c r="F818" s="18"/>
      <c r="G818" s="18"/>
      <c r="H818" s="671" t="s">
        <v>367</v>
      </c>
      <c r="I818" s="18"/>
      <c r="J818" s="228">
        <f t="shared" ref="J818:S818" si="369">SUM(J806:J815)</f>
        <v>1.65</v>
      </c>
      <c r="K818" s="228">
        <f t="shared" si="369"/>
        <v>4.05</v>
      </c>
      <c r="L818" s="228">
        <f t="shared" si="369"/>
        <v>5.49</v>
      </c>
      <c r="M818" s="228">
        <f t="shared" si="369"/>
        <v>6.3539999999999992</v>
      </c>
      <c r="N818" s="228">
        <f t="shared" si="369"/>
        <v>7.218</v>
      </c>
      <c r="O818" s="228">
        <f t="shared" si="369"/>
        <v>7.65</v>
      </c>
      <c r="P818" s="228">
        <f t="shared" si="369"/>
        <v>7.65</v>
      </c>
      <c r="Q818" s="228">
        <f t="shared" si="369"/>
        <v>7.65</v>
      </c>
      <c r="R818" s="228">
        <f t="shared" si="369"/>
        <v>7.65</v>
      </c>
      <c r="S818" s="228">
        <f t="shared" si="369"/>
        <v>6</v>
      </c>
      <c r="T818" s="294"/>
    </row>
    <row r="819" spans="1:20" x14ac:dyDescent="0.25">
      <c r="A819" s="302"/>
      <c r="C819" s="294"/>
      <c r="D819" s="71"/>
      <c r="J819" s="9"/>
      <c r="K819" s="9"/>
      <c r="L819" s="9"/>
      <c r="M819" s="9"/>
      <c r="N819" s="9"/>
      <c r="O819" s="9"/>
      <c r="P819" s="9"/>
      <c r="Q819" s="9"/>
      <c r="R819" s="9"/>
      <c r="S819" s="154"/>
      <c r="T819" s="294"/>
    </row>
    <row r="820" spans="1:20" x14ac:dyDescent="0.25">
      <c r="A820" s="302"/>
      <c r="C820" s="294"/>
      <c r="D820" s="271" t="str">
        <f>UPPER(FIXED(D1564,1)&amp;" Year Assets:")</f>
        <v>7.0 YEAR ASSETS:</v>
      </c>
      <c r="E820" s="39"/>
      <c r="F820" s="39"/>
      <c r="G820" s="39"/>
      <c r="H820" s="39"/>
      <c r="I820" s="39"/>
      <c r="J820" s="223" t="str">
        <f>"For the Fiscal Year Ending "&amp;$H$1372</f>
        <v>For the Fiscal Year Ending December 31,</v>
      </c>
      <c r="K820" s="224"/>
      <c r="L820" s="224"/>
      <c r="M820" s="224"/>
      <c r="N820" s="224"/>
      <c r="O820" s="224"/>
      <c r="P820" s="224"/>
      <c r="Q820" s="224"/>
      <c r="R820" s="224"/>
      <c r="S820" s="224"/>
      <c r="T820" s="294"/>
    </row>
    <row r="821" spans="1:20" x14ac:dyDescent="0.25">
      <c r="A821" s="302"/>
      <c r="C821" s="294"/>
      <c r="D821" s="40"/>
      <c r="E821" s="41"/>
      <c r="F821" s="41"/>
      <c r="G821" s="41"/>
      <c r="H821" s="41"/>
      <c r="I821" s="41"/>
      <c r="J821" s="221">
        <f>$H$1371</f>
        <v>1998</v>
      </c>
      <c r="K821" s="222">
        <f t="shared" ref="K821:S821" si="370">J821+1</f>
        <v>1999</v>
      </c>
      <c r="L821" s="222">
        <f t="shared" si="370"/>
        <v>2000</v>
      </c>
      <c r="M821" s="222">
        <f t="shared" si="370"/>
        <v>2001</v>
      </c>
      <c r="N821" s="222">
        <f t="shared" si="370"/>
        <v>2002</v>
      </c>
      <c r="O821" s="222">
        <f t="shared" si="370"/>
        <v>2003</v>
      </c>
      <c r="P821" s="222">
        <f t="shared" si="370"/>
        <v>2004</v>
      </c>
      <c r="Q821" s="222">
        <f t="shared" si="370"/>
        <v>2005</v>
      </c>
      <c r="R821" s="222">
        <f t="shared" si="370"/>
        <v>2006</v>
      </c>
      <c r="S821" s="222">
        <f t="shared" si="370"/>
        <v>2007</v>
      </c>
      <c r="T821" s="294"/>
    </row>
    <row r="822" spans="1:20" x14ac:dyDescent="0.25">
      <c r="A822" s="302"/>
      <c r="C822" s="294"/>
      <c r="D822" s="275"/>
      <c r="E822" s="41"/>
      <c r="F822" s="41"/>
      <c r="G822" s="41"/>
      <c r="H822" s="640" t="s">
        <v>365</v>
      </c>
      <c r="I822" s="41"/>
      <c r="J822" s="62">
        <f t="shared" ref="J822:S822" si="371">J$1536*J1572</f>
        <v>7.5</v>
      </c>
      <c r="K822" s="62">
        <f t="shared" si="371"/>
        <v>7.5</v>
      </c>
      <c r="L822" s="62">
        <f t="shared" si="371"/>
        <v>7.5</v>
      </c>
      <c r="M822" s="62">
        <f t="shared" si="371"/>
        <v>7.5</v>
      </c>
      <c r="N822" s="62">
        <f t="shared" si="371"/>
        <v>7.5</v>
      </c>
      <c r="O822" s="62">
        <f t="shared" si="371"/>
        <v>7.5</v>
      </c>
      <c r="P822" s="62">
        <f t="shared" si="371"/>
        <v>7.5</v>
      </c>
      <c r="Q822" s="62">
        <f t="shared" si="371"/>
        <v>7.5</v>
      </c>
      <c r="R822" s="62">
        <f t="shared" si="371"/>
        <v>7.5</v>
      </c>
      <c r="S822" s="62">
        <f t="shared" si="371"/>
        <v>7.5</v>
      </c>
      <c r="T822" s="294"/>
    </row>
    <row r="823" spans="1:20" x14ac:dyDescent="0.25">
      <c r="A823" s="302"/>
      <c r="C823" s="294"/>
      <c r="D823" s="275"/>
      <c r="E823" s="41"/>
      <c r="F823" s="41"/>
      <c r="G823" s="41"/>
      <c r="H823" s="41"/>
      <c r="I823" s="41"/>
      <c r="J823" s="62"/>
      <c r="K823" s="62"/>
      <c r="L823" s="62"/>
      <c r="M823" s="62"/>
      <c r="N823" s="62"/>
      <c r="O823" s="62"/>
      <c r="P823" s="62"/>
      <c r="Q823" s="62"/>
      <c r="R823" s="62"/>
      <c r="S823" s="62"/>
      <c r="T823" s="294"/>
    </row>
    <row r="824" spans="1:20" x14ac:dyDescent="0.25">
      <c r="A824" s="302"/>
      <c r="C824" s="294"/>
      <c r="D824" s="275"/>
      <c r="E824" s="41"/>
      <c r="F824" s="41"/>
      <c r="G824" s="41"/>
      <c r="J824" s="41"/>
      <c r="K824" s="41"/>
      <c r="L824" s="41"/>
      <c r="M824" s="41"/>
      <c r="N824" s="41"/>
      <c r="P824" s="41"/>
      <c r="Q824" s="41"/>
      <c r="R824" s="41"/>
      <c r="S824" s="41"/>
      <c r="T824" s="294"/>
    </row>
    <row r="825" spans="1:20" x14ac:dyDescent="0.25">
      <c r="A825" s="302"/>
      <c r="C825" s="294"/>
      <c r="D825" s="40"/>
      <c r="E825" s="41"/>
      <c r="F825" s="41"/>
      <c r="G825" s="41"/>
      <c r="J825" s="60">
        <f t="shared" ref="J825:S825" si="372">$J$822*(HLOOKUP($D$1564,$G$787:$Q$797,J$1439-$J$1439+2))</f>
        <v>1.07175</v>
      </c>
      <c r="K825" s="60">
        <f t="shared" si="372"/>
        <v>1.8367500000000001</v>
      </c>
      <c r="L825" s="60">
        <f t="shared" si="372"/>
        <v>1.31175</v>
      </c>
      <c r="M825" s="60">
        <f t="shared" si="372"/>
        <v>0.93674999999999997</v>
      </c>
      <c r="N825" s="60">
        <f t="shared" si="372"/>
        <v>0.66975000000000007</v>
      </c>
      <c r="O825" s="60">
        <f t="shared" si="372"/>
        <v>0.66900000000000004</v>
      </c>
      <c r="P825" s="60">
        <f t="shared" si="372"/>
        <v>0.66975000000000007</v>
      </c>
      <c r="Q825" s="60">
        <f t="shared" si="372"/>
        <v>0.33450000000000002</v>
      </c>
      <c r="R825" s="60">
        <f t="shared" si="372"/>
        <v>0</v>
      </c>
      <c r="S825" s="60">
        <f t="shared" si="372"/>
        <v>0</v>
      </c>
      <c r="T825" s="294"/>
    </row>
    <row r="826" spans="1:20" x14ac:dyDescent="0.25">
      <c r="A826" s="302"/>
      <c r="C826" s="294"/>
      <c r="D826" s="40"/>
      <c r="E826" s="41"/>
      <c r="F826" s="41"/>
      <c r="G826" s="272"/>
      <c r="J826" s="60"/>
      <c r="K826" s="60">
        <f t="shared" ref="K826:S826" si="373">$K$822*(HLOOKUP($D$1564,$G$787:$Q$797,K$1439-$K$1439+2))</f>
        <v>1.07175</v>
      </c>
      <c r="L826" s="60">
        <f t="shared" si="373"/>
        <v>1.8367500000000001</v>
      </c>
      <c r="M826" s="60">
        <f t="shared" si="373"/>
        <v>1.31175</v>
      </c>
      <c r="N826" s="60">
        <f t="shared" si="373"/>
        <v>0.93674999999999997</v>
      </c>
      <c r="O826" s="60">
        <f t="shared" si="373"/>
        <v>0.66975000000000007</v>
      </c>
      <c r="P826" s="60">
        <f t="shared" si="373"/>
        <v>0.66900000000000004</v>
      </c>
      <c r="Q826" s="60">
        <f t="shared" si="373"/>
        <v>0.66975000000000007</v>
      </c>
      <c r="R826" s="60">
        <f t="shared" si="373"/>
        <v>0.33450000000000002</v>
      </c>
      <c r="S826" s="60">
        <f t="shared" si="373"/>
        <v>0</v>
      </c>
      <c r="T826" s="294"/>
    </row>
    <row r="827" spans="1:20" x14ac:dyDescent="0.25">
      <c r="A827" s="302"/>
      <c r="C827" s="294"/>
      <c r="D827" s="40"/>
      <c r="E827" s="41"/>
      <c r="F827" s="41"/>
      <c r="G827" s="272"/>
      <c r="J827" s="60"/>
      <c r="K827" s="60"/>
      <c r="L827" s="60">
        <f t="shared" ref="L827:S827" si="374">$L$822*(HLOOKUP($D$1564,$G$787:$Q$797,L$1439-$L$1439+2))</f>
        <v>1.07175</v>
      </c>
      <c r="M827" s="60">
        <f t="shared" si="374"/>
        <v>1.8367500000000001</v>
      </c>
      <c r="N827" s="60">
        <f t="shared" si="374"/>
        <v>1.31175</v>
      </c>
      <c r="O827" s="60">
        <f t="shared" si="374"/>
        <v>0.93674999999999997</v>
      </c>
      <c r="P827" s="60">
        <f t="shared" si="374"/>
        <v>0.66975000000000007</v>
      </c>
      <c r="Q827" s="60">
        <f t="shared" si="374"/>
        <v>0.66900000000000004</v>
      </c>
      <c r="R827" s="60">
        <f t="shared" si="374"/>
        <v>0.66975000000000007</v>
      </c>
      <c r="S827" s="60">
        <f t="shared" si="374"/>
        <v>0.33450000000000002</v>
      </c>
      <c r="T827" s="294"/>
    </row>
    <row r="828" spans="1:20" x14ac:dyDescent="0.25">
      <c r="A828" s="302"/>
      <c r="C828" s="294"/>
      <c r="D828" s="40"/>
      <c r="E828" s="41"/>
      <c r="F828" s="41"/>
      <c r="G828" s="273"/>
      <c r="J828" s="60"/>
      <c r="K828" s="60"/>
      <c r="L828" s="60"/>
      <c r="M828" s="60">
        <f t="shared" ref="M828:S828" si="375">$M$822*(HLOOKUP($D$1564,$G$787:$Q$797,M$1439-$M$1439+2))</f>
        <v>1.07175</v>
      </c>
      <c r="N828" s="60">
        <f t="shared" si="375"/>
        <v>1.8367500000000001</v>
      </c>
      <c r="O828" s="60">
        <f t="shared" si="375"/>
        <v>1.31175</v>
      </c>
      <c r="P828" s="60">
        <f t="shared" si="375"/>
        <v>0.93674999999999997</v>
      </c>
      <c r="Q828" s="60">
        <f t="shared" si="375"/>
        <v>0.66975000000000007</v>
      </c>
      <c r="R828" s="60">
        <f t="shared" si="375"/>
        <v>0.66900000000000004</v>
      </c>
      <c r="S828" s="60">
        <f t="shared" si="375"/>
        <v>0.66975000000000007</v>
      </c>
      <c r="T828" s="294"/>
    </row>
    <row r="829" spans="1:20" x14ac:dyDescent="0.25">
      <c r="A829" s="302"/>
      <c r="C829" s="294"/>
      <c r="D829" s="40"/>
      <c r="E829" s="41"/>
      <c r="F829" s="41"/>
      <c r="G829" s="272"/>
      <c r="J829" s="60"/>
      <c r="K829" s="60"/>
      <c r="L829" s="60"/>
      <c r="M829" s="60"/>
      <c r="N829" s="60">
        <f t="shared" ref="N829:S829" si="376">$N$822*(HLOOKUP($D$1564,$G$787:$Q$797,N$1439-$N$1439+2))</f>
        <v>1.07175</v>
      </c>
      <c r="O829" s="60">
        <f t="shared" si="376"/>
        <v>1.8367500000000001</v>
      </c>
      <c r="P829" s="60">
        <f t="shared" si="376"/>
        <v>1.31175</v>
      </c>
      <c r="Q829" s="60">
        <f t="shared" si="376"/>
        <v>0.93674999999999997</v>
      </c>
      <c r="R829" s="60">
        <f t="shared" si="376"/>
        <v>0.66975000000000007</v>
      </c>
      <c r="S829" s="60">
        <f t="shared" si="376"/>
        <v>0.66900000000000004</v>
      </c>
      <c r="T829" s="294"/>
    </row>
    <row r="830" spans="1:20" x14ac:dyDescent="0.25">
      <c r="A830" s="302"/>
      <c r="C830" s="294"/>
      <c r="D830" s="40"/>
      <c r="E830" s="41"/>
      <c r="F830" s="41"/>
      <c r="G830" s="274"/>
      <c r="J830" s="60"/>
      <c r="K830" s="60"/>
      <c r="L830" s="60"/>
      <c r="M830" s="60"/>
      <c r="N830" s="60"/>
      <c r="O830" s="60">
        <f>$O$822*(HLOOKUP($D$1564,$G$787:$Q$797,O$1439-$O$1439+2))</f>
        <v>1.07175</v>
      </c>
      <c r="P830" s="60">
        <f>$O$822*(HLOOKUP($D$1564,$G$787:$Q$797,P$1439-$O$1439+2))</f>
        <v>1.8367500000000001</v>
      </c>
      <c r="Q830" s="60">
        <f>$O$822*(HLOOKUP($D$1564,$G$787:$Q$797,Q$1439-$O$1439+2))</f>
        <v>1.31175</v>
      </c>
      <c r="R830" s="60">
        <f>$O$822*(HLOOKUP($D$1564,$G$787:$Q$797,R$1439-$O$1439+2))</f>
        <v>0.93674999999999997</v>
      </c>
      <c r="S830" s="60">
        <f>$O$822*(HLOOKUP($D$1564,$G$787:$Q$797,S$1439-$O$1439+2))</f>
        <v>0.66975000000000007</v>
      </c>
      <c r="T830" s="294"/>
    </row>
    <row r="831" spans="1:20" x14ac:dyDescent="0.25">
      <c r="A831" s="302"/>
      <c r="C831" s="294"/>
      <c r="D831" s="40"/>
      <c r="E831" s="41"/>
      <c r="F831" s="41"/>
      <c r="G831" s="274"/>
      <c r="J831" s="60"/>
      <c r="K831" s="60"/>
      <c r="L831" s="60"/>
      <c r="M831" s="60"/>
      <c r="N831" s="60"/>
      <c r="O831" s="60"/>
      <c r="P831" s="60">
        <f>$P$822*(HLOOKUP($D$1564,$G$787:$Q$797,P$1439-$P$1439+2))</f>
        <v>1.07175</v>
      </c>
      <c r="Q831" s="60">
        <f>$P$822*(HLOOKUP($D$1564,$G$787:$Q$797,Q$1439-$P$1439+2))</f>
        <v>1.8367500000000001</v>
      </c>
      <c r="R831" s="60">
        <f>$P$822*(HLOOKUP($D$1564,$G$787:$Q$797,R$1439-$P$1439+2))</f>
        <v>1.31175</v>
      </c>
      <c r="S831" s="60">
        <f>$P$822*(HLOOKUP($D$1564,$G$787:$Q$797,S$1439-$P$1439+2))</f>
        <v>0.93674999999999997</v>
      </c>
      <c r="T831" s="294"/>
    </row>
    <row r="832" spans="1:20" x14ac:dyDescent="0.25">
      <c r="A832" s="302"/>
      <c r="C832" s="294"/>
      <c r="D832" s="40"/>
      <c r="E832" s="41"/>
      <c r="F832" s="41"/>
      <c r="G832" s="272"/>
      <c r="J832" s="60"/>
      <c r="K832" s="60"/>
      <c r="L832" s="60"/>
      <c r="M832" s="60"/>
      <c r="N832" s="60"/>
      <c r="O832" s="60"/>
      <c r="P832" s="60"/>
      <c r="Q832" s="60">
        <f>$Q$822*(HLOOKUP($D$1564,$G$787:$Q$797,Q$1439-$Q$1439+2))</f>
        <v>1.07175</v>
      </c>
      <c r="R832" s="60">
        <f>$Q$822*(HLOOKUP($D$1564,$G$787:$Q$797,R$1439-$Q$1439+2))</f>
        <v>1.8367500000000001</v>
      </c>
      <c r="S832" s="60">
        <f>$Q$822*(HLOOKUP($D$1564,$G$787:$Q$797,S$1439-$Q$1439+2))</f>
        <v>1.31175</v>
      </c>
      <c r="T832" s="294"/>
    </row>
    <row r="833" spans="1:20" x14ac:dyDescent="0.25">
      <c r="A833" s="302"/>
      <c r="C833" s="294"/>
      <c r="D833" s="40"/>
      <c r="E833" s="41"/>
      <c r="F833" s="41"/>
      <c r="G833" s="272"/>
      <c r="J833" s="60"/>
      <c r="K833" s="60"/>
      <c r="L833" s="60"/>
      <c r="M833" s="60"/>
      <c r="N833" s="60"/>
      <c r="O833" s="60"/>
      <c r="P833" s="60"/>
      <c r="Q833" s="60"/>
      <c r="R833" s="60">
        <f>$R$822*(HLOOKUP($D$1564,$G$787:$Q$797,R$1439-$R$1439+2))</f>
        <v>1.07175</v>
      </c>
      <c r="S833" s="60">
        <f>$R$822*(HLOOKUP($D$1564,$G$787:$Q$797,S$1439-$R$1439+2))</f>
        <v>1.8367500000000001</v>
      </c>
      <c r="T833" s="294"/>
    </row>
    <row r="834" spans="1:20" x14ac:dyDescent="0.25">
      <c r="A834" s="302"/>
      <c r="C834" s="294"/>
      <c r="D834" s="40"/>
      <c r="E834" s="41"/>
      <c r="F834" s="41"/>
      <c r="G834" s="272"/>
      <c r="J834" s="60"/>
      <c r="K834" s="60"/>
      <c r="L834" s="60"/>
      <c r="M834" s="60"/>
      <c r="N834" s="60"/>
      <c r="O834" s="60"/>
      <c r="P834" s="60"/>
      <c r="Q834" s="60"/>
      <c r="R834" s="60"/>
      <c r="S834" s="60">
        <f>$S$822*(HLOOKUP($D$1564,$G$787:$Q$797,S$1439-$S$1439+2))</f>
        <v>1.07175</v>
      </c>
      <c r="T834" s="294"/>
    </row>
    <row r="835" spans="1:20" x14ac:dyDescent="0.25">
      <c r="A835" s="302"/>
      <c r="C835" s="294"/>
      <c r="D835" s="40"/>
      <c r="E835" s="41"/>
      <c r="F835" s="41"/>
      <c r="G835" s="272"/>
      <c r="H835" s="41"/>
      <c r="I835" s="41"/>
      <c r="J835" s="621" t="s">
        <v>366</v>
      </c>
      <c r="K835" s="621" t="s">
        <v>366</v>
      </c>
      <c r="L835" s="621" t="s">
        <v>366</v>
      </c>
      <c r="M835" s="621" t="s">
        <v>366</v>
      </c>
      <c r="N835" s="621" t="s">
        <v>366</v>
      </c>
      <c r="O835" s="621" t="s">
        <v>366</v>
      </c>
      <c r="P835" s="621" t="s">
        <v>366</v>
      </c>
      <c r="Q835" s="621" t="s">
        <v>366</v>
      </c>
      <c r="R835" s="621" t="s">
        <v>366</v>
      </c>
      <c r="S835" s="621" t="s">
        <v>366</v>
      </c>
      <c r="T835" s="294"/>
    </row>
    <row r="836" spans="1:20" x14ac:dyDescent="0.25">
      <c r="A836" s="302"/>
      <c r="C836" s="294"/>
      <c r="D836" s="232"/>
      <c r="E836" s="18"/>
      <c r="F836" s="18"/>
      <c r="G836" s="18"/>
      <c r="H836" s="671" t="s">
        <v>367</v>
      </c>
      <c r="I836" s="18"/>
      <c r="J836" s="228">
        <f t="shared" ref="J836:S836" si="377">SUM(J824:J833)</f>
        <v>1.07175</v>
      </c>
      <c r="K836" s="228">
        <f t="shared" si="377"/>
        <v>2.9085000000000001</v>
      </c>
      <c r="L836" s="228">
        <f t="shared" si="377"/>
        <v>4.2202500000000001</v>
      </c>
      <c r="M836" s="228">
        <f t="shared" si="377"/>
        <v>5.157</v>
      </c>
      <c r="N836" s="228">
        <f t="shared" si="377"/>
        <v>5.8267499999999997</v>
      </c>
      <c r="O836" s="228">
        <f t="shared" si="377"/>
        <v>6.4957500000000001</v>
      </c>
      <c r="P836" s="228">
        <f t="shared" si="377"/>
        <v>7.1654999999999998</v>
      </c>
      <c r="Q836" s="228">
        <f t="shared" si="377"/>
        <v>7.5</v>
      </c>
      <c r="R836" s="228">
        <f t="shared" si="377"/>
        <v>7.5</v>
      </c>
      <c r="S836" s="228">
        <f t="shared" si="377"/>
        <v>6.4282500000000002</v>
      </c>
      <c r="T836" s="294"/>
    </row>
    <row r="837" spans="1:20" x14ac:dyDescent="0.25">
      <c r="A837" s="302"/>
      <c r="C837" s="294"/>
      <c r="G837" s="38"/>
      <c r="J837" s="15"/>
      <c r="K837" s="15"/>
      <c r="L837" s="15"/>
      <c r="M837" s="15"/>
      <c r="N837" s="15"/>
      <c r="O837" s="15"/>
      <c r="P837" s="15"/>
      <c r="Q837" s="15"/>
      <c r="R837" s="15"/>
      <c r="S837" s="152"/>
      <c r="T837" s="294"/>
    </row>
    <row r="838" spans="1:20" ht="28.5" customHeight="1" x14ac:dyDescent="0.25">
      <c r="A838" s="302"/>
      <c r="C838" s="294"/>
      <c r="D838" s="656" t="s">
        <v>368</v>
      </c>
      <c r="E838" s="170"/>
      <c r="F838" s="170"/>
      <c r="G838" s="170"/>
      <c r="H838" s="170"/>
      <c r="I838" s="170"/>
      <c r="J838" s="170"/>
      <c r="K838" s="170"/>
      <c r="L838" s="170"/>
      <c r="M838" s="170"/>
      <c r="N838" s="170"/>
      <c r="O838" s="170"/>
      <c r="P838" s="170"/>
      <c r="Q838" s="170"/>
      <c r="R838" s="170"/>
      <c r="S838" s="213"/>
      <c r="T838" s="294"/>
    </row>
    <row r="839" spans="1:20" x14ac:dyDescent="0.25">
      <c r="A839" s="302"/>
      <c r="C839" s="294"/>
      <c r="D839" s="271" t="str">
        <f>UPPER(FIXED(D1565,1)&amp;" Year Assets:")</f>
        <v>10.0 YEAR ASSETS:</v>
      </c>
      <c r="E839" s="39"/>
      <c r="F839" s="39"/>
      <c r="G839" s="39"/>
      <c r="H839" s="39"/>
      <c r="I839" s="39"/>
      <c r="J839" s="223" t="str">
        <f>"For the Fiscal Year Ending "&amp;$H$1372</f>
        <v>For the Fiscal Year Ending December 31,</v>
      </c>
      <c r="K839" s="224"/>
      <c r="L839" s="224"/>
      <c r="M839" s="224"/>
      <c r="N839" s="224"/>
      <c r="O839" s="224"/>
      <c r="P839" s="224"/>
      <c r="Q839" s="224"/>
      <c r="R839" s="224"/>
      <c r="S839" s="224"/>
      <c r="T839" s="294"/>
    </row>
    <row r="840" spans="1:20" x14ac:dyDescent="0.25">
      <c r="A840" s="302"/>
      <c r="C840" s="294"/>
      <c r="D840" s="276"/>
      <c r="E840" s="41"/>
      <c r="F840" s="41"/>
      <c r="G840" s="41"/>
      <c r="H840" s="41"/>
      <c r="I840" s="41"/>
      <c r="J840" s="221">
        <f>$H$1371</f>
        <v>1998</v>
      </c>
      <c r="K840" s="222">
        <f t="shared" ref="K840:S840" si="378">J840+1</f>
        <v>1999</v>
      </c>
      <c r="L840" s="222">
        <f t="shared" si="378"/>
        <v>2000</v>
      </c>
      <c r="M840" s="222">
        <f t="shared" si="378"/>
        <v>2001</v>
      </c>
      <c r="N840" s="222">
        <f t="shared" si="378"/>
        <v>2002</v>
      </c>
      <c r="O840" s="222">
        <f t="shared" si="378"/>
        <v>2003</v>
      </c>
      <c r="P840" s="222">
        <f t="shared" si="378"/>
        <v>2004</v>
      </c>
      <c r="Q840" s="222">
        <f t="shared" si="378"/>
        <v>2005</v>
      </c>
      <c r="R840" s="222">
        <f t="shared" si="378"/>
        <v>2006</v>
      </c>
      <c r="S840" s="222">
        <f t="shared" si="378"/>
        <v>2007</v>
      </c>
      <c r="T840" s="294"/>
    </row>
    <row r="841" spans="1:20" x14ac:dyDescent="0.25">
      <c r="A841" s="302"/>
      <c r="C841" s="294"/>
      <c r="D841" s="275"/>
      <c r="E841" s="41"/>
      <c r="F841" s="41"/>
      <c r="G841" s="41"/>
      <c r="H841" s="640" t="s">
        <v>365</v>
      </c>
      <c r="I841" s="41"/>
      <c r="J841" s="62">
        <f t="shared" ref="J841:S841" si="379">J$1536*J1573</f>
        <v>7.5</v>
      </c>
      <c r="K841" s="62">
        <f t="shared" si="379"/>
        <v>7.5</v>
      </c>
      <c r="L841" s="62">
        <f t="shared" si="379"/>
        <v>7.5</v>
      </c>
      <c r="M841" s="62">
        <f t="shared" si="379"/>
        <v>7.5</v>
      </c>
      <c r="N841" s="62">
        <f t="shared" si="379"/>
        <v>7.5</v>
      </c>
      <c r="O841" s="62">
        <f t="shared" si="379"/>
        <v>7.5</v>
      </c>
      <c r="P841" s="62">
        <f t="shared" si="379"/>
        <v>7.5</v>
      </c>
      <c r="Q841" s="62">
        <f t="shared" si="379"/>
        <v>7.5</v>
      </c>
      <c r="R841" s="62">
        <f t="shared" si="379"/>
        <v>7.5</v>
      </c>
      <c r="S841" s="62">
        <f t="shared" si="379"/>
        <v>7.5</v>
      </c>
      <c r="T841" s="294"/>
    </row>
    <row r="842" spans="1:20" x14ac:dyDescent="0.25">
      <c r="A842" s="302"/>
      <c r="C842" s="294"/>
      <c r="D842" s="275"/>
      <c r="E842" s="41"/>
      <c r="F842" s="41"/>
      <c r="G842" s="41"/>
      <c r="H842" s="41"/>
      <c r="I842" s="41"/>
      <c r="J842" s="62"/>
      <c r="K842" s="62"/>
      <c r="L842" s="62"/>
      <c r="M842" s="62"/>
      <c r="N842" s="62"/>
      <c r="O842" s="62"/>
      <c r="P842" s="62"/>
      <c r="Q842" s="62"/>
      <c r="R842" s="62"/>
      <c r="S842" s="62"/>
      <c r="T842" s="294"/>
    </row>
    <row r="843" spans="1:20" x14ac:dyDescent="0.25">
      <c r="A843" s="302"/>
      <c r="C843" s="294"/>
      <c r="D843" s="275"/>
      <c r="E843" s="41"/>
      <c r="F843" s="41"/>
      <c r="G843" s="41"/>
      <c r="J843" s="41"/>
      <c r="K843" s="41"/>
      <c r="L843" s="41"/>
      <c r="M843" s="41"/>
      <c r="N843" s="41"/>
      <c r="P843" s="41"/>
      <c r="Q843" s="41"/>
      <c r="R843" s="41"/>
      <c r="S843" s="41"/>
      <c r="T843" s="294"/>
    </row>
    <row r="844" spans="1:20" x14ac:dyDescent="0.25">
      <c r="A844" s="302"/>
      <c r="C844" s="294"/>
      <c r="D844" s="40"/>
      <c r="E844" s="41"/>
      <c r="F844" s="41"/>
      <c r="G844" s="41"/>
      <c r="J844" s="60">
        <f t="shared" ref="J844:S844" si="380">$J$841*(HLOOKUP($D$1565,$G$787:$Q$797,J$1439-$J$1439+2))</f>
        <v>0.75</v>
      </c>
      <c r="K844" s="60">
        <f t="shared" si="380"/>
        <v>1.3499999999999999</v>
      </c>
      <c r="L844" s="60">
        <f t="shared" si="380"/>
        <v>1.0799999999999998</v>
      </c>
      <c r="M844" s="60">
        <f t="shared" si="380"/>
        <v>0.86399999999999999</v>
      </c>
      <c r="N844" s="60">
        <f t="shared" si="380"/>
        <v>0.6915</v>
      </c>
      <c r="O844" s="60">
        <f t="shared" si="380"/>
        <v>0.55274999999999996</v>
      </c>
      <c r="P844" s="60">
        <f t="shared" si="380"/>
        <v>0.49125000000000002</v>
      </c>
      <c r="Q844" s="60">
        <f t="shared" si="380"/>
        <v>0.49125000000000002</v>
      </c>
      <c r="R844" s="60">
        <f t="shared" si="380"/>
        <v>0.49200000000000005</v>
      </c>
      <c r="S844" s="60">
        <f t="shared" si="380"/>
        <v>0.49125000000000002</v>
      </c>
      <c r="T844" s="294"/>
    </row>
    <row r="845" spans="1:20" x14ac:dyDescent="0.25">
      <c r="A845" s="302"/>
      <c r="C845" s="294"/>
      <c r="D845" s="40"/>
      <c r="E845" s="41"/>
      <c r="F845" s="41"/>
      <c r="G845" s="272"/>
      <c r="J845" s="60"/>
      <c r="K845" s="60">
        <f t="shared" ref="K845:S845" si="381">$K$841*(HLOOKUP($D$1565,$G$787:$Q$797,K$1439-$K$1439+2))</f>
        <v>0.75</v>
      </c>
      <c r="L845" s="60">
        <f t="shared" si="381"/>
        <v>1.3499999999999999</v>
      </c>
      <c r="M845" s="60">
        <f t="shared" si="381"/>
        <v>1.0799999999999998</v>
      </c>
      <c r="N845" s="60">
        <f t="shared" si="381"/>
        <v>0.86399999999999999</v>
      </c>
      <c r="O845" s="60">
        <f t="shared" si="381"/>
        <v>0.6915</v>
      </c>
      <c r="P845" s="60">
        <f t="shared" si="381"/>
        <v>0.55274999999999996</v>
      </c>
      <c r="Q845" s="60">
        <f t="shared" si="381"/>
        <v>0.49125000000000002</v>
      </c>
      <c r="R845" s="60">
        <f t="shared" si="381"/>
        <v>0.49125000000000002</v>
      </c>
      <c r="S845" s="60">
        <f t="shared" si="381"/>
        <v>0.49200000000000005</v>
      </c>
      <c r="T845" s="294"/>
    </row>
    <row r="846" spans="1:20" x14ac:dyDescent="0.25">
      <c r="A846" s="302"/>
      <c r="C846" s="294"/>
      <c r="D846" s="40"/>
      <c r="E846" s="41"/>
      <c r="F846" s="41"/>
      <c r="G846" s="272"/>
      <c r="J846" s="60"/>
      <c r="K846" s="60"/>
      <c r="L846" s="60">
        <f t="shared" ref="L846:S846" si="382">$L$841*(HLOOKUP($D$1565,$G$787:$Q$797,L$1439-$L$1439+2))</f>
        <v>0.75</v>
      </c>
      <c r="M846" s="60">
        <f t="shared" si="382"/>
        <v>1.3499999999999999</v>
      </c>
      <c r="N846" s="60">
        <f t="shared" si="382"/>
        <v>1.0799999999999998</v>
      </c>
      <c r="O846" s="60">
        <f t="shared" si="382"/>
        <v>0.86399999999999999</v>
      </c>
      <c r="P846" s="60">
        <f t="shared" si="382"/>
        <v>0.6915</v>
      </c>
      <c r="Q846" s="60">
        <f t="shared" si="382"/>
        <v>0.55274999999999996</v>
      </c>
      <c r="R846" s="60">
        <f t="shared" si="382"/>
        <v>0.49125000000000002</v>
      </c>
      <c r="S846" s="60">
        <f t="shared" si="382"/>
        <v>0.49125000000000002</v>
      </c>
      <c r="T846" s="294"/>
    </row>
    <row r="847" spans="1:20" x14ac:dyDescent="0.25">
      <c r="A847" s="302"/>
      <c r="C847" s="294"/>
      <c r="D847" s="40"/>
      <c r="E847" s="41"/>
      <c r="F847" s="41"/>
      <c r="G847" s="273"/>
      <c r="J847" s="60"/>
      <c r="K847" s="60"/>
      <c r="L847" s="60"/>
      <c r="M847" s="60">
        <f t="shared" ref="M847:S847" si="383">$M$841*(HLOOKUP($D$1565,$G$787:$Q$797,M$1439-$M$1439+2))</f>
        <v>0.75</v>
      </c>
      <c r="N847" s="60">
        <f t="shared" si="383"/>
        <v>1.3499999999999999</v>
      </c>
      <c r="O847" s="60">
        <f t="shared" si="383"/>
        <v>1.0799999999999998</v>
      </c>
      <c r="P847" s="60">
        <f t="shared" si="383"/>
        <v>0.86399999999999999</v>
      </c>
      <c r="Q847" s="60">
        <f t="shared" si="383"/>
        <v>0.6915</v>
      </c>
      <c r="R847" s="60">
        <f t="shared" si="383"/>
        <v>0.55274999999999996</v>
      </c>
      <c r="S847" s="60">
        <f t="shared" si="383"/>
        <v>0.49125000000000002</v>
      </c>
      <c r="T847" s="294"/>
    </row>
    <row r="848" spans="1:20" x14ac:dyDescent="0.25">
      <c r="A848" s="302"/>
      <c r="C848" s="294"/>
      <c r="D848" s="40"/>
      <c r="E848" s="41"/>
      <c r="F848" s="41"/>
      <c r="G848" s="272"/>
      <c r="J848" s="60"/>
      <c r="K848" s="60"/>
      <c r="L848" s="60"/>
      <c r="M848" s="60"/>
      <c r="N848" s="60">
        <f t="shared" ref="N848:S848" si="384">$N$841*(HLOOKUP($D$1565,$G$787:$Q$797,N$1439-$N$1439+2))</f>
        <v>0.75</v>
      </c>
      <c r="O848" s="60">
        <f t="shared" si="384"/>
        <v>1.3499999999999999</v>
      </c>
      <c r="P848" s="60">
        <f t="shared" si="384"/>
        <v>1.0799999999999998</v>
      </c>
      <c r="Q848" s="60">
        <f t="shared" si="384"/>
        <v>0.86399999999999999</v>
      </c>
      <c r="R848" s="60">
        <f t="shared" si="384"/>
        <v>0.6915</v>
      </c>
      <c r="S848" s="60">
        <f t="shared" si="384"/>
        <v>0.55274999999999996</v>
      </c>
      <c r="T848" s="294"/>
    </row>
    <row r="849" spans="1:20" x14ac:dyDescent="0.25">
      <c r="A849" s="302"/>
      <c r="C849" s="294"/>
      <c r="D849" s="40"/>
      <c r="E849" s="41"/>
      <c r="F849" s="41"/>
      <c r="G849" s="274"/>
      <c r="J849" s="60"/>
      <c r="K849" s="60"/>
      <c r="L849" s="60"/>
      <c r="M849" s="60"/>
      <c r="N849" s="60"/>
      <c r="O849" s="60">
        <f>$O$841*(HLOOKUP($D$1565,$G$787:$Q$797,O$1439-$O$1439+2))</f>
        <v>0.75</v>
      </c>
      <c r="P849" s="60">
        <f>$O$841*(HLOOKUP($D$1565,$G$787:$Q$797,P$1439-$O$1439+2))</f>
        <v>1.3499999999999999</v>
      </c>
      <c r="Q849" s="60">
        <f>$O$841*(HLOOKUP($D$1565,$G$787:$Q$797,Q$1439-$O$1439+2))</f>
        <v>1.0799999999999998</v>
      </c>
      <c r="R849" s="60">
        <f>$O$841*(HLOOKUP($D$1565,$G$787:$Q$797,R$1439-$O$1439+2))</f>
        <v>0.86399999999999999</v>
      </c>
      <c r="S849" s="60">
        <f>$O$841*(HLOOKUP($D$1565,$G$787:$Q$797,S$1439-$O$1439+2))</f>
        <v>0.6915</v>
      </c>
      <c r="T849" s="294"/>
    </row>
    <row r="850" spans="1:20" x14ac:dyDescent="0.25">
      <c r="A850" s="302"/>
      <c r="C850" s="294"/>
      <c r="D850" s="40"/>
      <c r="E850" s="41"/>
      <c r="F850" s="41"/>
      <c r="G850" s="274"/>
      <c r="J850" s="60"/>
      <c r="K850" s="60"/>
      <c r="L850" s="60"/>
      <c r="M850" s="60"/>
      <c r="N850" s="60"/>
      <c r="O850" s="60"/>
      <c r="P850" s="60">
        <f>$P$841*(HLOOKUP($D$1565,$G$787:$Q$797,P$1439-$P$1439+2))</f>
        <v>0.75</v>
      </c>
      <c r="Q850" s="60">
        <f>$P$841*(HLOOKUP($D$1565,$G$787:$Q$797,Q$1439-$P$1439+2))</f>
        <v>1.3499999999999999</v>
      </c>
      <c r="R850" s="60">
        <f>$P$841*(HLOOKUP($D$1565,$G$787:$Q$797,R$1439-$P$1439+2))</f>
        <v>1.0799999999999998</v>
      </c>
      <c r="S850" s="60">
        <f>$P$841*(HLOOKUP($D$1565,$G$787:$Q$797,S$1439-$P$1439+2))</f>
        <v>0.86399999999999999</v>
      </c>
      <c r="T850" s="294"/>
    </row>
    <row r="851" spans="1:20" x14ac:dyDescent="0.25">
      <c r="A851" s="302"/>
      <c r="C851" s="294"/>
      <c r="D851" s="40"/>
      <c r="E851" s="41"/>
      <c r="F851" s="41"/>
      <c r="G851" s="272"/>
      <c r="J851" s="60"/>
      <c r="K851" s="60"/>
      <c r="L851" s="60"/>
      <c r="M851" s="60"/>
      <c r="N851" s="60"/>
      <c r="O851" s="60"/>
      <c r="P851" s="60"/>
      <c r="Q851" s="60">
        <f>$Q$841*(HLOOKUP($D$1565,$G$787:$Q$797,Q$1439-$Q$1439+2))</f>
        <v>0.75</v>
      </c>
      <c r="R851" s="60">
        <f>$Q$841*(HLOOKUP($D$1565,$G$787:$Q$797,R$1439-$Q$1439+2))</f>
        <v>1.3499999999999999</v>
      </c>
      <c r="S851" s="60">
        <f>$Q$841*(HLOOKUP($D$1565,$G$787:$Q$797,S$1439-$Q$1439+2))</f>
        <v>1.0799999999999998</v>
      </c>
      <c r="T851" s="294"/>
    </row>
    <row r="852" spans="1:20" x14ac:dyDescent="0.25">
      <c r="A852" s="302"/>
      <c r="C852" s="294"/>
      <c r="D852" s="40"/>
      <c r="E852" s="41"/>
      <c r="F852" s="41"/>
      <c r="G852" s="272"/>
      <c r="J852" s="60"/>
      <c r="K852" s="60"/>
      <c r="L852" s="60"/>
      <c r="M852" s="60"/>
      <c r="N852" s="60"/>
      <c r="O852" s="60"/>
      <c r="P852" s="60"/>
      <c r="Q852" s="60"/>
      <c r="R852" s="60">
        <f>$R$841*(HLOOKUP($D$1565,$G$787:$Q$797,R$1439-$R$1439+2))</f>
        <v>0.75</v>
      </c>
      <c r="S852" s="60">
        <f>$R$841*(HLOOKUP($D$1565,$G$787:$Q$797,S$1439-$R$1439+2))</f>
        <v>1.3499999999999999</v>
      </c>
      <c r="T852" s="294"/>
    </row>
    <row r="853" spans="1:20" x14ac:dyDescent="0.25">
      <c r="A853" s="302"/>
      <c r="C853" s="294"/>
      <c r="D853" s="40"/>
      <c r="E853" s="41"/>
      <c r="F853" s="41"/>
      <c r="G853" s="272"/>
      <c r="J853" s="60"/>
      <c r="K853" s="60"/>
      <c r="L853" s="60"/>
      <c r="M853" s="60"/>
      <c r="N853" s="60"/>
      <c r="O853" s="60"/>
      <c r="P853" s="60"/>
      <c r="Q853" s="60"/>
      <c r="R853" s="60"/>
      <c r="S853" s="60">
        <f>$S$841*(HLOOKUP($D$1565,$G$787:$Q$797,S$1439-$S$1439+2))</f>
        <v>0.75</v>
      </c>
      <c r="T853" s="294"/>
    </row>
    <row r="854" spans="1:20" x14ac:dyDescent="0.25">
      <c r="A854" s="302"/>
      <c r="C854" s="294"/>
      <c r="D854" s="40"/>
      <c r="E854" s="41"/>
      <c r="F854" s="41"/>
      <c r="G854" s="272"/>
      <c r="H854" s="41"/>
      <c r="I854" s="41"/>
      <c r="J854" s="621" t="s">
        <v>366</v>
      </c>
      <c r="K854" s="621" t="s">
        <v>366</v>
      </c>
      <c r="L854" s="621" t="s">
        <v>366</v>
      </c>
      <c r="M854" s="621" t="s">
        <v>366</v>
      </c>
      <c r="N854" s="621" t="s">
        <v>366</v>
      </c>
      <c r="O854" s="621" t="s">
        <v>366</v>
      </c>
      <c r="P854" s="621" t="s">
        <v>366</v>
      </c>
      <c r="Q854" s="621" t="s">
        <v>366</v>
      </c>
      <c r="R854" s="621" t="s">
        <v>366</v>
      </c>
      <c r="S854" s="621" t="s">
        <v>366</v>
      </c>
      <c r="T854" s="294"/>
    </row>
    <row r="855" spans="1:20" x14ac:dyDescent="0.25">
      <c r="A855" s="302"/>
      <c r="C855" s="294"/>
      <c r="D855" s="232"/>
      <c r="E855" s="18"/>
      <c r="F855" s="18"/>
      <c r="G855" s="18"/>
      <c r="H855" s="671" t="s">
        <v>367</v>
      </c>
      <c r="I855" s="18"/>
      <c r="J855" s="228">
        <f t="shared" ref="J855:S855" si="385">SUM(J843:J852)</f>
        <v>0.75</v>
      </c>
      <c r="K855" s="228">
        <f t="shared" si="385"/>
        <v>2.0999999999999996</v>
      </c>
      <c r="L855" s="228">
        <f t="shared" si="385"/>
        <v>3.1799999999999997</v>
      </c>
      <c r="M855" s="228">
        <f t="shared" si="385"/>
        <v>4.0439999999999996</v>
      </c>
      <c r="N855" s="228">
        <f t="shared" si="385"/>
        <v>4.7354999999999992</v>
      </c>
      <c r="O855" s="228">
        <f t="shared" si="385"/>
        <v>5.2882499999999997</v>
      </c>
      <c r="P855" s="228">
        <f t="shared" si="385"/>
        <v>5.7794999999999996</v>
      </c>
      <c r="Q855" s="228">
        <f t="shared" si="385"/>
        <v>6.2707499999999996</v>
      </c>
      <c r="R855" s="228">
        <f t="shared" si="385"/>
        <v>6.7627499999999996</v>
      </c>
      <c r="S855" s="228">
        <f t="shared" si="385"/>
        <v>6.5039999999999996</v>
      </c>
      <c r="T855" s="294"/>
    </row>
    <row r="856" spans="1:20" x14ac:dyDescent="0.25">
      <c r="A856" s="302"/>
      <c r="C856" s="294"/>
      <c r="D856" s="229"/>
      <c r="E856" s="41"/>
      <c r="F856" s="41"/>
      <c r="G856" s="41"/>
      <c r="H856" s="242"/>
      <c r="I856" s="41"/>
      <c r="J856" s="62"/>
      <c r="K856" s="62"/>
      <c r="L856" s="62"/>
      <c r="M856" s="62"/>
      <c r="N856" s="62"/>
      <c r="O856" s="62"/>
      <c r="P856" s="62"/>
      <c r="Q856" s="62"/>
      <c r="R856" s="62"/>
      <c r="S856" s="62"/>
      <c r="T856" s="294"/>
    </row>
    <row r="857" spans="1:20" x14ac:dyDescent="0.25">
      <c r="A857" s="302"/>
      <c r="C857" s="294"/>
      <c r="D857" s="229"/>
      <c r="E857" s="41"/>
      <c r="F857" s="41"/>
      <c r="G857" s="41"/>
      <c r="H857" s="242"/>
      <c r="I857" s="41"/>
      <c r="J857" s="62"/>
      <c r="K857" s="62"/>
      <c r="L857" s="62"/>
      <c r="M857" s="62"/>
      <c r="N857" s="62"/>
      <c r="O857" s="62"/>
      <c r="P857" s="62"/>
      <c r="Q857" s="62"/>
      <c r="R857" s="62"/>
      <c r="S857" s="62"/>
      <c r="T857" s="294"/>
    </row>
    <row r="858" spans="1:20" x14ac:dyDescent="0.25">
      <c r="A858" s="302"/>
      <c r="C858" s="294"/>
      <c r="D858" s="271" t="str">
        <f>UPPER(FIXED(D1566,1)&amp;" Year Assets:")</f>
        <v>31.5 YEAR ASSETS:</v>
      </c>
      <c r="E858" s="39"/>
      <c r="F858" s="39"/>
      <c r="G858" s="39"/>
      <c r="H858" s="39"/>
      <c r="I858" s="39"/>
      <c r="J858" s="223" t="str">
        <f>"For the Fiscal Year Ending "&amp;$H$1372</f>
        <v>For the Fiscal Year Ending December 31,</v>
      </c>
      <c r="K858" s="224"/>
      <c r="L858" s="224"/>
      <c r="M858" s="224"/>
      <c r="N858" s="224"/>
      <c r="O858" s="224"/>
      <c r="P858" s="224"/>
      <c r="Q858" s="224"/>
      <c r="R858" s="224"/>
      <c r="S858" s="224"/>
      <c r="T858" s="294"/>
    </row>
    <row r="859" spans="1:20" x14ac:dyDescent="0.25">
      <c r="A859" s="302"/>
      <c r="C859" s="294"/>
      <c r="D859" s="40"/>
      <c r="E859" s="41"/>
      <c r="F859" s="41"/>
      <c r="G859" s="41"/>
      <c r="H859" s="41"/>
      <c r="I859" s="41"/>
      <c r="J859" s="221">
        <f>$H$1371</f>
        <v>1998</v>
      </c>
      <c r="K859" s="222">
        <f t="shared" ref="K859:S859" si="386">J859+1</f>
        <v>1999</v>
      </c>
      <c r="L859" s="222">
        <f t="shared" si="386"/>
        <v>2000</v>
      </c>
      <c r="M859" s="222">
        <f t="shared" si="386"/>
        <v>2001</v>
      </c>
      <c r="N859" s="222">
        <f t="shared" si="386"/>
        <v>2002</v>
      </c>
      <c r="O859" s="222">
        <f t="shared" si="386"/>
        <v>2003</v>
      </c>
      <c r="P859" s="222">
        <f t="shared" si="386"/>
        <v>2004</v>
      </c>
      <c r="Q859" s="222">
        <f t="shared" si="386"/>
        <v>2005</v>
      </c>
      <c r="R859" s="222">
        <f t="shared" si="386"/>
        <v>2006</v>
      </c>
      <c r="S859" s="222">
        <f t="shared" si="386"/>
        <v>2007</v>
      </c>
      <c r="T859" s="294"/>
    </row>
    <row r="860" spans="1:20" x14ac:dyDescent="0.25">
      <c r="A860" s="302"/>
      <c r="C860" s="294"/>
      <c r="D860" s="275"/>
      <c r="E860" s="41"/>
      <c r="F860" s="41"/>
      <c r="G860" s="41"/>
      <c r="H860" s="640" t="s">
        <v>365</v>
      </c>
      <c r="I860" s="41"/>
      <c r="J860" s="62">
        <f t="shared" ref="J860:S860" si="387">J$1536*J1574</f>
        <v>7.5</v>
      </c>
      <c r="K860" s="62">
        <f t="shared" si="387"/>
        <v>7.5</v>
      </c>
      <c r="L860" s="62">
        <f t="shared" si="387"/>
        <v>7.5</v>
      </c>
      <c r="M860" s="62">
        <f t="shared" si="387"/>
        <v>7.5</v>
      </c>
      <c r="N860" s="62">
        <f t="shared" si="387"/>
        <v>7.5</v>
      </c>
      <c r="O860" s="62">
        <f t="shared" si="387"/>
        <v>7.5</v>
      </c>
      <c r="P860" s="62">
        <f t="shared" si="387"/>
        <v>7.5</v>
      </c>
      <c r="Q860" s="62">
        <f t="shared" si="387"/>
        <v>7.5</v>
      </c>
      <c r="R860" s="62">
        <f t="shared" si="387"/>
        <v>7.5</v>
      </c>
      <c r="S860" s="62">
        <f t="shared" si="387"/>
        <v>7.5</v>
      </c>
      <c r="T860" s="294"/>
    </row>
    <row r="861" spans="1:20" x14ac:dyDescent="0.25">
      <c r="A861" s="302"/>
      <c r="C861" s="294"/>
      <c r="D861" s="275"/>
      <c r="E861" s="41"/>
      <c r="F861" s="41"/>
      <c r="G861" s="41"/>
      <c r="H861" s="41"/>
      <c r="I861" s="41"/>
      <c r="J861" s="62"/>
      <c r="K861" s="62"/>
      <c r="L861" s="62"/>
      <c r="M861" s="62"/>
      <c r="N861" s="62"/>
      <c r="O861" s="62"/>
      <c r="P861" s="62"/>
      <c r="Q861" s="62"/>
      <c r="R861" s="62"/>
      <c r="S861" s="62"/>
      <c r="T861" s="294"/>
    </row>
    <row r="862" spans="1:20" x14ac:dyDescent="0.25">
      <c r="A862" s="302"/>
      <c r="C862" s="294"/>
      <c r="D862" s="275"/>
      <c r="E862" s="41"/>
      <c r="F862" s="41"/>
      <c r="G862" s="41"/>
      <c r="J862" s="41"/>
      <c r="K862" s="41"/>
      <c r="L862" s="41"/>
      <c r="M862" s="41"/>
      <c r="N862" s="41"/>
      <c r="P862" s="41"/>
      <c r="Q862" s="41"/>
      <c r="R862" s="41"/>
      <c r="S862" s="41"/>
      <c r="T862" s="294"/>
    </row>
    <row r="863" spans="1:20" x14ac:dyDescent="0.25">
      <c r="A863" s="302"/>
      <c r="C863" s="294"/>
      <c r="D863" s="40"/>
      <c r="E863" s="41"/>
      <c r="F863" s="41"/>
      <c r="G863" s="41"/>
      <c r="J863" s="60">
        <f t="shared" ref="J863:S863" si="388">$J$860*(HLOOKUP($D$1566,$G$787:$Q$797,J$1439-$J$1439+2))</f>
        <v>0.11904761904761904</v>
      </c>
      <c r="K863" s="60">
        <f t="shared" si="388"/>
        <v>0.23809523809523808</v>
      </c>
      <c r="L863" s="60">
        <f t="shared" si="388"/>
        <v>0.23809523809523808</v>
      </c>
      <c r="M863" s="60">
        <f t="shared" si="388"/>
        <v>0.23809523809523808</v>
      </c>
      <c r="N863" s="60">
        <f t="shared" si="388"/>
        <v>0.23809523809523808</v>
      </c>
      <c r="O863" s="60">
        <f t="shared" si="388"/>
        <v>0.23809523809523808</v>
      </c>
      <c r="P863" s="60">
        <f t="shared" si="388"/>
        <v>0.23809523809523808</v>
      </c>
      <c r="Q863" s="60">
        <f t="shared" si="388"/>
        <v>0.23809523809523808</v>
      </c>
      <c r="R863" s="60">
        <f t="shared" si="388"/>
        <v>0.23809523809523808</v>
      </c>
      <c r="S863" s="60">
        <f t="shared" si="388"/>
        <v>0.23809523809523808</v>
      </c>
      <c r="T863" s="294"/>
    </row>
    <row r="864" spans="1:20" x14ac:dyDescent="0.25">
      <c r="A864" s="302"/>
      <c r="C864" s="294"/>
      <c r="D864" s="40"/>
      <c r="E864" s="41"/>
      <c r="F864" s="41"/>
      <c r="G864" s="272"/>
      <c r="J864" s="60"/>
      <c r="K864" s="60">
        <f t="shared" ref="K864:S864" si="389">$K$860*(HLOOKUP($D$1566,$G$787:$Q$797,K$1439-$K$1439+2))</f>
        <v>0.11904761904761904</v>
      </c>
      <c r="L864" s="60">
        <f t="shared" si="389"/>
        <v>0.23809523809523808</v>
      </c>
      <c r="M864" s="60">
        <f t="shared" si="389"/>
        <v>0.23809523809523808</v>
      </c>
      <c r="N864" s="60">
        <f t="shared" si="389"/>
        <v>0.23809523809523808</v>
      </c>
      <c r="O864" s="60">
        <f t="shared" si="389"/>
        <v>0.23809523809523808</v>
      </c>
      <c r="P864" s="60">
        <f t="shared" si="389"/>
        <v>0.23809523809523808</v>
      </c>
      <c r="Q864" s="60">
        <f t="shared" si="389"/>
        <v>0.23809523809523808</v>
      </c>
      <c r="R864" s="60">
        <f t="shared" si="389"/>
        <v>0.23809523809523808</v>
      </c>
      <c r="S864" s="60">
        <f t="shared" si="389"/>
        <v>0.23809523809523808</v>
      </c>
      <c r="T864" s="294"/>
    </row>
    <row r="865" spans="1:20" x14ac:dyDescent="0.25">
      <c r="A865" s="302"/>
      <c r="C865" s="294"/>
      <c r="D865" s="40"/>
      <c r="E865" s="41"/>
      <c r="F865" s="41"/>
      <c r="G865" s="272"/>
      <c r="J865" s="60"/>
      <c r="K865" s="60"/>
      <c r="L865" s="60">
        <f t="shared" ref="L865:S865" si="390">$L$860*(HLOOKUP($D$1566,$G$787:$Q$797,L$1439-$L$1439+2))</f>
        <v>0.11904761904761904</v>
      </c>
      <c r="M865" s="60">
        <f t="shared" si="390"/>
        <v>0.23809523809523808</v>
      </c>
      <c r="N865" s="60">
        <f t="shared" si="390"/>
        <v>0.23809523809523808</v>
      </c>
      <c r="O865" s="60">
        <f t="shared" si="390"/>
        <v>0.23809523809523808</v>
      </c>
      <c r="P865" s="60">
        <f t="shared" si="390"/>
        <v>0.23809523809523808</v>
      </c>
      <c r="Q865" s="60">
        <f t="shared" si="390"/>
        <v>0.23809523809523808</v>
      </c>
      <c r="R865" s="60">
        <f t="shared" si="390"/>
        <v>0.23809523809523808</v>
      </c>
      <c r="S865" s="60">
        <f t="shared" si="390"/>
        <v>0.23809523809523808</v>
      </c>
      <c r="T865" s="294"/>
    </row>
    <row r="866" spans="1:20" x14ac:dyDescent="0.25">
      <c r="A866" s="302"/>
      <c r="C866" s="294"/>
      <c r="D866" s="40"/>
      <c r="E866" s="41"/>
      <c r="F866" s="41"/>
      <c r="G866" s="273"/>
      <c r="J866" s="60"/>
      <c r="K866" s="60"/>
      <c r="L866" s="60"/>
      <c r="M866" s="60">
        <f t="shared" ref="M866:S866" si="391">$M$860*(HLOOKUP($D$1566,$G$787:$Q$797,M$1439-$M$1439+2))</f>
        <v>0.11904761904761904</v>
      </c>
      <c r="N866" s="60">
        <f t="shared" si="391"/>
        <v>0.23809523809523808</v>
      </c>
      <c r="O866" s="60">
        <f t="shared" si="391"/>
        <v>0.23809523809523808</v>
      </c>
      <c r="P866" s="60">
        <f t="shared" si="391"/>
        <v>0.23809523809523808</v>
      </c>
      <c r="Q866" s="60">
        <f t="shared" si="391"/>
        <v>0.23809523809523808</v>
      </c>
      <c r="R866" s="60">
        <f t="shared" si="391"/>
        <v>0.23809523809523808</v>
      </c>
      <c r="S866" s="60">
        <f t="shared" si="391"/>
        <v>0.23809523809523808</v>
      </c>
      <c r="T866" s="294"/>
    </row>
    <row r="867" spans="1:20" x14ac:dyDescent="0.25">
      <c r="A867" s="302"/>
      <c r="C867" s="294"/>
      <c r="D867" s="40"/>
      <c r="E867" s="41"/>
      <c r="F867" s="41"/>
      <c r="G867" s="272"/>
      <c r="J867" s="60"/>
      <c r="K867" s="60"/>
      <c r="L867" s="60"/>
      <c r="M867" s="60"/>
      <c r="N867" s="60">
        <f t="shared" ref="N867:S867" si="392">$N$860*(HLOOKUP($D$1566,$G$787:$Q$797,N$1439-$N$1439+2))</f>
        <v>0.11904761904761904</v>
      </c>
      <c r="O867" s="60">
        <f t="shared" si="392"/>
        <v>0.23809523809523808</v>
      </c>
      <c r="P867" s="60">
        <f t="shared" si="392"/>
        <v>0.23809523809523808</v>
      </c>
      <c r="Q867" s="60">
        <f t="shared" si="392"/>
        <v>0.23809523809523808</v>
      </c>
      <c r="R867" s="60">
        <f t="shared" si="392"/>
        <v>0.23809523809523808</v>
      </c>
      <c r="S867" s="60">
        <f t="shared" si="392"/>
        <v>0.23809523809523808</v>
      </c>
      <c r="T867" s="294"/>
    </row>
    <row r="868" spans="1:20" x14ac:dyDescent="0.25">
      <c r="A868" s="302"/>
      <c r="C868" s="294"/>
      <c r="D868" s="40"/>
      <c r="E868" s="41"/>
      <c r="F868" s="41"/>
      <c r="G868" s="274"/>
      <c r="J868" s="60"/>
      <c r="K868" s="60"/>
      <c r="L868" s="60"/>
      <c r="M868" s="60"/>
      <c r="N868" s="60"/>
      <c r="O868" s="60">
        <f>$O$860*(HLOOKUP($D$1566,$G$787:$Q$797,O$1439-$O$1439+2))</f>
        <v>0.11904761904761904</v>
      </c>
      <c r="P868" s="60">
        <f>$O$860*(HLOOKUP($D$1566,$G$787:$Q$797,P$1439-$O$1439+2))</f>
        <v>0.23809523809523808</v>
      </c>
      <c r="Q868" s="60">
        <f>$O$860*(HLOOKUP($D$1566,$G$787:$Q$797,Q$1439-$O$1439+2))</f>
        <v>0.23809523809523808</v>
      </c>
      <c r="R868" s="60">
        <f>$O$860*(HLOOKUP($D$1566,$G$787:$Q$797,R$1439-$O$1439+2))</f>
        <v>0.23809523809523808</v>
      </c>
      <c r="S868" s="60">
        <f>$O$860*(HLOOKUP($D$1566,$G$787:$Q$797,S$1439-$O$1439+2))</f>
        <v>0.23809523809523808</v>
      </c>
      <c r="T868" s="294"/>
    </row>
    <row r="869" spans="1:20" x14ac:dyDescent="0.25">
      <c r="A869" s="302"/>
      <c r="C869" s="294"/>
      <c r="D869" s="40"/>
      <c r="E869" s="41"/>
      <c r="F869" s="41"/>
      <c r="G869" s="274"/>
      <c r="J869" s="60"/>
      <c r="K869" s="60"/>
      <c r="L869" s="60"/>
      <c r="M869" s="60"/>
      <c r="N869" s="60"/>
      <c r="O869" s="60"/>
      <c r="P869" s="60">
        <f>$P$860*(HLOOKUP($D$1566,$G$787:$Q$797,P$1439-$P$1439+2))</f>
        <v>0.11904761904761904</v>
      </c>
      <c r="Q869" s="60">
        <f>$P$860*(HLOOKUP($D$1566,$G$787:$Q$797,Q$1439-$P$1439+2))</f>
        <v>0.23809523809523808</v>
      </c>
      <c r="R869" s="60">
        <f>$P$860*(HLOOKUP($D$1566,$G$787:$Q$797,R$1439-$P$1439+2))</f>
        <v>0.23809523809523808</v>
      </c>
      <c r="S869" s="60">
        <f>$P$860*(HLOOKUP($D$1566,$G$787:$Q$797,S$1439-$P$1439+2))</f>
        <v>0.23809523809523808</v>
      </c>
      <c r="T869" s="294"/>
    </row>
    <row r="870" spans="1:20" x14ac:dyDescent="0.25">
      <c r="A870" s="302"/>
      <c r="C870" s="294"/>
      <c r="D870" s="40"/>
      <c r="E870" s="41"/>
      <c r="F870" s="41"/>
      <c r="G870" s="272"/>
      <c r="J870" s="60"/>
      <c r="K870" s="60"/>
      <c r="L870" s="60"/>
      <c r="M870" s="60"/>
      <c r="N870" s="60"/>
      <c r="O870" s="60"/>
      <c r="P870" s="60"/>
      <c r="Q870" s="60">
        <f>$Q$860*(HLOOKUP($D$1566,$G$787:$Q$797,Q$1439-$Q$1439+2))</f>
        <v>0.11904761904761904</v>
      </c>
      <c r="R870" s="60">
        <f>$Q$860*(HLOOKUP($D$1566,$G$787:$Q$797,R$1439-$Q$1439+2))</f>
        <v>0.23809523809523808</v>
      </c>
      <c r="S870" s="60">
        <f>$Q$860*(HLOOKUP($D$1566,$G$787:$Q$797,S$1439-$Q$1439+2))</f>
        <v>0.23809523809523808</v>
      </c>
      <c r="T870" s="294"/>
    </row>
    <row r="871" spans="1:20" x14ac:dyDescent="0.25">
      <c r="A871" s="302"/>
      <c r="C871" s="294"/>
      <c r="D871" s="40"/>
      <c r="E871" s="41"/>
      <c r="F871" s="41"/>
      <c r="G871" s="272"/>
      <c r="J871" s="60"/>
      <c r="K871" s="60"/>
      <c r="L871" s="60"/>
      <c r="M871" s="60"/>
      <c r="N871" s="60"/>
      <c r="O871" s="60"/>
      <c r="P871" s="60"/>
      <c r="Q871" s="60"/>
      <c r="R871" s="60">
        <f>$R$860*(HLOOKUP($D$1566,$G$787:$Q$797,R$1439-$R$1439+2))</f>
        <v>0.11904761904761904</v>
      </c>
      <c r="S871" s="60">
        <f>$R$860*(HLOOKUP($D$1566,$G$787:$Q$797,S$1439-$R$1439+2))</f>
        <v>0.23809523809523808</v>
      </c>
      <c r="T871" s="294"/>
    </row>
    <row r="872" spans="1:20" x14ac:dyDescent="0.25">
      <c r="A872" s="302"/>
      <c r="C872" s="294"/>
      <c r="D872" s="40"/>
      <c r="E872" s="41"/>
      <c r="F872" s="41"/>
      <c r="G872" s="272"/>
      <c r="J872" s="60"/>
      <c r="K872" s="60"/>
      <c r="L872" s="60"/>
      <c r="M872" s="60"/>
      <c r="N872" s="60"/>
      <c r="O872" s="60"/>
      <c r="P872" s="60"/>
      <c r="Q872" s="60"/>
      <c r="R872" s="60"/>
      <c r="S872" s="60">
        <f>$S$860*(HLOOKUP($D$1566,$G$787:$Q$797,S$1439-$S$1439+2))</f>
        <v>0.11904761904761904</v>
      </c>
      <c r="T872" s="294"/>
    </row>
    <row r="873" spans="1:20" x14ac:dyDescent="0.25">
      <c r="A873" s="302"/>
      <c r="C873" s="294"/>
      <c r="D873" s="40"/>
      <c r="E873" s="41"/>
      <c r="F873" s="41"/>
      <c r="G873" s="272"/>
      <c r="H873" s="41"/>
      <c r="I873" s="41"/>
      <c r="J873" s="620" t="s">
        <v>40</v>
      </c>
      <c r="K873" s="620" t="s">
        <v>40</v>
      </c>
      <c r="L873" s="620" t="s">
        <v>40</v>
      </c>
      <c r="M873" s="620" t="s">
        <v>40</v>
      </c>
      <c r="N873" s="620" t="s">
        <v>40</v>
      </c>
      <c r="O873" s="620" t="s">
        <v>40</v>
      </c>
      <c r="P873" s="620" t="s">
        <v>40</v>
      </c>
      <c r="Q873" s="620" t="s">
        <v>40</v>
      </c>
      <c r="R873" s="620" t="s">
        <v>40</v>
      </c>
      <c r="S873" s="620" t="s">
        <v>40</v>
      </c>
      <c r="T873" s="294"/>
    </row>
    <row r="874" spans="1:20" x14ac:dyDescent="0.25">
      <c r="A874" s="302"/>
      <c r="C874" s="294"/>
      <c r="D874" s="232"/>
      <c r="E874" s="18"/>
      <c r="F874" s="18"/>
      <c r="G874" s="18"/>
      <c r="H874" s="671" t="s">
        <v>369</v>
      </c>
      <c r="I874" s="18"/>
      <c r="J874" s="228">
        <f t="shared" ref="J874:S874" si="393">SUM(J862:J871)</f>
        <v>0.11904761904761904</v>
      </c>
      <c r="K874" s="228">
        <f t="shared" si="393"/>
        <v>0.3571428571428571</v>
      </c>
      <c r="L874" s="228">
        <f t="shared" si="393"/>
        <v>0.59523809523809523</v>
      </c>
      <c r="M874" s="228">
        <f t="shared" si="393"/>
        <v>0.83333333333333326</v>
      </c>
      <c r="N874" s="228">
        <f t="shared" si="393"/>
        <v>1.0714285714285714</v>
      </c>
      <c r="O874" s="228">
        <f t="shared" si="393"/>
        <v>1.3095238095238095</v>
      </c>
      <c r="P874" s="228">
        <f t="shared" si="393"/>
        <v>1.5476190476190477</v>
      </c>
      <c r="Q874" s="228">
        <f t="shared" si="393"/>
        <v>1.7857142857142858</v>
      </c>
      <c r="R874" s="228">
        <f t="shared" si="393"/>
        <v>2.0238095238095237</v>
      </c>
      <c r="S874" s="228">
        <f t="shared" si="393"/>
        <v>2.1428571428571428</v>
      </c>
      <c r="T874" s="294"/>
    </row>
    <row r="875" spans="1:20" ht="27.75" customHeight="1" x14ac:dyDescent="0.25">
      <c r="A875" s="302"/>
      <c r="C875" s="294"/>
      <c r="D875" s="656" t="s">
        <v>368</v>
      </c>
      <c r="E875" s="213"/>
      <c r="F875" s="213"/>
      <c r="G875" s="213"/>
      <c r="H875" s="280"/>
      <c r="I875" s="213"/>
      <c r="J875" s="281"/>
      <c r="K875" s="281"/>
      <c r="L875" s="281"/>
      <c r="M875" s="281"/>
      <c r="N875" s="281"/>
      <c r="O875" s="281"/>
      <c r="P875" s="281"/>
      <c r="Q875" s="281"/>
      <c r="R875" s="281"/>
      <c r="S875" s="281"/>
      <c r="T875" s="294"/>
    </row>
    <row r="876" spans="1:20" x14ac:dyDescent="0.25">
      <c r="A876" s="302"/>
      <c r="C876" s="294"/>
      <c r="D876" s="676" t="s">
        <v>343</v>
      </c>
      <c r="E876" s="39"/>
      <c r="F876" s="39"/>
      <c r="G876" s="39"/>
      <c r="H876" s="227"/>
      <c r="I876" s="39"/>
      <c r="J876" s="39"/>
      <c r="K876" s="39"/>
      <c r="L876" s="39"/>
      <c r="M876" s="39"/>
      <c r="N876" s="39"/>
      <c r="O876" s="39"/>
      <c r="P876" s="39"/>
      <c r="Q876" s="39"/>
      <c r="R876" s="39"/>
      <c r="S876" s="39"/>
      <c r="T876" s="294"/>
    </row>
    <row r="877" spans="1:20" x14ac:dyDescent="0.25">
      <c r="A877" s="302"/>
      <c r="C877" s="294"/>
      <c r="D877" s="247"/>
      <c r="E877" s="41"/>
      <c r="F877" s="41"/>
      <c r="G877" s="41"/>
      <c r="H877" s="242"/>
      <c r="I877" s="41"/>
      <c r="J877" s="291"/>
      <c r="K877" s="292"/>
      <c r="L877" s="292"/>
      <c r="M877" s="292"/>
      <c r="N877" s="292"/>
      <c r="O877" s="292"/>
      <c r="P877" s="292"/>
      <c r="Q877" s="292"/>
      <c r="R877" s="292"/>
      <c r="S877" s="292"/>
      <c r="T877" s="294"/>
    </row>
    <row r="878" spans="1:20" x14ac:dyDescent="0.25">
      <c r="A878" s="302"/>
      <c r="C878" s="294"/>
      <c r="D878" s="247"/>
      <c r="E878" s="41"/>
      <c r="F878" s="41"/>
      <c r="G878" s="41"/>
      <c r="H878" s="242"/>
      <c r="I878" s="41"/>
      <c r="J878" s="291"/>
      <c r="K878" s="292"/>
      <c r="L878" s="292"/>
      <c r="M878" s="292"/>
      <c r="N878" s="292"/>
      <c r="O878" s="292"/>
      <c r="P878" s="292"/>
      <c r="Q878" s="292"/>
      <c r="R878" s="292"/>
      <c r="S878" s="292"/>
      <c r="T878" s="294"/>
    </row>
    <row r="879" spans="1:20" x14ac:dyDescent="0.25">
      <c r="A879" s="302"/>
      <c r="C879" s="294"/>
      <c r="D879" s="230"/>
      <c r="E879" s="39"/>
      <c r="F879" s="39"/>
      <c r="G879" s="39"/>
      <c r="H879" s="227"/>
      <c r="I879" s="39"/>
      <c r="J879" s="223" t="str">
        <f>"For the Fiscal Year Ending "&amp;$H$1372</f>
        <v>For the Fiscal Year Ending December 31,</v>
      </c>
      <c r="K879" s="224"/>
      <c r="L879" s="224"/>
      <c r="M879" s="224"/>
      <c r="N879" s="224"/>
      <c r="O879" s="224"/>
      <c r="P879" s="224"/>
      <c r="Q879" s="224"/>
      <c r="R879" s="224"/>
      <c r="S879" s="224"/>
      <c r="T879" s="294"/>
    </row>
    <row r="880" spans="1:20" x14ac:dyDescent="0.25">
      <c r="A880" s="302"/>
      <c r="C880" s="294"/>
      <c r="D880" s="666" t="s">
        <v>370</v>
      </c>
      <c r="E880" s="41"/>
      <c r="F880" s="41"/>
      <c r="G880" s="41"/>
      <c r="H880" s="690" t="s">
        <v>339</v>
      </c>
      <c r="I880" s="41"/>
      <c r="J880" s="221">
        <f>$H$1371</f>
        <v>1998</v>
      </c>
      <c r="K880" s="222">
        <f t="shared" ref="K880:S880" si="394">J880+1</f>
        <v>1999</v>
      </c>
      <c r="L880" s="222">
        <f t="shared" si="394"/>
        <v>2000</v>
      </c>
      <c r="M880" s="222">
        <f t="shared" si="394"/>
        <v>2001</v>
      </c>
      <c r="N880" s="222">
        <f t="shared" si="394"/>
        <v>2002</v>
      </c>
      <c r="O880" s="222">
        <f t="shared" si="394"/>
        <v>2003</v>
      </c>
      <c r="P880" s="222">
        <f t="shared" si="394"/>
        <v>2004</v>
      </c>
      <c r="Q880" s="222">
        <f t="shared" si="394"/>
        <v>2005</v>
      </c>
      <c r="R880" s="222">
        <f t="shared" si="394"/>
        <v>2006</v>
      </c>
      <c r="S880" s="222">
        <f t="shared" si="394"/>
        <v>2007</v>
      </c>
      <c r="T880" s="294"/>
    </row>
    <row r="881" spans="1:20" x14ac:dyDescent="0.25">
      <c r="A881" s="302"/>
      <c r="C881" s="294"/>
      <c r="D881" s="275"/>
      <c r="E881" s="41"/>
      <c r="F881" s="41"/>
      <c r="G881" s="41"/>
      <c r="H881" s="242"/>
      <c r="I881" s="41"/>
      <c r="J881" s="62"/>
      <c r="K881" s="62"/>
      <c r="L881" s="62"/>
      <c r="M881" s="62"/>
      <c r="N881" s="62"/>
      <c r="O881" s="62"/>
      <c r="P881" s="62"/>
      <c r="Q881" s="62"/>
      <c r="R881" s="62"/>
      <c r="S881" s="62"/>
      <c r="T881" s="294"/>
    </row>
    <row r="882" spans="1:20" x14ac:dyDescent="0.25">
      <c r="A882" s="302"/>
      <c r="C882" s="294"/>
      <c r="D882" s="275"/>
      <c r="E882" s="41"/>
      <c r="F882" s="41"/>
      <c r="G882" s="41"/>
      <c r="H882" s="670">
        <v>1</v>
      </c>
      <c r="I882" s="41"/>
      <c r="J882" s="62">
        <f t="shared" ref="J882:S882" si="395">HLOOKUP($J$1578,$G$787:$Q$797,J$1439+1)*$J$1556</f>
        <v>0</v>
      </c>
      <c r="K882" s="62">
        <f t="shared" si="395"/>
        <v>0</v>
      </c>
      <c r="L882" s="62">
        <f t="shared" si="395"/>
        <v>0</v>
      </c>
      <c r="M882" s="62">
        <f t="shared" si="395"/>
        <v>0</v>
      </c>
      <c r="N882" s="62">
        <f t="shared" si="395"/>
        <v>0</v>
      </c>
      <c r="O882" s="62">
        <f t="shared" si="395"/>
        <v>0</v>
      </c>
      <c r="P882" s="62">
        <f t="shared" si="395"/>
        <v>0</v>
      </c>
      <c r="Q882" s="62">
        <f t="shared" si="395"/>
        <v>0</v>
      </c>
      <c r="R882" s="62">
        <f t="shared" si="395"/>
        <v>0</v>
      </c>
      <c r="S882" s="62">
        <f t="shared" si="395"/>
        <v>0</v>
      </c>
      <c r="T882" s="294"/>
    </row>
    <row r="883" spans="1:20" x14ac:dyDescent="0.25">
      <c r="A883" s="302"/>
      <c r="C883" s="294"/>
      <c r="D883" s="275"/>
      <c r="E883" s="41"/>
      <c r="F883" s="41"/>
      <c r="G883" s="41"/>
      <c r="H883" s="242">
        <f t="shared" ref="H883:H891" si="396">H882+1</f>
        <v>2</v>
      </c>
      <c r="I883" s="41"/>
      <c r="J883" s="62"/>
      <c r="K883" s="62">
        <f t="shared" ref="K883:S883" si="397">HLOOKUP($K$1578,$G$787:$Q$797,K$1439-$J$1439+1)*$K$1556</f>
        <v>0</v>
      </c>
      <c r="L883" s="62">
        <f t="shared" si="397"/>
        <v>0</v>
      </c>
      <c r="M883" s="62">
        <f t="shared" si="397"/>
        <v>0</v>
      </c>
      <c r="N883" s="62">
        <f t="shared" si="397"/>
        <v>0</v>
      </c>
      <c r="O883" s="62">
        <f t="shared" si="397"/>
        <v>0</v>
      </c>
      <c r="P883" s="62">
        <f t="shared" si="397"/>
        <v>0</v>
      </c>
      <c r="Q883" s="62">
        <f t="shared" si="397"/>
        <v>0</v>
      </c>
      <c r="R883" s="62">
        <f t="shared" si="397"/>
        <v>0</v>
      </c>
      <c r="S883" s="62">
        <f t="shared" si="397"/>
        <v>0</v>
      </c>
      <c r="T883" s="294"/>
    </row>
    <row r="884" spans="1:20" x14ac:dyDescent="0.25">
      <c r="A884" s="302"/>
      <c r="C884" s="294"/>
      <c r="D884" s="275"/>
      <c r="E884" s="41"/>
      <c r="F884" s="41"/>
      <c r="G884" s="41"/>
      <c r="H884" s="242">
        <f t="shared" si="396"/>
        <v>3</v>
      </c>
      <c r="I884" s="41"/>
      <c r="J884" s="62"/>
      <c r="K884" s="62"/>
      <c r="L884" s="62">
        <f t="shared" ref="L884:S884" si="398">HLOOKUP($L$1578,$G$787:$Q$797,L$1439-$K$1439+1)*$L$1556</f>
        <v>0</v>
      </c>
      <c r="M884" s="62">
        <f t="shared" si="398"/>
        <v>0</v>
      </c>
      <c r="N884" s="62">
        <f t="shared" si="398"/>
        <v>0</v>
      </c>
      <c r="O884" s="62">
        <f t="shared" si="398"/>
        <v>0</v>
      </c>
      <c r="P884" s="62">
        <f t="shared" si="398"/>
        <v>0</v>
      </c>
      <c r="Q884" s="62">
        <f t="shared" si="398"/>
        <v>0</v>
      </c>
      <c r="R884" s="62">
        <f t="shared" si="398"/>
        <v>0</v>
      </c>
      <c r="S884" s="62">
        <f t="shared" si="398"/>
        <v>0</v>
      </c>
      <c r="T884" s="294"/>
    </row>
    <row r="885" spans="1:20" x14ac:dyDescent="0.25">
      <c r="A885" s="302"/>
      <c r="C885" s="294"/>
      <c r="D885" s="275"/>
      <c r="E885" s="41"/>
      <c r="F885" s="41"/>
      <c r="G885" s="41"/>
      <c r="H885" s="242">
        <f t="shared" si="396"/>
        <v>4</v>
      </c>
      <c r="I885" s="41"/>
      <c r="J885" s="62"/>
      <c r="K885" s="62"/>
      <c r="L885" s="62"/>
      <c r="M885" s="62">
        <f t="shared" ref="M885:S885" si="399">HLOOKUP($M$1578,$G$787:$Q$797,M$1439-$L$1439+1)*$M$1556</f>
        <v>0</v>
      </c>
      <c r="N885" s="62">
        <f t="shared" si="399"/>
        <v>0</v>
      </c>
      <c r="O885" s="62">
        <f t="shared" si="399"/>
        <v>0</v>
      </c>
      <c r="P885" s="62">
        <f t="shared" si="399"/>
        <v>0</v>
      </c>
      <c r="Q885" s="62">
        <f t="shared" si="399"/>
        <v>0</v>
      </c>
      <c r="R885" s="62">
        <f t="shared" si="399"/>
        <v>0</v>
      </c>
      <c r="S885" s="62">
        <f t="shared" si="399"/>
        <v>0</v>
      </c>
      <c r="T885" s="294"/>
    </row>
    <row r="886" spans="1:20" x14ac:dyDescent="0.25">
      <c r="A886" s="302"/>
      <c r="C886" s="294"/>
      <c r="D886" s="275"/>
      <c r="E886" s="41"/>
      <c r="F886" s="41"/>
      <c r="G886" s="41"/>
      <c r="H886" s="242">
        <f t="shared" si="396"/>
        <v>5</v>
      </c>
      <c r="I886" s="41"/>
      <c r="J886" s="62"/>
      <c r="K886" s="62"/>
      <c r="L886" s="62"/>
      <c r="M886" s="62"/>
      <c r="N886" s="62">
        <f t="shared" ref="N886:S886" si="400">HLOOKUP($N$1578,$G$787:$Q$797,N$1439-$M$1439+1)*$N$1556</f>
        <v>0</v>
      </c>
      <c r="O886" s="62">
        <f t="shared" si="400"/>
        <v>0</v>
      </c>
      <c r="P886" s="62">
        <f t="shared" si="400"/>
        <v>0</v>
      </c>
      <c r="Q886" s="62">
        <f t="shared" si="400"/>
        <v>0</v>
      </c>
      <c r="R886" s="62">
        <f t="shared" si="400"/>
        <v>0</v>
      </c>
      <c r="S886" s="62">
        <f t="shared" si="400"/>
        <v>0</v>
      </c>
      <c r="T886" s="294"/>
    </row>
    <row r="887" spans="1:20" x14ac:dyDescent="0.25">
      <c r="A887" s="302"/>
      <c r="C887" s="294"/>
      <c r="D887" s="275"/>
      <c r="E887" s="41"/>
      <c r="F887" s="41"/>
      <c r="G887" s="41"/>
      <c r="H887" s="242">
        <f t="shared" si="396"/>
        <v>6</v>
      </c>
      <c r="I887" s="41"/>
      <c r="J887" s="62"/>
      <c r="K887" s="62"/>
      <c r="L887" s="62"/>
      <c r="M887" s="62"/>
      <c r="N887" s="62"/>
      <c r="O887" s="62">
        <f>HLOOKUP($O$1578,$G$787:$Q$797,O$1439-$N$1439+1)*$O$1556</f>
        <v>0</v>
      </c>
      <c r="P887" s="62">
        <f>HLOOKUP($O$1578,$G$787:$Q$797,P$1439-$N$1439+1)*$O$1556</f>
        <v>0</v>
      </c>
      <c r="Q887" s="62">
        <f>HLOOKUP($O$1578,$G$787:$Q$797,Q$1439-$N$1439+1)*$O$1556</f>
        <v>0</v>
      </c>
      <c r="R887" s="62">
        <f>HLOOKUP($O$1578,$G$787:$Q$797,R$1439-$N$1439+1)*$O$1556</f>
        <v>0</v>
      </c>
      <c r="S887" s="62">
        <f>HLOOKUP($O$1578,$G$787:$Q$797,S$1439-$N$1439+1)*$O$1556</f>
        <v>0</v>
      </c>
      <c r="T887" s="294"/>
    </row>
    <row r="888" spans="1:20" x14ac:dyDescent="0.25">
      <c r="A888" s="302"/>
      <c r="C888" s="294"/>
      <c r="D888" s="275"/>
      <c r="E888" s="41"/>
      <c r="F888" s="41"/>
      <c r="G888" s="41"/>
      <c r="H888" s="242">
        <f t="shared" si="396"/>
        <v>7</v>
      </c>
      <c r="I888" s="41"/>
      <c r="J888" s="62"/>
      <c r="K888" s="62"/>
      <c r="L888" s="62"/>
      <c r="M888" s="62"/>
      <c r="N888" s="62"/>
      <c r="O888" s="62"/>
      <c r="P888" s="62">
        <f>HLOOKUP($P$1578,$G$787:$Q$797,P$1439-$O$1439+1)*$P$1556</f>
        <v>0</v>
      </c>
      <c r="Q888" s="62">
        <f>HLOOKUP($P$1578,$G$787:$Q$797,Q$1439-$O$1439+1)*$P$1556</f>
        <v>0</v>
      </c>
      <c r="R888" s="62">
        <f>HLOOKUP($P$1578,$G$787:$Q$797,R$1439-$O$1439+1)*$P$1556</f>
        <v>0</v>
      </c>
      <c r="S888" s="62">
        <f>HLOOKUP($P$1578,$G$787:$Q$797,S$1439-$O$1439+1)*$P$1556</f>
        <v>0</v>
      </c>
      <c r="T888" s="294"/>
    </row>
    <row r="889" spans="1:20" x14ac:dyDescent="0.25">
      <c r="A889" s="302"/>
      <c r="C889" s="294"/>
      <c r="D889" s="275"/>
      <c r="E889" s="41"/>
      <c r="F889" s="41"/>
      <c r="G889" s="41"/>
      <c r="H889" s="242">
        <f t="shared" si="396"/>
        <v>8</v>
      </c>
      <c r="I889" s="41"/>
      <c r="J889" s="62"/>
      <c r="K889" s="62"/>
      <c r="L889" s="62"/>
      <c r="M889" s="62"/>
      <c r="N889" s="62"/>
      <c r="O889" s="62"/>
      <c r="P889" s="62"/>
      <c r="Q889" s="62">
        <f>HLOOKUP($Q$1578,$G$787:$Q$797,Q$1439-$P$1439+1)*$Q$1556</f>
        <v>0</v>
      </c>
      <c r="R889" s="62">
        <f>HLOOKUP($Q$1578,$G$787:$Q$797,R$1439-$P$1439+1)*$Q$1556</f>
        <v>0</v>
      </c>
      <c r="S889" s="62">
        <f>HLOOKUP($Q$1578,$G$787:$Q$797,S$1439-$P$1439+1)*$Q$1556</f>
        <v>0</v>
      </c>
      <c r="T889" s="294"/>
    </row>
    <row r="890" spans="1:20" x14ac:dyDescent="0.25">
      <c r="A890" s="302"/>
      <c r="C890" s="294"/>
      <c r="D890" s="275"/>
      <c r="E890" s="41"/>
      <c r="F890" s="41"/>
      <c r="G890" s="41"/>
      <c r="H890" s="242">
        <f t="shared" si="396"/>
        <v>9</v>
      </c>
      <c r="I890" s="41"/>
      <c r="J890" s="62"/>
      <c r="K890" s="62"/>
      <c r="L890" s="62"/>
      <c r="M890" s="62"/>
      <c r="N890" s="62"/>
      <c r="O890" s="62"/>
      <c r="P890" s="62"/>
      <c r="Q890" s="62"/>
      <c r="R890" s="62">
        <f>HLOOKUP($R$1578,$G$787:$Q$797,R$1439-$Q$1439+1)*$R$1556</f>
        <v>0</v>
      </c>
      <c r="S890" s="62">
        <f>HLOOKUP($R$1578,$G$787:$Q$797,S$1439-$Q$1439+1)*$R$1556</f>
        <v>0</v>
      </c>
      <c r="T890" s="294"/>
    </row>
    <row r="891" spans="1:20" x14ac:dyDescent="0.25">
      <c r="A891" s="302"/>
      <c r="C891" s="294"/>
      <c r="D891" s="275"/>
      <c r="E891" s="41"/>
      <c r="F891" s="41"/>
      <c r="G891" s="41"/>
      <c r="H891" s="242">
        <f t="shared" si="396"/>
        <v>10</v>
      </c>
      <c r="I891" s="41"/>
      <c r="J891" s="62"/>
      <c r="K891" s="62"/>
      <c r="L891" s="62"/>
      <c r="M891" s="62"/>
      <c r="N891" s="62"/>
      <c r="O891" s="62"/>
      <c r="P891" s="62"/>
      <c r="Q891" s="62"/>
      <c r="R891" s="62"/>
      <c r="S891" s="62">
        <f>HLOOKUP($S$1578,$G$787:$Q$797,S$1439-$R$1439+1)*$S$1556</f>
        <v>0</v>
      </c>
      <c r="T891" s="294"/>
    </row>
    <row r="892" spans="1:20" x14ac:dyDescent="0.25">
      <c r="A892" s="302"/>
      <c r="C892" s="294"/>
      <c r="D892" s="275"/>
      <c r="E892" s="41"/>
      <c r="F892" s="41"/>
      <c r="G892" s="41"/>
      <c r="H892" s="242"/>
      <c r="I892" s="41"/>
      <c r="J892" s="62"/>
      <c r="K892" s="62"/>
      <c r="L892" s="62"/>
      <c r="M892" s="62"/>
      <c r="N892" s="62"/>
      <c r="O892" s="62"/>
      <c r="P892" s="62"/>
      <c r="Q892" s="62"/>
      <c r="R892" s="62"/>
      <c r="S892" s="62"/>
      <c r="T892" s="294"/>
    </row>
    <row r="893" spans="1:20" x14ac:dyDescent="0.25">
      <c r="A893" s="302"/>
      <c r="C893" s="294"/>
      <c r="D893" s="275"/>
      <c r="E893" s="41"/>
      <c r="F893" s="41"/>
      <c r="G893" s="41"/>
      <c r="H893" s="242"/>
      <c r="I893" s="41"/>
      <c r="J893" s="691" t="s">
        <v>371</v>
      </c>
      <c r="K893" s="691" t="s">
        <v>371</v>
      </c>
      <c r="L893" s="691" t="s">
        <v>371</v>
      </c>
      <c r="M893" s="691" t="s">
        <v>371</v>
      </c>
      <c r="N893" s="691" t="s">
        <v>371</v>
      </c>
      <c r="O893" s="691" t="s">
        <v>371</v>
      </c>
      <c r="P893" s="691" t="s">
        <v>371</v>
      </c>
      <c r="Q893" s="691" t="s">
        <v>371</v>
      </c>
      <c r="R893" s="691" t="s">
        <v>371</v>
      </c>
      <c r="S893" s="691" t="s">
        <v>371</v>
      </c>
      <c r="T893" s="294"/>
    </row>
    <row r="894" spans="1:20" x14ac:dyDescent="0.25">
      <c r="A894" s="302"/>
      <c r="C894" s="294"/>
      <c r="D894" s="43"/>
      <c r="E894" s="18"/>
      <c r="F894" s="18"/>
      <c r="G894" s="18"/>
      <c r="H894" s="671" t="s">
        <v>369</v>
      </c>
      <c r="I894" s="18"/>
      <c r="J894" s="277">
        <f t="shared" ref="J894:S894" si="401">SUM(J882:J893)</f>
        <v>0</v>
      </c>
      <c r="K894" s="277">
        <f t="shared" si="401"/>
        <v>0</v>
      </c>
      <c r="L894" s="277">
        <f t="shared" si="401"/>
        <v>0</v>
      </c>
      <c r="M894" s="277">
        <f t="shared" si="401"/>
        <v>0</v>
      </c>
      <c r="N894" s="277">
        <f t="shared" si="401"/>
        <v>0</v>
      </c>
      <c r="O894" s="277">
        <f t="shared" si="401"/>
        <v>0</v>
      </c>
      <c r="P894" s="277">
        <f t="shared" si="401"/>
        <v>0</v>
      </c>
      <c r="Q894" s="277">
        <f t="shared" si="401"/>
        <v>0</v>
      </c>
      <c r="R894" s="277">
        <f t="shared" si="401"/>
        <v>0</v>
      </c>
      <c r="S894" s="277">
        <f t="shared" si="401"/>
        <v>0</v>
      </c>
      <c r="T894" s="294"/>
    </row>
    <row r="895" spans="1:20" x14ac:dyDescent="0.25">
      <c r="A895" s="302"/>
      <c r="C895" s="294"/>
      <c r="H895" s="38"/>
      <c r="J895" s="15"/>
      <c r="K895" s="15"/>
      <c r="L895" s="15"/>
      <c r="M895" s="15"/>
      <c r="N895" s="15"/>
      <c r="O895" s="15"/>
      <c r="P895" s="15"/>
      <c r="Q895" s="15"/>
      <c r="R895" s="15"/>
      <c r="S895" s="152"/>
      <c r="T895" s="294"/>
    </row>
    <row r="896" spans="1:20" x14ac:dyDescent="0.25">
      <c r="A896" s="302"/>
      <c r="C896" s="294"/>
      <c r="D896" s="676" t="s">
        <v>372</v>
      </c>
      <c r="E896" s="39"/>
      <c r="F896" s="39"/>
      <c r="G896" s="39"/>
      <c r="H896" s="227"/>
      <c r="I896" s="39"/>
      <c r="J896" s="223" t="str">
        <f>"For the Fiscal Year Ending "&amp;$H$1372</f>
        <v>For the Fiscal Year Ending December 31,</v>
      </c>
      <c r="K896" s="224"/>
      <c r="L896" s="224"/>
      <c r="M896" s="224"/>
      <c r="N896" s="224"/>
      <c r="O896" s="224"/>
      <c r="P896" s="224"/>
      <c r="Q896" s="224"/>
      <c r="R896" s="224"/>
      <c r="S896" s="224"/>
      <c r="T896" s="294"/>
    </row>
    <row r="897" spans="1:20" x14ac:dyDescent="0.25">
      <c r="A897" s="302"/>
      <c r="C897" s="294"/>
      <c r="D897" s="40"/>
      <c r="E897" s="41"/>
      <c r="F897" s="41"/>
      <c r="G897" s="41"/>
      <c r="H897" s="242"/>
      <c r="I897" s="41"/>
      <c r="J897" s="221">
        <f>$H$1371</f>
        <v>1998</v>
      </c>
      <c r="K897" s="222">
        <f t="shared" ref="K897:S897" si="402">J897+1</f>
        <v>1999</v>
      </c>
      <c r="L897" s="222">
        <f t="shared" si="402"/>
        <v>2000</v>
      </c>
      <c r="M897" s="222">
        <f t="shared" si="402"/>
        <v>2001</v>
      </c>
      <c r="N897" s="222">
        <f t="shared" si="402"/>
        <v>2002</v>
      </c>
      <c r="O897" s="222">
        <f t="shared" si="402"/>
        <v>2003</v>
      </c>
      <c r="P897" s="222">
        <f t="shared" si="402"/>
        <v>2004</v>
      </c>
      <c r="Q897" s="222">
        <f t="shared" si="402"/>
        <v>2005</v>
      </c>
      <c r="R897" s="222">
        <f t="shared" si="402"/>
        <v>2006</v>
      </c>
      <c r="S897" s="222">
        <f t="shared" si="402"/>
        <v>2007</v>
      </c>
      <c r="T897" s="294"/>
    </row>
    <row r="898" spans="1:20" x14ac:dyDescent="0.25">
      <c r="A898" s="302"/>
      <c r="C898" s="294"/>
      <c r="D898" s="40"/>
      <c r="E898" s="41"/>
      <c r="F898" s="41"/>
      <c r="G898" s="41"/>
      <c r="H898" s="242" t="str">
        <f>H772</f>
        <v>5.0 Year Assets:.................................................................</v>
      </c>
      <c r="I898" s="41"/>
      <c r="J898" s="152">
        <f t="shared" ref="J898:S898" si="403">J818</f>
        <v>1.65</v>
      </c>
      <c r="K898" s="152">
        <f t="shared" si="403"/>
        <v>4.05</v>
      </c>
      <c r="L898" s="152">
        <f t="shared" si="403"/>
        <v>5.49</v>
      </c>
      <c r="M898" s="152">
        <f t="shared" si="403"/>
        <v>6.3539999999999992</v>
      </c>
      <c r="N898" s="152">
        <f t="shared" si="403"/>
        <v>7.218</v>
      </c>
      <c r="O898" s="152">
        <f t="shared" si="403"/>
        <v>7.65</v>
      </c>
      <c r="P898" s="152">
        <f t="shared" si="403"/>
        <v>7.65</v>
      </c>
      <c r="Q898" s="152">
        <f t="shared" si="403"/>
        <v>7.65</v>
      </c>
      <c r="R898" s="152">
        <f t="shared" si="403"/>
        <v>7.65</v>
      </c>
      <c r="S898" s="152">
        <f t="shared" si="403"/>
        <v>6</v>
      </c>
      <c r="T898" s="294"/>
    </row>
    <row r="899" spans="1:20" x14ac:dyDescent="0.25">
      <c r="A899" s="302"/>
      <c r="C899" s="294"/>
      <c r="D899" s="40"/>
      <c r="E899" s="41"/>
      <c r="F899" s="41"/>
      <c r="G899" s="41"/>
      <c r="H899" s="242" t="str">
        <f>H773</f>
        <v>7.0 Year Assets:.....................................................................................</v>
      </c>
      <c r="I899" s="41"/>
      <c r="J899" s="278">
        <f t="shared" ref="J899:S899" si="404">J836</f>
        <v>1.07175</v>
      </c>
      <c r="K899" s="278">
        <f t="shared" si="404"/>
        <v>2.9085000000000001</v>
      </c>
      <c r="L899" s="278">
        <f t="shared" si="404"/>
        <v>4.2202500000000001</v>
      </c>
      <c r="M899" s="278">
        <f t="shared" si="404"/>
        <v>5.157</v>
      </c>
      <c r="N899" s="278">
        <f t="shared" si="404"/>
        <v>5.8267499999999997</v>
      </c>
      <c r="O899" s="278">
        <f t="shared" si="404"/>
        <v>6.4957500000000001</v>
      </c>
      <c r="P899" s="278">
        <f t="shared" si="404"/>
        <v>7.1654999999999998</v>
      </c>
      <c r="Q899" s="278">
        <f t="shared" si="404"/>
        <v>7.5</v>
      </c>
      <c r="R899" s="278">
        <f t="shared" si="404"/>
        <v>7.5</v>
      </c>
      <c r="S899" s="278">
        <f t="shared" si="404"/>
        <v>6.4282500000000002</v>
      </c>
      <c r="T899" s="294"/>
    </row>
    <row r="900" spans="1:20" x14ac:dyDescent="0.25">
      <c r="A900" s="302"/>
      <c r="C900" s="294"/>
      <c r="D900" s="40"/>
      <c r="E900" s="41"/>
      <c r="F900" s="41"/>
      <c r="G900" s="41"/>
      <c r="H900" s="242" t="str">
        <f>H774</f>
        <v>10.0 Year Assets:...............................................................</v>
      </c>
      <c r="I900" s="41"/>
      <c r="J900" s="278">
        <f t="shared" ref="J900:S900" si="405">J855</f>
        <v>0.75</v>
      </c>
      <c r="K900" s="278">
        <f t="shared" si="405"/>
        <v>2.0999999999999996</v>
      </c>
      <c r="L900" s="278">
        <f t="shared" si="405"/>
        <v>3.1799999999999997</v>
      </c>
      <c r="M900" s="278">
        <f t="shared" si="405"/>
        <v>4.0439999999999996</v>
      </c>
      <c r="N900" s="278">
        <f t="shared" si="405"/>
        <v>4.7354999999999992</v>
      </c>
      <c r="O900" s="278">
        <f t="shared" si="405"/>
        <v>5.2882499999999997</v>
      </c>
      <c r="P900" s="278">
        <f t="shared" si="405"/>
        <v>5.7794999999999996</v>
      </c>
      <c r="Q900" s="278">
        <f t="shared" si="405"/>
        <v>6.2707499999999996</v>
      </c>
      <c r="R900" s="278">
        <f t="shared" si="405"/>
        <v>6.7627499999999996</v>
      </c>
      <c r="S900" s="278">
        <f t="shared" si="405"/>
        <v>6.5039999999999996</v>
      </c>
      <c r="T900" s="294"/>
    </row>
    <row r="901" spans="1:20" x14ac:dyDescent="0.25">
      <c r="A901" s="302"/>
      <c r="C901" s="294"/>
      <c r="D901" s="40"/>
      <c r="E901" s="41"/>
      <c r="F901" s="41"/>
      <c r="G901" s="41"/>
      <c r="H901" s="242" t="str">
        <f>H775</f>
        <v>31.5 Year Assets:.....................................................................</v>
      </c>
      <c r="I901" s="41"/>
      <c r="J901" s="278">
        <f t="shared" ref="J901:S901" si="406">J874</f>
        <v>0.11904761904761904</v>
      </c>
      <c r="K901" s="278">
        <f t="shared" si="406"/>
        <v>0.3571428571428571</v>
      </c>
      <c r="L901" s="278">
        <f t="shared" si="406"/>
        <v>0.59523809523809523</v>
      </c>
      <c r="M901" s="278">
        <f t="shared" si="406"/>
        <v>0.83333333333333326</v>
      </c>
      <c r="N901" s="278">
        <f t="shared" si="406"/>
        <v>1.0714285714285714</v>
      </c>
      <c r="O901" s="278">
        <f t="shared" si="406"/>
        <v>1.3095238095238095</v>
      </c>
      <c r="P901" s="278">
        <f t="shared" si="406"/>
        <v>1.5476190476190477</v>
      </c>
      <c r="Q901" s="278">
        <f t="shared" si="406"/>
        <v>1.7857142857142858</v>
      </c>
      <c r="R901" s="278">
        <f t="shared" si="406"/>
        <v>2.0238095238095237</v>
      </c>
      <c r="S901" s="278">
        <f t="shared" si="406"/>
        <v>2.1428571428571428</v>
      </c>
      <c r="T901" s="294"/>
    </row>
    <row r="902" spans="1:20" x14ac:dyDescent="0.25">
      <c r="A902" s="302"/>
      <c r="C902" s="294"/>
      <c r="D902" s="40"/>
      <c r="E902" s="41"/>
      <c r="F902" s="41"/>
      <c r="G902" s="41"/>
      <c r="H902" s="242" t="str">
        <f>H776</f>
        <v>Special CAPEX Assets..................................</v>
      </c>
      <c r="I902" s="41"/>
      <c r="J902" s="278">
        <f t="shared" ref="J902:S902" si="407">J894</f>
        <v>0</v>
      </c>
      <c r="K902" s="278">
        <f t="shared" si="407"/>
        <v>0</v>
      </c>
      <c r="L902" s="278">
        <f t="shared" si="407"/>
        <v>0</v>
      </c>
      <c r="M902" s="278">
        <f t="shared" si="407"/>
        <v>0</v>
      </c>
      <c r="N902" s="278">
        <f t="shared" si="407"/>
        <v>0</v>
      </c>
      <c r="O902" s="278">
        <f t="shared" si="407"/>
        <v>0</v>
      </c>
      <c r="P902" s="278">
        <f t="shared" si="407"/>
        <v>0</v>
      </c>
      <c r="Q902" s="278">
        <f t="shared" si="407"/>
        <v>0</v>
      </c>
      <c r="R902" s="278">
        <f t="shared" si="407"/>
        <v>0</v>
      </c>
      <c r="S902" s="278">
        <f t="shared" si="407"/>
        <v>0</v>
      </c>
      <c r="T902" s="294"/>
    </row>
    <row r="903" spans="1:20" x14ac:dyDescent="0.25">
      <c r="A903" s="302"/>
      <c r="C903" s="294"/>
      <c r="D903" s="40"/>
      <c r="E903" s="41"/>
      <c r="F903" s="41"/>
      <c r="G903" s="41"/>
      <c r="H903" s="242"/>
      <c r="I903" s="41"/>
      <c r="J903" s="621" t="s">
        <v>366</v>
      </c>
      <c r="K903" s="621" t="s">
        <v>366</v>
      </c>
      <c r="L903" s="621" t="s">
        <v>366</v>
      </c>
      <c r="M903" s="621" t="s">
        <v>366</v>
      </c>
      <c r="N903" s="621" t="s">
        <v>366</v>
      </c>
      <c r="O903" s="621" t="s">
        <v>366</v>
      </c>
      <c r="P903" s="621" t="s">
        <v>366</v>
      </c>
      <c r="Q903" s="621" t="s">
        <v>366</v>
      </c>
      <c r="R903" s="621" t="s">
        <v>366</v>
      </c>
      <c r="S903" s="621" t="s">
        <v>366</v>
      </c>
      <c r="T903" s="294"/>
    </row>
    <row r="904" spans="1:20" x14ac:dyDescent="0.25">
      <c r="A904" s="302"/>
      <c r="C904" s="294"/>
      <c r="D904" s="279"/>
      <c r="E904" s="41"/>
      <c r="F904" s="41"/>
      <c r="G904" s="41"/>
      <c r="H904" s="670" t="s">
        <v>373</v>
      </c>
      <c r="I904" s="41"/>
      <c r="J904" s="62">
        <f t="shared" ref="J904:S904" si="408">SUM(J898:J903)</f>
        <v>3.5907976190476192</v>
      </c>
      <c r="K904" s="62">
        <f t="shared" si="408"/>
        <v>9.4156428571428563</v>
      </c>
      <c r="L904" s="62">
        <f t="shared" si="408"/>
        <v>13.485488095238095</v>
      </c>
      <c r="M904" s="62">
        <f t="shared" si="408"/>
        <v>16.388333333333332</v>
      </c>
      <c r="N904" s="62">
        <f t="shared" si="408"/>
        <v>18.851678571428572</v>
      </c>
      <c r="O904" s="62">
        <f t="shared" si="408"/>
        <v>20.743523809523808</v>
      </c>
      <c r="P904" s="62">
        <f t="shared" si="408"/>
        <v>22.142619047619046</v>
      </c>
      <c r="Q904" s="62">
        <f t="shared" si="408"/>
        <v>23.206464285714283</v>
      </c>
      <c r="R904" s="62">
        <f t="shared" si="408"/>
        <v>23.936559523809521</v>
      </c>
      <c r="S904" s="62">
        <f t="shared" si="408"/>
        <v>21.075107142857142</v>
      </c>
      <c r="T904" s="294"/>
    </row>
    <row r="905" spans="1:20" x14ac:dyDescent="0.25">
      <c r="A905" s="302"/>
      <c r="C905" s="294"/>
      <c r="D905" s="279"/>
      <c r="E905" s="41"/>
      <c r="F905" s="41"/>
      <c r="G905" s="41"/>
      <c r="H905" s="41"/>
      <c r="I905" s="41"/>
      <c r="J905" s="41"/>
      <c r="K905" s="41"/>
      <c r="L905" s="41"/>
      <c r="M905" s="41"/>
      <c r="N905" s="41"/>
      <c r="P905" s="41"/>
      <c r="Q905" s="41"/>
      <c r="R905" s="41"/>
      <c r="S905" s="41"/>
      <c r="T905" s="294"/>
    </row>
    <row r="906" spans="1:20" x14ac:dyDescent="0.25">
      <c r="A906" s="302"/>
      <c r="C906" s="294"/>
      <c r="D906" s="275"/>
      <c r="E906" s="41"/>
      <c r="F906" s="609" t="s">
        <v>101</v>
      </c>
      <c r="G906" s="60"/>
      <c r="H906" s="670" t="s">
        <v>374</v>
      </c>
      <c r="I906" s="41"/>
      <c r="J906" s="60">
        <f t="shared" ref="J906:S906" si="409">J780</f>
        <v>29.662698412698415</v>
      </c>
      <c r="K906" s="60">
        <f t="shared" si="409"/>
        <v>29.662698412698415</v>
      </c>
      <c r="L906" s="60">
        <f t="shared" si="409"/>
        <v>29.662698412698415</v>
      </c>
      <c r="M906" s="60">
        <f t="shared" si="409"/>
        <v>29.662698412698415</v>
      </c>
      <c r="N906" s="60">
        <f t="shared" si="409"/>
        <v>29.662698412698415</v>
      </c>
      <c r="O906" s="60">
        <f t="shared" si="409"/>
        <v>17.162698412698411</v>
      </c>
      <c r="P906" s="60">
        <f t="shared" si="409"/>
        <v>9.5238095238095184</v>
      </c>
      <c r="Q906" s="60">
        <f t="shared" si="409"/>
        <v>0</v>
      </c>
      <c r="R906" s="60">
        <f t="shared" si="409"/>
        <v>0</v>
      </c>
      <c r="S906" s="60">
        <f t="shared" si="409"/>
        <v>0</v>
      </c>
      <c r="T906" s="294"/>
    </row>
    <row r="907" spans="1:20" x14ac:dyDescent="0.25">
      <c r="A907" s="302"/>
      <c r="C907" s="294"/>
      <c r="D907" s="40"/>
      <c r="E907" s="41"/>
      <c r="F907" s="41"/>
      <c r="G907" s="41"/>
      <c r="H907" s="41"/>
      <c r="I907" s="41"/>
      <c r="J907" s="621" t="s">
        <v>218</v>
      </c>
      <c r="K907" s="621" t="s">
        <v>218</v>
      </c>
      <c r="L907" s="621" t="s">
        <v>218</v>
      </c>
      <c r="M907" s="621" t="s">
        <v>218</v>
      </c>
      <c r="N907" s="621" t="s">
        <v>218</v>
      </c>
      <c r="O907" s="621" t="s">
        <v>218</v>
      </c>
      <c r="P907" s="621" t="s">
        <v>218</v>
      </c>
      <c r="Q907" s="621" t="s">
        <v>218</v>
      </c>
      <c r="R907" s="621" t="s">
        <v>218</v>
      </c>
      <c r="S907" s="621" t="s">
        <v>218</v>
      </c>
      <c r="T907" s="294"/>
    </row>
    <row r="908" spans="1:20" x14ac:dyDescent="0.25">
      <c r="A908" s="302"/>
      <c r="C908" s="294"/>
      <c r="D908" s="252"/>
      <c r="E908" s="41"/>
      <c r="F908" s="41"/>
      <c r="G908" s="41"/>
      <c r="H908" s="41"/>
      <c r="I908" s="41"/>
      <c r="J908" s="62">
        <f t="shared" ref="J908:S908" si="410">J906+J904</f>
        <v>33.253496031746032</v>
      </c>
      <c r="K908" s="62">
        <f t="shared" si="410"/>
        <v>39.078341269841275</v>
      </c>
      <c r="L908" s="62">
        <f t="shared" si="410"/>
        <v>43.148186507936508</v>
      </c>
      <c r="M908" s="62">
        <f t="shared" si="410"/>
        <v>46.051031746031747</v>
      </c>
      <c r="N908" s="62">
        <f t="shared" si="410"/>
        <v>48.514376984126983</v>
      </c>
      <c r="O908" s="62">
        <f t="shared" si="410"/>
        <v>37.906222222222219</v>
      </c>
      <c r="P908" s="62">
        <f t="shared" si="410"/>
        <v>31.666428571428565</v>
      </c>
      <c r="Q908" s="62">
        <f t="shared" si="410"/>
        <v>23.206464285714283</v>
      </c>
      <c r="R908" s="62">
        <f t="shared" si="410"/>
        <v>23.936559523809521</v>
      </c>
      <c r="S908" s="62">
        <f t="shared" si="410"/>
        <v>21.075107142857142</v>
      </c>
      <c r="T908" s="294"/>
    </row>
    <row r="909" spans="1:20" x14ac:dyDescent="0.25">
      <c r="A909" s="302"/>
      <c r="C909" s="294"/>
      <c r="D909" s="43"/>
      <c r="E909" s="18"/>
      <c r="F909" s="18"/>
      <c r="G909" s="18"/>
      <c r="H909" s="18"/>
      <c r="I909" s="18"/>
      <c r="J909" s="692" t="s">
        <v>375</v>
      </c>
      <c r="K909" s="692" t="s">
        <v>375</v>
      </c>
      <c r="L909" s="692" t="s">
        <v>375</v>
      </c>
      <c r="M909" s="692" t="s">
        <v>375</v>
      </c>
      <c r="N909" s="692" t="s">
        <v>375</v>
      </c>
      <c r="O909" s="692" t="s">
        <v>375</v>
      </c>
      <c r="P909" s="692" t="s">
        <v>375</v>
      </c>
      <c r="Q909" s="692" t="s">
        <v>375</v>
      </c>
      <c r="R909" s="692" t="s">
        <v>375</v>
      </c>
      <c r="S909" s="692" t="s">
        <v>375</v>
      </c>
      <c r="T909" s="294"/>
    </row>
    <row r="910" spans="1:20" ht="31.5" customHeight="1" x14ac:dyDescent="0.25">
      <c r="A910" s="302"/>
      <c r="B910" s="4"/>
      <c r="C910" s="299"/>
      <c r="D910" s="656" t="s">
        <v>376</v>
      </c>
      <c r="E910" s="174"/>
      <c r="F910" s="174"/>
      <c r="G910" s="170"/>
      <c r="H910" s="170"/>
      <c r="I910" s="170"/>
      <c r="J910" s="174"/>
      <c r="K910" s="170"/>
      <c r="L910" s="170"/>
      <c r="M910" s="170"/>
      <c r="N910" s="170"/>
      <c r="O910" s="170"/>
      <c r="P910" s="170"/>
      <c r="Q910" s="170"/>
      <c r="R910" s="170"/>
      <c r="S910" s="213"/>
      <c r="T910" s="294"/>
    </row>
    <row r="911" spans="1:20" x14ac:dyDescent="0.25">
      <c r="A911" s="302"/>
      <c r="C911" s="294"/>
      <c r="J911" s="8"/>
      <c r="O911" s="1"/>
      <c r="S911" s="41"/>
      <c r="T911" s="294"/>
    </row>
    <row r="912" spans="1:20" x14ac:dyDescent="0.25">
      <c r="A912" s="302"/>
      <c r="C912" s="294"/>
      <c r="G912" s="693" t="s">
        <v>377</v>
      </c>
      <c r="I912" s="77"/>
      <c r="K912" s="697" t="s">
        <v>378</v>
      </c>
      <c r="M912" s="77"/>
      <c r="O912" s="700" t="s">
        <v>377</v>
      </c>
      <c r="S912" s="860" t="s">
        <v>379</v>
      </c>
      <c r="T912" s="294"/>
    </row>
    <row r="913" spans="1:20" x14ac:dyDescent="0.25">
      <c r="A913" s="302"/>
      <c r="C913" s="294"/>
      <c r="G913" s="694" t="s">
        <v>380</v>
      </c>
      <c r="I913" s="608" t="s">
        <v>381</v>
      </c>
      <c r="K913" s="698" t="s">
        <v>381</v>
      </c>
      <c r="M913" s="608" t="s">
        <v>382</v>
      </c>
      <c r="O913" s="698" t="s">
        <v>383</v>
      </c>
      <c r="Q913" s="689" t="s">
        <v>384</v>
      </c>
      <c r="S913" s="861" t="s">
        <v>385</v>
      </c>
      <c r="T913" s="294"/>
    </row>
    <row r="914" spans="1:20" x14ac:dyDescent="0.25">
      <c r="A914" s="302"/>
      <c r="C914" s="294"/>
      <c r="G914" s="695" t="s">
        <v>95</v>
      </c>
      <c r="I914" s="696" t="s">
        <v>386</v>
      </c>
      <c r="K914" s="699" t="s">
        <v>377</v>
      </c>
      <c r="M914" s="696" t="s">
        <v>386</v>
      </c>
      <c r="O914" s="699" t="s">
        <v>387</v>
      </c>
      <c r="Q914" s="679" t="s">
        <v>377</v>
      </c>
      <c r="S914" s="862" t="s">
        <v>388</v>
      </c>
      <c r="T914" s="294"/>
    </row>
    <row r="915" spans="1:20" x14ac:dyDescent="0.25">
      <c r="A915" s="302"/>
      <c r="C915" s="294"/>
      <c r="D915" s="701" t="s">
        <v>389</v>
      </c>
      <c r="G915" s="328"/>
      <c r="K915" s="328"/>
      <c r="O915" s="328"/>
      <c r="S915" s="327"/>
      <c r="T915" s="294"/>
    </row>
    <row r="916" spans="1:20" ht="19.5" customHeight="1" x14ac:dyDescent="0.25">
      <c r="A916" s="302"/>
      <c r="C916" s="294"/>
      <c r="D916" s="3" t="str">
        <f>"Percent Attributable to "&amp;sponsor&amp;"...................................................................................................."</f>
        <v>Percent Attributable to Sponsor....................................................................................................</v>
      </c>
      <c r="G916" s="329">
        <f>G1397</f>
        <v>1</v>
      </c>
      <c r="I916" s="324">
        <f>H1397</f>
        <v>0</v>
      </c>
      <c r="K916" s="329">
        <f>G916*(1-$I$927)+I916</f>
        <v>1</v>
      </c>
      <c r="M916" s="192">
        <f>I1397</f>
        <v>0</v>
      </c>
      <c r="O916" s="329">
        <f>K916*(1-$M$927)+M916</f>
        <v>1</v>
      </c>
      <c r="Q916" s="192">
        <f>+J1397</f>
        <v>0</v>
      </c>
      <c r="S916" s="329">
        <f>O916*(1-$Q$919)+Q916</f>
        <v>1</v>
      </c>
      <c r="T916" s="294"/>
    </row>
    <row r="917" spans="1:20" x14ac:dyDescent="0.25">
      <c r="A917" s="302"/>
      <c r="C917" s="294"/>
      <c r="D917" s="702" t="s">
        <v>390</v>
      </c>
      <c r="G917" s="329">
        <f>G1398</f>
        <v>0</v>
      </c>
      <c r="I917" s="324">
        <f>H1398</f>
        <v>0</v>
      </c>
      <c r="K917" s="329">
        <f>G917*(1-$I$927)+I917</f>
        <v>0</v>
      </c>
      <c r="M917" s="192">
        <f>I1398</f>
        <v>0</v>
      </c>
      <c r="O917" s="329">
        <f>K917*(1-$M$927)+M917</f>
        <v>0</v>
      </c>
      <c r="Q917" s="192">
        <f>+J1398</f>
        <v>0</v>
      </c>
      <c r="S917" s="329">
        <f>O917*(1-$Q$919)+Q917</f>
        <v>0</v>
      </c>
      <c r="T917" s="294"/>
    </row>
    <row r="918" spans="1:20" x14ac:dyDescent="0.25">
      <c r="A918" s="302"/>
      <c r="C918" s="294"/>
      <c r="D918" s="553" t="s">
        <v>391</v>
      </c>
      <c r="G918" s="329">
        <f>G1399</f>
        <v>0</v>
      </c>
      <c r="I918" s="325">
        <f>H1399</f>
        <v>0</v>
      </c>
      <c r="K918" s="330">
        <f>G918*(1-$I$927)+I918</f>
        <v>0</v>
      </c>
      <c r="M918" s="326">
        <f>I1399</f>
        <v>0</v>
      </c>
      <c r="O918" s="330">
        <f>K918*(1-$M$927)+M918</f>
        <v>0</v>
      </c>
      <c r="Q918" s="326">
        <f>+J1399</f>
        <v>0</v>
      </c>
      <c r="S918" s="330">
        <f>O918*(1-$Q$919)+Q918</f>
        <v>0</v>
      </c>
      <c r="T918" s="294"/>
    </row>
    <row r="919" spans="1:20" ht="16.5" customHeight="1" x14ac:dyDescent="0.25">
      <c r="A919" s="302"/>
      <c r="C919" s="294"/>
      <c r="D919" s="553" t="s">
        <v>392</v>
      </c>
      <c r="G919" s="331">
        <f>SUM(G916:G918)</f>
        <v>1</v>
      </c>
      <c r="I919" s="11">
        <f>SUM(I916:I918)</f>
        <v>0</v>
      </c>
      <c r="K919" s="331">
        <f>SUM(K916:K918)</f>
        <v>1</v>
      </c>
      <c r="M919" s="11">
        <f>SUM(M916:M918)</f>
        <v>0</v>
      </c>
      <c r="O919" s="331">
        <f>SUM(O916:O918)</f>
        <v>1</v>
      </c>
      <c r="Q919" s="11">
        <f>SUM(Q916:Q918)</f>
        <v>0</v>
      </c>
      <c r="S919" s="863">
        <f>SUM(S916:S918)</f>
        <v>1</v>
      </c>
      <c r="T919" s="294"/>
    </row>
    <row r="920" spans="1:20" ht="18" customHeight="1" x14ac:dyDescent="0.25">
      <c r="A920" s="302"/>
      <c r="C920" s="294"/>
      <c r="D920" s="3" t="str">
        <f t="shared" ref="D920:D926" si="411">"Percent Attributable to "&amp;D1412&amp;"..........................................................................................................."</f>
        <v>Percent Attributable to Debt 1...........................................................................................................</v>
      </c>
      <c r="G920" s="385">
        <f t="shared" ref="G920:G926" si="412">K1412</f>
        <v>0</v>
      </c>
      <c r="I920" s="32">
        <f t="shared" ref="I920:I926" si="413">L1412</f>
        <v>0</v>
      </c>
      <c r="K920" s="329">
        <f t="shared" ref="K920:K926" si="414">G920*(1-$I$927)+I920</f>
        <v>0</v>
      </c>
      <c r="M920" s="192">
        <f t="shared" ref="M920:M926" si="415">M1412</f>
        <v>0</v>
      </c>
      <c r="O920" s="329">
        <f t="shared" ref="O920:O926" si="416">K920*(1-$M$927)+M920</f>
        <v>0</v>
      </c>
      <c r="S920" s="329">
        <f t="shared" ref="S920:S926" si="417">O920*(1-$Q$919)+Q920</f>
        <v>0</v>
      </c>
      <c r="T920" s="294"/>
    </row>
    <row r="921" spans="1:20" x14ac:dyDescent="0.25">
      <c r="A921" s="302"/>
      <c r="C921" s="294"/>
      <c r="D921" s="3" t="str">
        <f t="shared" si="411"/>
        <v>Percent Attributable to Debt 2...........................................................................................................</v>
      </c>
      <c r="G921" s="385">
        <f t="shared" si="412"/>
        <v>0</v>
      </c>
      <c r="I921" s="32">
        <f t="shared" si="413"/>
        <v>0</v>
      </c>
      <c r="K921" s="329">
        <f t="shared" si="414"/>
        <v>0</v>
      </c>
      <c r="M921" s="192">
        <f t="shared" si="415"/>
        <v>0</v>
      </c>
      <c r="O921" s="329">
        <f t="shared" si="416"/>
        <v>0</v>
      </c>
      <c r="S921" s="329">
        <f t="shared" si="417"/>
        <v>0</v>
      </c>
      <c r="T921" s="294"/>
    </row>
    <row r="922" spans="1:20" x14ac:dyDescent="0.25">
      <c r="A922" s="302"/>
      <c r="C922" s="294"/>
      <c r="D922" s="3" t="str">
        <f t="shared" si="411"/>
        <v>Percent Attributable to Debt 3...........................................................................................................</v>
      </c>
      <c r="G922" s="385">
        <f t="shared" si="412"/>
        <v>0</v>
      </c>
      <c r="I922" s="32">
        <f t="shared" si="413"/>
        <v>0</v>
      </c>
      <c r="K922" s="329">
        <f t="shared" si="414"/>
        <v>0</v>
      </c>
      <c r="M922" s="192">
        <f t="shared" si="415"/>
        <v>0</v>
      </c>
      <c r="O922" s="329">
        <f t="shared" si="416"/>
        <v>0</v>
      </c>
      <c r="S922" s="329">
        <f t="shared" si="417"/>
        <v>0</v>
      </c>
      <c r="T922" s="294"/>
    </row>
    <row r="923" spans="1:20" x14ac:dyDescent="0.25">
      <c r="A923" s="302"/>
      <c r="C923" s="294"/>
      <c r="D923" s="3" t="str">
        <f t="shared" si="411"/>
        <v>Percent Attributable to Debt 4...........................................................................................................</v>
      </c>
      <c r="G923" s="385">
        <f t="shared" si="412"/>
        <v>0</v>
      </c>
      <c r="I923" s="32">
        <f t="shared" si="413"/>
        <v>0</v>
      </c>
      <c r="K923" s="329">
        <f t="shared" si="414"/>
        <v>0</v>
      </c>
      <c r="M923" s="192">
        <f t="shared" si="415"/>
        <v>0</v>
      </c>
      <c r="O923" s="329">
        <f t="shared" si="416"/>
        <v>0</v>
      </c>
      <c r="S923" s="329">
        <f t="shared" si="417"/>
        <v>0</v>
      </c>
      <c r="T923" s="294"/>
    </row>
    <row r="924" spans="1:20" x14ac:dyDescent="0.25">
      <c r="A924" s="302"/>
      <c r="C924" s="294"/>
      <c r="D924" s="3" t="str">
        <f t="shared" si="411"/>
        <v>Percent Attributable to Debt 5...........................................................................................................</v>
      </c>
      <c r="G924" s="385">
        <f t="shared" si="412"/>
        <v>0</v>
      </c>
      <c r="I924" s="32">
        <f t="shared" si="413"/>
        <v>0</v>
      </c>
      <c r="K924" s="329">
        <f t="shared" si="414"/>
        <v>0</v>
      </c>
      <c r="M924" s="192">
        <f t="shared" si="415"/>
        <v>0</v>
      </c>
      <c r="O924" s="329">
        <f t="shared" si="416"/>
        <v>0</v>
      </c>
      <c r="S924" s="329">
        <f t="shared" si="417"/>
        <v>0</v>
      </c>
      <c r="T924" s="294"/>
    </row>
    <row r="925" spans="1:20" x14ac:dyDescent="0.25">
      <c r="A925" s="302"/>
      <c r="C925" s="294"/>
      <c r="D925" s="3" t="str">
        <f t="shared" si="411"/>
        <v>Percent Attributable to Preferred 1...........................................................................................................</v>
      </c>
      <c r="G925" s="385">
        <f t="shared" si="412"/>
        <v>0</v>
      </c>
      <c r="I925" s="32">
        <f t="shared" si="413"/>
        <v>0</v>
      </c>
      <c r="K925" s="329">
        <f t="shared" si="414"/>
        <v>0</v>
      </c>
      <c r="M925" s="192">
        <f t="shared" si="415"/>
        <v>0</v>
      </c>
      <c r="O925" s="329">
        <f t="shared" si="416"/>
        <v>0</v>
      </c>
      <c r="S925" s="329">
        <f t="shared" si="417"/>
        <v>0</v>
      </c>
      <c r="T925" s="294"/>
    </row>
    <row r="926" spans="1:20" x14ac:dyDescent="0.25">
      <c r="A926" s="302"/>
      <c r="C926" s="294"/>
      <c r="D926" s="3" t="str">
        <f t="shared" si="411"/>
        <v>Percent Attributable to Preferred 2...........................................................................................................</v>
      </c>
      <c r="G926" s="386">
        <f t="shared" si="412"/>
        <v>0</v>
      </c>
      <c r="I926" s="387">
        <f t="shared" si="413"/>
        <v>0</v>
      </c>
      <c r="K926" s="330">
        <f t="shared" si="414"/>
        <v>0</v>
      </c>
      <c r="M926" s="326">
        <f t="shared" si="415"/>
        <v>0</v>
      </c>
      <c r="O926" s="330">
        <f t="shared" si="416"/>
        <v>0</v>
      </c>
      <c r="S926" s="330">
        <f t="shared" si="417"/>
        <v>0</v>
      </c>
      <c r="T926" s="294"/>
    </row>
    <row r="927" spans="1:20" x14ac:dyDescent="0.25">
      <c r="A927" s="302"/>
      <c r="C927" s="294"/>
      <c r="D927" s="702" t="s">
        <v>393</v>
      </c>
      <c r="G927" s="388">
        <f>SUM(G919:G926)</f>
        <v>1</v>
      </c>
      <c r="I927" s="32">
        <f>SUM(I919:I926)</f>
        <v>0</v>
      </c>
      <c r="K927" s="388">
        <f>SUM(K919:K926)</f>
        <v>1</v>
      </c>
      <c r="M927" s="32">
        <f>SUM(M919:M926)</f>
        <v>0</v>
      </c>
      <c r="O927" s="388">
        <f>SUM(O919:O926)</f>
        <v>1</v>
      </c>
      <c r="S927" s="388">
        <f>SUM(S919:S926)</f>
        <v>1</v>
      </c>
      <c r="T927" s="294"/>
    </row>
    <row r="928" spans="1:20" x14ac:dyDescent="0.25">
      <c r="A928" s="302"/>
      <c r="C928" s="294"/>
      <c r="O928" s="1"/>
      <c r="S928" s="41"/>
      <c r="T928" s="294"/>
    </row>
    <row r="929" spans="1:20" ht="39" customHeight="1" x14ac:dyDescent="0.25">
      <c r="A929" s="302"/>
      <c r="C929" s="294"/>
      <c r="O929" s="1"/>
      <c r="S929" s="41"/>
      <c r="T929" s="294"/>
    </row>
    <row r="930" spans="1:20" x14ac:dyDescent="0.25">
      <c r="A930" s="302"/>
      <c r="C930" s="294"/>
      <c r="D930" s="552" t="s">
        <v>394</v>
      </c>
      <c r="H930" s="548">
        <f>mult</f>
        <v>5.5</v>
      </c>
      <c r="I930" s="4"/>
      <c r="O930" s="1"/>
      <c r="S930" s="41"/>
      <c r="T930" s="294"/>
    </row>
    <row r="931" spans="1:20" x14ac:dyDescent="0.25">
      <c r="A931" s="302"/>
      <c r="C931" s="294"/>
      <c r="D931" s="4"/>
      <c r="H931" s="25"/>
      <c r="I931" s="4"/>
      <c r="O931" s="1"/>
      <c r="S931" s="41"/>
      <c r="T931" s="294"/>
    </row>
    <row r="932" spans="1:20" ht="37.5" customHeight="1" x14ac:dyDescent="0.25">
      <c r="A932" s="302"/>
      <c r="C932" s="294"/>
      <c r="D932" s="701" t="s">
        <v>77</v>
      </c>
      <c r="O932" s="1"/>
      <c r="S932" s="41"/>
      <c r="T932" s="294"/>
    </row>
    <row r="933" spans="1:20" ht="18" customHeight="1" x14ac:dyDescent="0.25">
      <c r="A933" s="302"/>
      <c r="C933" s="294"/>
      <c r="D933" s="362" t="str">
        <f>"Promote to "&amp;sponsor&amp;"......................................................................................................................."</f>
        <v>Promote to Sponsor.......................................................................................................................</v>
      </c>
      <c r="E933" s="363"/>
      <c r="F933" s="70"/>
      <c r="G933" s="70"/>
      <c r="H933" s="364">
        <f>J1397</f>
        <v>0</v>
      </c>
      <c r="O933" s="1"/>
      <c r="S933" s="41"/>
      <c r="T933" s="294"/>
    </row>
    <row r="934" spans="1:20" x14ac:dyDescent="0.25">
      <c r="A934" s="302"/>
      <c r="C934" s="294"/>
      <c r="D934" s="611" t="s">
        <v>395</v>
      </c>
      <c r="E934" s="41"/>
      <c r="F934" s="41"/>
      <c r="G934" s="41"/>
      <c r="H934" s="364">
        <f>J1398</f>
        <v>0</v>
      </c>
      <c r="O934" s="1"/>
      <c r="S934" s="41"/>
      <c r="T934" s="294"/>
    </row>
    <row r="935" spans="1:20" x14ac:dyDescent="0.25">
      <c r="A935" s="302"/>
      <c r="C935" s="294"/>
      <c r="D935" s="703" t="s">
        <v>396</v>
      </c>
      <c r="E935" s="70"/>
      <c r="F935" s="70"/>
      <c r="G935" s="70"/>
      <c r="H935" s="372">
        <f>J1399</f>
        <v>0</v>
      </c>
      <c r="O935" s="1"/>
      <c r="S935" s="41"/>
      <c r="T935" s="294"/>
    </row>
    <row r="936" spans="1:20" ht="18.75" customHeight="1" x14ac:dyDescent="0.25">
      <c r="A936" s="302"/>
      <c r="C936" s="294"/>
      <c r="D936" s="600" t="s">
        <v>397</v>
      </c>
      <c r="H936" s="192">
        <f>SUM(H933:H935)</f>
        <v>0</v>
      </c>
      <c r="O936" s="1"/>
      <c r="S936" s="41"/>
      <c r="T936" s="294"/>
    </row>
    <row r="937" spans="1:20" x14ac:dyDescent="0.25">
      <c r="A937" s="302"/>
      <c r="C937" s="294"/>
      <c r="O937" s="1"/>
      <c r="S937" s="41"/>
      <c r="T937" s="294"/>
    </row>
    <row r="938" spans="1:20" ht="39" customHeight="1" x14ac:dyDescent="0.25">
      <c r="A938" s="302"/>
      <c r="C938" s="294"/>
      <c r="D938" s="656" t="s">
        <v>398</v>
      </c>
      <c r="E938" s="170"/>
      <c r="F938" s="170"/>
      <c r="G938" s="170"/>
      <c r="H938" s="170"/>
      <c r="I938" s="170"/>
      <c r="J938" s="170"/>
      <c r="K938" s="170"/>
      <c r="L938" s="170"/>
      <c r="M938" s="170"/>
      <c r="N938" s="170"/>
      <c r="O938" s="170"/>
      <c r="P938" s="170"/>
      <c r="Q938" s="170"/>
      <c r="R938" s="170"/>
      <c r="S938" s="213"/>
      <c r="T938" s="294"/>
    </row>
    <row r="939" spans="1:20" x14ac:dyDescent="0.25">
      <c r="A939" s="302"/>
      <c r="C939" s="294"/>
      <c r="D939" s="701" t="s">
        <v>399</v>
      </c>
      <c r="J939" s="188" t="str">
        <f>"Equity Values as of and Projected Results for the Trailing Twelve Months Ended "&amp;fye</f>
        <v>Equity Values as of and Projected Results for the Trailing Twelve Months Ended December 31,</v>
      </c>
      <c r="K939" s="190"/>
      <c r="L939" s="190"/>
      <c r="M939" s="190"/>
      <c r="N939" s="190"/>
      <c r="O939" s="190"/>
      <c r="P939" s="190"/>
      <c r="Q939" s="190"/>
      <c r="R939" s="190"/>
      <c r="S939" s="190"/>
      <c r="T939" s="294"/>
    </row>
    <row r="940" spans="1:20" x14ac:dyDescent="0.25">
      <c r="A940" s="302"/>
      <c r="C940" s="294"/>
      <c r="D940"/>
      <c r="J940" s="76">
        <f>year</f>
        <v>1998</v>
      </c>
      <c r="K940" s="76">
        <f t="shared" ref="K940:S940" si="418">J940+1</f>
        <v>1999</v>
      </c>
      <c r="L940" s="76">
        <f t="shared" si="418"/>
        <v>2000</v>
      </c>
      <c r="M940" s="76">
        <f t="shared" si="418"/>
        <v>2001</v>
      </c>
      <c r="N940" s="332">
        <f t="shared" si="418"/>
        <v>2002</v>
      </c>
      <c r="O940" s="76">
        <f t="shared" si="418"/>
        <v>2003</v>
      </c>
      <c r="P940" s="76">
        <f t="shared" si="418"/>
        <v>2004</v>
      </c>
      <c r="Q940" s="76">
        <f t="shared" si="418"/>
        <v>2005</v>
      </c>
      <c r="R940" s="76">
        <f t="shared" si="418"/>
        <v>2006</v>
      </c>
      <c r="S940" s="181">
        <f t="shared" si="418"/>
        <v>2007</v>
      </c>
      <c r="T940" s="294"/>
    </row>
    <row r="941" spans="1:20" x14ac:dyDescent="0.25">
      <c r="A941" s="302"/>
      <c r="C941" s="294"/>
      <c r="D941" s="553" t="s">
        <v>400</v>
      </c>
      <c r="G941" s="554" t="s">
        <v>139</v>
      </c>
      <c r="J941" s="7">
        <f t="shared" ref="J941:S941" ca="1" si="419">J234</f>
        <v>134.55000000000001</v>
      </c>
      <c r="K941" s="7">
        <f t="shared" ca="1" si="419"/>
        <v>154.73249999999999</v>
      </c>
      <c r="L941" s="7">
        <f t="shared" ca="1" si="419"/>
        <v>177.94237499999997</v>
      </c>
      <c r="M941" s="7">
        <f t="shared" ca="1" si="419"/>
        <v>204.63373124999995</v>
      </c>
      <c r="N941" s="333">
        <f t="shared" ca="1" si="419"/>
        <v>235.32879093749992</v>
      </c>
      <c r="O941" s="7">
        <f t="shared" ca="1" si="419"/>
        <v>270.62810957812496</v>
      </c>
      <c r="P941" s="7">
        <f t="shared" ca="1" si="419"/>
        <v>311.22232601484365</v>
      </c>
      <c r="Q941" s="7">
        <f t="shared" ca="1" si="419"/>
        <v>357.90567491707014</v>
      </c>
      <c r="R941" s="7">
        <f t="shared" ca="1" si="419"/>
        <v>411.59152615463069</v>
      </c>
      <c r="S941" s="62">
        <f t="shared" ca="1" si="419"/>
        <v>473.33025507782526</v>
      </c>
      <c r="T941" s="294"/>
    </row>
    <row r="942" spans="1:20" s="966" customFormat="1" x14ac:dyDescent="0.25">
      <c r="C942" s="967"/>
      <c r="D942" s="968" t="s">
        <v>401</v>
      </c>
      <c r="G942" s="969" t="s">
        <v>139</v>
      </c>
      <c r="J942" s="970">
        <f t="shared" ref="J942:S942" si="420">$H$930</f>
        <v>5.5</v>
      </c>
      <c r="K942" s="970">
        <f t="shared" si="420"/>
        <v>5.5</v>
      </c>
      <c r="L942" s="970">
        <f t="shared" si="420"/>
        <v>5.5</v>
      </c>
      <c r="M942" s="970">
        <f t="shared" si="420"/>
        <v>5.5</v>
      </c>
      <c r="N942" s="971">
        <f t="shared" si="420"/>
        <v>5.5</v>
      </c>
      <c r="O942" s="970">
        <f t="shared" si="420"/>
        <v>5.5</v>
      </c>
      <c r="P942" s="970">
        <f t="shared" si="420"/>
        <v>5.5</v>
      </c>
      <c r="Q942" s="970">
        <f t="shared" si="420"/>
        <v>5.5</v>
      </c>
      <c r="R942" s="970">
        <f t="shared" si="420"/>
        <v>5.5</v>
      </c>
      <c r="S942" s="972">
        <f t="shared" si="420"/>
        <v>5.5</v>
      </c>
      <c r="T942" s="967"/>
    </row>
    <row r="943" spans="1:20" ht="6" customHeight="1" x14ac:dyDescent="0.25">
      <c r="A943" s="302"/>
      <c r="C943" s="294"/>
      <c r="G943" s="554" t="s">
        <v>139</v>
      </c>
      <c r="J943" s="704" t="s">
        <v>66</v>
      </c>
      <c r="K943" s="704" t="s">
        <v>66</v>
      </c>
      <c r="L943" s="704" t="s">
        <v>66</v>
      </c>
      <c r="M943" s="704" t="s">
        <v>66</v>
      </c>
      <c r="N943" s="705" t="s">
        <v>66</v>
      </c>
      <c r="O943" s="704" t="s">
        <v>66</v>
      </c>
      <c r="P943" s="704" t="s">
        <v>66</v>
      </c>
      <c r="Q943" s="704" t="s">
        <v>66</v>
      </c>
      <c r="R943" s="704" t="s">
        <v>66</v>
      </c>
      <c r="S943" s="706" t="s">
        <v>66</v>
      </c>
      <c r="T943" s="294"/>
    </row>
    <row r="944" spans="1:20" x14ac:dyDescent="0.25">
      <c r="A944" s="302"/>
      <c r="C944" s="294"/>
      <c r="D944" s="553" t="s">
        <v>402</v>
      </c>
      <c r="G944" s="554" t="s">
        <v>139</v>
      </c>
      <c r="J944" s="7">
        <f t="shared" ref="J944:S944" ca="1" si="421">J941*J942</f>
        <v>740.02500000000009</v>
      </c>
      <c r="K944" s="7">
        <f t="shared" ca="1" si="421"/>
        <v>851.02874999999995</v>
      </c>
      <c r="L944" s="7">
        <f t="shared" ca="1" si="421"/>
        <v>978.68306249999978</v>
      </c>
      <c r="M944" s="7">
        <f t="shared" ca="1" si="421"/>
        <v>1125.4855218749997</v>
      </c>
      <c r="N944" s="333">
        <f t="shared" ca="1" si="421"/>
        <v>1294.3083501562496</v>
      </c>
      <c r="O944" s="7">
        <f t="shared" ca="1" si="421"/>
        <v>1488.4546026796872</v>
      </c>
      <c r="P944" s="7">
        <f t="shared" ca="1" si="421"/>
        <v>1711.72279308164</v>
      </c>
      <c r="Q944" s="7">
        <f t="shared" ca="1" si="421"/>
        <v>1968.4812120438858</v>
      </c>
      <c r="R944" s="7">
        <f t="shared" ca="1" si="421"/>
        <v>2263.7533938504689</v>
      </c>
      <c r="S944" s="62">
        <f t="shared" ca="1" si="421"/>
        <v>2603.3164029280388</v>
      </c>
      <c r="T944" s="294"/>
    </row>
    <row r="945" spans="1:20" ht="6" customHeight="1" x14ac:dyDescent="0.25">
      <c r="A945" s="302"/>
      <c r="C945" s="294"/>
      <c r="G945" s="554" t="s">
        <v>139</v>
      </c>
      <c r="J945" s="704" t="s">
        <v>66</v>
      </c>
      <c r="K945" s="704" t="s">
        <v>66</v>
      </c>
      <c r="L945" s="704" t="s">
        <v>66</v>
      </c>
      <c r="M945" s="704" t="s">
        <v>66</v>
      </c>
      <c r="N945" s="705" t="s">
        <v>66</v>
      </c>
      <c r="O945" s="704" t="s">
        <v>66</v>
      </c>
      <c r="P945" s="704" t="s">
        <v>66</v>
      </c>
      <c r="Q945" s="704" t="s">
        <v>66</v>
      </c>
      <c r="R945" s="704" t="s">
        <v>66</v>
      </c>
      <c r="S945" s="706" t="s">
        <v>66</v>
      </c>
      <c r="T945" s="294"/>
    </row>
    <row r="946" spans="1:20" x14ac:dyDescent="0.25">
      <c r="A946" s="302"/>
      <c r="C946" s="294"/>
      <c r="G946" s="554" t="s">
        <v>139</v>
      </c>
      <c r="N946" s="335"/>
      <c r="O946" s="1"/>
      <c r="S946" s="41"/>
      <c r="T946" s="294"/>
    </row>
    <row r="947" spans="1:20" x14ac:dyDescent="0.25">
      <c r="A947" s="302"/>
      <c r="C947" s="294"/>
      <c r="D947" s="552" t="s">
        <v>403</v>
      </c>
      <c r="G947" s="554" t="s">
        <v>139</v>
      </c>
      <c r="J947" s="5">
        <f t="shared" ref="J947:S947" ca="1" si="422">J314</f>
        <v>150</v>
      </c>
      <c r="K947" s="5">
        <f t="shared" ca="1" si="422"/>
        <v>150</v>
      </c>
      <c r="L947" s="5">
        <f t="shared" ca="1" si="422"/>
        <v>150</v>
      </c>
      <c r="M947" s="5">
        <f t="shared" ca="1" si="422"/>
        <v>150</v>
      </c>
      <c r="N947" s="334">
        <f t="shared" ca="1" si="422"/>
        <v>150</v>
      </c>
      <c r="O947" s="5">
        <f t="shared" ca="1" si="422"/>
        <v>150</v>
      </c>
      <c r="P947" s="5">
        <f t="shared" ca="1" si="422"/>
        <v>150</v>
      </c>
      <c r="Q947" s="5">
        <f t="shared" ca="1" si="422"/>
        <v>150</v>
      </c>
      <c r="R947" s="5">
        <f t="shared" ca="1" si="422"/>
        <v>150</v>
      </c>
      <c r="S947" s="60">
        <f t="shared" ca="1" si="422"/>
        <v>150</v>
      </c>
      <c r="T947" s="294"/>
    </row>
    <row r="948" spans="1:20" x14ac:dyDescent="0.25">
      <c r="A948" s="302"/>
      <c r="C948" s="294"/>
      <c r="D948" s="552" t="s">
        <v>404</v>
      </c>
      <c r="G948" s="554" t="s">
        <v>139</v>
      </c>
      <c r="J948" s="5">
        <f t="shared" ref="J948:S948" ca="1" si="423">SUM(J320:J322)-J322</f>
        <v>0</v>
      </c>
      <c r="K948" s="5">
        <f t="shared" ca="1" si="423"/>
        <v>0</v>
      </c>
      <c r="L948" s="5">
        <f t="shared" ca="1" si="423"/>
        <v>0</v>
      </c>
      <c r="M948" s="5">
        <f t="shared" ca="1" si="423"/>
        <v>0</v>
      </c>
      <c r="N948" s="334">
        <f t="shared" ca="1" si="423"/>
        <v>0</v>
      </c>
      <c r="O948" s="5">
        <f t="shared" ca="1" si="423"/>
        <v>0</v>
      </c>
      <c r="P948" s="5">
        <f t="shared" ca="1" si="423"/>
        <v>0</v>
      </c>
      <c r="Q948" s="5">
        <f t="shared" ca="1" si="423"/>
        <v>0</v>
      </c>
      <c r="R948" s="5">
        <f t="shared" ca="1" si="423"/>
        <v>0</v>
      </c>
      <c r="S948" s="60">
        <f t="shared" ca="1" si="423"/>
        <v>0</v>
      </c>
      <c r="T948" s="294"/>
    </row>
    <row r="949" spans="1:20" ht="6" customHeight="1" x14ac:dyDescent="0.25">
      <c r="A949" s="302"/>
      <c r="C949" s="294"/>
      <c r="G949" s="554" t="s">
        <v>139</v>
      </c>
      <c r="J949" s="704" t="s">
        <v>66</v>
      </c>
      <c r="K949" s="704" t="s">
        <v>66</v>
      </c>
      <c r="L949" s="704" t="s">
        <v>66</v>
      </c>
      <c r="M949" s="704" t="s">
        <v>66</v>
      </c>
      <c r="N949" s="705" t="s">
        <v>66</v>
      </c>
      <c r="O949" s="704" t="s">
        <v>66</v>
      </c>
      <c r="P949" s="704" t="s">
        <v>66</v>
      </c>
      <c r="Q949" s="704" t="s">
        <v>66</v>
      </c>
      <c r="R949" s="704" t="s">
        <v>66</v>
      </c>
      <c r="S949" s="706" t="s">
        <v>66</v>
      </c>
      <c r="T949" s="294"/>
    </row>
    <row r="950" spans="1:20" x14ac:dyDescent="0.25">
      <c r="A950" s="302"/>
      <c r="C950" s="294"/>
      <c r="D950" s="552" t="s">
        <v>405</v>
      </c>
      <c r="G950" s="554" t="s">
        <v>139</v>
      </c>
      <c r="J950" s="5">
        <f t="shared" ref="J950:S950" ca="1" si="424">SUM(J947:J948)</f>
        <v>150</v>
      </c>
      <c r="K950" s="5">
        <f t="shared" ca="1" si="424"/>
        <v>150</v>
      </c>
      <c r="L950" s="5">
        <f t="shared" ca="1" si="424"/>
        <v>150</v>
      </c>
      <c r="M950" s="5">
        <f t="shared" ca="1" si="424"/>
        <v>150</v>
      </c>
      <c r="N950" s="334">
        <f t="shared" ca="1" si="424"/>
        <v>150</v>
      </c>
      <c r="O950" s="5">
        <f t="shared" ca="1" si="424"/>
        <v>150</v>
      </c>
      <c r="P950" s="5">
        <f t="shared" ca="1" si="424"/>
        <v>150</v>
      </c>
      <c r="Q950" s="5">
        <f t="shared" ca="1" si="424"/>
        <v>150</v>
      </c>
      <c r="R950" s="5">
        <f t="shared" ca="1" si="424"/>
        <v>150</v>
      </c>
      <c r="S950" s="60">
        <f t="shared" ca="1" si="424"/>
        <v>150</v>
      </c>
      <c r="T950" s="294"/>
    </row>
    <row r="951" spans="1:20" x14ac:dyDescent="0.25">
      <c r="A951" s="302"/>
      <c r="C951" s="294"/>
      <c r="G951" s="554" t="s">
        <v>139</v>
      </c>
      <c r="J951" s="5"/>
      <c r="K951" s="5"/>
      <c r="L951" s="5"/>
      <c r="M951" s="5"/>
      <c r="N951" s="334"/>
      <c r="O951" s="5"/>
      <c r="P951" s="5"/>
      <c r="Q951" s="5"/>
      <c r="R951" s="5"/>
      <c r="S951" s="60"/>
      <c r="T951" s="435"/>
    </row>
    <row r="952" spans="1:20" x14ac:dyDescent="0.25">
      <c r="A952" s="302"/>
      <c r="C952" s="294"/>
      <c r="D952" s="852" t="str">
        <f>"Plus: Total Cash on Balance Sheet "&amp;LEFT($D$993,4)&amp;"........................................................................................."</f>
        <v>Plus: Total Cash on Balance Sheet (1) .........................................................................................</v>
      </c>
      <c r="G952" s="554" t="s">
        <v>139</v>
      </c>
      <c r="J952" s="5">
        <f ca="1">J272+J273</f>
        <v>184.77</v>
      </c>
      <c r="K952" s="5">
        <f t="shared" ref="K952:S952" ca="1" si="425">K272+K273</f>
        <v>259.48865000000001</v>
      </c>
      <c r="L952" s="5">
        <f t="shared" ca="1" si="425"/>
        <v>351.59269987499999</v>
      </c>
      <c r="M952" s="5">
        <f t="shared" ca="1" si="425"/>
        <v>463.89073168343748</v>
      </c>
      <c r="N952" s="334">
        <f t="shared" ca="1" si="425"/>
        <v>599.6191398850242</v>
      </c>
      <c r="O952" s="5">
        <f t="shared" ca="1" si="425"/>
        <v>762.50651526644367</v>
      </c>
      <c r="P952" s="5">
        <f t="shared" ca="1" si="425"/>
        <v>956.84769334803275</v>
      </c>
      <c r="Q952" s="5">
        <f t="shared" ca="1" si="425"/>
        <v>1187.5889171675879</v>
      </c>
      <c r="R952" s="5">
        <f t="shared" ca="1" si="425"/>
        <v>1460.4257818291401</v>
      </c>
      <c r="S952" s="60">
        <f t="shared" ca="1" si="425"/>
        <v>1781.9158783202336</v>
      </c>
      <c r="T952" s="294"/>
    </row>
    <row r="953" spans="1:20" x14ac:dyDescent="0.25">
      <c r="A953" s="302"/>
      <c r="C953" s="294"/>
      <c r="D953" s="553" t="s">
        <v>406</v>
      </c>
      <c r="G953" s="600" t="s">
        <v>101</v>
      </c>
      <c r="J953" s="5">
        <f t="shared" ref="J953:S953" ca="1" si="426">$J$55*$I$927</f>
        <v>0</v>
      </c>
      <c r="K953" s="5">
        <f t="shared" ca="1" si="426"/>
        <v>0</v>
      </c>
      <c r="L953" s="5">
        <f t="shared" ca="1" si="426"/>
        <v>0</v>
      </c>
      <c r="M953" s="5">
        <f t="shared" ca="1" si="426"/>
        <v>0</v>
      </c>
      <c r="N953" s="334">
        <f t="shared" ca="1" si="426"/>
        <v>0</v>
      </c>
      <c r="O953" s="5">
        <f t="shared" ca="1" si="426"/>
        <v>0</v>
      </c>
      <c r="P953" s="5">
        <f t="shared" ca="1" si="426"/>
        <v>0</v>
      </c>
      <c r="Q953" s="5">
        <f t="shared" ca="1" si="426"/>
        <v>0</v>
      </c>
      <c r="R953" s="5">
        <f t="shared" ca="1" si="426"/>
        <v>0</v>
      </c>
      <c r="S953" s="60">
        <f t="shared" ca="1" si="426"/>
        <v>0</v>
      </c>
      <c r="T953" s="294"/>
    </row>
    <row r="954" spans="1:20" ht="6" customHeight="1" x14ac:dyDescent="0.25">
      <c r="A954" s="302"/>
      <c r="C954" s="294"/>
      <c r="G954" s="554" t="s">
        <v>139</v>
      </c>
      <c r="J954" s="704" t="s">
        <v>66</v>
      </c>
      <c r="K954" s="704" t="s">
        <v>66</v>
      </c>
      <c r="L954" s="704" t="s">
        <v>66</v>
      </c>
      <c r="M954" s="704" t="s">
        <v>66</v>
      </c>
      <c r="N954" s="705" t="s">
        <v>66</v>
      </c>
      <c r="O954" s="704" t="s">
        <v>66</v>
      </c>
      <c r="P954" s="704" t="s">
        <v>66</v>
      </c>
      <c r="Q954" s="704" t="s">
        <v>66</v>
      </c>
      <c r="R954" s="704" t="s">
        <v>66</v>
      </c>
      <c r="S954" s="706" t="s">
        <v>66</v>
      </c>
      <c r="T954" s="294"/>
    </row>
    <row r="955" spans="1:20" x14ac:dyDescent="0.25">
      <c r="A955" s="302"/>
      <c r="C955" s="294"/>
      <c r="D955" s="552" t="s">
        <v>407</v>
      </c>
      <c r="G955" s="554" t="s">
        <v>139</v>
      </c>
      <c r="J955" s="7">
        <f ca="1">J944-J950+SUM(J952:J954)</f>
        <v>774.79500000000007</v>
      </c>
      <c r="K955" s="7">
        <f t="shared" ref="K955:S955" ca="1" si="427">K944-K950+SUM(K952:K954)</f>
        <v>960.51739999999995</v>
      </c>
      <c r="L955" s="7">
        <f t="shared" ca="1" si="427"/>
        <v>1180.2757623749999</v>
      </c>
      <c r="M955" s="7">
        <f t="shared" ca="1" si="427"/>
        <v>1439.3762535584372</v>
      </c>
      <c r="N955" s="333">
        <f t="shared" ca="1" si="427"/>
        <v>1743.9274900412738</v>
      </c>
      <c r="O955" s="7">
        <f t="shared" ca="1" si="427"/>
        <v>2100.9611179461308</v>
      </c>
      <c r="P955" s="7">
        <f t="shared" ca="1" si="427"/>
        <v>2518.5704864296727</v>
      </c>
      <c r="Q955" s="7">
        <f t="shared" ca="1" si="427"/>
        <v>3006.0701292114736</v>
      </c>
      <c r="R955" s="7">
        <f t="shared" ca="1" si="427"/>
        <v>3574.1791756796092</v>
      </c>
      <c r="S955" s="62">
        <f t="shared" ca="1" si="427"/>
        <v>4235.2322812482726</v>
      </c>
      <c r="T955" s="294"/>
    </row>
    <row r="956" spans="1:20" ht="8.25" customHeight="1" x14ac:dyDescent="0.25">
      <c r="A956" s="302"/>
      <c r="C956" s="294"/>
      <c r="G956" s="554" t="s">
        <v>139</v>
      </c>
      <c r="J956" s="593" t="s">
        <v>76</v>
      </c>
      <c r="K956" s="593" t="s">
        <v>76</v>
      </c>
      <c r="L956" s="593" t="s">
        <v>76</v>
      </c>
      <c r="M956" s="593" t="s">
        <v>76</v>
      </c>
      <c r="N956" s="707" t="s">
        <v>76</v>
      </c>
      <c r="O956" s="593" t="s">
        <v>76</v>
      </c>
      <c r="P956" s="593" t="s">
        <v>76</v>
      </c>
      <c r="Q956" s="593" t="s">
        <v>76</v>
      </c>
      <c r="R956" s="593" t="s">
        <v>76</v>
      </c>
      <c r="S956" s="620" t="s">
        <v>76</v>
      </c>
      <c r="T956" s="294"/>
    </row>
    <row r="957" spans="1:20" x14ac:dyDescent="0.25">
      <c r="A957" s="302"/>
      <c r="C957" s="294"/>
      <c r="D957" s="554" t="s">
        <v>408</v>
      </c>
      <c r="G957" s="554" t="s">
        <v>139</v>
      </c>
      <c r="J957" s="192" t="e">
        <f ca="1">J955/J55-1</f>
        <v>#DIV/0!</v>
      </c>
      <c r="K957" s="192">
        <f t="shared" ref="K957:S957" ca="1" si="428">K955/J955-1</f>
        <v>0.23970521234649156</v>
      </c>
      <c r="L957" s="192">
        <f t="shared" ca="1" si="428"/>
        <v>0.228791651640043</v>
      </c>
      <c r="M957" s="192">
        <f t="shared" ca="1" si="428"/>
        <v>0.21952538503549746</v>
      </c>
      <c r="N957" s="336">
        <f t="shared" ca="1" si="428"/>
        <v>0.21158556404548334</v>
      </c>
      <c r="O957" s="192">
        <f t="shared" ca="1" si="428"/>
        <v>0.20472962892305069</v>
      </c>
      <c r="P957" s="192">
        <f t="shared" ca="1" si="428"/>
        <v>0.19877063164871456</v>
      </c>
      <c r="Q957" s="192">
        <f t="shared" ca="1" si="428"/>
        <v>0.19356204061331672</v>
      </c>
      <c r="R957" s="192">
        <f t="shared" ca="1" si="428"/>
        <v>0.18898728973337597</v>
      </c>
      <c r="S957" s="212">
        <f t="shared" ca="1" si="428"/>
        <v>0.18495242489989838</v>
      </c>
      <c r="T957" s="294"/>
    </row>
    <row r="958" spans="1:20" ht="41.25" hidden="1" customHeight="1" outlineLevel="1" x14ac:dyDescent="0.25">
      <c r="A958" s="302"/>
      <c r="C958" s="294"/>
      <c r="D958" s="602" t="s">
        <v>409</v>
      </c>
      <c r="E958" s="170"/>
      <c r="F958" s="170"/>
      <c r="G958" s="170"/>
      <c r="H958" s="170"/>
      <c r="I958" s="170"/>
      <c r="J958" s="188" t="str">
        <f>"For the Fiscal Year Ending "&amp;fye</f>
        <v>For the Fiscal Year Ending December 31,</v>
      </c>
      <c r="K958" s="190"/>
      <c r="L958" s="190"/>
      <c r="M958" s="190"/>
      <c r="N958" s="190"/>
      <c r="O958" s="190"/>
      <c r="P958" s="190"/>
      <c r="Q958" s="190"/>
      <c r="R958" s="190"/>
      <c r="S958" s="190"/>
      <c r="T958" s="294"/>
    </row>
    <row r="959" spans="1:20" hidden="1" outlineLevel="1" x14ac:dyDescent="0.25">
      <c r="A959" s="302"/>
      <c r="C959" s="294"/>
      <c r="D959"/>
      <c r="H959" s="689" t="s">
        <v>410</v>
      </c>
      <c r="I959" s="679" t="s">
        <v>95</v>
      </c>
      <c r="J959" s="101">
        <f>year</f>
        <v>1998</v>
      </c>
      <c r="K959" s="101">
        <f t="shared" ref="K959:S959" si="429">J959+1</f>
        <v>1999</v>
      </c>
      <c r="L959" s="101">
        <f t="shared" si="429"/>
        <v>2000</v>
      </c>
      <c r="M959" s="101">
        <f t="shared" si="429"/>
        <v>2001</v>
      </c>
      <c r="N959" s="338">
        <f t="shared" si="429"/>
        <v>2002</v>
      </c>
      <c r="O959" s="101">
        <f t="shared" si="429"/>
        <v>2003</v>
      </c>
      <c r="P959" s="101">
        <f t="shared" si="429"/>
        <v>2004</v>
      </c>
      <c r="Q959" s="101">
        <f t="shared" si="429"/>
        <v>2005</v>
      </c>
      <c r="R959" s="101">
        <f t="shared" si="429"/>
        <v>2006</v>
      </c>
      <c r="S959" s="514">
        <f t="shared" si="429"/>
        <v>2007</v>
      </c>
      <c r="T959" s="294"/>
    </row>
    <row r="960" spans="1:20" hidden="1" outlineLevel="1" x14ac:dyDescent="0.25">
      <c r="A960" s="302"/>
      <c r="C960" s="294"/>
      <c r="D960" s="1" t="str">
        <f>"IRR for Exit in "&amp;FIXED(year,0,1)&amp;".............................................................................................................................................................................."</f>
        <v>IRR for Exit in 1998..............................................................................................................................................................................</v>
      </c>
      <c r="G960" s="38"/>
      <c r="H960" s="452" t="str">
        <f ca="1">IF(ISERROR(IRR(I960:J960,0.1)),"NA",IRR(I960:J960,0.1))</f>
        <v>NA</v>
      </c>
      <c r="I960" s="198">
        <f ca="1">-$J$55</f>
        <v>0</v>
      </c>
      <c r="J960" s="198">
        <f ca="1">J$955</f>
        <v>774.79500000000007</v>
      </c>
      <c r="N960" s="335"/>
      <c r="O960" s="1"/>
      <c r="S960" s="41"/>
      <c r="T960" s="294"/>
    </row>
    <row r="961" spans="1:20" hidden="1" outlineLevel="1" x14ac:dyDescent="0.25">
      <c r="A961" s="302"/>
      <c r="C961" s="294"/>
      <c r="D961" s="1" t="str">
        <f>"IRR for Exit in "&amp;FIXED(year+1,0,1)&amp;".............................................................................................................................................................................."</f>
        <v>IRR for Exit in 1999..............................................................................................................................................................................</v>
      </c>
      <c r="H961" s="452" t="str">
        <f ca="1">IF(ISERROR(IRR(I961:K961,0.1)),"NA",IRR(I961:K961,0.1))</f>
        <v>NA</v>
      </c>
      <c r="I961" s="198">
        <f t="shared" ref="I961:I969" ca="1" si="430">I960</f>
        <v>0</v>
      </c>
      <c r="J961" s="708">
        <v>0</v>
      </c>
      <c r="K961" s="198">
        <f ca="1">K$955</f>
        <v>960.51739999999995</v>
      </c>
      <c r="L961" s="198"/>
      <c r="N961" s="335"/>
      <c r="O961" s="1"/>
      <c r="S961" s="41"/>
      <c r="T961" s="294"/>
    </row>
    <row r="962" spans="1:20" hidden="1" outlineLevel="1" x14ac:dyDescent="0.25">
      <c r="A962" s="302"/>
      <c r="C962" s="294"/>
      <c r="D962" s="1" t="str">
        <f>"IRR for Exit in "&amp;FIXED(year+2,0,1)&amp;".............................................................................................................................................................................."</f>
        <v>IRR for Exit in 2000..............................................................................................................................................................................</v>
      </c>
      <c r="H962" s="452" t="str">
        <f ca="1">IF(ISERROR(IRR(I962:L962,0.1)),"NA",IRR(I962:L962,0.1))</f>
        <v>NA</v>
      </c>
      <c r="I962" s="198">
        <f t="shared" ca="1" si="430"/>
        <v>0</v>
      </c>
      <c r="J962" s="708">
        <v>0</v>
      </c>
      <c r="K962" s="708">
        <v>0</v>
      </c>
      <c r="L962" s="198">
        <f ca="1">L$955</f>
        <v>1180.2757623749999</v>
      </c>
      <c r="N962" s="335"/>
      <c r="O962" s="1"/>
      <c r="S962" s="41"/>
      <c r="T962" s="294"/>
    </row>
    <row r="963" spans="1:20" hidden="1" outlineLevel="1" x14ac:dyDescent="0.25">
      <c r="A963" s="302"/>
      <c r="C963" s="294"/>
      <c r="D963" s="1" t="str">
        <f>"IRR for Exit in "&amp;FIXED(year+3,0,1)&amp;".............................................................................................................................................................................."</f>
        <v>IRR for Exit in 2001..............................................................................................................................................................................</v>
      </c>
      <c r="F963" s="13"/>
      <c r="G963" s="7"/>
      <c r="H963" s="452" t="str">
        <f ca="1">IF(ISERROR(IRR(I963:M963,0.1)),"NA",IRR(I963:M963,0.1))</f>
        <v>NA</v>
      </c>
      <c r="I963" s="198">
        <f t="shared" ca="1" si="430"/>
        <v>0</v>
      </c>
      <c r="J963" s="708">
        <v>0</v>
      </c>
      <c r="K963" s="708">
        <v>0</v>
      </c>
      <c r="L963" s="708">
        <v>0</v>
      </c>
      <c r="M963" s="198">
        <f ca="1">M$955</f>
        <v>1439.3762535584372</v>
      </c>
      <c r="N963" s="335"/>
      <c r="O963" s="1"/>
      <c r="S963" s="41"/>
      <c r="T963" s="294"/>
    </row>
    <row r="964" spans="1:20" ht="27" hidden="1" customHeight="1" outlineLevel="1" x14ac:dyDescent="0.25">
      <c r="A964" s="302"/>
      <c r="C964" s="294"/>
      <c r="D964" s="389" t="str">
        <f>"IRR for Exit in "&amp;FIXED(year+4,0,1)&amp;"......................................................................................................................"</f>
        <v>IRR for Exit in 2002......................................................................................................................</v>
      </c>
      <c r="E964" s="390"/>
      <c r="F964" s="391"/>
      <c r="G964" s="390"/>
      <c r="H964" s="396" t="str">
        <f ca="1">IF(ISERROR(IRR(I964:N964,0.1)),"NA",IRR(I964:N964,0.1))</f>
        <v>NA</v>
      </c>
      <c r="I964" s="392">
        <f t="shared" ca="1" si="430"/>
        <v>0</v>
      </c>
      <c r="J964" s="709">
        <v>0</v>
      </c>
      <c r="K964" s="709">
        <v>0</v>
      </c>
      <c r="L964" s="709">
        <v>0</v>
      </c>
      <c r="M964" s="709">
        <v>0</v>
      </c>
      <c r="N964" s="393">
        <f ca="1">N$955</f>
        <v>1743.9274900412738</v>
      </c>
      <c r="O964" s="1"/>
      <c r="S964" s="41"/>
      <c r="T964" s="294"/>
    </row>
    <row r="965" spans="1:20" hidden="1" outlineLevel="1" x14ac:dyDescent="0.25">
      <c r="A965" s="302"/>
      <c r="B965" s="4"/>
      <c r="C965" s="299"/>
      <c r="D965" s="1" t="str">
        <f>"IRR for Exit in "&amp;FIXED(year+5,0,1)&amp;".............................................................................................................................................................................."</f>
        <v>IRR for Exit in 2003..............................................................................................................................................................................</v>
      </c>
      <c r="H965" s="452" t="str">
        <f ca="1">IF(ISERROR(IRR(I965:O965,0.1)),"NA",IRR(I965:O965,0.1))</f>
        <v>NA</v>
      </c>
      <c r="I965" s="198">
        <f t="shared" ca="1" si="430"/>
        <v>0</v>
      </c>
      <c r="J965" s="708">
        <v>0</v>
      </c>
      <c r="K965" s="708">
        <v>0</v>
      </c>
      <c r="L965" s="708">
        <v>0</v>
      </c>
      <c r="M965" s="708">
        <v>0</v>
      </c>
      <c r="N965" s="708">
        <v>0</v>
      </c>
      <c r="O965" s="198">
        <f ca="1">O$955</f>
        <v>2100.9611179461308</v>
      </c>
      <c r="S965" s="41"/>
      <c r="T965" s="294"/>
    </row>
    <row r="966" spans="1:20" hidden="1" outlineLevel="1" x14ac:dyDescent="0.25">
      <c r="A966" s="302"/>
      <c r="B966" s="30"/>
      <c r="C966" s="294"/>
      <c r="D966" s="1" t="str">
        <f>"IRR for Exit in "&amp;FIXED(year+6,0,1)&amp;".............................................................................................................................................................................."</f>
        <v>IRR for Exit in 2004..............................................................................................................................................................................</v>
      </c>
      <c r="H966" s="452" t="str">
        <f ca="1">IF(ISERROR(IRR(I966:P966,0.1)),"NA",IRR(I966:P966,0.1))</f>
        <v>NA</v>
      </c>
      <c r="I966" s="198">
        <f t="shared" ca="1" si="430"/>
        <v>0</v>
      </c>
      <c r="J966" s="708">
        <v>0</v>
      </c>
      <c r="K966" s="708">
        <v>0</v>
      </c>
      <c r="L966" s="708">
        <v>0</v>
      </c>
      <c r="M966" s="708">
        <v>0</v>
      </c>
      <c r="N966" s="708">
        <v>0</v>
      </c>
      <c r="O966" s="708">
        <v>0</v>
      </c>
      <c r="P966" s="198">
        <f ca="1">P$955</f>
        <v>2518.5704864296727</v>
      </c>
      <c r="S966" s="41"/>
      <c r="T966" s="294"/>
    </row>
    <row r="967" spans="1:20" hidden="1" outlineLevel="1" x14ac:dyDescent="0.25">
      <c r="A967" s="302"/>
      <c r="B967" s="3"/>
      <c r="C967" s="294"/>
      <c r="D967" s="1" t="str">
        <f>"IRR for Exit in "&amp;FIXED(year+7,0,1)&amp;".............................................................................................................................................................................."</f>
        <v>IRR for Exit in 2005..............................................................................................................................................................................</v>
      </c>
      <c r="H967" s="452" t="str">
        <f ca="1">IF(ISERROR(IRR(I967:Q967,0.1)),"NA",IRR(I967:Q967,0.1))</f>
        <v>NA</v>
      </c>
      <c r="I967" s="198">
        <f t="shared" ca="1" si="430"/>
        <v>0</v>
      </c>
      <c r="J967" s="708">
        <v>0</v>
      </c>
      <c r="K967" s="708">
        <v>0</v>
      </c>
      <c r="L967" s="708">
        <v>0</v>
      </c>
      <c r="M967" s="708">
        <v>0</v>
      </c>
      <c r="N967" s="708">
        <v>0</v>
      </c>
      <c r="O967" s="708">
        <v>0</v>
      </c>
      <c r="P967" s="708">
        <v>0</v>
      </c>
      <c r="Q967" s="198">
        <f ca="1">Q$955</f>
        <v>3006.0701292114736</v>
      </c>
      <c r="S967" s="41"/>
      <c r="T967" s="294"/>
    </row>
    <row r="968" spans="1:20" hidden="1" outlineLevel="1" x14ac:dyDescent="0.25">
      <c r="A968" s="302"/>
      <c r="B968" s="3"/>
      <c r="C968" s="294"/>
      <c r="D968" s="1" t="str">
        <f>"IRR for Exit in "&amp;FIXED(year+8,0,1)&amp;".............................................................................................................................................................................."</f>
        <v>IRR for Exit in 2006..............................................................................................................................................................................</v>
      </c>
      <c r="H968" s="452" t="str">
        <f ca="1">IF(ISERROR(IRR(I968:R968,0.1)),"NA",IRR(I968:R968,0.1))</f>
        <v>NA</v>
      </c>
      <c r="I968" s="198">
        <f t="shared" ca="1" si="430"/>
        <v>0</v>
      </c>
      <c r="J968" s="708">
        <v>0</v>
      </c>
      <c r="K968" s="708">
        <v>0</v>
      </c>
      <c r="L968" s="708">
        <v>0</v>
      </c>
      <c r="M968" s="708">
        <v>0</v>
      </c>
      <c r="N968" s="708">
        <v>0</v>
      </c>
      <c r="O968" s="708">
        <v>0</v>
      </c>
      <c r="P968" s="708">
        <v>0</v>
      </c>
      <c r="Q968" s="708">
        <v>0</v>
      </c>
      <c r="R968" s="198">
        <f ca="1">R$955</f>
        <v>3574.1791756796092</v>
      </c>
      <c r="S968" s="41"/>
      <c r="T968" s="294"/>
    </row>
    <row r="969" spans="1:20" hidden="1" outlineLevel="1" x14ac:dyDescent="0.25">
      <c r="A969" s="302"/>
      <c r="B969" s="3"/>
      <c r="C969" s="294"/>
      <c r="D969" s="1" t="str">
        <f>"IRR for Exit in "&amp;FIXED(year+9,0,1)&amp;".............................................................................................................................................................................."</f>
        <v>IRR for Exit in 2007..............................................................................................................................................................................</v>
      </c>
      <c r="H969" s="452" t="str">
        <f ca="1">IF(ISERROR(IRR(I969:S969,0.1)),"NA",IRR(I969:S969,0.1))</f>
        <v>NA</v>
      </c>
      <c r="I969" s="198">
        <f t="shared" ca="1" si="430"/>
        <v>0</v>
      </c>
      <c r="J969" s="708">
        <v>0</v>
      </c>
      <c r="K969" s="708">
        <v>0</v>
      </c>
      <c r="L969" s="708">
        <v>0</v>
      </c>
      <c r="M969" s="708">
        <v>0</v>
      </c>
      <c r="N969" s="708">
        <v>0</v>
      </c>
      <c r="O969" s="708">
        <v>0</v>
      </c>
      <c r="P969" s="708">
        <v>0</v>
      </c>
      <c r="Q969" s="708">
        <v>0</v>
      </c>
      <c r="R969" s="708">
        <v>0</v>
      </c>
      <c r="S969" s="199">
        <f ca="1">S$955</f>
        <v>4235.2322812482726</v>
      </c>
      <c r="T969" s="294"/>
    </row>
    <row r="970" spans="1:20" ht="42" hidden="1" customHeight="1" outlineLevel="1" x14ac:dyDescent="0.25">
      <c r="A970" s="302"/>
      <c r="B970" s="3"/>
      <c r="C970" s="294"/>
      <c r="H970" s="452"/>
      <c r="I970" s="198"/>
      <c r="J970" s="198"/>
      <c r="K970" s="198"/>
      <c r="L970" s="198"/>
      <c r="M970" s="198"/>
      <c r="N970" s="198"/>
      <c r="O970" s="198"/>
      <c r="P970" s="198"/>
      <c r="Q970" s="198"/>
      <c r="R970" s="198"/>
      <c r="S970" s="199"/>
      <c r="T970" s="294"/>
    </row>
    <row r="971" spans="1:20" hidden="1" outlineLevel="1" x14ac:dyDescent="0.25">
      <c r="B971" s="3"/>
      <c r="C971" s="294"/>
      <c r="D971" s="495" t="str">
        <f>"Variance Analysis of Returns in "&amp;FIXED(year+4,0,1)&amp;":"</f>
        <v>Variance Analysis of Returns in 2002:</v>
      </c>
      <c r="H971" s="841" t="s">
        <v>22</v>
      </c>
      <c r="I971" s="342"/>
      <c r="J971" s="342"/>
      <c r="K971" s="342"/>
      <c r="L971" s="342"/>
      <c r="M971" s="342"/>
      <c r="N971" s="342"/>
      <c r="O971" s="198"/>
      <c r="P971" s="198"/>
      <c r="Q971" s="198"/>
      <c r="R971" s="198"/>
      <c r="S971" s="199"/>
      <c r="T971" s="294"/>
    </row>
    <row r="972" spans="1:20" hidden="1" outlineLevel="1" x14ac:dyDescent="0.25">
      <c r="B972" s="3"/>
      <c r="C972" s="294"/>
      <c r="D972" s="169"/>
      <c r="H972" s="343">
        <f>IF(I972-step2&lt;0,0,I972-step2)</f>
        <v>0</v>
      </c>
      <c r="I972" s="343">
        <f>IF(J972-step2&lt;0,0,J972-step2)</f>
        <v>0</v>
      </c>
      <c r="J972" s="343">
        <f>IF(K972-step2&lt;0,0,K972-step2)</f>
        <v>0</v>
      </c>
      <c r="K972" s="343">
        <f>SUM($H$933:$H$935)</f>
        <v>0</v>
      </c>
      <c r="L972" s="343">
        <f>K972+step2</f>
        <v>0.05</v>
      </c>
      <c r="M972" s="343">
        <f>L972+step2</f>
        <v>0.1</v>
      </c>
      <c r="N972" s="343">
        <f>M972+step2</f>
        <v>0.15000000000000002</v>
      </c>
      <c r="O972" s="198"/>
      <c r="P972" s="198"/>
      <c r="Q972" s="198"/>
      <c r="R972" s="198"/>
      <c r="S972" s="199"/>
      <c r="T972" s="294"/>
    </row>
    <row r="973" spans="1:20" hidden="1" outlineLevel="1" x14ac:dyDescent="0.25">
      <c r="B973" s="3"/>
      <c r="C973" s="294"/>
      <c r="D973" s="169"/>
      <c r="H973" s="920" t="s">
        <v>411</v>
      </c>
      <c r="I973" s="342"/>
      <c r="J973" s="342"/>
      <c r="K973" s="342"/>
      <c r="L973" s="342"/>
      <c r="M973" s="342"/>
      <c r="N973" s="342"/>
      <c r="O973" s="198"/>
      <c r="P973" s="198"/>
      <c r="Q973" s="198"/>
      <c r="R973" s="198"/>
      <c r="S973" s="199"/>
      <c r="T973" s="294"/>
    </row>
    <row r="974" spans="1:20" hidden="1" outlineLevel="1" x14ac:dyDescent="0.25">
      <c r="B974" s="3"/>
      <c r="C974" s="294"/>
      <c r="H974" s="919">
        <v>1</v>
      </c>
      <c r="I974" s="919">
        <v>1</v>
      </c>
      <c r="J974" s="919">
        <v>1</v>
      </c>
      <c r="K974" s="919">
        <v>1</v>
      </c>
      <c r="L974" s="346">
        <f>1*(1-L972)</f>
        <v>0.95</v>
      </c>
      <c r="M974" s="346">
        <f>1*(1-M972)</f>
        <v>0.9</v>
      </c>
      <c r="N974" s="346">
        <f>1*(1-N972)</f>
        <v>0.85</v>
      </c>
      <c r="O974" s="198"/>
      <c r="P974" s="198"/>
      <c r="Q974" s="198"/>
      <c r="R974" s="198"/>
      <c r="S974" s="199"/>
      <c r="T974" s="294"/>
    </row>
    <row r="975" spans="1:20" hidden="1" outlineLevel="1" x14ac:dyDescent="0.25">
      <c r="B975" s="3"/>
      <c r="C975" s="294"/>
      <c r="E975" s="340"/>
      <c r="G975" s="546">
        <f>+G984</f>
        <v>4.5</v>
      </c>
      <c r="H975" s="452" t="str">
        <f ca="1">IF(ISERROR(IF($S$916=0,"NA",IRR(($I$964,$J$964,$K$964,$L$964,$M$964,H984)))),"NM",IF($S$916=0,"NA",IRR(($I$964,$J$964,$K$964,$L$964,$M$964,H984))))</f>
        <v>NM</v>
      </c>
      <c r="I975" s="452" t="str">
        <f ca="1">IF(ISERROR(IF($S$916=0,"NA",IRR(($I$964,$J$964,$K$964,$L$964,$M$964,I984)))),"NM",IF($S$916=0,"NA",IRR(($I$964,$J$964,$K$964,$L$964,$M$964,I984))))</f>
        <v>NM</v>
      </c>
      <c r="J975" s="452" t="str">
        <f ca="1">IF(ISERROR(IF($S$916=0,"NA",IRR(($I$964,$J$964,$K$964,$L$964,$M$964,J984)))),"NM",IF($S$916=0,"NA",IRR(($I$964,$J$964,$K$964,$L$964,$M$964,J984))))</f>
        <v>NM</v>
      </c>
      <c r="K975" s="453" t="str">
        <f ca="1">IF(ISERROR(IF($S$916=0,"NA",IRR(($I$964,$J$964,$K$964,$L$964,$M$964,K984)))),"NM",IF($S$916=0,"NA",IRR(($I$964,$J$964,$K$964,$L$964,$M$964,K984))))</f>
        <v>NM</v>
      </c>
      <c r="L975" s="452" t="str">
        <f ca="1">IF(ISERROR(IF($S$916=0,"NA",IRR(($I$964,$J$964,$K$964,$L$964,$M$964,L984)))),"NM",IF($S$916=0,"NA",IRR(($I$964,$J$964,$K$964,$L$964,$M$964,L984))))</f>
        <v>NM</v>
      </c>
      <c r="M975" s="452" t="str">
        <f ca="1">IF(ISERROR(IF($S$916=0,"NA",IRR(($I$964,$J$964,$K$964,$L$964,$M$964,M984)))),"NM",IF($S$916=0,"NA",IRR(($I$964,$J$964,$K$964,$L$964,$M$964,M984))))</f>
        <v>NM</v>
      </c>
      <c r="N975" s="452" t="str">
        <f ca="1">IF(ISERROR(IF($S$916=0,"NA",IRR(($I$964,$J$964,$K$964,$L$964,$M$964,N984)))),"NM",IF($S$916=0,"NA",IRR(($I$964,$J$964,$K$964,$L$964,$M$964,N984))))</f>
        <v>NM</v>
      </c>
      <c r="O975" s="198"/>
      <c r="P975" s="198"/>
      <c r="Q975" s="198"/>
      <c r="R975" s="198"/>
      <c r="S975" s="199"/>
      <c r="T975" s="294"/>
    </row>
    <row r="976" spans="1:20" hidden="1" outlineLevel="1" x14ac:dyDescent="0.25">
      <c r="B976" s="3"/>
      <c r="C976" s="294"/>
      <c r="E976" s="340"/>
      <c r="F976" s="711" t="s">
        <v>412</v>
      </c>
      <c r="G976" s="546">
        <f>+G985</f>
        <v>5</v>
      </c>
      <c r="H976" s="452" t="str">
        <f ca="1">IF(ISERROR(IF($S$916=0,"NA",IRR(($I$964,$J$964,$K$964,$L$964,$M$964,H985)))),"NM",IF($S$916=0,"NA",IRR(($I$964,$J$964,$K$964,$L$964,$M$964,H985))))</f>
        <v>NM</v>
      </c>
      <c r="I976" s="452" t="str">
        <f ca="1">IF(ISERROR(IF($S$916=0,"NA",IRR(($I$964,$J$964,$K$964,$L$964,$M$964,I985)))),"NM",IF($S$916=0,"NA",IRR(($I$964,$J$964,$K$964,$L$964,$M$964,I985))))</f>
        <v>NM</v>
      </c>
      <c r="J976" s="452" t="str">
        <f ca="1">IF(ISERROR(IF($S$916=0,"NA",IRR(($I$964,$J$964,$K$964,$L$964,$M$964,J985)))),"NM",IF($S$916=0,"NA",IRR(($I$964,$J$964,$K$964,$L$964,$M$964,J985))))</f>
        <v>NM</v>
      </c>
      <c r="K976" s="454" t="str">
        <f ca="1">IF(ISERROR(IF($S$916=0,"NA",IRR(($I$964,$J$964,$K$964,$L$964,$M$964,K985)))),"NM",IF($S$916=0,"NA",IRR(($I$964,$J$964,$K$964,$L$964,$M$964,K985))))</f>
        <v>NM</v>
      </c>
      <c r="L976" s="452" t="str">
        <f ca="1">IF(ISERROR(IF($S$916=0,"NA",IRR(($I$964,$J$964,$K$964,$L$964,$M$964,L985)))),"NM",IF($S$916=0,"NA",IRR(($I$964,$J$964,$K$964,$L$964,$M$964,L985))))</f>
        <v>NM</v>
      </c>
      <c r="M976" s="452" t="str">
        <f ca="1">IF(ISERROR(IF($S$916=0,"NA",IRR(($I$964,$J$964,$K$964,$L$964,$M$964,M985)))),"NM",IF($S$916=0,"NA",IRR(($I$964,$J$964,$K$964,$L$964,$M$964,M985))))</f>
        <v>NM</v>
      </c>
      <c r="N976" s="452" t="str">
        <f ca="1">IF(ISERROR(IF($S$916=0,"NA",IRR(($I$964,$J$964,$K$964,$L$964,$M$964,N985)))),"NM",IF($S$916=0,"NA",IRR(($I$964,$J$964,$K$964,$L$964,$M$964,N985))))</f>
        <v>NM</v>
      </c>
      <c r="O976" s="198"/>
      <c r="P976" s="198"/>
      <c r="Q976" s="198"/>
      <c r="R976" s="198"/>
      <c r="S976" s="199"/>
      <c r="T976" s="294"/>
    </row>
    <row r="977" spans="2:20" ht="18.75" hidden="1" customHeight="1" outlineLevel="1" x14ac:dyDescent="0.25">
      <c r="B977" s="3"/>
      <c r="C977" s="294"/>
      <c r="E977" s="340"/>
      <c r="F977" s="712" t="s">
        <v>61</v>
      </c>
      <c r="G977" s="549">
        <f>mult</f>
        <v>5.5</v>
      </c>
      <c r="H977" s="496" t="str">
        <f ca="1">IF(ISERROR(IF($S$916=0,"NA",IRR(($I$964,$J$964,$K$964,$L$964,$M$964,H986)))),"NM",IF($S$916=0,"NA",IRR(($I$964,$J$964,$K$964,$L$964,$M$964,H986))))</f>
        <v>NM</v>
      </c>
      <c r="I977" s="497" t="str">
        <f ca="1">IF(ISERROR(IF($S$916=0,"NA",IRR(($I$964,$J$964,$K$964,$L$964,$M$964,I986)))),"NM",IF($S$916=0,"NA",IRR(($I$964,$J$964,$K$964,$L$964,$M$964,I986))))</f>
        <v>NM</v>
      </c>
      <c r="J977" s="497" t="str">
        <f ca="1">IF(ISERROR(IF($S$916=0,"NA",IRR(($I$964,$J$964,$K$964,$L$964,$M$964,J986)))),"NM",IF($S$916=0,"NA",IRR(($I$964,$J$964,$K$964,$L$964,$M$964,J986))))</f>
        <v>NM</v>
      </c>
      <c r="K977" s="141" t="str">
        <f ca="1">IF(ISERROR(IF($S$916=0,"NA",IRR(($I$964,$J$964,$K$964,$L$964,$M$964,K986)))),"NM",IF($S$916=0,"NA",IRR(($I$964,$J$964,$K$964,$L$964,$M$964,K986))))</f>
        <v>NM</v>
      </c>
      <c r="L977" s="497" t="str">
        <f ca="1">IF(ISERROR(IF($S$916=0,"NA",IRR(($I$964,$J$964,$K$964,$L$964,$M$964,L986)))),"NM",IF($S$916=0,"NA",IRR(($I$964,$J$964,$K$964,$L$964,$M$964,L986))))</f>
        <v>NM</v>
      </c>
      <c r="M977" s="497" t="str">
        <f ca="1">IF(ISERROR(IF($S$916=0,"NA",IRR(($I$964,$J$964,$K$964,$L$964,$M$964,M986)))),"NM",IF($S$916=0,"NA",IRR(($I$964,$J$964,$K$964,$L$964,$M$964,M986))))</f>
        <v>NM</v>
      </c>
      <c r="N977" s="498" t="str">
        <f ca="1">IF(ISERROR(IF($S$916=0,"NA",IRR(($I$964,$J$964,$K$964,$L$964,$M$964,N986)))),"NM",IF($S$916=0,"NA",IRR(($I$964,$J$964,$K$964,$L$964,$M$964,N986))))</f>
        <v>NM</v>
      </c>
      <c r="O977" s="198"/>
      <c r="P977" s="198"/>
      <c r="Q977" s="198"/>
      <c r="R977" s="198"/>
      <c r="S977" s="199"/>
      <c r="T977" s="294"/>
    </row>
    <row r="978" spans="2:20" hidden="1" outlineLevel="1" x14ac:dyDescent="0.25">
      <c r="B978" s="3"/>
      <c r="C978" s="294"/>
      <c r="E978" s="340"/>
      <c r="F978" s="711" t="s">
        <v>413</v>
      </c>
      <c r="G978" s="546">
        <f>+G987</f>
        <v>6</v>
      </c>
      <c r="H978" s="452" t="str">
        <f ca="1">IF(ISERROR(IF($S$916=0,"NA",IRR(($I$964,$J$964,$K$964,$L$964,$M$964,H987)))),"NM",IF($S$916=0,"NA",IRR(($I$964,$J$964,$K$964,$L$964,$M$964,H987))))</f>
        <v>NM</v>
      </c>
      <c r="I978" s="452" t="str">
        <f ca="1">IF(ISERROR(IF($S$916=0,"NA",IRR(($I$964,$J$964,$K$964,$L$964,$M$964,I987)))),"NM",IF($S$916=0,"NA",IRR(($I$964,$J$964,$K$964,$L$964,$M$964,I987))))</f>
        <v>NM</v>
      </c>
      <c r="J978" s="452" t="str">
        <f ca="1">IF(ISERROR(IF($S$916=0,"NA",IRR(($I$964,$J$964,$K$964,$L$964,$M$964,J987)))),"NM",IF($S$916=0,"NA",IRR(($I$964,$J$964,$K$964,$L$964,$M$964,J987))))</f>
        <v>NM</v>
      </c>
      <c r="K978" s="454" t="str">
        <f ca="1">IF(ISERROR(IF($S$916=0,"NA",IRR(($I$964,$J$964,$K$964,$L$964,$M$964,K987)))),"NM",IF($S$916=0,"NA",IRR(($I$964,$J$964,$K$964,$L$964,$M$964,K987))))</f>
        <v>NM</v>
      </c>
      <c r="L978" s="452" t="str">
        <f ca="1">IF(ISERROR(IF($S$916=0,"NA",IRR(($I$964,$J$964,$K$964,$L$964,$M$964,L987)))),"NM",IF($S$916=0,"NA",IRR(($I$964,$J$964,$K$964,$L$964,$M$964,L987))))</f>
        <v>NM</v>
      </c>
      <c r="M978" s="452" t="str">
        <f ca="1">IF(ISERROR(IF($S$916=0,"NA",IRR(($I$964,$J$964,$K$964,$L$964,$M$964,M987)))),"NM",IF($S$916=0,"NA",IRR(($I$964,$J$964,$K$964,$L$964,$M$964,M987))))</f>
        <v>NM</v>
      </c>
      <c r="N978" s="452" t="str">
        <f ca="1">IF(ISERROR(IF($S$916=0,"NA",IRR(($I$964,$J$964,$K$964,$L$964,$M$964,N987)))),"NM",IF($S$916=0,"NA",IRR(($I$964,$J$964,$K$964,$L$964,$M$964,N987))))</f>
        <v>NM</v>
      </c>
      <c r="O978" s="198"/>
      <c r="P978" s="198"/>
      <c r="Q978" s="198"/>
      <c r="R978" s="198"/>
      <c r="S978" s="199"/>
      <c r="T978" s="294"/>
    </row>
    <row r="979" spans="2:20" hidden="1" outlineLevel="1" x14ac:dyDescent="0.25">
      <c r="B979" s="445" t="str">
        <f>"Rows ("&amp;ROW(B981)&amp;") thru ("&amp;ROW(B988)&amp;") are hidden."</f>
        <v>Rows (981) thru (988) are hidden.</v>
      </c>
      <c r="C979" s="417"/>
      <c r="E979" s="340"/>
      <c r="G979" s="546">
        <f>G978+step</f>
        <v>6.5</v>
      </c>
      <c r="H979" s="452" t="str">
        <f ca="1">IF(ISERROR(IF($S$916=0,"NA",IRR(($I$964,$J$964,$K$964,$L$964,$M$964,H988)))),"NM",IF($S$916=0,"NA",IRR(($I$964,$J$964,$K$964,$L$964,$M$964,H988))))</f>
        <v>NM</v>
      </c>
      <c r="I979" s="452" t="str">
        <f ca="1">IF(ISERROR(IF($S$916=0,"NA",IRR(($I$964,$J$964,$K$964,$L$964,$M$964,I988)))),"NM",IF($S$916=0,"NA",IRR(($I$964,$J$964,$K$964,$L$964,$M$964,I988))))</f>
        <v>NM</v>
      </c>
      <c r="J979" s="452" t="str">
        <f ca="1">IF(ISERROR(IF($S$916=0,"NA",IRR(($I$964,$J$964,$K$964,$L$964,$M$964,J988)))),"NM",IF($S$916=0,"NA",IRR(($I$964,$J$964,$K$964,$L$964,$M$964,J988))))</f>
        <v>NM</v>
      </c>
      <c r="K979" s="455" t="str">
        <f ca="1">IF(ISERROR(IF($S$916=0,"NA",IRR(($I$964,$J$964,$K$964,$L$964,$M$964,K988)))),"NM",IF($S$916=0,"NA",IRR(($I$964,$J$964,$K$964,$L$964,$M$964,K988))))</f>
        <v>NM</v>
      </c>
      <c r="L979" s="452" t="str">
        <f ca="1">IF(ISERROR(IF($S$916=0,"NA",IRR(($I$964,$J$964,$K$964,$L$964,$M$964,L988)))),"NM",IF($S$916=0,"NA",IRR(($I$964,$J$964,$K$964,$L$964,$M$964,L988))))</f>
        <v>NM</v>
      </c>
      <c r="M979" s="452" t="str">
        <f ca="1">IF(ISERROR(IF($S$916=0,"NA",IRR(($I$964,$J$964,$K$964,$L$964,$M$964,M988)))),"NM",IF($S$916=0,"NA",IRR(($I$964,$J$964,$K$964,$L$964,$M$964,M988))))</f>
        <v>NM</v>
      </c>
      <c r="N979" s="452" t="str">
        <f ca="1">IF(ISERROR(IF($S$916=0,"NA",IRR(($I$964,$J$964,$K$964,$L$964,$M$964,N988)))),"NM",IF($S$916=0,"NA",IRR(($I$964,$J$964,$K$964,$L$964,$M$964,N988))))</f>
        <v>NM</v>
      </c>
      <c r="O979" s="198"/>
      <c r="P979" s="198"/>
      <c r="Q979" s="198"/>
      <c r="R979" s="198"/>
      <c r="S979" s="199"/>
      <c r="T979" s="294"/>
    </row>
    <row r="980" spans="2:20" hidden="1" outlineLevel="1" x14ac:dyDescent="0.25">
      <c r="B980" s="713" t="s">
        <v>414</v>
      </c>
      <c r="C980" s="418"/>
      <c r="E980" s="340"/>
      <c r="G980" s="340"/>
      <c r="H980" s="192"/>
      <c r="I980" s="192"/>
      <c r="J980" s="192"/>
      <c r="K980" s="192"/>
      <c r="L980" s="192"/>
      <c r="M980" s="192"/>
      <c r="N980" s="192"/>
      <c r="O980" s="198"/>
      <c r="P980" s="198"/>
      <c r="Q980" s="198"/>
      <c r="R980" s="198"/>
      <c r="S980" s="199"/>
      <c r="T980" s="294"/>
    </row>
    <row r="981" spans="2:20" hidden="1" outlineLevel="1" x14ac:dyDescent="0.25">
      <c r="B981" s="3"/>
      <c r="C981" s="294"/>
      <c r="D981" s="169" t="str">
        <f>"Cash Flow in "&amp;FIXED(year+4,0,1)&amp;":"</f>
        <v>Cash Flow in 2002:</v>
      </c>
      <c r="F981" s="339"/>
      <c r="G981" s="340"/>
      <c r="O981" s="198"/>
      <c r="P981" s="198"/>
      <c r="Q981" s="198"/>
      <c r="R981" s="198"/>
      <c r="S981" s="199"/>
      <c r="T981" s="294"/>
    </row>
    <row r="982" spans="2:20" hidden="1" outlineLevel="1" x14ac:dyDescent="0.25">
      <c r="B982" s="3"/>
      <c r="C982" s="294"/>
      <c r="H982" s="841" t="str">
        <f>H973</f>
        <v>Returns to All Equity After Promotes</v>
      </c>
      <c r="I982" s="342"/>
      <c r="J982" s="342"/>
      <c r="K982" s="342"/>
      <c r="L982" s="342"/>
      <c r="M982" s="342"/>
      <c r="N982" s="342"/>
      <c r="O982" s="198"/>
      <c r="P982" s="198"/>
      <c r="Q982" s="198"/>
      <c r="R982" s="198"/>
      <c r="S982" s="199"/>
      <c r="T982" s="294"/>
    </row>
    <row r="983" spans="2:20" hidden="1" outlineLevel="1" x14ac:dyDescent="0.25">
      <c r="B983" s="3"/>
      <c r="C983" s="294"/>
      <c r="H983" s="446">
        <f t="shared" ref="H983:N983" si="431">+H974</f>
        <v>1</v>
      </c>
      <c r="I983" s="446">
        <f t="shared" si="431"/>
        <v>1</v>
      </c>
      <c r="J983" s="446">
        <f t="shared" si="431"/>
        <v>1</v>
      </c>
      <c r="K983" s="446">
        <f t="shared" si="431"/>
        <v>1</v>
      </c>
      <c r="L983" s="446">
        <f t="shared" si="431"/>
        <v>0.95</v>
      </c>
      <c r="M983" s="446">
        <f t="shared" si="431"/>
        <v>0.9</v>
      </c>
      <c r="N983" s="446">
        <f t="shared" si="431"/>
        <v>0.85</v>
      </c>
      <c r="O983" s="198"/>
      <c r="P983" s="198"/>
      <c r="Q983" s="198"/>
      <c r="R983" s="198"/>
      <c r="S983" s="199"/>
      <c r="T983" s="294"/>
    </row>
    <row r="984" spans="2:20" hidden="1" outlineLevel="1" x14ac:dyDescent="0.25">
      <c r="B984" s="3"/>
      <c r="C984" s="294"/>
      <c r="G984" s="546">
        <f>G985-step</f>
        <v>4.5</v>
      </c>
      <c r="H984" s="103">
        <f t="shared" ref="H984:N988" ca="1" si="432">((term_eq+(term_cf*($G984-mult)))*H$983)</f>
        <v>1508.5986991037739</v>
      </c>
      <c r="I984" s="103">
        <f t="shared" ca="1" si="432"/>
        <v>1508.5986991037739</v>
      </c>
      <c r="J984" s="103">
        <f t="shared" ca="1" si="432"/>
        <v>1508.5986991037739</v>
      </c>
      <c r="K984" s="103">
        <f t="shared" ca="1" si="432"/>
        <v>1508.5986991037739</v>
      </c>
      <c r="L984" s="103">
        <f t="shared" ca="1" si="432"/>
        <v>1433.1687641485851</v>
      </c>
      <c r="M984" s="103">
        <f t="shared" ca="1" si="432"/>
        <v>1357.7388291933967</v>
      </c>
      <c r="N984" s="103">
        <f t="shared" ca="1" si="432"/>
        <v>1282.3088942382078</v>
      </c>
      <c r="O984" s="198"/>
      <c r="P984" s="198"/>
      <c r="Q984" s="198"/>
      <c r="R984" s="198"/>
      <c r="S984" s="199"/>
      <c r="T984" s="294"/>
    </row>
    <row r="985" spans="2:20" hidden="1" outlineLevel="1" x14ac:dyDescent="0.25">
      <c r="B985" s="3"/>
      <c r="C985" s="294"/>
      <c r="F985" s="711" t="s">
        <v>412</v>
      </c>
      <c r="G985" s="546">
        <f>G986-step</f>
        <v>5</v>
      </c>
      <c r="H985" s="103">
        <f t="shared" ca="1" si="432"/>
        <v>1626.2630945725239</v>
      </c>
      <c r="I985" s="103">
        <f t="shared" ca="1" si="432"/>
        <v>1626.2630945725239</v>
      </c>
      <c r="J985" s="103">
        <f t="shared" ca="1" si="432"/>
        <v>1626.2630945725239</v>
      </c>
      <c r="K985" s="103">
        <f t="shared" ca="1" si="432"/>
        <v>1626.2630945725239</v>
      </c>
      <c r="L985" s="103">
        <f t="shared" ca="1" si="432"/>
        <v>1544.9499398438977</v>
      </c>
      <c r="M985" s="103">
        <f t="shared" ca="1" si="432"/>
        <v>1463.6367851152716</v>
      </c>
      <c r="N985" s="103">
        <f t="shared" ca="1" si="432"/>
        <v>1382.3236303866452</v>
      </c>
      <c r="O985" s="198"/>
      <c r="P985" s="198"/>
      <c r="Q985" s="198"/>
      <c r="R985" s="198"/>
      <c r="S985" s="199"/>
      <c r="T985" s="294"/>
    </row>
    <row r="986" spans="2:20" hidden="1" outlineLevel="1" x14ac:dyDescent="0.25">
      <c r="B986" s="3"/>
      <c r="C986" s="294"/>
      <c r="F986" s="711" t="s">
        <v>61</v>
      </c>
      <c r="G986" s="546">
        <f>mult</f>
        <v>5.5</v>
      </c>
      <c r="H986" s="103">
        <f t="shared" ca="1" si="432"/>
        <v>1743.9274900412738</v>
      </c>
      <c r="I986" s="103">
        <f t="shared" ca="1" si="432"/>
        <v>1743.9274900412738</v>
      </c>
      <c r="J986" s="103">
        <f t="shared" ca="1" si="432"/>
        <v>1743.9274900412738</v>
      </c>
      <c r="K986" s="103">
        <f t="shared" ca="1" si="432"/>
        <v>1743.9274900412738</v>
      </c>
      <c r="L986" s="103">
        <f t="shared" ca="1" si="432"/>
        <v>1656.7311155392101</v>
      </c>
      <c r="M986" s="103">
        <f t="shared" ca="1" si="432"/>
        <v>1569.5347410371464</v>
      </c>
      <c r="N986" s="103">
        <f t="shared" ca="1" si="432"/>
        <v>1482.3383665350827</v>
      </c>
      <c r="O986" s="198"/>
      <c r="P986" s="198"/>
      <c r="Q986" s="198"/>
      <c r="R986" s="198"/>
      <c r="S986" s="199"/>
      <c r="T986" s="294"/>
    </row>
    <row r="987" spans="2:20" hidden="1" outlineLevel="1" x14ac:dyDescent="0.25">
      <c r="B987" s="3"/>
      <c r="C987" s="294"/>
      <c r="F987" s="711" t="s">
        <v>413</v>
      </c>
      <c r="G987" s="546">
        <f>G986+step</f>
        <v>6</v>
      </c>
      <c r="H987" s="103">
        <f t="shared" ca="1" si="432"/>
        <v>1861.5918855100238</v>
      </c>
      <c r="I987" s="103">
        <f t="shared" ca="1" si="432"/>
        <v>1861.5918855100238</v>
      </c>
      <c r="J987" s="103">
        <f t="shared" ca="1" si="432"/>
        <v>1861.5918855100238</v>
      </c>
      <c r="K987" s="103">
        <f t="shared" ca="1" si="432"/>
        <v>1861.5918855100238</v>
      </c>
      <c r="L987" s="103">
        <f t="shared" ca="1" si="432"/>
        <v>1768.5122912345225</v>
      </c>
      <c r="M987" s="103">
        <f t="shared" ca="1" si="432"/>
        <v>1675.4326969590213</v>
      </c>
      <c r="N987" s="103">
        <f t="shared" ca="1" si="432"/>
        <v>1582.3531026835201</v>
      </c>
      <c r="O987" s="198"/>
      <c r="P987" s="198"/>
      <c r="Q987" s="198"/>
      <c r="R987" s="198"/>
      <c r="S987" s="199"/>
      <c r="T987" s="294"/>
    </row>
    <row r="988" spans="2:20" hidden="1" outlineLevel="1" x14ac:dyDescent="0.25">
      <c r="B988" s="3"/>
      <c r="C988" s="294"/>
      <c r="F988" s="339"/>
      <c r="G988" s="546">
        <f>+G979</f>
        <v>6.5</v>
      </c>
      <c r="H988" s="103">
        <f t="shared" ca="1" si="432"/>
        <v>1979.2562809787737</v>
      </c>
      <c r="I988" s="103">
        <f t="shared" ca="1" si="432"/>
        <v>1979.2562809787737</v>
      </c>
      <c r="J988" s="103">
        <f t="shared" ca="1" si="432"/>
        <v>1979.2562809787737</v>
      </c>
      <c r="K988" s="103">
        <f t="shared" ca="1" si="432"/>
        <v>1979.2562809787737</v>
      </c>
      <c r="L988" s="103">
        <f t="shared" ca="1" si="432"/>
        <v>1880.2934669298349</v>
      </c>
      <c r="M988" s="103">
        <f t="shared" ca="1" si="432"/>
        <v>1781.3306528808964</v>
      </c>
      <c r="N988" s="103">
        <f t="shared" ca="1" si="432"/>
        <v>1682.3678388319577</v>
      </c>
      <c r="O988" s="198"/>
      <c r="P988" s="198"/>
      <c r="Q988" s="198"/>
      <c r="R988" s="198"/>
      <c r="S988" s="199"/>
      <c r="T988" s="294"/>
    </row>
    <row r="989" spans="2:20" collapsed="1" x14ac:dyDescent="0.25">
      <c r="B989" s="3"/>
      <c r="C989" s="294"/>
      <c r="F989" s="339"/>
      <c r="G989" s="546"/>
      <c r="H989" s="103"/>
      <c r="I989" s="103"/>
      <c r="J989" s="103"/>
      <c r="K989" s="103"/>
      <c r="L989" s="103"/>
      <c r="M989" s="103"/>
      <c r="N989" s="103"/>
      <c r="O989" s="198"/>
      <c r="P989" s="198"/>
      <c r="Q989" s="198"/>
      <c r="R989" s="198"/>
      <c r="S989" s="199"/>
      <c r="T989" s="294"/>
    </row>
    <row r="990" spans="2:20" x14ac:dyDescent="0.25">
      <c r="B990" s="3"/>
      <c r="C990" s="294"/>
      <c r="F990" s="339"/>
      <c r="G990" s="546"/>
      <c r="H990" s="103"/>
      <c r="I990" s="103"/>
      <c r="J990" s="103"/>
      <c r="K990" s="103"/>
      <c r="L990" s="103"/>
      <c r="M990" s="103"/>
      <c r="N990" s="103"/>
      <c r="O990" s="198"/>
      <c r="P990" s="198"/>
      <c r="Q990" s="198"/>
      <c r="R990" s="198"/>
      <c r="S990" s="199"/>
      <c r="T990" s="294"/>
    </row>
    <row r="991" spans="2:20" x14ac:dyDescent="0.25">
      <c r="B991" s="3"/>
      <c r="C991" s="294"/>
      <c r="F991" s="339"/>
      <c r="G991" s="546"/>
      <c r="H991" s="103"/>
      <c r="I991" s="103"/>
      <c r="J991" s="103"/>
      <c r="K991" s="103"/>
      <c r="L991" s="103"/>
      <c r="M991" s="103"/>
      <c r="N991" s="103"/>
      <c r="O991" s="198"/>
      <c r="P991" s="198"/>
      <c r="Q991" s="198"/>
      <c r="R991" s="198"/>
      <c r="S991" s="199"/>
      <c r="T991" s="294"/>
    </row>
    <row r="992" spans="2:20" x14ac:dyDescent="0.25">
      <c r="B992" s="3"/>
      <c r="C992" s="294"/>
      <c r="F992" s="339"/>
      <c r="G992" s="546"/>
      <c r="H992" s="103"/>
      <c r="I992" s="103"/>
      <c r="J992" s="103"/>
      <c r="K992" s="103"/>
      <c r="L992" s="103"/>
      <c r="M992" s="103"/>
      <c r="N992" s="103"/>
      <c r="O992" s="198"/>
      <c r="P992" s="198"/>
      <c r="Q992" s="198"/>
      <c r="R992" s="198"/>
      <c r="S992" s="199"/>
      <c r="T992" s="294"/>
    </row>
    <row r="993" spans="1:20" x14ac:dyDescent="0.25">
      <c r="A993" s="302"/>
      <c r="B993" s="3"/>
      <c r="C993" s="294"/>
      <c r="D993" s="851" t="s">
        <v>415</v>
      </c>
      <c r="H993" s="192"/>
      <c r="I993" s="198"/>
      <c r="J993" s="198"/>
      <c r="K993" s="198"/>
      <c r="L993" s="198"/>
      <c r="M993" s="198"/>
      <c r="N993" s="198"/>
      <c r="O993" s="198"/>
      <c r="P993" s="198"/>
      <c r="Q993" s="198"/>
      <c r="R993" s="198"/>
      <c r="S993" s="199"/>
      <c r="T993" s="294"/>
    </row>
    <row r="994" spans="1:20" x14ac:dyDescent="0.25">
      <c r="A994" s="302"/>
      <c r="B994" s="3"/>
      <c r="C994" s="294"/>
      <c r="D994" s="973"/>
      <c r="H994" s="192"/>
      <c r="I994" s="198"/>
      <c r="J994" s="198"/>
      <c r="K994" s="198"/>
      <c r="L994" s="198"/>
      <c r="M994" s="198"/>
      <c r="N994" s="198"/>
      <c r="O994" s="198"/>
      <c r="P994" s="198"/>
      <c r="Q994" s="198"/>
      <c r="R994" s="198"/>
      <c r="S994" s="199"/>
      <c r="T994" s="294"/>
    </row>
    <row r="995" spans="1:20" ht="54" customHeight="1" x14ac:dyDescent="0.3">
      <c r="A995" s="302"/>
      <c r="B995" s="3"/>
      <c r="C995" s="294"/>
      <c r="D995" s="217" t="str">
        <f>"Returns on "&amp;sponsor&amp;"'s Equity"</f>
        <v>Returns on Sponsor's Equity</v>
      </c>
      <c r="E995" s="355"/>
      <c r="F995" s="355"/>
      <c r="G995" s="355"/>
      <c r="H995" s="355"/>
      <c r="I995" s="356"/>
      <c r="J995" s="170"/>
      <c r="K995" s="170"/>
      <c r="L995" s="170"/>
      <c r="M995" s="170"/>
      <c r="N995" s="170"/>
      <c r="O995" s="170"/>
      <c r="P995" s="170"/>
      <c r="Q995" s="170"/>
      <c r="R995" s="170"/>
      <c r="S995" s="213"/>
      <c r="T995" s="294"/>
    </row>
    <row r="996" spans="1:20" ht="12.75" customHeight="1" x14ac:dyDescent="0.3">
      <c r="A996" s="302"/>
      <c r="B996" s="3"/>
      <c r="C996" s="294"/>
      <c r="D996" s="495" t="str">
        <f>"Cash Flows to "&amp;sponsor&amp;":"</f>
        <v>Cash Flows to Sponsor:</v>
      </c>
      <c r="E996" s="355"/>
      <c r="F996" s="355"/>
      <c r="G996" s="355"/>
      <c r="H996" s="355"/>
      <c r="I996" s="356"/>
      <c r="J996" s="188" t="str">
        <f>"For the Fiscal Year Ending "&amp;fye</f>
        <v>For the Fiscal Year Ending December 31,</v>
      </c>
      <c r="K996" s="190"/>
      <c r="L996" s="190"/>
      <c r="M996" s="190"/>
      <c r="N996" s="190"/>
      <c r="O996" s="190"/>
      <c r="P996" s="190"/>
      <c r="Q996" s="190"/>
      <c r="R996" s="190"/>
      <c r="S996" s="190"/>
      <c r="T996" s="294"/>
    </row>
    <row r="997" spans="1:20" ht="12.75" customHeight="1" x14ac:dyDescent="0.25">
      <c r="A997" s="302"/>
      <c r="B997" s="3"/>
      <c r="C997" s="294"/>
      <c r="D997"/>
      <c r="E997" s="170"/>
      <c r="F997" s="170"/>
      <c r="G997" s="170"/>
      <c r="H997" s="170"/>
      <c r="I997" s="170"/>
      <c r="J997" s="474">
        <f>year</f>
        <v>1998</v>
      </c>
      <c r="K997" s="474">
        <f t="shared" ref="K997:S997" si="433">J997+1</f>
        <v>1999</v>
      </c>
      <c r="L997" s="474">
        <f t="shared" si="433"/>
        <v>2000</v>
      </c>
      <c r="M997" s="474">
        <f t="shared" si="433"/>
        <v>2001</v>
      </c>
      <c r="N997" s="475">
        <f t="shared" si="433"/>
        <v>2002</v>
      </c>
      <c r="O997" s="474">
        <f t="shared" si="433"/>
        <v>2003</v>
      </c>
      <c r="P997" s="474">
        <f t="shared" si="433"/>
        <v>2004</v>
      </c>
      <c r="Q997" s="474">
        <f t="shared" si="433"/>
        <v>2005</v>
      </c>
      <c r="R997" s="474">
        <f t="shared" si="433"/>
        <v>2006</v>
      </c>
      <c r="S997" s="519">
        <f t="shared" si="433"/>
        <v>2007</v>
      </c>
      <c r="T997" s="294"/>
    </row>
    <row r="998" spans="1:20" ht="12.75" customHeight="1" x14ac:dyDescent="0.25">
      <c r="A998" s="302"/>
      <c r="B998" s="3"/>
      <c r="C998" s="294"/>
      <c r="D998" s="600" t="s">
        <v>416</v>
      </c>
      <c r="I998" s="600" t="s">
        <v>101</v>
      </c>
      <c r="J998" s="198">
        <f t="shared" ref="J998:S998" ca="1" si="434">-($I$916*$J$55)</f>
        <v>0</v>
      </c>
      <c r="K998" s="198">
        <f t="shared" ca="1" si="434"/>
        <v>0</v>
      </c>
      <c r="L998" s="198">
        <f t="shared" ca="1" si="434"/>
        <v>0</v>
      </c>
      <c r="M998" s="198">
        <f t="shared" ca="1" si="434"/>
        <v>0</v>
      </c>
      <c r="N998" s="476">
        <f t="shared" ca="1" si="434"/>
        <v>0</v>
      </c>
      <c r="O998" s="198">
        <f t="shared" ca="1" si="434"/>
        <v>0</v>
      </c>
      <c r="P998" s="198">
        <f t="shared" ca="1" si="434"/>
        <v>0</v>
      </c>
      <c r="Q998" s="198">
        <f t="shared" ca="1" si="434"/>
        <v>0</v>
      </c>
      <c r="R998" s="198">
        <f t="shared" ca="1" si="434"/>
        <v>0</v>
      </c>
      <c r="S998" s="199">
        <f t="shared" ca="1" si="434"/>
        <v>0</v>
      </c>
      <c r="T998" s="294"/>
    </row>
    <row r="999" spans="1:20" ht="12.75" customHeight="1" x14ac:dyDescent="0.25">
      <c r="A999" s="302"/>
      <c r="B999" s="3"/>
      <c r="C999" s="294"/>
      <c r="D999" s="202" t="s">
        <v>417</v>
      </c>
      <c r="I999" s="600" t="s">
        <v>101</v>
      </c>
      <c r="J999" s="450">
        <f t="shared" ref="J999:S999" ca="1" si="435">J$955*$S$916</f>
        <v>774.79500000000007</v>
      </c>
      <c r="K999" s="450">
        <f t="shared" ca="1" si="435"/>
        <v>960.51739999999995</v>
      </c>
      <c r="L999" s="450">
        <f t="shared" ca="1" si="435"/>
        <v>1180.2757623749999</v>
      </c>
      <c r="M999" s="450">
        <f t="shared" ca="1" si="435"/>
        <v>1439.3762535584372</v>
      </c>
      <c r="N999" s="477">
        <f t="shared" ca="1" si="435"/>
        <v>1743.9274900412738</v>
      </c>
      <c r="O999" s="450">
        <f t="shared" ca="1" si="435"/>
        <v>2100.9611179461308</v>
      </c>
      <c r="P999" s="450">
        <f t="shared" ca="1" si="435"/>
        <v>2518.5704864296727</v>
      </c>
      <c r="Q999" s="450">
        <f t="shared" ca="1" si="435"/>
        <v>3006.0701292114736</v>
      </c>
      <c r="R999" s="450">
        <f t="shared" ca="1" si="435"/>
        <v>3574.1791756796092</v>
      </c>
      <c r="S999" s="520">
        <f t="shared" ca="1" si="435"/>
        <v>4235.2322812482726</v>
      </c>
      <c r="T999" s="294"/>
    </row>
    <row r="1000" spans="1:20" ht="16.5" customHeight="1" x14ac:dyDescent="0.25">
      <c r="A1000" s="302"/>
      <c r="B1000" s="3"/>
      <c r="C1000" s="294"/>
      <c r="D1000" s="611" t="s">
        <v>418</v>
      </c>
      <c r="I1000" s="600" t="s">
        <v>101</v>
      </c>
      <c r="J1000" s="31">
        <f t="shared" ref="J1000:S1000" ca="1" si="436">J999+J998</f>
        <v>774.79500000000007</v>
      </c>
      <c r="K1000" s="31">
        <f t="shared" ca="1" si="436"/>
        <v>960.51739999999995</v>
      </c>
      <c r="L1000" s="31">
        <f t="shared" ca="1" si="436"/>
        <v>1180.2757623749999</v>
      </c>
      <c r="M1000" s="31">
        <f t="shared" ca="1" si="436"/>
        <v>1439.3762535584372</v>
      </c>
      <c r="N1000" s="478">
        <f t="shared" ca="1" si="436"/>
        <v>1743.9274900412738</v>
      </c>
      <c r="O1000" s="31">
        <f t="shared" ca="1" si="436"/>
        <v>2100.9611179461308</v>
      </c>
      <c r="P1000" s="31">
        <f t="shared" ca="1" si="436"/>
        <v>2518.5704864296727</v>
      </c>
      <c r="Q1000" s="31">
        <f t="shared" ca="1" si="436"/>
        <v>3006.0701292114736</v>
      </c>
      <c r="R1000" s="31">
        <f t="shared" ca="1" si="436"/>
        <v>3574.1791756796092</v>
      </c>
      <c r="S1000" s="521">
        <f t="shared" ca="1" si="436"/>
        <v>4235.2322812482726</v>
      </c>
      <c r="T1000" s="294"/>
    </row>
    <row r="1001" spans="1:20" ht="75" customHeight="1" x14ac:dyDescent="0.3">
      <c r="A1001" s="302"/>
      <c r="B1001" s="3"/>
      <c r="C1001" s="294"/>
      <c r="D1001" s="494" t="str">
        <f>"Returns on "&amp;sponsor&amp;"'s Equity (Assuming "&amp;FIXED(S916*100,1)&amp;"% Ownership):"</f>
        <v>Returns on Sponsor's Equity (Assuming 100,0% Ownership):</v>
      </c>
      <c r="E1001" s="355"/>
      <c r="F1001" s="355"/>
      <c r="G1001" s="355"/>
      <c r="H1001" s="355"/>
      <c r="I1001" s="356"/>
      <c r="J1001" s="188" t="str">
        <f>"For the Fiscal Year Ending "&amp;fye</f>
        <v>For the Fiscal Year Ending December 31,</v>
      </c>
      <c r="K1001" s="190"/>
      <c r="L1001" s="190"/>
      <c r="M1001" s="190"/>
      <c r="N1001" s="190"/>
      <c r="O1001" s="190"/>
      <c r="P1001" s="190"/>
      <c r="Q1001" s="190"/>
      <c r="R1001" s="190"/>
      <c r="S1001" s="190"/>
      <c r="T1001" s="294"/>
    </row>
    <row r="1002" spans="1:20" x14ac:dyDescent="0.25">
      <c r="A1002" s="302"/>
      <c r="B1002" s="3"/>
      <c r="C1002" s="294"/>
      <c r="D1002"/>
      <c r="H1002" s="689" t="s">
        <v>410</v>
      </c>
      <c r="I1002" s="679" t="s">
        <v>95</v>
      </c>
      <c r="J1002" s="101">
        <f>year</f>
        <v>1998</v>
      </c>
      <c r="K1002" s="101">
        <f t="shared" ref="K1002:S1002" si="437">J1002+1</f>
        <v>1999</v>
      </c>
      <c r="L1002" s="101">
        <f t="shared" si="437"/>
        <v>2000</v>
      </c>
      <c r="M1002" s="101">
        <f t="shared" si="437"/>
        <v>2001</v>
      </c>
      <c r="N1002" s="338">
        <f t="shared" si="437"/>
        <v>2002</v>
      </c>
      <c r="O1002" s="101">
        <f t="shared" si="437"/>
        <v>2003</v>
      </c>
      <c r="P1002" s="101">
        <f t="shared" si="437"/>
        <v>2004</v>
      </c>
      <c r="Q1002" s="101">
        <f t="shared" si="437"/>
        <v>2005</v>
      </c>
      <c r="R1002" s="101">
        <f t="shared" si="437"/>
        <v>2006</v>
      </c>
      <c r="S1002" s="514">
        <f t="shared" si="437"/>
        <v>2007</v>
      </c>
      <c r="T1002" s="294"/>
    </row>
    <row r="1003" spans="1:20" x14ac:dyDescent="0.25">
      <c r="A1003" s="302"/>
      <c r="B1003" s="3"/>
      <c r="C1003" s="294"/>
      <c r="D1003" s="1" t="str">
        <f>"IRR for Exit in "&amp;FIXED(year,0,1)&amp;".............................................................................................................................................................................."</f>
        <v>IRR for Exit in 1998..............................................................................................................................................................................</v>
      </c>
      <c r="G1003" s="38"/>
      <c r="H1003" s="452" t="str">
        <f ca="1">IF(ISERROR(IRR(I1003:J1003,0.1)),"NA",IRR(I1003:J1003,0.1))</f>
        <v>NA</v>
      </c>
      <c r="I1003" s="198">
        <f ca="1">-$J$55*G916</f>
        <v>0</v>
      </c>
      <c r="J1003" s="198">
        <f ca="1">J$1000</f>
        <v>774.79500000000007</v>
      </c>
      <c r="N1003" s="335"/>
      <c r="O1003" s="1"/>
      <c r="S1003" s="41"/>
      <c r="T1003" s="294"/>
    </row>
    <row r="1004" spans="1:20" x14ac:dyDescent="0.25">
      <c r="A1004" s="302"/>
      <c r="B1004" s="3"/>
      <c r="C1004" s="294"/>
      <c r="D1004" s="1" t="str">
        <f>"IRR for Exit in "&amp;FIXED(year+1,0,1)&amp;".............................................................................................................................................................................."</f>
        <v>IRR for Exit in 1999..............................................................................................................................................................................</v>
      </c>
      <c r="H1004" s="452" t="str">
        <f ca="1">IF(ISERROR(IRR(I1004:K1004,0.1)),"NA",IRR(I1004:K1004,0.1))</f>
        <v>NA</v>
      </c>
      <c r="I1004" s="198">
        <f t="shared" ref="I1004:I1012" ca="1" si="438">I1003</f>
        <v>0</v>
      </c>
      <c r="J1004" s="708">
        <v>0</v>
      </c>
      <c r="K1004" s="198">
        <f ca="1">K$1000</f>
        <v>960.51739999999995</v>
      </c>
      <c r="N1004" s="335"/>
      <c r="O1004" s="1"/>
      <c r="S1004" s="41"/>
      <c r="T1004" s="294"/>
    </row>
    <row r="1005" spans="1:20" x14ac:dyDescent="0.25">
      <c r="A1005" s="302"/>
      <c r="B1005" s="3"/>
      <c r="C1005" s="294"/>
      <c r="D1005" s="1" t="str">
        <f>"IRR for Exit in "&amp;FIXED(year+2,0,1)&amp;".............................................................................................................................................................................."</f>
        <v>IRR for Exit in 2000..............................................................................................................................................................................</v>
      </c>
      <c r="H1005" s="452" t="str">
        <f ca="1">IF(ISERROR(IRR(I1005:L1005,0.1)),"NA",IRR(I1005:L1005,0.1))</f>
        <v>NA</v>
      </c>
      <c r="I1005" s="198">
        <f t="shared" ca="1" si="438"/>
        <v>0</v>
      </c>
      <c r="J1005" s="708">
        <v>0</v>
      </c>
      <c r="K1005" s="708">
        <v>0</v>
      </c>
      <c r="L1005" s="198">
        <f ca="1">L$1000</f>
        <v>1180.2757623749999</v>
      </c>
      <c r="N1005" s="335"/>
      <c r="O1005" s="1"/>
      <c r="S1005" s="41"/>
      <c r="T1005" s="294"/>
    </row>
    <row r="1006" spans="1:20" x14ac:dyDescent="0.25">
      <c r="A1006" s="302"/>
      <c r="B1006" s="3"/>
      <c r="C1006" s="294"/>
      <c r="D1006" s="1" t="str">
        <f>"IRR for Exit in "&amp;FIXED(year+3,0,1)&amp;".............................................................................................................................................................................."</f>
        <v>IRR for Exit in 2001..............................................................................................................................................................................</v>
      </c>
      <c r="F1006" s="13"/>
      <c r="G1006" s="7"/>
      <c r="H1006" s="452" t="str">
        <f ca="1">IF(ISERROR(IRR(I1006:M1006,0.1)),"NA",IRR(I1006:M1006,0.1))</f>
        <v>NA</v>
      </c>
      <c r="I1006" s="198">
        <f t="shared" ca="1" si="438"/>
        <v>0</v>
      </c>
      <c r="J1006" s="708">
        <v>0</v>
      </c>
      <c r="K1006" s="708">
        <v>0</v>
      </c>
      <c r="L1006" s="708">
        <v>0</v>
      </c>
      <c r="M1006" s="198">
        <f ca="1">M$1000</f>
        <v>1439.3762535584372</v>
      </c>
      <c r="N1006" s="335"/>
      <c r="O1006" s="1"/>
      <c r="S1006" s="41"/>
      <c r="T1006" s="294"/>
    </row>
    <row r="1007" spans="1:20" ht="24.75" customHeight="1" x14ac:dyDescent="0.25">
      <c r="A1007" s="302"/>
      <c r="B1007" s="3"/>
      <c r="C1007" s="294"/>
      <c r="D1007" s="389" t="str">
        <f>"IRR for Exit in "&amp;FIXED(year+4,0,1)&amp;"......................................................................................................................"</f>
        <v>IRR for Exit in 2002......................................................................................................................</v>
      </c>
      <c r="E1007" s="394"/>
      <c r="F1007" s="395"/>
      <c r="G1007" s="394"/>
      <c r="H1007" s="396" t="str">
        <f ca="1">IF(ISERROR(IRR(I1007:N1007,0.1)),"NA",IRR(I1007:N1007,0.1))</f>
        <v>NA</v>
      </c>
      <c r="I1007" s="397">
        <f t="shared" ca="1" si="438"/>
        <v>0</v>
      </c>
      <c r="J1007" s="714">
        <v>0</v>
      </c>
      <c r="K1007" s="714">
        <v>0</v>
      </c>
      <c r="L1007" s="714">
        <v>0</v>
      </c>
      <c r="M1007" s="714">
        <v>0</v>
      </c>
      <c r="N1007" s="398">
        <f ca="1">N$1000</f>
        <v>1743.9274900412738</v>
      </c>
      <c r="O1007" s="1"/>
      <c r="S1007" s="41"/>
      <c r="T1007" s="294"/>
    </row>
    <row r="1008" spans="1:20" x14ac:dyDescent="0.25">
      <c r="A1008" s="302"/>
      <c r="B1008" s="3"/>
      <c r="C1008" s="294"/>
      <c r="D1008" s="1" t="str">
        <f>"IRR for Exit in "&amp;FIXED(year+5,0,1)&amp;".............................................................................................................................................................................."</f>
        <v>IRR for Exit in 2003..............................................................................................................................................................................</v>
      </c>
      <c r="H1008" s="452" t="str">
        <f ca="1">IF(ISERROR(IRR(I1008:O1008,0.1)),"NA",IRR(I1008:O1008,0.1))</f>
        <v>NA</v>
      </c>
      <c r="I1008" s="198">
        <f t="shared" ca="1" si="438"/>
        <v>0</v>
      </c>
      <c r="J1008" s="708">
        <v>0</v>
      </c>
      <c r="K1008" s="708">
        <v>0</v>
      </c>
      <c r="L1008" s="708">
        <v>0</v>
      </c>
      <c r="M1008" s="708">
        <v>0</v>
      </c>
      <c r="N1008" s="708">
        <v>0</v>
      </c>
      <c r="O1008" s="198">
        <f ca="1">O$1000</f>
        <v>2100.9611179461308</v>
      </c>
      <c r="S1008" s="41"/>
      <c r="T1008" s="294"/>
    </row>
    <row r="1009" spans="1:20" x14ac:dyDescent="0.25">
      <c r="A1009" s="302"/>
      <c r="B1009" s="3"/>
      <c r="C1009" s="294"/>
      <c r="D1009" s="1" t="str">
        <f>"IRR for Exit in "&amp;FIXED(year+6,0,1)&amp;".............................................................................................................................................................................."</f>
        <v>IRR for Exit in 2004..............................................................................................................................................................................</v>
      </c>
      <c r="H1009" s="452" t="str">
        <f ca="1">IF(ISERROR(IRR(I1009:P1009,0.1)),"NA",IRR(I1009:P1009,0.1))</f>
        <v>NA</v>
      </c>
      <c r="I1009" s="198">
        <f t="shared" ca="1" si="438"/>
        <v>0</v>
      </c>
      <c r="J1009" s="708">
        <v>0</v>
      </c>
      <c r="K1009" s="708">
        <v>0</v>
      </c>
      <c r="L1009" s="708">
        <v>0</v>
      </c>
      <c r="M1009" s="708">
        <v>0</v>
      </c>
      <c r="N1009" s="708">
        <v>0</v>
      </c>
      <c r="O1009" s="708">
        <v>0</v>
      </c>
      <c r="P1009" s="198">
        <f ca="1">P$1000</f>
        <v>2518.5704864296727</v>
      </c>
      <c r="S1009" s="41"/>
      <c r="T1009" s="294"/>
    </row>
    <row r="1010" spans="1:20" x14ac:dyDescent="0.25">
      <c r="A1010" s="302"/>
      <c r="B1010" s="3"/>
      <c r="C1010" s="294"/>
      <c r="D1010" s="1" t="str">
        <f>"IRR for Exit in "&amp;FIXED(year+7,0,1)&amp;".............................................................................................................................................................................."</f>
        <v>IRR for Exit in 2005..............................................................................................................................................................................</v>
      </c>
      <c r="H1010" s="452" t="str">
        <f ca="1">IF(ISERROR(IRR(I1010:Q1010,0.1)),"NA",IRR(I1010:Q1010,0.1))</f>
        <v>NA</v>
      </c>
      <c r="I1010" s="198">
        <f t="shared" ca="1" si="438"/>
        <v>0</v>
      </c>
      <c r="J1010" s="708">
        <v>0</v>
      </c>
      <c r="K1010" s="708">
        <v>0</v>
      </c>
      <c r="L1010" s="708">
        <v>0</v>
      </c>
      <c r="M1010" s="708">
        <v>0</v>
      </c>
      <c r="N1010" s="708">
        <v>0</v>
      </c>
      <c r="O1010" s="708">
        <v>0</v>
      </c>
      <c r="P1010" s="708">
        <v>0</v>
      </c>
      <c r="Q1010" s="198">
        <f ca="1">Q$1000</f>
        <v>3006.0701292114736</v>
      </c>
      <c r="S1010" s="41"/>
      <c r="T1010" s="294"/>
    </row>
    <row r="1011" spans="1:20" x14ac:dyDescent="0.25">
      <c r="A1011" s="302"/>
      <c r="B1011" s="3"/>
      <c r="C1011" s="294"/>
      <c r="D1011" s="1" t="str">
        <f>"IRR for Exit in "&amp;FIXED(year+8,0,1)&amp;".............................................................................................................................................................................."</f>
        <v>IRR for Exit in 2006..............................................................................................................................................................................</v>
      </c>
      <c r="H1011" s="452" t="str">
        <f ca="1">IF(ISERROR(IRR(I1011:R1011,0.1)),"NA",IRR(I1011:R1011,0.1))</f>
        <v>NA</v>
      </c>
      <c r="I1011" s="198">
        <f t="shared" ca="1" si="438"/>
        <v>0</v>
      </c>
      <c r="J1011" s="708">
        <v>0</v>
      </c>
      <c r="K1011" s="708">
        <v>0</v>
      </c>
      <c r="L1011" s="708">
        <v>0</v>
      </c>
      <c r="M1011" s="708">
        <v>0</v>
      </c>
      <c r="N1011" s="708">
        <v>0</v>
      </c>
      <c r="O1011" s="708">
        <v>0</v>
      </c>
      <c r="P1011" s="708">
        <v>0</v>
      </c>
      <c r="Q1011" s="708">
        <v>0</v>
      </c>
      <c r="R1011" s="198">
        <f ca="1">R$1000</f>
        <v>3574.1791756796092</v>
      </c>
      <c r="S1011" s="41"/>
      <c r="T1011" s="294"/>
    </row>
    <row r="1012" spans="1:20" x14ac:dyDescent="0.25">
      <c r="A1012" s="302"/>
      <c r="B1012" s="3"/>
      <c r="C1012" s="294"/>
      <c r="D1012" s="1" t="str">
        <f>"IRR for Exit in "&amp;FIXED(year+9,0,1)&amp;".............................................................................................................................................................................."</f>
        <v>IRR for Exit in 2007..............................................................................................................................................................................</v>
      </c>
      <c r="H1012" s="452" t="str">
        <f ca="1">IF(ISERROR(IRR(I1012:S1012,0.1)),"NA",IRR(I1012:S1012,0.1))</f>
        <v>NA</v>
      </c>
      <c r="I1012" s="198">
        <f t="shared" ca="1" si="438"/>
        <v>0</v>
      </c>
      <c r="J1012" s="708">
        <v>0</v>
      </c>
      <c r="K1012" s="708">
        <v>0</v>
      </c>
      <c r="L1012" s="708">
        <v>0</v>
      </c>
      <c r="M1012" s="708">
        <v>0</v>
      </c>
      <c r="N1012" s="708">
        <v>0</v>
      </c>
      <c r="O1012" s="708">
        <v>0</v>
      </c>
      <c r="P1012" s="708">
        <v>0</v>
      </c>
      <c r="Q1012" s="708">
        <v>0</v>
      </c>
      <c r="R1012" s="708">
        <v>0</v>
      </c>
      <c r="S1012" s="199">
        <f ca="1">S$1000</f>
        <v>4235.2322812482726</v>
      </c>
      <c r="T1012" s="294"/>
    </row>
    <row r="1013" spans="1:20" ht="75" customHeight="1" x14ac:dyDescent="0.25">
      <c r="A1013" s="302"/>
      <c r="B1013" s="3"/>
      <c r="C1013" s="294"/>
      <c r="H1013" s="344"/>
      <c r="I1013" s="344"/>
      <c r="J1013" s="344"/>
      <c r="K1013" s="344"/>
      <c r="L1013" s="344"/>
      <c r="M1013" s="344"/>
      <c r="N1013" s="344"/>
      <c r="O1013" s="198"/>
      <c r="P1013" s="198"/>
      <c r="Q1013" s="198"/>
      <c r="R1013" s="198"/>
      <c r="S1013" s="199"/>
      <c r="T1013" s="294"/>
    </row>
    <row r="1014" spans="1:20" x14ac:dyDescent="0.25">
      <c r="A1014" s="302"/>
      <c r="B1014" s="3"/>
      <c r="C1014" s="294"/>
      <c r="D1014" s="495" t="str">
        <f>"Variance Analysis of Returns in "&amp;FIXED(year+4,0,1)&amp;":"</f>
        <v>Variance Analysis of Returns in 2002:</v>
      </c>
      <c r="H1014" s="710" t="s">
        <v>22</v>
      </c>
      <c r="I1014" s="342"/>
      <c r="J1014" s="342"/>
      <c r="K1014" s="342"/>
      <c r="L1014" s="342"/>
      <c r="M1014" s="342"/>
      <c r="N1014" s="342"/>
      <c r="O1014" s="198"/>
      <c r="P1014" s="198"/>
      <c r="Q1014" s="198"/>
      <c r="R1014" s="198"/>
      <c r="S1014" s="199"/>
      <c r="T1014" s="294"/>
    </row>
    <row r="1015" spans="1:20" x14ac:dyDescent="0.25">
      <c r="A1015" s="302"/>
      <c r="B1015" s="3"/>
      <c r="C1015" s="294"/>
      <c r="D1015" s="169"/>
      <c r="H1015" s="343">
        <f>IF(I1015-step2&lt;0,0,I1015-step2)</f>
        <v>0</v>
      </c>
      <c r="I1015" s="343">
        <f>IF(J1015-step2&lt;0,0,J1015-step2)</f>
        <v>0</v>
      </c>
      <c r="J1015" s="343">
        <f>IF(K1015-step2&lt;0,0,K1015-step2)</f>
        <v>0</v>
      </c>
      <c r="K1015" s="343">
        <f>SUM($H$933:$H$935)</f>
        <v>0</v>
      </c>
      <c r="L1015" s="343">
        <f>K1015+step2</f>
        <v>0.05</v>
      </c>
      <c r="M1015" s="343">
        <f>L1015+step2</f>
        <v>0.1</v>
      </c>
      <c r="N1015" s="343">
        <f>M1015+step2</f>
        <v>0.15000000000000002</v>
      </c>
      <c r="O1015" s="198"/>
      <c r="P1015" s="198"/>
      <c r="Q1015" s="198"/>
      <c r="R1015" s="198"/>
      <c r="S1015" s="199"/>
      <c r="T1015" s="294"/>
    </row>
    <row r="1016" spans="1:20" x14ac:dyDescent="0.25">
      <c r="A1016" s="302"/>
      <c r="B1016" s="3"/>
      <c r="C1016" s="294"/>
      <c r="D1016" s="169"/>
      <c r="H1016" s="341" t="str">
        <f>"Fully Diluted Equity to "&amp;sponsor</f>
        <v>Fully Diluted Equity to Sponsor</v>
      </c>
      <c r="I1016" s="342"/>
      <c r="J1016" s="342"/>
      <c r="K1016" s="342"/>
      <c r="L1016" s="342"/>
      <c r="M1016" s="342"/>
      <c r="N1016" s="342"/>
      <c r="O1016" s="198"/>
      <c r="P1016" s="198"/>
      <c r="Q1016" s="198"/>
      <c r="R1016" s="198"/>
      <c r="S1016" s="199"/>
      <c r="T1016" s="294"/>
    </row>
    <row r="1017" spans="1:20" x14ac:dyDescent="0.25">
      <c r="A1017" s="302"/>
      <c r="B1017" s="3"/>
      <c r="C1017" s="294"/>
      <c r="H1017" s="344">
        <f t="shared" ref="H1017:N1017" si="439">($S$916/(1-SUM($H$933:$H$935)))*(1-H1015)</f>
        <v>1</v>
      </c>
      <c r="I1017" s="344">
        <f t="shared" si="439"/>
        <v>1</v>
      </c>
      <c r="J1017" s="344">
        <f t="shared" si="439"/>
        <v>1</v>
      </c>
      <c r="K1017" s="344">
        <f t="shared" si="439"/>
        <v>1</v>
      </c>
      <c r="L1017" s="344">
        <f t="shared" si="439"/>
        <v>0.95</v>
      </c>
      <c r="M1017" s="344">
        <f t="shared" si="439"/>
        <v>0.9</v>
      </c>
      <c r="N1017" s="344">
        <f t="shared" si="439"/>
        <v>0.85</v>
      </c>
      <c r="O1017" s="198"/>
      <c r="P1017" s="198"/>
      <c r="Q1017" s="198"/>
      <c r="R1017" s="198"/>
      <c r="S1017" s="199"/>
      <c r="T1017" s="294"/>
    </row>
    <row r="1018" spans="1:20" x14ac:dyDescent="0.25">
      <c r="A1018" s="302"/>
      <c r="B1018" s="3"/>
      <c r="C1018" s="294"/>
      <c r="E1018" s="340"/>
      <c r="G1018" s="546">
        <f>G1019-H1376</f>
        <v>4.5</v>
      </c>
      <c r="H1018" s="452" t="str">
        <f ca="1">IF(ISERROR(IF($S$916=0,"NA",IRR(($I$1007,$J$1007,$K$1007,$L$1007,$M$1007,H1027)))),"NM",IF($S$916=0,"NA",IRR(($I$1007,$J$1007,$K$1007,$L$1007,$M$1007,H1027))))</f>
        <v>NM</v>
      </c>
      <c r="I1018" s="452" t="str">
        <f ca="1">IF(ISERROR(IF($S$916=0,"NA",IRR(($I$1007,$J$1007,$K$1007,$L$1007,$M$1007,I1027)))),"NM",IF($S$916=0,"NA",IRR(($I$1007,$J$1007,$K$1007,$L$1007,$M$1007,I1027))))</f>
        <v>NM</v>
      </c>
      <c r="J1018" s="452" t="str">
        <f ca="1">IF(ISERROR(IF($S$916=0,"NA",IRR(($I$1007,$J$1007,$K$1007,$L$1007,$M$1007,J1027)))),"NM",IF($S$916=0,"NA",IRR(($I$1007,$J$1007,$K$1007,$L$1007,$M$1007,J1027))))</f>
        <v>NM</v>
      </c>
      <c r="K1018" s="453" t="str">
        <f ca="1">IF(ISERROR(IF($S$916=0,"NA",IRR(($I$1007,$J$1007,$K$1007,$L$1007,$M$1007,K1027)))),"NM",IF($S$916=0,"NA",IRR(($I$1007,$J$1007,$K$1007,$L$1007,$M$1007,K1027))))</f>
        <v>NM</v>
      </c>
      <c r="L1018" s="452" t="str">
        <f ca="1">IF(ISERROR(IF($S$916=0,"NA",IRR(($I$1007,$J$1007,$K$1007,$L$1007,$M$1007,L1027)))),"NM",IF($S$916=0,"NA",IRR(($I$1007,$J$1007,$K$1007,$L$1007,$M$1007,L1027))))</f>
        <v>NM</v>
      </c>
      <c r="M1018" s="452" t="str">
        <f ca="1">IF(ISERROR(IF($S$916=0,"NA",IRR(($I$1007,$J$1007,$K$1007,$L$1007,$M$1007,M1027)))),"NM",IF($S$916=0,"NA",IRR(($I$1007,$J$1007,$K$1007,$L$1007,$M$1007,M1027))))</f>
        <v>NM</v>
      </c>
      <c r="N1018" s="452" t="str">
        <f ca="1">IF(ISERROR(IF($S$916=0,"NA",IRR(($I$1007,$J$1007,$K$1007,$L$1007,$M$1007,N1027)))),"NM",IF($S$916=0,"NA",IRR(($I$1007,$J$1007,$K$1007,$L$1007,$M$1007,N1027))))</f>
        <v>NM</v>
      </c>
      <c r="O1018" s="198"/>
      <c r="P1018" s="198"/>
      <c r="Q1018" s="198"/>
      <c r="R1018" s="198"/>
      <c r="S1018" s="199"/>
      <c r="T1018" s="294"/>
    </row>
    <row r="1019" spans="1:20" x14ac:dyDescent="0.25">
      <c r="A1019" s="302"/>
      <c r="B1019" s="3"/>
      <c r="C1019" s="294"/>
      <c r="E1019" s="340"/>
      <c r="F1019" s="711" t="s">
        <v>412</v>
      </c>
      <c r="G1019" s="546">
        <f>G1020-H1376</f>
        <v>5</v>
      </c>
      <c r="H1019" s="452" t="str">
        <f ca="1">IF(ISERROR(IF($S$916=0,"NA",IRR(($I$1007,$J$1007,$K$1007,$L$1007,$M$1007,H1028)))),"NM",IF($S$916=0,"NA",IRR(($I$1007,$J$1007,$K$1007,$L$1007,$M$1007,H1028))))</f>
        <v>NM</v>
      </c>
      <c r="I1019" s="452" t="str">
        <f ca="1">IF(ISERROR(IF($S$916=0,"NA",IRR(($I$1007,$J$1007,$K$1007,$L$1007,$M$1007,I1028)))),"NM",IF($S$916=0,"NA",IRR(($I$1007,$J$1007,$K$1007,$L$1007,$M$1007,I1028))))</f>
        <v>NM</v>
      </c>
      <c r="J1019" s="452" t="str">
        <f ca="1">IF(ISERROR(IF($S$916=0,"NA",IRR(($I$1007,$J$1007,$K$1007,$L$1007,$M$1007,J1028)))),"NM",IF($S$916=0,"NA",IRR(($I$1007,$J$1007,$K$1007,$L$1007,$M$1007,J1028))))</f>
        <v>NM</v>
      </c>
      <c r="K1019" s="454" t="str">
        <f ca="1">IF(ISERROR(IF($S$916=0,"NA",IRR(($I$1007,$J$1007,$K$1007,$L$1007,$M$1007,K1028)))),"NM",IF($S$916=0,"NA",IRR(($I$1007,$J$1007,$K$1007,$L$1007,$M$1007,K1028))))</f>
        <v>NM</v>
      </c>
      <c r="L1019" s="452" t="str">
        <f ca="1">IF(ISERROR(IF($S$916=0,"NA",IRR(($I$1007,$J$1007,$K$1007,$L$1007,$M$1007,L1028)))),"NM",IF($S$916=0,"NA",IRR(($I$1007,$J$1007,$K$1007,$L$1007,$M$1007,L1028))))</f>
        <v>NM</v>
      </c>
      <c r="M1019" s="452" t="str">
        <f ca="1">IF(ISERROR(IF($S$916=0,"NA",IRR(($I$1007,$J$1007,$K$1007,$L$1007,$M$1007,M1028)))),"NM",IF($S$916=0,"NA",IRR(($I$1007,$J$1007,$K$1007,$L$1007,$M$1007,M1028))))</f>
        <v>NM</v>
      </c>
      <c r="N1019" s="452" t="str">
        <f ca="1">IF(ISERROR(IF($S$916=0,"NA",IRR(($I$1007,$J$1007,$K$1007,$L$1007,$M$1007,N1028)))),"NM",IF($S$916=0,"NA",IRR(($I$1007,$J$1007,$K$1007,$L$1007,$M$1007,N1028))))</f>
        <v>NM</v>
      </c>
      <c r="O1019" s="198"/>
      <c r="P1019" s="198"/>
      <c r="Q1019" s="198"/>
      <c r="R1019" s="198"/>
      <c r="S1019" s="199"/>
      <c r="T1019" s="294"/>
    </row>
    <row r="1020" spans="1:20" ht="18.75" customHeight="1" x14ac:dyDescent="0.25">
      <c r="A1020" s="302"/>
      <c r="B1020" s="3"/>
      <c r="C1020" s="294"/>
      <c r="E1020" s="340"/>
      <c r="F1020" s="712" t="s">
        <v>61</v>
      </c>
      <c r="G1020" s="549">
        <f>mult</f>
        <v>5.5</v>
      </c>
      <c r="H1020" s="471" t="str">
        <f ca="1">IF(ISERROR(IF($S$916=0,"NA",IRR(($I$1007,$J$1007,$K$1007,$L$1007,$M$1007,H1029)))),"NM",IF($S$916=0,"NA",IRR(($I$1007,$J$1007,$K$1007,$L$1007,$M$1007,H1029))))</f>
        <v>NM</v>
      </c>
      <c r="I1020" s="396" t="str">
        <f ca="1">IF(ISERROR(IF($S$916=0,"NA",IRR(($I$1007,$J$1007,$K$1007,$L$1007,$M$1007,I1029)))),"NM",IF($S$916=0,"NA",IRR(($I$1007,$J$1007,$K$1007,$L$1007,$M$1007,I1029))))</f>
        <v>NM</v>
      </c>
      <c r="J1020" s="396" t="str">
        <f ca="1">IF(ISERROR(IF($S$916=0,"NA",IRR(($I$1007,$J$1007,$K$1007,$L$1007,$M$1007,J1029)))),"NM",IF($S$916=0,"NA",IRR(($I$1007,$J$1007,$K$1007,$L$1007,$M$1007,J1029))))</f>
        <v>NM</v>
      </c>
      <c r="K1020" s="472" t="str">
        <f ca="1">IF(ISERROR(IF($S$916=0,"NA",IRR(($I$1007,$J$1007,$K$1007,$L$1007,$M$1007,K1029)))),"NM",IF($S$916=0,"NA",IRR(($I$1007,$J$1007,$K$1007,$L$1007,$M$1007,K1029))))</f>
        <v>NM</v>
      </c>
      <c r="L1020" s="396" t="str">
        <f ca="1">IF(ISERROR(IF($S$916=0,"NA",IRR(($I$1007,$J$1007,$K$1007,$L$1007,$M$1007,L1029)))),"NM",IF($S$916=0,"NA",IRR(($I$1007,$J$1007,$K$1007,$L$1007,$M$1007,L1029))))</f>
        <v>NM</v>
      </c>
      <c r="M1020" s="396" t="str">
        <f ca="1">IF(ISERROR(IF($S$916=0,"NA",IRR(($I$1007,$J$1007,$K$1007,$L$1007,$M$1007,M1029)))),"NM",IF($S$916=0,"NA",IRR(($I$1007,$J$1007,$K$1007,$L$1007,$M$1007,M1029))))</f>
        <v>NM</v>
      </c>
      <c r="N1020" s="473" t="str">
        <f ca="1">IF(ISERROR(IF($S$916=0,"NA",IRR(($I$1007,$J$1007,$K$1007,$L$1007,$M$1007,N1029)))),"NM",IF($S$916=0,"NA",IRR(($I$1007,$J$1007,$K$1007,$L$1007,$M$1007,N1029))))</f>
        <v>NM</v>
      </c>
      <c r="O1020" s="198"/>
      <c r="P1020" s="198"/>
      <c r="Q1020" s="198"/>
      <c r="R1020" s="198"/>
      <c r="S1020" s="199"/>
      <c r="T1020" s="294"/>
    </row>
    <row r="1021" spans="1:20" x14ac:dyDescent="0.25">
      <c r="A1021" s="302"/>
      <c r="B1021" s="3"/>
      <c r="C1021" s="294"/>
      <c r="E1021" s="340"/>
      <c r="F1021" s="711" t="s">
        <v>413</v>
      </c>
      <c r="G1021" s="546">
        <f>G1020+step</f>
        <v>6</v>
      </c>
      <c r="H1021" s="452" t="str">
        <f ca="1">IF(ISERROR(IF($S$916=0,"NA",IRR(($I$1007,$J$1007,$K$1007,$L$1007,$M$1007,H1030)))),"NM",IF($S$916=0,"NA",IRR(($I$1007,$J$1007,$K$1007,$L$1007,$M$1007,H1030))))</f>
        <v>NM</v>
      </c>
      <c r="I1021" s="452" t="str">
        <f ca="1">IF(ISERROR(IF($S$916=0,"NA",IRR(($I$1007,$J$1007,$K$1007,$L$1007,$M$1007,I1030)))),"NM",IF($S$916=0,"NA",IRR(($I$1007,$J$1007,$K$1007,$L$1007,$M$1007,I1030))))</f>
        <v>NM</v>
      </c>
      <c r="J1021" s="452" t="str">
        <f ca="1">IF(ISERROR(IF($S$916=0,"NA",IRR(($I$1007,$J$1007,$K$1007,$L$1007,$M$1007,J1030)))),"NM",IF($S$916=0,"NA",IRR(($I$1007,$J$1007,$K$1007,$L$1007,$M$1007,J1030))))</f>
        <v>NM</v>
      </c>
      <c r="K1021" s="454" t="str">
        <f ca="1">IF(ISERROR(IF($S$916=0,"NA",IRR(($I$1007,$J$1007,$K$1007,$L$1007,$M$1007,K1030)))),"NM",IF($S$916=0,"NA",IRR(($I$1007,$J$1007,$K$1007,$L$1007,$M$1007,K1030))))</f>
        <v>NM</v>
      </c>
      <c r="L1021" s="452" t="str">
        <f ca="1">IF(ISERROR(IF($S$916=0,"NA",IRR(($I$1007,$J$1007,$K$1007,$L$1007,$M$1007,L1030)))),"NM",IF($S$916=0,"NA",IRR(($I$1007,$J$1007,$K$1007,$L$1007,$M$1007,L1030))))</f>
        <v>NM</v>
      </c>
      <c r="M1021" s="452" t="str">
        <f ca="1">IF(ISERROR(IF($S$916=0,"NA",IRR(($I$1007,$J$1007,$K$1007,$L$1007,$M$1007,M1030)))),"NM",IF($S$916=0,"NA",IRR(($I$1007,$J$1007,$K$1007,$L$1007,$M$1007,M1030))))</f>
        <v>NM</v>
      </c>
      <c r="N1021" s="452" t="str">
        <f ca="1">IF(ISERROR(IF($S$916=0,"NA",IRR(($I$1007,$J$1007,$K$1007,$L$1007,$M$1007,N1030)))),"NM",IF($S$916=0,"NA",IRR(($I$1007,$J$1007,$K$1007,$L$1007,$M$1007,N1030))))</f>
        <v>NM</v>
      </c>
      <c r="O1021" s="198"/>
      <c r="P1021" s="198"/>
      <c r="Q1021" s="198"/>
      <c r="R1021" s="198"/>
      <c r="S1021" s="199"/>
      <c r="T1021" s="294"/>
    </row>
    <row r="1022" spans="1:20" x14ac:dyDescent="0.25">
      <c r="A1022" s="302"/>
      <c r="B1022" s="445" t="str">
        <f>"Rows ("&amp;ROW(B1024)&amp;") thru ("&amp;ROW(B1031)&amp;") are hidden."</f>
        <v>Rows (1024) thru (1031) are hidden.</v>
      </c>
      <c r="C1022" s="417"/>
      <c r="E1022" s="340"/>
      <c r="G1022" s="546">
        <f>G1021+step</f>
        <v>6.5</v>
      </c>
      <c r="H1022" s="452" t="str">
        <f ca="1">IF(ISERROR(IF($S$916=0,"NA",IRR(($I$1007,$J$1007,$K$1007,$L$1007,$M$1007,H1031)))),"NM",IF($S$916=0,"NA",IRR(($I$1007,$J$1007,$K$1007,$L$1007,$M$1007,H1031))))</f>
        <v>NM</v>
      </c>
      <c r="I1022" s="452" t="str">
        <f ca="1">IF(ISERROR(IF($S$916=0,"NA",IRR(($I$1007,$J$1007,$K$1007,$L$1007,$M$1007,I1031)))),"NM",IF($S$916=0,"NA",IRR(($I$1007,$J$1007,$K$1007,$L$1007,$M$1007,I1031))))</f>
        <v>NM</v>
      </c>
      <c r="J1022" s="452" t="str">
        <f ca="1">IF(ISERROR(IF($S$916=0,"NA",IRR(($I$1007,$J$1007,$K$1007,$L$1007,$M$1007,J1031)))),"NM",IF($S$916=0,"NA",IRR(($I$1007,$J$1007,$K$1007,$L$1007,$M$1007,J1031))))</f>
        <v>NM</v>
      </c>
      <c r="K1022" s="455" t="str">
        <f ca="1">IF(ISERROR(IF($S$916=0,"NA",IRR(($I$1007,$J$1007,$K$1007,$L$1007,$M$1007,K1031)))),"NM",IF($S$916=0,"NA",IRR(($I$1007,$J$1007,$K$1007,$L$1007,$M$1007,K1031))))</f>
        <v>NM</v>
      </c>
      <c r="L1022" s="452" t="str">
        <f ca="1">IF(ISERROR(IF($S$916=0,"NA",IRR(($I$1007,$J$1007,$K$1007,$L$1007,$M$1007,L1031)))),"NM",IF($S$916=0,"NA",IRR(($I$1007,$J$1007,$K$1007,$L$1007,$M$1007,L1031))))</f>
        <v>NM</v>
      </c>
      <c r="M1022" s="452" t="str">
        <f ca="1">IF(ISERROR(IF($S$916=0,"NA",IRR(($I$1007,$J$1007,$K$1007,$L$1007,$M$1007,M1031)))),"NM",IF($S$916=0,"NA",IRR(($I$1007,$J$1007,$K$1007,$L$1007,$M$1007,M1031))))</f>
        <v>NM</v>
      </c>
      <c r="N1022" s="452" t="str">
        <f ca="1">IF(ISERROR(IF($S$916=0,"NA",IRR(($I$1007,$J$1007,$K$1007,$L$1007,$M$1007,N1031)))),"NM",IF($S$916=0,"NA",IRR(($I$1007,$J$1007,$K$1007,$L$1007,$M$1007,N1031))))</f>
        <v>NM</v>
      </c>
      <c r="O1022" s="198"/>
      <c r="P1022" s="198"/>
      <c r="Q1022" s="198"/>
      <c r="R1022" s="198"/>
      <c r="S1022" s="199"/>
      <c r="T1022" s="294"/>
    </row>
    <row r="1023" spans="1:20" x14ac:dyDescent="0.25">
      <c r="A1023" s="302"/>
      <c r="B1023" s="713" t="s">
        <v>414</v>
      </c>
      <c r="C1023" s="418"/>
      <c r="E1023" s="340"/>
      <c r="G1023" s="340"/>
      <c r="H1023" s="192"/>
      <c r="I1023" s="192"/>
      <c r="J1023" s="192"/>
      <c r="K1023" s="192"/>
      <c r="L1023" s="192"/>
      <c r="M1023" s="192"/>
      <c r="N1023" s="192"/>
      <c r="O1023" s="198"/>
      <c r="P1023" s="198"/>
      <c r="Q1023" s="198"/>
      <c r="R1023" s="198"/>
      <c r="S1023" s="199"/>
      <c r="T1023" s="294"/>
    </row>
    <row r="1024" spans="1:20" x14ac:dyDescent="0.25">
      <c r="A1024" s="302"/>
      <c r="B1024" s="3"/>
      <c r="C1024" s="294"/>
      <c r="D1024" s="974" t="str">
        <f>"Cash Flow in "&amp;FIXED(year+4,0,1)&amp;":"</f>
        <v>Cash Flow in 2002:</v>
      </c>
      <c r="F1024" s="339"/>
      <c r="G1024" s="340"/>
      <c r="O1024" s="198"/>
      <c r="P1024" s="198"/>
      <c r="Q1024" s="198"/>
      <c r="R1024" s="198"/>
      <c r="S1024" s="199"/>
      <c r="T1024" s="294"/>
    </row>
    <row r="1025" spans="1:20" x14ac:dyDescent="0.25">
      <c r="A1025" s="302"/>
      <c r="B1025" s="3"/>
      <c r="C1025" s="294"/>
      <c r="H1025" s="841" t="str">
        <f>H1016</f>
        <v>Fully Diluted Equity to Sponsor</v>
      </c>
      <c r="I1025" s="342"/>
      <c r="J1025" s="342"/>
      <c r="K1025" s="342"/>
      <c r="L1025" s="342"/>
      <c r="M1025" s="342"/>
      <c r="N1025" s="342"/>
      <c r="O1025" s="198"/>
      <c r="P1025" s="198"/>
      <c r="Q1025" s="198"/>
      <c r="R1025" s="198"/>
      <c r="S1025" s="199"/>
      <c r="T1025" s="294"/>
    </row>
    <row r="1026" spans="1:20" x14ac:dyDescent="0.25">
      <c r="A1026" s="302"/>
      <c r="B1026" s="3"/>
      <c r="C1026" s="294"/>
      <c r="H1026" s="446">
        <f t="shared" ref="H1026:N1026" si="440">+H1017</f>
        <v>1</v>
      </c>
      <c r="I1026" s="446">
        <f t="shared" si="440"/>
        <v>1</v>
      </c>
      <c r="J1026" s="446">
        <f t="shared" si="440"/>
        <v>1</v>
      </c>
      <c r="K1026" s="446">
        <f t="shared" si="440"/>
        <v>1</v>
      </c>
      <c r="L1026" s="446">
        <f t="shared" si="440"/>
        <v>0.95</v>
      </c>
      <c r="M1026" s="446">
        <f t="shared" si="440"/>
        <v>0.9</v>
      </c>
      <c r="N1026" s="446">
        <f t="shared" si="440"/>
        <v>0.85</v>
      </c>
      <c r="O1026" s="198"/>
      <c r="P1026" s="198"/>
      <c r="Q1026" s="198"/>
      <c r="R1026" s="198"/>
      <c r="S1026" s="199"/>
      <c r="T1026" s="294"/>
    </row>
    <row r="1027" spans="1:20" x14ac:dyDescent="0.25">
      <c r="A1027" s="302"/>
      <c r="B1027" s="3"/>
      <c r="C1027" s="294"/>
      <c r="G1027" s="546">
        <f>G1028-step</f>
        <v>4.5</v>
      </c>
      <c r="H1027" s="103">
        <f ca="1">H$1026*($G1027*term_cf-$N$950+SUM($N$952:$N$954))</f>
        <v>1508.5986991037739</v>
      </c>
      <c r="I1027" s="103">
        <f t="shared" ref="I1027:N1031" ca="1" si="441">I$1026*($G1027*term_cf-$N$950+SUM($N$952:$N$954))</f>
        <v>1508.5986991037739</v>
      </c>
      <c r="J1027" s="103">
        <f t="shared" ca="1" si="441"/>
        <v>1508.5986991037739</v>
      </c>
      <c r="K1027" s="103">
        <f t="shared" ca="1" si="441"/>
        <v>1508.5986991037739</v>
      </c>
      <c r="L1027" s="103">
        <f t="shared" ca="1" si="441"/>
        <v>1433.1687641485851</v>
      </c>
      <c r="M1027" s="103">
        <f t="shared" ca="1" si="441"/>
        <v>1357.7388291933967</v>
      </c>
      <c r="N1027" s="103">
        <f t="shared" ca="1" si="441"/>
        <v>1282.3088942382078</v>
      </c>
      <c r="O1027" s="198"/>
      <c r="P1027" s="198"/>
      <c r="Q1027" s="198"/>
      <c r="R1027" s="198"/>
      <c r="S1027" s="199"/>
      <c r="T1027" s="294"/>
    </row>
    <row r="1028" spans="1:20" x14ac:dyDescent="0.25">
      <c r="A1028" s="302"/>
      <c r="B1028" s="3"/>
      <c r="C1028" s="294"/>
      <c r="F1028" s="711" t="s">
        <v>412</v>
      </c>
      <c r="G1028" s="546">
        <f>G1029-step</f>
        <v>5</v>
      </c>
      <c r="H1028" s="103">
        <f ca="1">H$1026*($G1028*term_cf-$N$950+SUM($N$952:$N$954))</f>
        <v>1626.2630945725239</v>
      </c>
      <c r="I1028" s="103">
        <f t="shared" ca="1" si="441"/>
        <v>1626.2630945725239</v>
      </c>
      <c r="J1028" s="103">
        <f t="shared" ca="1" si="441"/>
        <v>1626.2630945725239</v>
      </c>
      <c r="K1028" s="103">
        <f t="shared" ca="1" si="441"/>
        <v>1626.2630945725239</v>
      </c>
      <c r="L1028" s="103">
        <f t="shared" ca="1" si="441"/>
        <v>1544.9499398438977</v>
      </c>
      <c r="M1028" s="103">
        <f t="shared" ca="1" si="441"/>
        <v>1463.6367851152716</v>
      </c>
      <c r="N1028" s="103">
        <f t="shared" ca="1" si="441"/>
        <v>1382.3236303866452</v>
      </c>
      <c r="O1028" s="198"/>
      <c r="P1028" s="198"/>
      <c r="Q1028" s="198"/>
      <c r="R1028" s="198"/>
      <c r="S1028" s="199"/>
      <c r="T1028" s="294"/>
    </row>
    <row r="1029" spans="1:20" x14ac:dyDescent="0.25">
      <c r="A1029" s="302"/>
      <c r="B1029" s="3"/>
      <c r="C1029" s="294"/>
      <c r="F1029" s="711" t="s">
        <v>61</v>
      </c>
      <c r="G1029" s="546">
        <f>mult</f>
        <v>5.5</v>
      </c>
      <c r="H1029" s="103">
        <f ca="1">H$1026*($G1029*term_cf-$N$950+SUM($N$952:$N$954))</f>
        <v>1743.9274900412738</v>
      </c>
      <c r="I1029" s="103">
        <f t="shared" ca="1" si="441"/>
        <v>1743.9274900412738</v>
      </c>
      <c r="J1029" s="103">
        <f t="shared" ca="1" si="441"/>
        <v>1743.9274900412738</v>
      </c>
      <c r="K1029" s="103">
        <f t="shared" ca="1" si="441"/>
        <v>1743.9274900412738</v>
      </c>
      <c r="L1029" s="103">
        <f t="shared" ca="1" si="441"/>
        <v>1656.7311155392101</v>
      </c>
      <c r="M1029" s="103">
        <f t="shared" ca="1" si="441"/>
        <v>1569.5347410371464</v>
      </c>
      <c r="N1029" s="103">
        <f t="shared" ca="1" si="441"/>
        <v>1482.3383665350827</v>
      </c>
      <c r="O1029" s="198"/>
      <c r="P1029" s="198"/>
      <c r="Q1029" s="198"/>
      <c r="R1029" s="198"/>
      <c r="S1029" s="199"/>
      <c r="T1029" s="294"/>
    </row>
    <row r="1030" spans="1:20" x14ac:dyDescent="0.25">
      <c r="A1030" s="302"/>
      <c r="B1030" s="3"/>
      <c r="C1030" s="294"/>
      <c r="F1030" s="711" t="s">
        <v>413</v>
      </c>
      <c r="G1030" s="546">
        <f>G1029+step</f>
        <v>6</v>
      </c>
      <c r="H1030" s="103">
        <f ca="1">H$1026*($G1030*term_cf-$N$950+SUM($N$952:$N$954))</f>
        <v>1861.5918855100238</v>
      </c>
      <c r="I1030" s="103">
        <f t="shared" ca="1" si="441"/>
        <v>1861.5918855100238</v>
      </c>
      <c r="J1030" s="103">
        <f t="shared" ca="1" si="441"/>
        <v>1861.5918855100238</v>
      </c>
      <c r="K1030" s="103">
        <f t="shared" ca="1" si="441"/>
        <v>1861.5918855100238</v>
      </c>
      <c r="L1030" s="103">
        <f t="shared" ca="1" si="441"/>
        <v>1768.5122912345225</v>
      </c>
      <c r="M1030" s="103">
        <f t="shared" ca="1" si="441"/>
        <v>1675.4326969590213</v>
      </c>
      <c r="N1030" s="103">
        <f t="shared" ca="1" si="441"/>
        <v>1582.3531026835201</v>
      </c>
      <c r="O1030" s="198"/>
      <c r="P1030" s="198"/>
      <c r="Q1030" s="198"/>
      <c r="R1030" s="198"/>
      <c r="S1030" s="199"/>
      <c r="T1030" s="294"/>
    </row>
    <row r="1031" spans="1:20" x14ac:dyDescent="0.25">
      <c r="A1031" s="302"/>
      <c r="B1031" s="3"/>
      <c r="C1031" s="294"/>
      <c r="F1031" s="339"/>
      <c r="G1031" s="546">
        <f>G1030+step</f>
        <v>6.5</v>
      </c>
      <c r="H1031" s="103">
        <f ca="1">H$1026*($G1031*term_cf-$N$950+SUM($N$952:$N$954))</f>
        <v>1979.2562809787737</v>
      </c>
      <c r="I1031" s="103">
        <f t="shared" ca="1" si="441"/>
        <v>1979.2562809787737</v>
      </c>
      <c r="J1031" s="103">
        <f t="shared" ca="1" si="441"/>
        <v>1979.2562809787737</v>
      </c>
      <c r="K1031" s="103">
        <f t="shared" ca="1" si="441"/>
        <v>1979.2562809787737</v>
      </c>
      <c r="L1031" s="103">
        <f t="shared" ca="1" si="441"/>
        <v>1880.2934669298349</v>
      </c>
      <c r="M1031" s="103">
        <f t="shared" ca="1" si="441"/>
        <v>1781.3306528808964</v>
      </c>
      <c r="N1031" s="103">
        <f t="shared" ca="1" si="441"/>
        <v>1682.3678388319577</v>
      </c>
      <c r="O1031" s="198"/>
      <c r="P1031" s="198"/>
      <c r="Q1031" s="198"/>
      <c r="R1031" s="198"/>
      <c r="S1031" s="199"/>
      <c r="T1031" s="294"/>
    </row>
    <row r="1032" spans="1:20" x14ac:dyDescent="0.25">
      <c r="A1032" s="302"/>
      <c r="B1032" s="3"/>
      <c r="C1032" s="294"/>
      <c r="H1032" s="192"/>
      <c r="I1032" s="198"/>
      <c r="J1032" s="198"/>
      <c r="K1032" s="198"/>
      <c r="L1032" s="198"/>
      <c r="M1032" s="198"/>
      <c r="N1032" s="198"/>
      <c r="O1032" s="198"/>
      <c r="P1032" s="198"/>
      <c r="Q1032" s="198"/>
      <c r="R1032" s="198"/>
      <c r="S1032" s="199"/>
      <c r="T1032" s="294"/>
    </row>
    <row r="1033" spans="1:20" ht="51" hidden="1" customHeight="1" outlineLevel="1" x14ac:dyDescent="0.25">
      <c r="A1033" s="302"/>
      <c r="B1033" s="3"/>
      <c r="C1033" s="294"/>
      <c r="D1033" s="622" t="s">
        <v>419</v>
      </c>
      <c r="E1033" s="170"/>
      <c r="F1033" s="170"/>
      <c r="G1033" s="170"/>
      <c r="H1033" s="170"/>
      <c r="I1033" s="170"/>
      <c r="J1033" s="170"/>
      <c r="K1033" s="170"/>
      <c r="L1033" s="170"/>
      <c r="M1033" s="170"/>
      <c r="N1033" s="170"/>
      <c r="O1033" s="170"/>
      <c r="P1033" s="170"/>
      <c r="Q1033" s="170"/>
      <c r="R1033" s="170"/>
      <c r="S1033" s="213"/>
      <c r="T1033" s="294"/>
    </row>
    <row r="1034" spans="1:20" ht="12.75" hidden="1" customHeight="1" outlineLevel="1" x14ac:dyDescent="0.25">
      <c r="A1034" s="302"/>
      <c r="B1034" s="3"/>
      <c r="C1034" s="294"/>
      <c r="D1034" s="701" t="s">
        <v>420</v>
      </c>
      <c r="E1034" s="170"/>
      <c r="F1034" s="170"/>
      <c r="G1034" s="170"/>
      <c r="H1034" s="170"/>
      <c r="I1034" s="170"/>
      <c r="J1034" s="188" t="str">
        <f>"For the Fiscal Year Ending "&amp;fye</f>
        <v>For the Fiscal Year Ending December 31,</v>
      </c>
      <c r="K1034" s="190"/>
      <c r="L1034" s="190"/>
      <c r="M1034" s="190"/>
      <c r="N1034" s="190"/>
      <c r="O1034" s="190"/>
      <c r="P1034" s="190"/>
      <c r="Q1034" s="190"/>
      <c r="R1034" s="190"/>
      <c r="S1034" s="190"/>
      <c r="T1034" s="294"/>
    </row>
    <row r="1035" spans="1:20" ht="12.75" hidden="1" customHeight="1" outlineLevel="1" x14ac:dyDescent="0.25">
      <c r="A1035" s="302"/>
      <c r="B1035" s="3"/>
      <c r="C1035" s="294"/>
      <c r="D1035"/>
      <c r="E1035" s="170"/>
      <c r="F1035" s="170"/>
      <c r="G1035" s="170"/>
      <c r="H1035" s="170"/>
      <c r="I1035" s="170"/>
      <c r="J1035" s="101">
        <f>year</f>
        <v>1998</v>
      </c>
      <c r="K1035" s="101">
        <f t="shared" ref="K1035:S1035" si="442">J1035+1</f>
        <v>1999</v>
      </c>
      <c r="L1035" s="101">
        <f t="shared" si="442"/>
        <v>2000</v>
      </c>
      <c r="M1035" s="101">
        <f t="shared" si="442"/>
        <v>2001</v>
      </c>
      <c r="N1035" s="338">
        <f t="shared" si="442"/>
        <v>2002</v>
      </c>
      <c r="O1035" s="101">
        <f t="shared" si="442"/>
        <v>2003</v>
      </c>
      <c r="P1035" s="101">
        <f t="shared" si="442"/>
        <v>2004</v>
      </c>
      <c r="Q1035" s="101">
        <f t="shared" si="442"/>
        <v>2005</v>
      </c>
      <c r="R1035" s="101">
        <f t="shared" si="442"/>
        <v>2006</v>
      </c>
      <c r="S1035" s="514">
        <f t="shared" si="442"/>
        <v>2007</v>
      </c>
      <c r="T1035" s="294"/>
    </row>
    <row r="1036" spans="1:20" ht="12.75" hidden="1" customHeight="1" outlineLevel="1" x14ac:dyDescent="0.25">
      <c r="A1036" s="302"/>
      <c r="B1036" s="3"/>
      <c r="C1036" s="294"/>
      <c r="D1036" s="600" t="s">
        <v>416</v>
      </c>
      <c r="I1036" s="600" t="s">
        <v>101</v>
      </c>
      <c r="J1036" s="198">
        <f t="shared" ref="J1036:S1036" ca="1" si="443">-($I$917*$J$55)</f>
        <v>0</v>
      </c>
      <c r="K1036" s="198">
        <f t="shared" ca="1" si="443"/>
        <v>0</v>
      </c>
      <c r="L1036" s="198">
        <f t="shared" ca="1" si="443"/>
        <v>0</v>
      </c>
      <c r="M1036" s="198">
        <f t="shared" ca="1" si="443"/>
        <v>0</v>
      </c>
      <c r="N1036" s="476">
        <f t="shared" ca="1" si="443"/>
        <v>0</v>
      </c>
      <c r="O1036" s="198">
        <f t="shared" ca="1" si="443"/>
        <v>0</v>
      </c>
      <c r="P1036" s="198">
        <f t="shared" ca="1" si="443"/>
        <v>0</v>
      </c>
      <c r="Q1036" s="198">
        <f t="shared" ca="1" si="443"/>
        <v>0</v>
      </c>
      <c r="R1036" s="198">
        <f t="shared" ca="1" si="443"/>
        <v>0</v>
      </c>
      <c r="S1036" s="199">
        <f t="shared" ca="1" si="443"/>
        <v>0</v>
      </c>
      <c r="T1036" s="294"/>
    </row>
    <row r="1037" spans="1:20" ht="12.75" hidden="1" customHeight="1" outlineLevel="1" x14ac:dyDescent="0.25">
      <c r="A1037" s="302"/>
      <c r="B1037" s="3"/>
      <c r="C1037" s="294"/>
      <c r="D1037" s="202" t="s">
        <v>417</v>
      </c>
      <c r="I1037" s="600" t="s">
        <v>101</v>
      </c>
      <c r="J1037" s="450">
        <f t="shared" ref="J1037:S1037" ca="1" si="444">J$955*$S$917</f>
        <v>0</v>
      </c>
      <c r="K1037" s="450">
        <f t="shared" ca="1" si="444"/>
        <v>0</v>
      </c>
      <c r="L1037" s="450">
        <f t="shared" ca="1" si="444"/>
        <v>0</v>
      </c>
      <c r="M1037" s="450">
        <f t="shared" ca="1" si="444"/>
        <v>0</v>
      </c>
      <c r="N1037" s="477">
        <f t="shared" ca="1" si="444"/>
        <v>0</v>
      </c>
      <c r="O1037" s="450">
        <f t="shared" ca="1" si="444"/>
        <v>0</v>
      </c>
      <c r="P1037" s="450">
        <f t="shared" ca="1" si="444"/>
        <v>0</v>
      </c>
      <c r="Q1037" s="450">
        <f t="shared" ca="1" si="444"/>
        <v>0</v>
      </c>
      <c r="R1037" s="450">
        <f t="shared" ca="1" si="444"/>
        <v>0</v>
      </c>
      <c r="S1037" s="520">
        <f t="shared" ca="1" si="444"/>
        <v>0</v>
      </c>
      <c r="T1037" s="294"/>
    </row>
    <row r="1038" spans="1:20" ht="15.75" hidden="1" customHeight="1" outlineLevel="1" x14ac:dyDescent="0.25">
      <c r="A1038" s="302"/>
      <c r="B1038" s="3"/>
      <c r="C1038" s="294"/>
      <c r="D1038" s="611" t="s">
        <v>418</v>
      </c>
      <c r="I1038" s="600" t="s">
        <v>101</v>
      </c>
      <c r="J1038" s="31">
        <f t="shared" ref="J1038:S1038" ca="1" si="445">J1037+J1036</f>
        <v>0</v>
      </c>
      <c r="K1038" s="31">
        <f t="shared" ca="1" si="445"/>
        <v>0</v>
      </c>
      <c r="L1038" s="31">
        <f t="shared" ca="1" si="445"/>
        <v>0</v>
      </c>
      <c r="M1038" s="31">
        <f t="shared" ca="1" si="445"/>
        <v>0</v>
      </c>
      <c r="N1038" s="478">
        <f t="shared" ca="1" si="445"/>
        <v>0</v>
      </c>
      <c r="O1038" s="31">
        <f t="shared" ca="1" si="445"/>
        <v>0</v>
      </c>
      <c r="P1038" s="31">
        <f t="shared" ca="1" si="445"/>
        <v>0</v>
      </c>
      <c r="Q1038" s="31">
        <f t="shared" ca="1" si="445"/>
        <v>0</v>
      </c>
      <c r="R1038" s="31">
        <f t="shared" ca="1" si="445"/>
        <v>0</v>
      </c>
      <c r="S1038" s="521">
        <f t="shared" ca="1" si="445"/>
        <v>0</v>
      </c>
      <c r="T1038" s="294"/>
    </row>
    <row r="1039" spans="1:20" ht="75" hidden="1" customHeight="1" outlineLevel="1" x14ac:dyDescent="0.25">
      <c r="A1039" s="302"/>
      <c r="B1039" s="3"/>
      <c r="C1039" s="294"/>
      <c r="D1039" s="494" t="str">
        <f>"Returns on DLJ's Equity (\Assuming "&amp;FIXED(S917*100,1)&amp;"% Ownership):"</f>
        <v>Returns on DLJ's Equity (\Assuming 0.0% Ownership):</v>
      </c>
      <c r="E1039" s="170"/>
      <c r="F1039" s="170"/>
      <c r="G1039" s="170"/>
      <c r="H1039" s="170"/>
      <c r="I1039" s="170"/>
      <c r="J1039" s="188" t="str">
        <f>"For the Fiscal Year Ending "&amp;fye</f>
        <v>For the Fiscal Year Ending December 31,</v>
      </c>
      <c r="K1039" s="190"/>
      <c r="L1039" s="190"/>
      <c r="M1039" s="190"/>
      <c r="N1039" s="190"/>
      <c r="O1039" s="190"/>
      <c r="P1039" s="190"/>
      <c r="Q1039" s="190"/>
      <c r="R1039" s="190"/>
      <c r="S1039" s="190"/>
      <c r="T1039" s="294"/>
    </row>
    <row r="1040" spans="1:20" hidden="1" outlineLevel="1" x14ac:dyDescent="0.25">
      <c r="A1040" s="302"/>
      <c r="B1040" s="3"/>
      <c r="C1040" s="294"/>
      <c r="D1040"/>
      <c r="H1040" s="689" t="s">
        <v>410</v>
      </c>
      <c r="I1040" s="679" t="s">
        <v>95</v>
      </c>
      <c r="J1040" s="101">
        <f>year</f>
        <v>1998</v>
      </c>
      <c r="K1040" s="101">
        <f t="shared" ref="K1040:S1040" si="446">J1040+1</f>
        <v>1999</v>
      </c>
      <c r="L1040" s="101">
        <f t="shared" si="446"/>
        <v>2000</v>
      </c>
      <c r="M1040" s="101">
        <f t="shared" si="446"/>
        <v>2001</v>
      </c>
      <c r="N1040" s="338">
        <f t="shared" si="446"/>
        <v>2002</v>
      </c>
      <c r="O1040" s="101">
        <f t="shared" si="446"/>
        <v>2003</v>
      </c>
      <c r="P1040" s="101">
        <f t="shared" si="446"/>
        <v>2004</v>
      </c>
      <c r="Q1040" s="101">
        <f t="shared" si="446"/>
        <v>2005</v>
      </c>
      <c r="R1040" s="101">
        <f t="shared" si="446"/>
        <v>2006</v>
      </c>
      <c r="S1040" s="514">
        <f t="shared" si="446"/>
        <v>2007</v>
      </c>
      <c r="T1040" s="294"/>
    </row>
    <row r="1041" spans="1:20" hidden="1" outlineLevel="1" x14ac:dyDescent="0.25">
      <c r="A1041" s="302"/>
      <c r="B1041" s="3"/>
      <c r="C1041" s="294"/>
      <c r="D1041" s="1" t="str">
        <f>"IRR for Exit in "&amp;FIXED(year,0,1)&amp;".............................................................................................................................................................................."</f>
        <v>IRR for Exit in 1998..............................................................................................................................................................................</v>
      </c>
      <c r="G1041" s="38"/>
      <c r="H1041" s="452" t="str">
        <f ca="1">IF(ISERROR(IRR(I1041:J1041,0.1)),"NA",IRR(I1041:J1041,0.1))</f>
        <v>NA</v>
      </c>
      <c r="I1041" s="198">
        <f ca="1">-$J$55*G917</f>
        <v>0</v>
      </c>
      <c r="J1041" s="198">
        <f ca="1">J$1038</f>
        <v>0</v>
      </c>
      <c r="N1041" s="335"/>
      <c r="O1041" s="1"/>
      <c r="S1041" s="41"/>
      <c r="T1041" s="294"/>
    </row>
    <row r="1042" spans="1:20" hidden="1" outlineLevel="1" x14ac:dyDescent="0.25">
      <c r="A1042" s="302"/>
      <c r="B1042" s="3"/>
      <c r="C1042" s="294"/>
      <c r="D1042" s="1" t="str">
        <f>"IRR for Exit in "&amp;FIXED(year+1,0,1)&amp;".............................................................................................................................................................................."</f>
        <v>IRR for Exit in 1999..............................................................................................................................................................................</v>
      </c>
      <c r="H1042" s="452" t="str">
        <f ca="1">IF(ISERROR(IRR(I1042:K1042,0.1)),"NA",IRR(I1042:K1042,0.1))</f>
        <v>NA</v>
      </c>
      <c r="I1042" s="198">
        <f t="shared" ref="I1042:I1050" ca="1" si="447">I1041</f>
        <v>0</v>
      </c>
      <c r="J1042" s="708">
        <v>0</v>
      </c>
      <c r="K1042" s="198">
        <f ca="1">K$1038</f>
        <v>0</v>
      </c>
      <c r="N1042" s="335"/>
      <c r="O1042" s="1"/>
      <c r="S1042" s="41"/>
      <c r="T1042" s="294"/>
    </row>
    <row r="1043" spans="1:20" hidden="1" outlineLevel="1" x14ac:dyDescent="0.25">
      <c r="A1043" s="302"/>
      <c r="B1043" s="3"/>
      <c r="C1043" s="294"/>
      <c r="D1043" s="1" t="str">
        <f>"IRR for Exit in "&amp;FIXED(year+2,0,1)&amp;".............................................................................................................................................................................."</f>
        <v>IRR for Exit in 2000..............................................................................................................................................................................</v>
      </c>
      <c r="H1043" s="452" t="str">
        <f ca="1">IF(ISERROR(IRR(I1043:L1043,0.1)),"NA",IRR(I1043:L1043,0.1))</f>
        <v>NA</v>
      </c>
      <c r="I1043" s="198">
        <f t="shared" ca="1" si="447"/>
        <v>0</v>
      </c>
      <c r="J1043" s="708">
        <v>0</v>
      </c>
      <c r="K1043" s="708">
        <v>0</v>
      </c>
      <c r="L1043" s="198">
        <f ca="1">L$1038</f>
        <v>0</v>
      </c>
      <c r="N1043" s="335"/>
      <c r="O1043" s="1"/>
      <c r="S1043" s="41"/>
      <c r="T1043" s="294"/>
    </row>
    <row r="1044" spans="1:20" hidden="1" outlineLevel="1" x14ac:dyDescent="0.25">
      <c r="A1044" s="302"/>
      <c r="B1044" s="3"/>
      <c r="C1044" s="294"/>
      <c r="D1044" s="1" t="str">
        <f>"IRR for Exit in "&amp;FIXED(year+3,0,1)&amp;".............................................................................................................................................................................."</f>
        <v>IRR for Exit in 2001..............................................................................................................................................................................</v>
      </c>
      <c r="F1044" s="13"/>
      <c r="G1044" s="7"/>
      <c r="H1044" s="452" t="str">
        <f ca="1">IF(ISERROR(IRR(I1044:M1044,0.1)),"NA",IRR(I1044:M1044,0.1))</f>
        <v>NA</v>
      </c>
      <c r="I1044" s="198">
        <f t="shared" ca="1" si="447"/>
        <v>0</v>
      </c>
      <c r="J1044" s="708">
        <v>0</v>
      </c>
      <c r="K1044" s="708">
        <v>0</v>
      </c>
      <c r="L1044" s="708">
        <v>0</v>
      </c>
      <c r="M1044" s="198">
        <f ca="1">M$1038</f>
        <v>0</v>
      </c>
      <c r="N1044" s="335"/>
      <c r="O1044" s="1"/>
      <c r="S1044" s="41"/>
      <c r="T1044" s="294"/>
    </row>
    <row r="1045" spans="1:20" ht="24.75" hidden="1" customHeight="1" outlineLevel="1" x14ac:dyDescent="0.25">
      <c r="A1045" s="302"/>
      <c r="B1045" s="3"/>
      <c r="C1045" s="294"/>
      <c r="D1045" s="389" t="str">
        <f>"IRR for Exit in "&amp;FIXED(year+4,0,1)&amp;"......................................................................................................................"</f>
        <v>IRR for Exit in 2002......................................................................................................................</v>
      </c>
      <c r="E1045" s="390"/>
      <c r="F1045" s="391"/>
      <c r="G1045" s="390"/>
      <c r="H1045" s="396" t="str">
        <f ca="1">IF(ISERROR(IRR(I1045:N1045,0.1)),"NA",IRR(I1045:N1045,0.1))</f>
        <v>NA</v>
      </c>
      <c r="I1045" s="392">
        <f t="shared" ca="1" si="447"/>
        <v>0</v>
      </c>
      <c r="J1045" s="709">
        <v>0</v>
      </c>
      <c r="K1045" s="709">
        <v>0</v>
      </c>
      <c r="L1045" s="709">
        <v>0</v>
      </c>
      <c r="M1045" s="709">
        <v>0</v>
      </c>
      <c r="N1045" s="449">
        <f ca="1">N$1038</f>
        <v>0</v>
      </c>
      <c r="O1045" s="1"/>
      <c r="S1045" s="41"/>
      <c r="T1045" s="294"/>
    </row>
    <row r="1046" spans="1:20" hidden="1" outlineLevel="1" x14ac:dyDescent="0.25">
      <c r="A1046" s="302"/>
      <c r="B1046" s="3"/>
      <c r="C1046" s="294"/>
      <c r="D1046" s="1" t="str">
        <f>"IRR for Exit in "&amp;FIXED(year+5,0,1)&amp;".............................................................................................................................................................................."</f>
        <v>IRR for Exit in 2003..............................................................................................................................................................................</v>
      </c>
      <c r="H1046" s="452" t="str">
        <f ca="1">IF(ISERROR(IRR(I1046:O1046,0.1)),"NA",IRR(I1046:O1046,0.1))</f>
        <v>NA</v>
      </c>
      <c r="I1046" s="198">
        <f t="shared" ca="1" si="447"/>
        <v>0</v>
      </c>
      <c r="J1046" s="708">
        <v>0</v>
      </c>
      <c r="K1046" s="708">
        <v>0</v>
      </c>
      <c r="L1046" s="708">
        <v>0</v>
      </c>
      <c r="M1046" s="708">
        <v>0</v>
      </c>
      <c r="N1046" s="708">
        <v>0</v>
      </c>
      <c r="O1046" s="198">
        <f ca="1">O$1038</f>
        <v>0</v>
      </c>
      <c r="S1046" s="41"/>
      <c r="T1046" s="294"/>
    </row>
    <row r="1047" spans="1:20" hidden="1" outlineLevel="1" x14ac:dyDescent="0.25">
      <c r="A1047" s="302"/>
      <c r="B1047" s="3"/>
      <c r="C1047" s="294"/>
      <c r="D1047" s="1" t="str">
        <f>"IRR for Exit in "&amp;FIXED(year+6,0,1)&amp;".............................................................................................................................................................................."</f>
        <v>IRR for Exit in 2004..............................................................................................................................................................................</v>
      </c>
      <c r="H1047" s="452" t="str">
        <f ca="1">IF(ISERROR(IRR(I1047:P1047,0.1)),"NA",IRR(I1047:P1047,0.1))</f>
        <v>NA</v>
      </c>
      <c r="I1047" s="198">
        <f t="shared" ca="1" si="447"/>
        <v>0</v>
      </c>
      <c r="J1047" s="708">
        <v>0</v>
      </c>
      <c r="K1047" s="708">
        <v>0</v>
      </c>
      <c r="L1047" s="708">
        <v>0</v>
      </c>
      <c r="M1047" s="708">
        <v>0</v>
      </c>
      <c r="N1047" s="708">
        <v>0</v>
      </c>
      <c r="O1047" s="708">
        <v>0</v>
      </c>
      <c r="P1047" s="198">
        <f ca="1">P$1038</f>
        <v>0</v>
      </c>
      <c r="S1047" s="41"/>
      <c r="T1047" s="294"/>
    </row>
    <row r="1048" spans="1:20" hidden="1" outlineLevel="1" x14ac:dyDescent="0.25">
      <c r="A1048" s="302"/>
      <c r="B1048" s="3"/>
      <c r="C1048" s="294"/>
      <c r="D1048" s="1" t="str">
        <f>"IRR for Exit in "&amp;FIXED(year+7,0,1)&amp;".............................................................................................................................................................................."</f>
        <v>IRR for Exit in 2005..............................................................................................................................................................................</v>
      </c>
      <c r="H1048" s="452" t="str">
        <f ca="1">IF(ISERROR(IRR(I1048:Q1048,0.1)),"NA",IRR(I1048:Q1048,0.1))</f>
        <v>NA</v>
      </c>
      <c r="I1048" s="198">
        <f t="shared" ca="1" si="447"/>
        <v>0</v>
      </c>
      <c r="J1048" s="708">
        <v>0</v>
      </c>
      <c r="K1048" s="708">
        <v>0</v>
      </c>
      <c r="L1048" s="708">
        <v>0</v>
      </c>
      <c r="M1048" s="708">
        <v>0</v>
      </c>
      <c r="N1048" s="708">
        <v>0</v>
      </c>
      <c r="O1048" s="708">
        <v>0</v>
      </c>
      <c r="P1048" s="708">
        <v>0</v>
      </c>
      <c r="Q1048" s="198">
        <f ca="1">Q$1038</f>
        <v>0</v>
      </c>
      <c r="S1048" s="41"/>
      <c r="T1048" s="294"/>
    </row>
    <row r="1049" spans="1:20" hidden="1" outlineLevel="1" x14ac:dyDescent="0.25">
      <c r="A1049" s="302"/>
      <c r="B1049" s="3"/>
      <c r="C1049" s="294"/>
      <c r="D1049" s="1" t="str">
        <f>"IRR for Exit in "&amp;FIXED(year+8,0,1)&amp;".............................................................................................................................................................................."</f>
        <v>IRR for Exit in 2006..............................................................................................................................................................................</v>
      </c>
      <c r="H1049" s="452" t="str">
        <f ca="1">IF(ISERROR(IRR(I1049:R1049,0.1)),"NA",IRR(I1049:R1049,0.1))</f>
        <v>NA</v>
      </c>
      <c r="I1049" s="198">
        <f t="shared" ca="1" si="447"/>
        <v>0</v>
      </c>
      <c r="J1049" s="708">
        <v>0</v>
      </c>
      <c r="K1049" s="708">
        <v>0</v>
      </c>
      <c r="L1049" s="708">
        <v>0</v>
      </c>
      <c r="M1049" s="708">
        <v>0</v>
      </c>
      <c r="N1049" s="708">
        <v>0</v>
      </c>
      <c r="O1049" s="708">
        <v>0</v>
      </c>
      <c r="P1049" s="708">
        <v>0</v>
      </c>
      <c r="Q1049" s="708">
        <v>0</v>
      </c>
      <c r="R1049" s="198">
        <f ca="1">R$1038</f>
        <v>0</v>
      </c>
      <c r="S1049" s="41"/>
      <c r="T1049" s="294"/>
    </row>
    <row r="1050" spans="1:20" hidden="1" outlineLevel="1" x14ac:dyDescent="0.25">
      <c r="A1050" s="302"/>
      <c r="B1050" s="3"/>
      <c r="C1050" s="294"/>
      <c r="D1050" s="1" t="str">
        <f>"IRR for Exit in "&amp;FIXED(year+9,0,1)&amp;".............................................................................................................................................................................."</f>
        <v>IRR for Exit in 2007..............................................................................................................................................................................</v>
      </c>
      <c r="H1050" s="452" t="str">
        <f ca="1">IF(ISERROR(IRR(I1050:S1050,0.1)),"NA",IRR(I1050:S1050,0.1))</f>
        <v>NA</v>
      </c>
      <c r="I1050" s="198">
        <f t="shared" ca="1" si="447"/>
        <v>0</v>
      </c>
      <c r="J1050" s="708">
        <v>0</v>
      </c>
      <c r="K1050" s="708">
        <v>0</v>
      </c>
      <c r="L1050" s="708">
        <v>0</v>
      </c>
      <c r="M1050" s="708">
        <v>0</v>
      </c>
      <c r="N1050" s="708">
        <v>0</v>
      </c>
      <c r="O1050" s="708">
        <v>0</v>
      </c>
      <c r="P1050" s="708">
        <v>0</v>
      </c>
      <c r="Q1050" s="708">
        <v>0</v>
      </c>
      <c r="R1050" s="708">
        <v>0</v>
      </c>
      <c r="S1050" s="199">
        <f ca="1">S$1038</f>
        <v>0</v>
      </c>
      <c r="T1050" s="294"/>
    </row>
    <row r="1051" spans="1:20" ht="75" hidden="1" customHeight="1" outlineLevel="1" x14ac:dyDescent="0.25">
      <c r="A1051" s="302"/>
      <c r="B1051" s="3"/>
      <c r="C1051" s="294"/>
      <c r="H1051" s="192"/>
      <c r="I1051" s="198"/>
      <c r="J1051" s="198"/>
      <c r="K1051" s="198"/>
      <c r="L1051" s="198"/>
      <c r="M1051" s="198"/>
      <c r="N1051" s="198"/>
      <c r="O1051" s="198"/>
      <c r="P1051" s="198"/>
      <c r="Q1051" s="198"/>
      <c r="R1051" s="198"/>
      <c r="S1051" s="199"/>
      <c r="T1051" s="294"/>
    </row>
    <row r="1052" spans="1:20" hidden="1" outlineLevel="1" x14ac:dyDescent="0.25">
      <c r="A1052" s="302"/>
      <c r="B1052" s="3"/>
      <c r="C1052" s="294"/>
      <c r="D1052" s="495" t="str">
        <f>"Variance Analysis of Returns in "&amp;FIXED(year+4,0,1)&amp;":"</f>
        <v>Variance Analysis of Returns in 2002:</v>
      </c>
      <c r="H1052" s="710" t="s">
        <v>22</v>
      </c>
      <c r="I1052" s="342"/>
      <c r="J1052" s="342"/>
      <c r="K1052" s="342"/>
      <c r="L1052" s="342"/>
      <c r="M1052" s="342"/>
      <c r="N1052" s="342"/>
      <c r="O1052" s="198"/>
      <c r="P1052" s="198"/>
      <c r="Q1052" s="198"/>
      <c r="R1052" s="198"/>
      <c r="S1052" s="199"/>
      <c r="T1052" s="294"/>
    </row>
    <row r="1053" spans="1:20" hidden="1" outlineLevel="1" x14ac:dyDescent="0.25">
      <c r="A1053" s="302"/>
      <c r="B1053" s="3"/>
      <c r="C1053" s="294"/>
      <c r="D1053" s="169"/>
      <c r="H1053" s="343">
        <f>IF(I1053-step2&lt;0,0,I1053-step2)</f>
        <v>0</v>
      </c>
      <c r="I1053" s="343">
        <f>IF(J1053-step2&lt;0,0,J1053-step2)</f>
        <v>0</v>
      </c>
      <c r="J1053" s="343">
        <f>IF(K1053-step2&lt;0,0,K1053-step2)</f>
        <v>0</v>
      </c>
      <c r="K1053" s="343">
        <f>SUM($H$933:$H$935)</f>
        <v>0</v>
      </c>
      <c r="L1053" s="343">
        <f>K1053+step2</f>
        <v>0.05</v>
      </c>
      <c r="M1053" s="343">
        <f>L1053+step2</f>
        <v>0.1</v>
      </c>
      <c r="N1053" s="343">
        <f>M1053+step2</f>
        <v>0.15000000000000002</v>
      </c>
      <c r="O1053" s="198"/>
      <c r="P1053" s="198"/>
      <c r="Q1053" s="198"/>
      <c r="R1053" s="198"/>
      <c r="S1053" s="199"/>
      <c r="T1053" s="294"/>
    </row>
    <row r="1054" spans="1:20" hidden="1" outlineLevel="1" x14ac:dyDescent="0.25">
      <c r="A1054" s="302"/>
      <c r="B1054" s="3"/>
      <c r="C1054" s="294"/>
      <c r="D1054" s="169"/>
      <c r="H1054" s="710" t="s">
        <v>421</v>
      </c>
      <c r="I1054" s="342"/>
      <c r="J1054" s="342"/>
      <c r="K1054" s="342"/>
      <c r="L1054" s="342"/>
      <c r="M1054" s="342"/>
      <c r="N1054" s="342"/>
      <c r="O1054" s="198"/>
      <c r="P1054" s="198"/>
      <c r="Q1054" s="198"/>
      <c r="R1054" s="198"/>
      <c r="S1054" s="199"/>
      <c r="T1054" s="294"/>
    </row>
    <row r="1055" spans="1:20" hidden="1" outlineLevel="1" x14ac:dyDescent="0.25">
      <c r="A1055" s="302"/>
      <c r="B1055" s="3"/>
      <c r="C1055" s="294"/>
      <c r="H1055" s="346" t="str">
        <f>IF(S917=0,"NA",($S$917/(1-SUM($H$933:$H$935)))*(1-H1053))</f>
        <v>NA</v>
      </c>
      <c r="I1055" s="346" t="str">
        <f>IF(S917=0,"NA",($S$917/(1-SUM($H$933:$H$935)))*(1-I1053))</f>
        <v>NA</v>
      </c>
      <c r="J1055" s="346" t="str">
        <f>IF(S917=0,"NA",($S$917/(1-SUM($H$933:$H$935)))*(1-J1053))</f>
        <v>NA</v>
      </c>
      <c r="K1055" s="346" t="str">
        <f>IF(S917=0,"NA",($S$917/(1-SUM($H$933:$H$935)))*(1-K1053))</f>
        <v>NA</v>
      </c>
      <c r="L1055" s="346" t="str">
        <f>IF(S917=0,"NA",($S$917/(1-SUM($H$933:$H$935)))*(1-L1053))</f>
        <v>NA</v>
      </c>
      <c r="M1055" s="346" t="str">
        <f>IF(S917=0,"NA",($S$917/(1-SUM($H$933:$H$935)))*(1-M1053))</f>
        <v>NA</v>
      </c>
      <c r="N1055" s="346" t="str">
        <f>IF(S917=0,"NA",($S$917/(1-SUM($H$933:$H$935)))*(1-N1053))</f>
        <v>NA</v>
      </c>
      <c r="O1055" s="198"/>
      <c r="P1055" s="198"/>
      <c r="Q1055" s="198"/>
      <c r="R1055" s="198"/>
      <c r="S1055" s="199"/>
      <c r="T1055" s="294"/>
    </row>
    <row r="1056" spans="1:20" hidden="1" outlineLevel="1" x14ac:dyDescent="0.25">
      <c r="A1056" s="302"/>
      <c r="B1056" s="3"/>
      <c r="C1056" s="294"/>
      <c r="G1056" s="546">
        <f>G1057-step</f>
        <v>4.5</v>
      </c>
      <c r="H1056" s="452" t="str">
        <f>IF($S$917=0,"NA",IRR(($I$1045,$J$1045,$K$1045,$L$1045,$M$1045,H1065)))</f>
        <v>NA</v>
      </c>
      <c r="I1056" s="452" t="str">
        <f>IF($S$917=0,"NA",IRR(($I$1045,$J$1045,$K$1045,$L$1045,$M$1045,I1065)))</f>
        <v>NA</v>
      </c>
      <c r="J1056" s="452" t="str">
        <f>IF($S$917=0,"NA",IRR(($I$1045,$J$1045,$K$1045,$L$1045,$M$1045,J1065)))</f>
        <v>NA</v>
      </c>
      <c r="K1056" s="453" t="str">
        <f>IF($S$917=0,"NA",IRR(($I$1045,$J$1045,$K$1045,$L$1045,$M$1045,K1065)))</f>
        <v>NA</v>
      </c>
      <c r="L1056" s="452" t="str">
        <f>IF($S$917=0,"NA",IRR(($I$1045,$J$1045,$K$1045,$L$1045,$M$1045,L1065)))</f>
        <v>NA</v>
      </c>
      <c r="M1056" s="452" t="str">
        <f>IF($S$917=0,"NA",IRR(($I$1045,$J$1045,$K$1045,$L$1045,$M$1045,M1065)))</f>
        <v>NA</v>
      </c>
      <c r="N1056" s="452" t="str">
        <f>IF($S$917=0,"NA",IRR(($I$1045,$J$1045,$K$1045,$L$1045,$M$1045,N1065)))</f>
        <v>NA</v>
      </c>
      <c r="O1056" s="198"/>
      <c r="P1056" s="198"/>
      <c r="Q1056" s="198"/>
      <c r="R1056" s="198"/>
      <c r="S1056" s="199"/>
      <c r="T1056" s="294"/>
    </row>
    <row r="1057" spans="1:20" hidden="1" outlineLevel="1" x14ac:dyDescent="0.25">
      <c r="A1057" s="302"/>
      <c r="B1057" s="3"/>
      <c r="C1057" s="294"/>
      <c r="F1057" s="711" t="s">
        <v>412</v>
      </c>
      <c r="G1057" s="546">
        <f>G1058-step</f>
        <v>5</v>
      </c>
      <c r="H1057" s="452" t="str">
        <f>IF($S$917=0,"NA",IRR(($I$1045,$J$1045,$K$1045,$L$1045,$M$1045,H1066)))</f>
        <v>NA</v>
      </c>
      <c r="I1057" s="452" t="str">
        <f>IF($S$917=0,"NA",IRR(($I$1045,$J$1045,$K$1045,$L$1045,$M$1045,I1066)))</f>
        <v>NA</v>
      </c>
      <c r="J1057" s="452" t="str">
        <f>IF($S$917=0,"NA",IRR(($I$1045,$J$1045,$K$1045,$L$1045,$M$1045,J1066)))</f>
        <v>NA</v>
      </c>
      <c r="K1057" s="454" t="str">
        <f>IF($S$917=0,"NA",IRR(($I$1045,$J$1045,$K$1045,$L$1045,$M$1045,K1066)))</f>
        <v>NA</v>
      </c>
      <c r="L1057" s="452" t="str">
        <f>IF($S$917=0,"NA",IRR(($I$1045,$J$1045,$K$1045,$L$1045,$M$1045,L1066)))</f>
        <v>NA</v>
      </c>
      <c r="M1057" s="452" t="str">
        <f>IF($S$917=0,"NA",IRR(($I$1045,$J$1045,$K$1045,$L$1045,$M$1045,M1066)))</f>
        <v>NA</v>
      </c>
      <c r="N1057" s="452" t="str">
        <f>IF($S$917=0,"NA",IRR(($I$1045,$J$1045,$K$1045,$L$1045,$M$1045,N1066)))</f>
        <v>NA</v>
      </c>
      <c r="O1057" s="198"/>
      <c r="P1057" s="198"/>
      <c r="Q1057" s="198"/>
      <c r="R1057" s="198"/>
      <c r="S1057" s="199"/>
      <c r="T1057" s="294"/>
    </row>
    <row r="1058" spans="1:20" ht="18.75" hidden="1" customHeight="1" outlineLevel="1" x14ac:dyDescent="0.25">
      <c r="A1058" s="302"/>
      <c r="B1058" s="3"/>
      <c r="C1058" s="294"/>
      <c r="F1058" s="712" t="s">
        <v>61</v>
      </c>
      <c r="G1058" s="549">
        <f>mult</f>
        <v>5.5</v>
      </c>
      <c r="H1058" s="471" t="str">
        <f>IF($S$917=0,"NA",IRR(($I$1045,$J$1045,$K$1045,$L$1045,$M$1045,H1067)))</f>
        <v>NA</v>
      </c>
      <c r="I1058" s="396" t="str">
        <f>IF($S$917=0,"NA",IRR(($I$1045,$J$1045,$K$1045,$L$1045,$M$1045,I1067)))</f>
        <v>NA</v>
      </c>
      <c r="J1058" s="396" t="str">
        <f>IF($S$917=0,"NA",IRR(($I$1045,$J$1045,$K$1045,$L$1045,$M$1045,J1067)))</f>
        <v>NA</v>
      </c>
      <c r="K1058" s="472" t="str">
        <f>IF($S$917=0,"NA",IRR(($I$1045,$J$1045,$K$1045,$L$1045,$M$1045,K1067)))</f>
        <v>NA</v>
      </c>
      <c r="L1058" s="396" t="str">
        <f>IF($S$917=0,"NA",IRR(($I$1045,$J$1045,$K$1045,$L$1045,$M$1045,L1067)))</f>
        <v>NA</v>
      </c>
      <c r="M1058" s="396" t="str">
        <f>IF($S$917=0,"NA",IRR(($I$1045,$J$1045,$K$1045,$L$1045,$M$1045,M1067)))</f>
        <v>NA</v>
      </c>
      <c r="N1058" s="473" t="str">
        <f>IF($S$917=0,"NA",IRR(($I$1045,$J$1045,$K$1045,$L$1045,$M$1045,N1067)))</f>
        <v>NA</v>
      </c>
      <c r="O1058" s="198"/>
      <c r="P1058" s="198"/>
      <c r="Q1058" s="198"/>
      <c r="R1058" s="198"/>
      <c r="S1058" s="199"/>
      <c r="T1058" s="294"/>
    </row>
    <row r="1059" spans="1:20" hidden="1" outlineLevel="1" x14ac:dyDescent="0.25">
      <c r="A1059" s="302"/>
      <c r="B1059" s="3"/>
      <c r="C1059" s="294"/>
      <c r="F1059" s="711" t="s">
        <v>413</v>
      </c>
      <c r="G1059" s="546">
        <f>G1058+step</f>
        <v>6</v>
      </c>
      <c r="H1059" s="452" t="str">
        <f>IF($S$917=0,"NA",IRR(($I$1045,$J$1045,$K$1045,$L$1045,$M$1045,H1068)))</f>
        <v>NA</v>
      </c>
      <c r="I1059" s="452" t="str">
        <f>IF($S$917=0,"NA",IRR(($I$1045,$J$1045,$K$1045,$L$1045,$M$1045,I1068)))</f>
        <v>NA</v>
      </c>
      <c r="J1059" s="452" t="str">
        <f>IF($S$917=0,"NA",IRR(($I$1045,$J$1045,$K$1045,$L$1045,$M$1045,J1068)))</f>
        <v>NA</v>
      </c>
      <c r="K1059" s="454" t="str">
        <f>IF($S$917=0,"NA",IRR(($I$1045,$J$1045,$K$1045,$L$1045,$M$1045,K1068)))</f>
        <v>NA</v>
      </c>
      <c r="L1059" s="452" t="str">
        <f>IF($S$917=0,"NA",IRR(($I$1045,$J$1045,$K$1045,$L$1045,$M$1045,L1068)))</f>
        <v>NA</v>
      </c>
      <c r="M1059" s="452" t="str">
        <f>IF($S$917=0,"NA",IRR(($I$1045,$J$1045,$K$1045,$L$1045,$M$1045,M1068)))</f>
        <v>NA</v>
      </c>
      <c r="N1059" s="452" t="str">
        <f>IF($S$917=0,"NA",IRR(($I$1045,$J$1045,$K$1045,$L$1045,$M$1045,N1068)))</f>
        <v>NA</v>
      </c>
      <c r="O1059" s="198"/>
      <c r="P1059" s="198"/>
      <c r="Q1059" s="198"/>
      <c r="R1059" s="198"/>
      <c r="S1059" s="199"/>
      <c r="T1059" s="294"/>
    </row>
    <row r="1060" spans="1:20" hidden="1" outlineLevel="1" x14ac:dyDescent="0.25">
      <c r="A1060" s="302"/>
      <c r="B1060" s="445" t="str">
        <f>"Rows ("&amp;ROW(B1062)&amp;") thru ("&amp;ROW(B1069)&amp;") are hidden."</f>
        <v>Rows (1062) thru (1069) are hidden.</v>
      </c>
      <c r="C1060" s="417"/>
      <c r="F1060" s="339"/>
      <c r="G1060" s="546">
        <f>G1059+step</f>
        <v>6.5</v>
      </c>
      <c r="H1060" s="452" t="str">
        <f>IF($S$917=0,"NA",IRR(($I$1045,$J$1045,$K$1045,$L$1045,$M$1045,H1069)))</f>
        <v>NA</v>
      </c>
      <c r="I1060" s="452" t="str">
        <f>IF($S$917=0,"NA",IRR(($I$1045,$J$1045,$K$1045,$L$1045,$M$1045,I1069)))</f>
        <v>NA</v>
      </c>
      <c r="J1060" s="452" t="str">
        <f>IF($S$917=0,"NA",IRR(($I$1045,$J$1045,$K$1045,$L$1045,$M$1045,J1069)))</f>
        <v>NA</v>
      </c>
      <c r="K1060" s="455" t="str">
        <f>IF($S$917=0,"NA",IRR(($I$1045,$J$1045,$K$1045,$L$1045,$M$1045,K1069)))</f>
        <v>NA</v>
      </c>
      <c r="L1060" s="452" t="str">
        <f>IF($S$917=0,"NA",IRR(($I$1045,$J$1045,$K$1045,$L$1045,$M$1045,L1069)))</f>
        <v>NA</v>
      </c>
      <c r="M1060" s="452" t="str">
        <f>IF($S$917=0,"NA",IRR(($I$1045,$J$1045,$K$1045,$L$1045,$M$1045,M1069)))</f>
        <v>NA</v>
      </c>
      <c r="N1060" s="452" t="str">
        <f>IF($S$917=0,"NA",IRR(($I$1045,$J$1045,$K$1045,$L$1045,$M$1045,N1069)))</f>
        <v>NA</v>
      </c>
      <c r="O1060" s="198"/>
      <c r="P1060" s="198"/>
      <c r="Q1060" s="198"/>
      <c r="R1060" s="198"/>
      <c r="S1060" s="199"/>
      <c r="T1060" s="294"/>
    </row>
    <row r="1061" spans="1:20" hidden="1" outlineLevel="1" x14ac:dyDescent="0.25">
      <c r="A1061" s="302"/>
      <c r="B1061" s="713" t="s">
        <v>414</v>
      </c>
      <c r="C1061" s="418"/>
      <c r="F1061" s="339"/>
      <c r="G1061" s="340"/>
      <c r="H1061" s="212"/>
      <c r="I1061" s="212"/>
      <c r="J1061" s="212"/>
      <c r="O1061" s="198"/>
      <c r="P1061" s="198"/>
      <c r="Q1061" s="198"/>
      <c r="R1061" s="198"/>
      <c r="S1061" s="199"/>
      <c r="T1061" s="294"/>
    </row>
    <row r="1062" spans="1:20" hidden="1" outlineLevel="1" x14ac:dyDescent="0.25">
      <c r="A1062" s="302"/>
      <c r="B1062" s="3"/>
      <c r="C1062" s="294"/>
      <c r="D1062" s="169" t="str">
        <f>"Cash Flow in "&amp;FIXED(year+4,0,1)&amp;":"</f>
        <v>Cash Flow in 2002:</v>
      </c>
      <c r="F1062" s="339"/>
      <c r="G1062" s="340"/>
      <c r="O1062" s="198"/>
      <c r="P1062" s="198"/>
      <c r="Q1062" s="198"/>
      <c r="R1062" s="198"/>
      <c r="S1062" s="199"/>
      <c r="T1062" s="294"/>
    </row>
    <row r="1063" spans="1:20" hidden="1" outlineLevel="1" x14ac:dyDescent="0.25">
      <c r="A1063" s="302"/>
      <c r="B1063" s="3"/>
      <c r="C1063" s="294"/>
      <c r="H1063" s="710" t="s">
        <v>421</v>
      </c>
      <c r="I1063" s="342"/>
      <c r="J1063" s="342"/>
      <c r="K1063" s="342"/>
      <c r="L1063" s="342"/>
      <c r="M1063" s="342"/>
      <c r="N1063" s="342"/>
      <c r="O1063" s="198"/>
      <c r="P1063" s="198"/>
      <c r="Q1063" s="198"/>
      <c r="R1063" s="198"/>
      <c r="S1063" s="199"/>
      <c r="T1063" s="294"/>
    </row>
    <row r="1064" spans="1:20" hidden="1" outlineLevel="1" x14ac:dyDescent="0.25">
      <c r="A1064" s="302"/>
      <c r="B1064" s="3"/>
      <c r="C1064" s="294"/>
      <c r="H1064" s="446" t="str">
        <f t="shared" ref="H1064:N1064" si="448">+H1055</f>
        <v>NA</v>
      </c>
      <c r="I1064" s="446" t="str">
        <f t="shared" si="448"/>
        <v>NA</v>
      </c>
      <c r="J1064" s="446" t="str">
        <f t="shared" si="448"/>
        <v>NA</v>
      </c>
      <c r="K1064" s="446" t="str">
        <f t="shared" si="448"/>
        <v>NA</v>
      </c>
      <c r="L1064" s="446" t="str">
        <f t="shared" si="448"/>
        <v>NA</v>
      </c>
      <c r="M1064" s="446" t="str">
        <f t="shared" si="448"/>
        <v>NA</v>
      </c>
      <c r="N1064" s="446" t="str">
        <f t="shared" si="448"/>
        <v>NA</v>
      </c>
      <c r="O1064" s="198"/>
      <c r="P1064" s="198"/>
      <c r="Q1064" s="198"/>
      <c r="R1064" s="198"/>
      <c r="S1064" s="199"/>
      <c r="T1064" s="294"/>
    </row>
    <row r="1065" spans="1:20" hidden="1" outlineLevel="1" x14ac:dyDescent="0.25">
      <c r="A1065" s="302"/>
      <c r="B1065" s="3"/>
      <c r="C1065" s="294"/>
      <c r="G1065" s="340">
        <f>G1066-step</f>
        <v>4.5</v>
      </c>
      <c r="H1065" s="103" t="e">
        <f t="shared" ref="H1065:N1069" ca="1" si="449">((term_eq+(term_cf*($G1065-mult)))*H$1064)+$N$1036</f>
        <v>#VALUE!</v>
      </c>
      <c r="I1065" s="103" t="e">
        <f t="shared" ca="1" si="449"/>
        <v>#VALUE!</v>
      </c>
      <c r="J1065" s="103" t="e">
        <f t="shared" ca="1" si="449"/>
        <v>#VALUE!</v>
      </c>
      <c r="K1065" s="103" t="e">
        <f t="shared" ca="1" si="449"/>
        <v>#VALUE!</v>
      </c>
      <c r="L1065" s="103" t="e">
        <f t="shared" ca="1" si="449"/>
        <v>#VALUE!</v>
      </c>
      <c r="M1065" s="103" t="e">
        <f t="shared" ca="1" si="449"/>
        <v>#VALUE!</v>
      </c>
      <c r="N1065" s="103" t="e">
        <f t="shared" ca="1" si="449"/>
        <v>#VALUE!</v>
      </c>
      <c r="O1065" s="198"/>
      <c r="P1065" s="198"/>
      <c r="Q1065" s="198"/>
      <c r="R1065" s="198"/>
      <c r="S1065" s="199"/>
      <c r="T1065" s="294"/>
    </row>
    <row r="1066" spans="1:20" hidden="1" outlineLevel="1" x14ac:dyDescent="0.25">
      <c r="A1066" s="302"/>
      <c r="B1066" s="3"/>
      <c r="C1066" s="294"/>
      <c r="F1066" s="711" t="s">
        <v>412</v>
      </c>
      <c r="G1066" s="340">
        <f>G1067-step</f>
        <v>5</v>
      </c>
      <c r="H1066" s="103" t="e">
        <f t="shared" ca="1" si="449"/>
        <v>#VALUE!</v>
      </c>
      <c r="I1066" s="103" t="e">
        <f t="shared" ca="1" si="449"/>
        <v>#VALUE!</v>
      </c>
      <c r="J1066" s="103" t="e">
        <f t="shared" ca="1" si="449"/>
        <v>#VALUE!</v>
      </c>
      <c r="K1066" s="103" t="e">
        <f t="shared" ca="1" si="449"/>
        <v>#VALUE!</v>
      </c>
      <c r="L1066" s="103" t="e">
        <f t="shared" ca="1" si="449"/>
        <v>#VALUE!</v>
      </c>
      <c r="M1066" s="103" t="e">
        <f t="shared" ca="1" si="449"/>
        <v>#VALUE!</v>
      </c>
      <c r="N1066" s="103" t="e">
        <f t="shared" ca="1" si="449"/>
        <v>#VALUE!</v>
      </c>
      <c r="O1066" s="198"/>
      <c r="P1066" s="198"/>
      <c r="Q1066" s="198"/>
      <c r="R1066" s="198"/>
      <c r="S1066" s="199"/>
      <c r="T1066" s="294"/>
    </row>
    <row r="1067" spans="1:20" hidden="1" outlineLevel="1" x14ac:dyDescent="0.25">
      <c r="A1067" s="302"/>
      <c r="B1067" s="3"/>
      <c r="C1067" s="294"/>
      <c r="F1067" s="711" t="s">
        <v>61</v>
      </c>
      <c r="G1067" s="360">
        <f>mult</f>
        <v>5.5</v>
      </c>
      <c r="H1067" s="103" t="e">
        <f t="shared" ca="1" si="449"/>
        <v>#VALUE!</v>
      </c>
      <c r="I1067" s="103" t="e">
        <f t="shared" ca="1" si="449"/>
        <v>#VALUE!</v>
      </c>
      <c r="J1067" s="103" t="e">
        <f t="shared" ca="1" si="449"/>
        <v>#VALUE!</v>
      </c>
      <c r="K1067" s="103" t="e">
        <f t="shared" ca="1" si="449"/>
        <v>#VALUE!</v>
      </c>
      <c r="L1067" s="103" t="e">
        <f t="shared" ca="1" si="449"/>
        <v>#VALUE!</v>
      </c>
      <c r="M1067" s="103" t="e">
        <f t="shared" ca="1" si="449"/>
        <v>#VALUE!</v>
      </c>
      <c r="N1067" s="103" t="e">
        <f t="shared" ca="1" si="449"/>
        <v>#VALUE!</v>
      </c>
      <c r="O1067" s="198"/>
      <c r="P1067" s="198"/>
      <c r="Q1067" s="198"/>
      <c r="R1067" s="198"/>
      <c r="S1067" s="199"/>
      <c r="T1067" s="294"/>
    </row>
    <row r="1068" spans="1:20" hidden="1" outlineLevel="1" x14ac:dyDescent="0.25">
      <c r="A1068" s="302"/>
      <c r="B1068" s="3"/>
      <c r="C1068" s="294"/>
      <c r="F1068" s="711" t="s">
        <v>413</v>
      </c>
      <c r="G1068" s="340">
        <f>G1067+step</f>
        <v>6</v>
      </c>
      <c r="H1068" s="103" t="e">
        <f t="shared" ca="1" si="449"/>
        <v>#VALUE!</v>
      </c>
      <c r="I1068" s="103" t="e">
        <f t="shared" ca="1" si="449"/>
        <v>#VALUE!</v>
      </c>
      <c r="J1068" s="103" t="e">
        <f t="shared" ca="1" si="449"/>
        <v>#VALUE!</v>
      </c>
      <c r="K1068" s="103" t="e">
        <f t="shared" ca="1" si="449"/>
        <v>#VALUE!</v>
      </c>
      <c r="L1068" s="103" t="e">
        <f t="shared" ca="1" si="449"/>
        <v>#VALUE!</v>
      </c>
      <c r="M1068" s="103" t="e">
        <f t="shared" ca="1" si="449"/>
        <v>#VALUE!</v>
      </c>
      <c r="N1068" s="103" t="e">
        <f t="shared" ca="1" si="449"/>
        <v>#VALUE!</v>
      </c>
      <c r="O1068" s="198"/>
      <c r="P1068" s="198"/>
      <c r="Q1068" s="198"/>
      <c r="R1068" s="198"/>
      <c r="S1068" s="199"/>
      <c r="T1068" s="294"/>
    </row>
    <row r="1069" spans="1:20" hidden="1" outlineLevel="1" x14ac:dyDescent="0.25">
      <c r="A1069" s="302"/>
      <c r="B1069" s="3"/>
      <c r="C1069" s="294"/>
      <c r="F1069" s="339"/>
      <c r="G1069" s="340">
        <f>G1068+step</f>
        <v>6.5</v>
      </c>
      <c r="H1069" s="103" t="e">
        <f t="shared" ca="1" si="449"/>
        <v>#VALUE!</v>
      </c>
      <c r="I1069" s="103" t="e">
        <f t="shared" ca="1" si="449"/>
        <v>#VALUE!</v>
      </c>
      <c r="J1069" s="103" t="e">
        <f t="shared" ca="1" si="449"/>
        <v>#VALUE!</v>
      </c>
      <c r="K1069" s="103" t="e">
        <f t="shared" ca="1" si="449"/>
        <v>#VALUE!</v>
      </c>
      <c r="L1069" s="103" t="e">
        <f t="shared" ca="1" si="449"/>
        <v>#VALUE!</v>
      </c>
      <c r="M1069" s="103" t="e">
        <f t="shared" ca="1" si="449"/>
        <v>#VALUE!</v>
      </c>
      <c r="N1069" s="103" t="e">
        <f t="shared" ca="1" si="449"/>
        <v>#VALUE!</v>
      </c>
      <c r="O1069" s="198"/>
      <c r="P1069" s="198"/>
      <c r="Q1069" s="198"/>
      <c r="R1069" s="198"/>
      <c r="S1069" s="199"/>
      <c r="T1069" s="294"/>
    </row>
    <row r="1070" spans="1:20" hidden="1" outlineLevel="1" x14ac:dyDescent="0.25">
      <c r="A1070" s="302"/>
      <c r="B1070" s="3"/>
      <c r="C1070" s="294"/>
      <c r="H1070" s="212"/>
      <c r="I1070" s="212"/>
      <c r="J1070" s="212"/>
      <c r="O1070" s="198"/>
      <c r="P1070" s="198"/>
      <c r="Q1070" s="198"/>
      <c r="R1070" s="198"/>
      <c r="S1070" s="199"/>
      <c r="T1070" s="294"/>
    </row>
    <row r="1071" spans="1:20" ht="56.25" customHeight="1" collapsed="1" x14ac:dyDescent="0.25">
      <c r="A1071" s="302"/>
      <c r="B1071" s="3"/>
      <c r="C1071" s="294"/>
      <c r="D1071" s="217" t="str">
        <f>" Blended Returns to Holders of "&amp;$D$1412</f>
        <v xml:space="preserve"> Blended Returns to Holders of Debt 1</v>
      </c>
      <c r="E1071" s="170"/>
      <c r="F1071" s="170"/>
      <c r="G1071" s="170"/>
      <c r="H1071" s="347"/>
      <c r="I1071" s="348"/>
      <c r="J1071" s="348"/>
      <c r="K1071" s="348"/>
      <c r="L1071" s="348"/>
      <c r="M1071" s="348"/>
      <c r="N1071" s="348"/>
      <c r="O1071" s="348"/>
      <c r="P1071" s="348"/>
      <c r="Q1071" s="348"/>
      <c r="R1071" s="348"/>
      <c r="S1071" s="522"/>
      <c r="T1071" s="294"/>
    </row>
    <row r="1072" spans="1:20" x14ac:dyDescent="0.25">
      <c r="A1072" s="302"/>
      <c r="B1072" s="3"/>
      <c r="C1072" s="294"/>
      <c r="D1072" s="495" t="str">
        <f>"Cash Flows to "&amp;$D$1412&amp;":"</f>
        <v>Cash Flows to Debt 1:</v>
      </c>
      <c r="E1072" s="170"/>
      <c r="F1072" s="170"/>
      <c r="G1072" s="170"/>
      <c r="H1072" s="347"/>
      <c r="I1072" s="348"/>
      <c r="J1072" s="188" t="str">
        <f>"For the Fiscal Year Ending "&amp;fye</f>
        <v>For the Fiscal Year Ending December 31,</v>
      </c>
      <c r="K1072" s="190"/>
      <c r="L1072" s="190"/>
      <c r="M1072" s="190"/>
      <c r="N1072" s="190"/>
      <c r="O1072" s="190"/>
      <c r="P1072" s="190"/>
      <c r="Q1072" s="190"/>
      <c r="R1072" s="190"/>
      <c r="S1072" s="190"/>
      <c r="T1072" s="294"/>
    </row>
    <row r="1073" spans="1:20" x14ac:dyDescent="0.25">
      <c r="A1073" s="302"/>
      <c r="B1073" s="3"/>
      <c r="C1073" s="294"/>
      <c r="D1073"/>
      <c r="H1073" s="192"/>
      <c r="I1073" s="680" t="s">
        <v>95</v>
      </c>
      <c r="J1073" s="101">
        <f>year</f>
        <v>1998</v>
      </c>
      <c r="K1073" s="101">
        <f t="shared" ref="K1073:S1073" si="450">J1073+1</f>
        <v>1999</v>
      </c>
      <c r="L1073" s="101">
        <f t="shared" si="450"/>
        <v>2000</v>
      </c>
      <c r="M1073" s="101">
        <f t="shared" si="450"/>
        <v>2001</v>
      </c>
      <c r="N1073" s="338">
        <f t="shared" si="450"/>
        <v>2002</v>
      </c>
      <c r="O1073" s="101">
        <f t="shared" si="450"/>
        <v>2003</v>
      </c>
      <c r="P1073" s="101">
        <f t="shared" si="450"/>
        <v>2004</v>
      </c>
      <c r="Q1073" s="101">
        <f t="shared" si="450"/>
        <v>2005</v>
      </c>
      <c r="R1073" s="101">
        <f t="shared" si="450"/>
        <v>2006</v>
      </c>
      <c r="S1073" s="514">
        <f t="shared" si="450"/>
        <v>2007</v>
      </c>
      <c r="T1073" s="294"/>
    </row>
    <row r="1074" spans="1:20" x14ac:dyDescent="0.25">
      <c r="A1074" s="302"/>
      <c r="B1074" s="3"/>
      <c r="C1074" s="294"/>
      <c r="D1074" s="600" t="s">
        <v>422</v>
      </c>
      <c r="H1074" s="349"/>
      <c r="I1074" s="198">
        <f ca="1">-J612</f>
        <v>0</v>
      </c>
      <c r="J1074" s="198"/>
      <c r="K1074" s="198"/>
      <c r="L1074" s="198"/>
      <c r="M1074" s="198"/>
      <c r="N1074" s="476"/>
      <c r="O1074" s="198"/>
      <c r="P1074" s="198"/>
      <c r="Q1074" s="198"/>
      <c r="R1074" s="198"/>
      <c r="S1074" s="199"/>
      <c r="T1074" s="294"/>
    </row>
    <row r="1075" spans="1:20" x14ac:dyDescent="0.25">
      <c r="A1075" s="302"/>
      <c r="B1075" s="3"/>
      <c r="C1075" s="294"/>
      <c r="D1075" s="554" t="s">
        <v>423</v>
      </c>
      <c r="I1075" s="351">
        <f ca="1">-equity*$G$920</f>
        <v>0</v>
      </c>
      <c r="N1075" s="335"/>
      <c r="O1075" s="1"/>
      <c r="S1075" s="41"/>
      <c r="T1075" s="294"/>
    </row>
    <row r="1076" spans="1:20" ht="18" customHeight="1" x14ac:dyDescent="0.25">
      <c r="A1076" s="302"/>
      <c r="B1076" s="3"/>
      <c r="C1076" s="294"/>
      <c r="D1076" s="600" t="s">
        <v>424</v>
      </c>
      <c r="I1076" s="600" t="s">
        <v>101</v>
      </c>
      <c r="J1076" s="198">
        <f ca="1">J247-J614</f>
        <v>0</v>
      </c>
      <c r="K1076" s="198">
        <f t="shared" ref="K1076:S1076" ca="1" si="451">K247-K614</f>
        <v>0</v>
      </c>
      <c r="L1076" s="198">
        <f t="shared" ca="1" si="451"/>
        <v>0</v>
      </c>
      <c r="M1076" s="198">
        <f t="shared" ca="1" si="451"/>
        <v>0</v>
      </c>
      <c r="N1076" s="476">
        <f t="shared" ca="1" si="451"/>
        <v>0</v>
      </c>
      <c r="O1076" s="198">
        <f t="shared" ca="1" si="451"/>
        <v>0</v>
      </c>
      <c r="P1076" s="198">
        <f t="shared" ca="1" si="451"/>
        <v>0</v>
      </c>
      <c r="Q1076" s="198">
        <f t="shared" ca="1" si="451"/>
        <v>0</v>
      </c>
      <c r="R1076" s="198">
        <f t="shared" ca="1" si="451"/>
        <v>0</v>
      </c>
      <c r="S1076" s="199">
        <f t="shared" ca="1" si="451"/>
        <v>0</v>
      </c>
      <c r="T1076" s="294"/>
    </row>
    <row r="1077" spans="1:20" x14ac:dyDescent="0.25">
      <c r="A1077" s="302"/>
      <c r="B1077" s="3"/>
      <c r="C1077" s="294"/>
      <c r="D1077" s="600" t="s">
        <v>425</v>
      </c>
      <c r="I1077" s="600" t="s">
        <v>101</v>
      </c>
      <c r="J1077" s="198">
        <f t="shared" ref="J1077:S1077" ca="1" si="452">J615+J616</f>
        <v>0</v>
      </c>
      <c r="K1077" s="198">
        <f t="shared" ca="1" si="452"/>
        <v>0</v>
      </c>
      <c r="L1077" s="198">
        <f t="shared" ca="1" si="452"/>
        <v>0</v>
      </c>
      <c r="M1077" s="198">
        <f t="shared" ca="1" si="452"/>
        <v>0</v>
      </c>
      <c r="N1077" s="476">
        <f t="shared" ca="1" si="452"/>
        <v>0</v>
      </c>
      <c r="O1077" s="198">
        <f t="shared" ca="1" si="452"/>
        <v>0</v>
      </c>
      <c r="P1077" s="198">
        <f t="shared" ca="1" si="452"/>
        <v>0</v>
      </c>
      <c r="Q1077" s="198">
        <f t="shared" ca="1" si="452"/>
        <v>0</v>
      </c>
      <c r="R1077" s="198">
        <f t="shared" ca="1" si="452"/>
        <v>0</v>
      </c>
      <c r="S1077" s="199">
        <f t="shared" ca="1" si="452"/>
        <v>0</v>
      </c>
      <c r="T1077" s="294"/>
    </row>
    <row r="1078" spans="1:20" ht="18" customHeight="1" x14ac:dyDescent="0.25">
      <c r="A1078" s="302"/>
      <c r="B1078" s="3"/>
      <c r="C1078" s="294"/>
      <c r="D1078" s="715" t="s">
        <v>426</v>
      </c>
      <c r="I1078" s="600" t="s">
        <v>101</v>
      </c>
      <c r="J1078" s="198">
        <f t="shared" ref="J1078:S1078" ca="1" si="453">J617</f>
        <v>0</v>
      </c>
      <c r="K1078" s="198">
        <f t="shared" ca="1" si="453"/>
        <v>0</v>
      </c>
      <c r="L1078" s="198">
        <f t="shared" ca="1" si="453"/>
        <v>0</v>
      </c>
      <c r="M1078" s="198">
        <f t="shared" ca="1" si="453"/>
        <v>0</v>
      </c>
      <c r="N1078" s="476">
        <f t="shared" ca="1" si="453"/>
        <v>0</v>
      </c>
      <c r="O1078" s="198">
        <f t="shared" ca="1" si="453"/>
        <v>0</v>
      </c>
      <c r="P1078" s="198">
        <f t="shared" ca="1" si="453"/>
        <v>0</v>
      </c>
      <c r="Q1078" s="198">
        <f t="shared" ca="1" si="453"/>
        <v>0</v>
      </c>
      <c r="R1078" s="198">
        <f t="shared" ca="1" si="453"/>
        <v>0</v>
      </c>
      <c r="S1078" s="199">
        <f t="shared" ca="1" si="453"/>
        <v>0</v>
      </c>
      <c r="T1078" s="294"/>
    </row>
    <row r="1079" spans="1:20" ht="18" customHeight="1" x14ac:dyDescent="0.25">
      <c r="A1079" s="302"/>
      <c r="B1079" s="3"/>
      <c r="C1079" s="294"/>
      <c r="D1079" s="600" t="s">
        <v>416</v>
      </c>
      <c r="I1079" s="600" t="s">
        <v>101</v>
      </c>
      <c r="J1079" s="198">
        <f ca="1">-($I$920*$J$55)</f>
        <v>0</v>
      </c>
      <c r="K1079" s="198">
        <f t="shared" ref="K1079:S1079" ca="1" si="454">J1079</f>
        <v>0</v>
      </c>
      <c r="L1079" s="198">
        <f t="shared" ca="1" si="454"/>
        <v>0</v>
      </c>
      <c r="M1079" s="198">
        <f t="shared" ca="1" si="454"/>
        <v>0</v>
      </c>
      <c r="N1079" s="476">
        <f t="shared" ca="1" si="454"/>
        <v>0</v>
      </c>
      <c r="O1079" s="198">
        <f t="shared" ca="1" si="454"/>
        <v>0</v>
      </c>
      <c r="P1079" s="198">
        <f t="shared" ca="1" si="454"/>
        <v>0</v>
      </c>
      <c r="Q1079" s="198">
        <f t="shared" ca="1" si="454"/>
        <v>0</v>
      </c>
      <c r="R1079" s="198">
        <f t="shared" ca="1" si="454"/>
        <v>0</v>
      </c>
      <c r="S1079" s="199">
        <f t="shared" ca="1" si="454"/>
        <v>0</v>
      </c>
      <c r="T1079" s="294"/>
    </row>
    <row r="1080" spans="1:20" x14ac:dyDescent="0.25">
      <c r="A1080" s="302"/>
      <c r="B1080" s="3"/>
      <c r="C1080" s="294"/>
      <c r="D1080" s="202" t="s">
        <v>417</v>
      </c>
      <c r="I1080" s="600" t="s">
        <v>101</v>
      </c>
      <c r="J1080" s="31">
        <f t="shared" ref="J1080:S1080" ca="1" si="455">J$955*$S$920</f>
        <v>0</v>
      </c>
      <c r="K1080" s="31">
        <f t="shared" ca="1" si="455"/>
        <v>0</v>
      </c>
      <c r="L1080" s="31">
        <f t="shared" ca="1" si="455"/>
        <v>0</v>
      </c>
      <c r="M1080" s="31">
        <f t="shared" ca="1" si="455"/>
        <v>0</v>
      </c>
      <c r="N1080" s="478">
        <f t="shared" ca="1" si="455"/>
        <v>0</v>
      </c>
      <c r="O1080" s="31">
        <f t="shared" ca="1" si="455"/>
        <v>0</v>
      </c>
      <c r="P1080" s="31">
        <f t="shared" ca="1" si="455"/>
        <v>0</v>
      </c>
      <c r="Q1080" s="31">
        <f t="shared" ca="1" si="455"/>
        <v>0</v>
      </c>
      <c r="R1080" s="31">
        <f t="shared" ca="1" si="455"/>
        <v>0</v>
      </c>
      <c r="S1080" s="521">
        <f t="shared" ca="1" si="455"/>
        <v>0</v>
      </c>
      <c r="T1080" s="294"/>
    </row>
    <row r="1081" spans="1:20" ht="75" customHeight="1" x14ac:dyDescent="0.25">
      <c r="A1081" s="302"/>
      <c r="B1081" s="3"/>
      <c r="C1081" s="294"/>
      <c r="D1081" s="494" t="str">
        <f>"IRR to "&amp;$D$1412&amp;" (Assuming "&amp;FIXED($S$920*100,1)&amp;"% Ownership):"</f>
        <v>IRR to Debt 1 (Assuming 0.0% Ownership):</v>
      </c>
      <c r="I1081" s="38"/>
      <c r="J1081" s="188" t="str">
        <f>"For the Fiscal Year Ending "&amp;fye</f>
        <v>For the Fiscal Year Ending December 31,</v>
      </c>
      <c r="K1081" s="190"/>
      <c r="L1081" s="190"/>
      <c r="M1081" s="190"/>
      <c r="N1081" s="190"/>
      <c r="O1081" s="190"/>
      <c r="P1081" s="190"/>
      <c r="Q1081" s="190"/>
      <c r="R1081" s="190"/>
      <c r="S1081" s="190"/>
      <c r="T1081" s="294"/>
    </row>
    <row r="1082" spans="1:20" x14ac:dyDescent="0.25">
      <c r="A1082" s="302"/>
      <c r="B1082" s="3"/>
      <c r="C1082" s="294"/>
      <c r="D1082"/>
      <c r="H1082" s="689" t="s">
        <v>410</v>
      </c>
      <c r="I1082" s="679" t="s">
        <v>95</v>
      </c>
      <c r="J1082" s="101">
        <f>year</f>
        <v>1998</v>
      </c>
      <c r="K1082" s="101">
        <f t="shared" ref="K1082:S1082" si="456">J1082+1</f>
        <v>1999</v>
      </c>
      <c r="L1082" s="101">
        <f t="shared" si="456"/>
        <v>2000</v>
      </c>
      <c r="M1082" s="101">
        <f t="shared" si="456"/>
        <v>2001</v>
      </c>
      <c r="N1082" s="338">
        <f t="shared" si="456"/>
        <v>2002</v>
      </c>
      <c r="O1082" s="101">
        <f t="shared" si="456"/>
        <v>2003</v>
      </c>
      <c r="P1082" s="101">
        <f t="shared" si="456"/>
        <v>2004</v>
      </c>
      <c r="Q1082" s="101">
        <f t="shared" si="456"/>
        <v>2005</v>
      </c>
      <c r="R1082" s="101">
        <f t="shared" si="456"/>
        <v>2006</v>
      </c>
      <c r="S1082" s="514">
        <f t="shared" si="456"/>
        <v>2007</v>
      </c>
      <c r="T1082" s="294"/>
    </row>
    <row r="1083" spans="1:20" x14ac:dyDescent="0.25">
      <c r="A1083" s="302"/>
      <c r="B1083" s="3"/>
      <c r="C1083" s="294"/>
      <c r="D1083" s="1" t="str">
        <f>"IRR for Exit in "&amp;FIXED(year,0,1)&amp;".............................................................................................................................................................................."</f>
        <v>IRR for Exit in 1998..............................................................................................................................................................................</v>
      </c>
      <c r="G1083" s="38"/>
      <c r="H1083" s="452" t="str">
        <f ca="1">IF(ISERROR(IRR(I1083:J1083,0.1)),"NA",IRR(I1083:J1083,0.1))</f>
        <v>NA</v>
      </c>
      <c r="I1083" s="198">
        <f ca="1">I1074+I1075</f>
        <v>0</v>
      </c>
      <c r="J1083" s="198">
        <f ca="1">SUM(J$1076:J$1080)</f>
        <v>0</v>
      </c>
      <c r="N1083" s="335"/>
      <c r="O1083" s="1"/>
      <c r="S1083" s="41"/>
      <c r="T1083" s="294"/>
    </row>
    <row r="1084" spans="1:20" x14ac:dyDescent="0.25">
      <c r="A1084" s="302"/>
      <c r="B1084" s="3"/>
      <c r="C1084" s="294"/>
      <c r="D1084" s="1" t="str">
        <f>"IRR for Exit in "&amp;FIXED(year+1,0,1)&amp;".............................................................................................................................................................................."</f>
        <v>IRR for Exit in 1999..............................................................................................................................................................................</v>
      </c>
      <c r="H1084" s="452" t="str">
        <f ca="1">IF(ISERROR(IRR(I1084:K1084,0.1)),"NA",IRR(I1084:K1084,0.1))</f>
        <v>NA</v>
      </c>
      <c r="I1084" s="198">
        <f t="shared" ref="I1084:I1092" ca="1" si="457">I1083</f>
        <v>0</v>
      </c>
      <c r="J1084" s="198">
        <f t="shared" ref="J1084:J1092" ca="1" si="458">+J$1076+J$1077</f>
        <v>0</v>
      </c>
      <c r="K1084" s="198">
        <f ca="1">SUM(K$1076:K$1080)</f>
        <v>0</v>
      </c>
      <c r="N1084" s="335"/>
      <c r="O1084" s="1"/>
      <c r="S1084" s="41"/>
      <c r="T1084" s="294"/>
    </row>
    <row r="1085" spans="1:20" x14ac:dyDescent="0.25">
      <c r="A1085" s="302"/>
      <c r="B1085" s="3"/>
      <c r="C1085" s="294"/>
      <c r="D1085" s="1" t="str">
        <f>"IRR for Exit in "&amp;FIXED(year+2,0,1)&amp;".............................................................................................................................................................................."</f>
        <v>IRR for Exit in 2000..............................................................................................................................................................................</v>
      </c>
      <c r="H1085" s="452" t="str">
        <f ca="1">IF(ISERROR(IRR(I1085:L1085,0.1)),"NA",IRR(I1085:L1085,0.1))</f>
        <v>NA</v>
      </c>
      <c r="I1085" s="198">
        <f t="shared" ca="1" si="457"/>
        <v>0</v>
      </c>
      <c r="J1085" s="198">
        <f t="shared" ca="1" si="458"/>
        <v>0</v>
      </c>
      <c r="K1085" s="198">
        <f t="shared" ref="K1085:K1092" ca="1" si="459">+K$1076+K$1077</f>
        <v>0</v>
      </c>
      <c r="L1085" s="198">
        <f ca="1">SUM(L$1076:L$1080)</f>
        <v>0</v>
      </c>
      <c r="N1085" s="335"/>
      <c r="O1085" s="1"/>
      <c r="S1085" s="41"/>
      <c r="T1085" s="294"/>
    </row>
    <row r="1086" spans="1:20" x14ac:dyDescent="0.25">
      <c r="A1086" s="302"/>
      <c r="B1086" s="3"/>
      <c r="C1086" s="294"/>
      <c r="D1086" s="1" t="str">
        <f>"IRR for Exit in "&amp;FIXED(year+3,0,1)&amp;".............................................................................................................................................................................."</f>
        <v>IRR for Exit in 2001..............................................................................................................................................................................</v>
      </c>
      <c r="F1086" s="13"/>
      <c r="G1086" s="7"/>
      <c r="H1086" s="452" t="str">
        <f ca="1">IF(ISERROR(IRR(I1086:M1086,0.1)),"NA",IRR(I1086:M1086,0.1))</f>
        <v>NA</v>
      </c>
      <c r="I1086" s="198">
        <f t="shared" ca="1" si="457"/>
        <v>0</v>
      </c>
      <c r="J1086" s="198">
        <f t="shared" ca="1" si="458"/>
        <v>0</v>
      </c>
      <c r="K1086" s="198">
        <f t="shared" ca="1" si="459"/>
        <v>0</v>
      </c>
      <c r="L1086" s="198">
        <f t="shared" ref="L1086:L1092" ca="1" si="460">+L$1076+L$1077</f>
        <v>0</v>
      </c>
      <c r="M1086" s="198">
        <f ca="1">SUM(M$1076:M$1080)</f>
        <v>0</v>
      </c>
      <c r="N1086" s="335"/>
      <c r="O1086" s="1"/>
      <c r="S1086" s="41"/>
      <c r="T1086" s="294"/>
    </row>
    <row r="1087" spans="1:20" ht="24.75" customHeight="1" x14ac:dyDescent="0.25">
      <c r="A1087" s="302"/>
      <c r="B1087" s="3"/>
      <c r="C1087" s="294"/>
      <c r="D1087" s="389" t="str">
        <f>"IRR for Exit in "&amp;FIXED(year+4,0,1)&amp;"......................................................................................................................"</f>
        <v>IRR for Exit in 2002......................................................................................................................</v>
      </c>
      <c r="E1087" s="390"/>
      <c r="F1087" s="391"/>
      <c r="G1087" s="390"/>
      <c r="H1087" s="396" t="str">
        <f ca="1">IF(ISERROR(IRR(I1087:N1087,0.1)),"NA",IRR(I1087:N1087,0.1))</f>
        <v>NA</v>
      </c>
      <c r="I1087" s="392">
        <f t="shared" ca="1" si="457"/>
        <v>0</v>
      </c>
      <c r="J1087" s="392">
        <f t="shared" ca="1" si="458"/>
        <v>0</v>
      </c>
      <c r="K1087" s="392">
        <f t="shared" ca="1" si="459"/>
        <v>0</v>
      </c>
      <c r="L1087" s="392">
        <f t="shared" ca="1" si="460"/>
        <v>0</v>
      </c>
      <c r="M1087" s="392">
        <f t="shared" ref="M1087:M1092" ca="1" si="461">+M$1076+M$1077</f>
        <v>0</v>
      </c>
      <c r="N1087" s="393">
        <f ca="1">SUM(N$1076:N$1080)</f>
        <v>0</v>
      </c>
      <c r="O1087" s="1"/>
      <c r="S1087" s="41"/>
      <c r="T1087" s="294"/>
    </row>
    <row r="1088" spans="1:20" x14ac:dyDescent="0.25">
      <c r="A1088" s="302"/>
      <c r="B1088" s="3"/>
      <c r="C1088" s="294"/>
      <c r="D1088" s="1" t="str">
        <f>"IRR for Exit in "&amp;FIXED(year+5,0,1)&amp;".............................................................................................................................................................................."</f>
        <v>IRR for Exit in 2003..............................................................................................................................................................................</v>
      </c>
      <c r="H1088" s="452" t="str">
        <f ca="1">IF(ISERROR(IRR(I1088:O1088,0.1)),"NA",IRR(I1088:O1088,0.1))</f>
        <v>NA</v>
      </c>
      <c r="I1088" s="198">
        <f t="shared" ca="1" si="457"/>
        <v>0</v>
      </c>
      <c r="J1088" s="198">
        <f t="shared" ca="1" si="458"/>
        <v>0</v>
      </c>
      <c r="K1088" s="198">
        <f t="shared" ca="1" si="459"/>
        <v>0</v>
      </c>
      <c r="L1088" s="198">
        <f t="shared" ca="1" si="460"/>
        <v>0</v>
      </c>
      <c r="M1088" s="198">
        <f t="shared" ca="1" si="461"/>
        <v>0</v>
      </c>
      <c r="N1088" s="198">
        <f ca="1">+N$1076+N$1077</f>
        <v>0</v>
      </c>
      <c r="O1088" s="198">
        <f ca="1">SUM(O$1076:O$1080)</f>
        <v>0</v>
      </c>
      <c r="S1088" s="41"/>
      <c r="T1088" s="294"/>
    </row>
    <row r="1089" spans="1:20" x14ac:dyDescent="0.25">
      <c r="A1089" s="302"/>
      <c r="B1089" s="3"/>
      <c r="C1089" s="294"/>
      <c r="D1089" s="1" t="str">
        <f>"IRR for Exit in "&amp;FIXED(year+6,0,1)&amp;".............................................................................................................................................................................."</f>
        <v>IRR for Exit in 2004..............................................................................................................................................................................</v>
      </c>
      <c r="H1089" s="452" t="str">
        <f ca="1">IF(ISERROR(IRR(I1089:P1089,0.1)),"NA",IRR(I1089:P1089,0.1))</f>
        <v>NA</v>
      </c>
      <c r="I1089" s="198">
        <f t="shared" ca="1" si="457"/>
        <v>0</v>
      </c>
      <c r="J1089" s="198">
        <f t="shared" ca="1" si="458"/>
        <v>0</v>
      </c>
      <c r="K1089" s="198">
        <f t="shared" ca="1" si="459"/>
        <v>0</v>
      </c>
      <c r="L1089" s="198">
        <f t="shared" ca="1" si="460"/>
        <v>0</v>
      </c>
      <c r="M1089" s="198">
        <f t="shared" ca="1" si="461"/>
        <v>0</v>
      </c>
      <c r="N1089" s="198">
        <f ca="1">+N$1076+N$1077</f>
        <v>0</v>
      </c>
      <c r="O1089" s="198">
        <f ca="1">+O$1076+O$1077</f>
        <v>0</v>
      </c>
      <c r="P1089" s="198">
        <f ca="1">SUM(P$1076:P$1080)</f>
        <v>0</v>
      </c>
      <c r="S1089" s="41"/>
      <c r="T1089" s="294"/>
    </row>
    <row r="1090" spans="1:20" x14ac:dyDescent="0.25">
      <c r="A1090" s="302"/>
      <c r="B1090" s="3"/>
      <c r="C1090" s="294"/>
      <c r="D1090" s="1" t="str">
        <f>"IRR for Exit in "&amp;FIXED(year+7,0,1)&amp;".............................................................................................................................................................................."</f>
        <v>IRR for Exit in 2005..............................................................................................................................................................................</v>
      </c>
      <c r="H1090" s="452" t="str">
        <f ca="1">IF(ISERROR(IRR(I1090:Q1090,0.1)),"NA",IRR(I1090:Q1090,0.1))</f>
        <v>NA</v>
      </c>
      <c r="I1090" s="198">
        <f t="shared" ca="1" si="457"/>
        <v>0</v>
      </c>
      <c r="J1090" s="198">
        <f t="shared" ca="1" si="458"/>
        <v>0</v>
      </c>
      <c r="K1090" s="198">
        <f t="shared" ca="1" si="459"/>
        <v>0</v>
      </c>
      <c r="L1090" s="198">
        <f t="shared" ca="1" si="460"/>
        <v>0</v>
      </c>
      <c r="M1090" s="198">
        <f t="shared" ca="1" si="461"/>
        <v>0</v>
      </c>
      <c r="N1090" s="198">
        <f ca="1">+N$1076+N$1077</f>
        <v>0</v>
      </c>
      <c r="O1090" s="198">
        <f ca="1">+O$1076+O$1077</f>
        <v>0</v>
      </c>
      <c r="P1090" s="198">
        <f ca="1">+P$1076+P$1077</f>
        <v>0</v>
      </c>
      <c r="Q1090" s="198">
        <f ca="1">SUM(Q$1076:Q$1080)</f>
        <v>0</v>
      </c>
      <c r="S1090" s="41"/>
      <c r="T1090" s="294"/>
    </row>
    <row r="1091" spans="1:20" x14ac:dyDescent="0.25">
      <c r="A1091" s="302"/>
      <c r="B1091" s="3"/>
      <c r="C1091" s="294"/>
      <c r="D1091" s="1" t="str">
        <f>"IRR for Exit in "&amp;FIXED(year+8,0,1)&amp;".............................................................................................................................................................................."</f>
        <v>IRR for Exit in 2006..............................................................................................................................................................................</v>
      </c>
      <c r="H1091" s="452" t="str">
        <f ca="1">IF(ISERROR(IRR(I1091:R1091,0.1)),"NA",IRR(I1091:R1091,0.1))</f>
        <v>NA</v>
      </c>
      <c r="I1091" s="198">
        <f t="shared" ca="1" si="457"/>
        <v>0</v>
      </c>
      <c r="J1091" s="198">
        <f t="shared" ca="1" si="458"/>
        <v>0</v>
      </c>
      <c r="K1091" s="198">
        <f t="shared" ca="1" si="459"/>
        <v>0</v>
      </c>
      <c r="L1091" s="198">
        <f t="shared" ca="1" si="460"/>
        <v>0</v>
      </c>
      <c r="M1091" s="198">
        <f t="shared" ca="1" si="461"/>
        <v>0</v>
      </c>
      <c r="N1091" s="198">
        <f ca="1">+N$1076+N$1077</f>
        <v>0</v>
      </c>
      <c r="O1091" s="198">
        <f ca="1">+O$1076+O$1077</f>
        <v>0</v>
      </c>
      <c r="P1091" s="198">
        <f ca="1">+P$1076+P$1077</f>
        <v>0</v>
      </c>
      <c r="Q1091" s="198">
        <f ca="1">+Q$1076+Q$1077</f>
        <v>0</v>
      </c>
      <c r="R1091" s="198">
        <f ca="1">SUM(R$1076:R$1080)</f>
        <v>0</v>
      </c>
      <c r="S1091" s="41"/>
      <c r="T1091" s="294"/>
    </row>
    <row r="1092" spans="1:20" x14ac:dyDescent="0.25">
      <c r="A1092" s="302"/>
      <c r="B1092" s="3"/>
      <c r="C1092" s="294"/>
      <c r="D1092" s="1" t="str">
        <f>"IRR for Exit in "&amp;FIXED(year+9,0,1)&amp;".............................................................................................................................................................................."</f>
        <v>IRR for Exit in 2007..............................................................................................................................................................................</v>
      </c>
      <c r="H1092" s="452" t="str">
        <f ca="1">IF(ISERROR(IRR(I1092:S1092,0.1)),"NA",IRR(I1092:S1092,0.1))</f>
        <v>NA</v>
      </c>
      <c r="I1092" s="198">
        <f t="shared" ca="1" si="457"/>
        <v>0</v>
      </c>
      <c r="J1092" s="198">
        <f t="shared" ca="1" si="458"/>
        <v>0</v>
      </c>
      <c r="K1092" s="198">
        <f t="shared" ca="1" si="459"/>
        <v>0</v>
      </c>
      <c r="L1092" s="198">
        <f t="shared" ca="1" si="460"/>
        <v>0</v>
      </c>
      <c r="M1092" s="198">
        <f t="shared" ca="1" si="461"/>
        <v>0</v>
      </c>
      <c r="N1092" s="198">
        <f ca="1">+N$1076+N$1077</f>
        <v>0</v>
      </c>
      <c r="O1092" s="198">
        <f ca="1">+O$1076+O$1077</f>
        <v>0</v>
      </c>
      <c r="P1092" s="198">
        <f ca="1">+P$1076+P$1077</f>
        <v>0</v>
      </c>
      <c r="Q1092" s="198">
        <f ca="1">+Q$1076+Q$1077</f>
        <v>0</v>
      </c>
      <c r="R1092" s="198">
        <f ca="1">+R$1076+R$1077</f>
        <v>0</v>
      </c>
      <c r="S1092" s="199">
        <f ca="1">SUM(S$1076:S$1080)</f>
        <v>0</v>
      </c>
      <c r="T1092" s="294"/>
    </row>
    <row r="1093" spans="1:20" ht="75" customHeight="1" x14ac:dyDescent="0.25">
      <c r="A1093" s="302"/>
      <c r="B1093" s="3"/>
      <c r="C1093" s="294"/>
      <c r="H1093" s="192"/>
      <c r="I1093" s="198"/>
      <c r="J1093" s="198"/>
      <c r="K1093" s="198"/>
      <c r="L1093" s="198"/>
      <c r="M1093" s="198"/>
      <c r="N1093" s="198"/>
      <c r="O1093" s="198"/>
      <c r="P1093" s="198"/>
      <c r="Q1093" s="198"/>
      <c r="R1093" s="198"/>
      <c r="S1093" s="199"/>
      <c r="T1093" s="294"/>
    </row>
    <row r="1094" spans="1:20" x14ac:dyDescent="0.25">
      <c r="A1094" s="302"/>
      <c r="B1094" s="3"/>
      <c r="C1094" s="294"/>
      <c r="D1094" s="495" t="str">
        <f>"Variance Analysis of Returns in "&amp;FIXED(year+4,0,1)&amp;":"</f>
        <v>Variance Analysis of Returns in 2002:</v>
      </c>
      <c r="H1094" s="352"/>
      <c r="I1094" s="353"/>
      <c r="J1094" s="353"/>
      <c r="K1094" s="353"/>
      <c r="L1094" s="353"/>
      <c r="M1094" s="353"/>
      <c r="N1094" s="198"/>
      <c r="O1094" s="198"/>
      <c r="P1094" s="198"/>
      <c r="Q1094" s="198"/>
      <c r="R1094" s="198"/>
      <c r="S1094" s="199"/>
      <c r="T1094" s="294"/>
    </row>
    <row r="1095" spans="1:20" x14ac:dyDescent="0.25">
      <c r="A1095" s="302"/>
      <c r="B1095" s="3"/>
      <c r="C1095" s="294"/>
      <c r="D1095" s="169"/>
      <c r="H1095" s="345"/>
      <c r="I1095" s="345"/>
      <c r="J1095" s="345"/>
      <c r="K1095" s="345"/>
      <c r="L1095" s="345"/>
      <c r="M1095" s="345"/>
      <c r="N1095" s="198"/>
      <c r="O1095" s="198"/>
      <c r="P1095" s="198"/>
      <c r="Q1095" s="198"/>
      <c r="R1095" s="198"/>
      <c r="S1095" s="199"/>
      <c r="T1095" s="294"/>
    </row>
    <row r="1096" spans="1:20" x14ac:dyDescent="0.25">
      <c r="A1096" s="302"/>
      <c r="B1096" s="3"/>
      <c r="C1096" s="294"/>
      <c r="D1096" s="169"/>
      <c r="H1096" s="341" t="str">
        <f>"Fully Diluted Equity to "&amp;$D$1412</f>
        <v>Fully Diluted Equity to Debt 1</v>
      </c>
      <c r="I1096" s="342"/>
      <c r="J1096" s="342"/>
      <c r="K1096" s="342"/>
      <c r="L1096" s="342"/>
      <c r="M1096" s="342"/>
      <c r="N1096" s="359"/>
      <c r="O1096" s="198"/>
      <c r="P1096" s="198"/>
      <c r="Q1096" s="198"/>
      <c r="R1096" s="198"/>
      <c r="S1096" s="199"/>
      <c r="T1096" s="294"/>
    </row>
    <row r="1097" spans="1:20" x14ac:dyDescent="0.25">
      <c r="A1097" s="302"/>
      <c r="B1097" s="3"/>
      <c r="C1097" s="294"/>
      <c r="H1097" s="344">
        <f>MAX(0,I1097-$O$1412)</f>
        <v>0</v>
      </c>
      <c r="I1097" s="344">
        <f>MAX(0,J1097-$O$1412)</f>
        <v>0</v>
      </c>
      <c r="J1097" s="344">
        <f>MAX(0,K1097-$O$1412)</f>
        <v>0</v>
      </c>
      <c r="K1097" s="346">
        <f>ROUND((S920*1000)/5,0)*0.005</f>
        <v>0</v>
      </c>
      <c r="L1097" s="346">
        <f>K1097+$O$1412</f>
        <v>5.0000000000000001E-3</v>
      </c>
      <c r="M1097" s="346">
        <f>L1097+$O$1412</f>
        <v>0.01</v>
      </c>
      <c r="N1097" s="346">
        <f>M1097+$O$1412</f>
        <v>1.4999999999999999E-2</v>
      </c>
      <c r="O1097" s="198"/>
      <c r="P1097" s="198"/>
      <c r="Q1097" s="198"/>
      <c r="R1097" s="198"/>
      <c r="S1097" s="199"/>
      <c r="T1097" s="294"/>
    </row>
    <row r="1098" spans="1:20" x14ac:dyDescent="0.25">
      <c r="A1098" s="302"/>
      <c r="B1098" s="3"/>
      <c r="C1098" s="294"/>
      <c r="G1098" s="546">
        <f>G1099-step</f>
        <v>4.5</v>
      </c>
      <c r="H1098" s="452" t="str">
        <f>IF($S$920=0,"NA",IRR(($I$1087,$J$1087,$K$1087,$L$1087,$M$1087,H1107)))</f>
        <v>NA</v>
      </c>
      <c r="I1098" s="452" t="str">
        <f>IF($S$920=0,"NA",IRR(($I$1087,$J$1087,$K$1087,$L$1087,$M$1087,I1107)))</f>
        <v>NA</v>
      </c>
      <c r="J1098" s="452" t="str">
        <f>IF($S$920=0,"NA",IRR(($I$1087,$J$1087,$K$1087,$L$1087,$M$1087,J1107)))</f>
        <v>NA</v>
      </c>
      <c r="K1098" s="453" t="str">
        <f>IF($S$920=0,"NA",IRR(($I$1087,$J$1087,$K$1087,$L$1087,$M$1087,K1107)))</f>
        <v>NA</v>
      </c>
      <c r="L1098" s="452" t="str">
        <f>IF($S$920=0,"NA",IRR(($I$1087,$J$1087,$K$1087,$L$1087,$M$1087,L1107)))</f>
        <v>NA</v>
      </c>
      <c r="M1098" s="452" t="str">
        <f>IF($S$920=0,"NA",IRR(($I$1087,$J$1087,$K$1087,$L$1087,$M$1087,M1107)))</f>
        <v>NA</v>
      </c>
      <c r="N1098" s="452" t="str">
        <f>IF($S$920=0,"NA",IRR(($I$1087,$J$1087,$K$1087,$L$1087,$M$1087,N1107)))</f>
        <v>NA</v>
      </c>
      <c r="O1098" s="198"/>
      <c r="P1098" s="198"/>
      <c r="Q1098" s="198"/>
      <c r="R1098" s="198"/>
      <c r="S1098" s="199"/>
      <c r="T1098" s="294"/>
    </row>
    <row r="1099" spans="1:20" x14ac:dyDescent="0.25">
      <c r="A1099" s="302"/>
      <c r="B1099" s="3"/>
      <c r="C1099" s="294"/>
      <c r="F1099" s="711" t="s">
        <v>412</v>
      </c>
      <c r="G1099" s="546">
        <f>G1100-step</f>
        <v>5</v>
      </c>
      <c r="H1099" s="452" t="str">
        <f>IF($S$920=0,"NA",IRR(($I$1087,$J$1087,$K$1087,$L$1087,$M$1087,H1108)))</f>
        <v>NA</v>
      </c>
      <c r="I1099" s="452" t="str">
        <f>IF($S$920=0,"NA",IRR(($I$1087,$J$1087,$K$1087,$L$1087,$M$1087,I1108)))</f>
        <v>NA</v>
      </c>
      <c r="J1099" s="452" t="str">
        <f>IF($S$920=0,"NA",IRR(($I$1087,$J$1087,$K$1087,$L$1087,$M$1087,J1108)))</f>
        <v>NA</v>
      </c>
      <c r="K1099" s="454" t="str">
        <f>IF($S$920=0,"NA",IRR(($I$1087,$J$1087,$K$1087,$L$1087,$M$1087,K1108)))</f>
        <v>NA</v>
      </c>
      <c r="L1099" s="452" t="str">
        <f>IF($S$920=0,"NA",IRR(($I$1087,$J$1087,$K$1087,$L$1087,$M$1087,L1108)))</f>
        <v>NA</v>
      </c>
      <c r="M1099" s="452" t="str">
        <f>IF($S$920=0,"NA",IRR(($I$1087,$J$1087,$K$1087,$L$1087,$M$1087,M1108)))</f>
        <v>NA</v>
      </c>
      <c r="N1099" s="452" t="str">
        <f>IF($S$920=0,"NA",IRR(($I$1087,$J$1087,$K$1087,$L$1087,$M$1087,N1108)))</f>
        <v>NA</v>
      </c>
      <c r="O1099" s="198"/>
      <c r="P1099" s="198"/>
      <c r="Q1099" s="198"/>
      <c r="R1099" s="198"/>
      <c r="S1099" s="199"/>
      <c r="T1099" s="294"/>
    </row>
    <row r="1100" spans="1:20" ht="18.75" customHeight="1" x14ac:dyDescent="0.25">
      <c r="A1100" s="302"/>
      <c r="B1100" s="3"/>
      <c r="C1100" s="294"/>
      <c r="F1100" s="712" t="s">
        <v>61</v>
      </c>
      <c r="G1100" s="549">
        <f>mult</f>
        <v>5.5</v>
      </c>
      <c r="H1100" s="471" t="str">
        <f>IF($S$920=0,"NA",IRR(($I$1087,$J$1087,$K$1087,$L$1087,$M$1087,H1109)))</f>
        <v>NA</v>
      </c>
      <c r="I1100" s="396" t="str">
        <f>IF($S$920=0,"NA",IRR(($I$1087,$J$1087,$K$1087,$L$1087,$M$1087,I1109)))</f>
        <v>NA</v>
      </c>
      <c r="J1100" s="396" t="str">
        <f>IF($S$920=0,"NA",IRR(($I$1087,$J$1087,$K$1087,$L$1087,$M$1087,J1109)))</f>
        <v>NA</v>
      </c>
      <c r="K1100" s="472" t="str">
        <f>IF($S$920=0,"NA",IRR(($I$1087,$J$1087,$K$1087,$L$1087,$M$1087,K1109)))</f>
        <v>NA</v>
      </c>
      <c r="L1100" s="396" t="str">
        <f>IF($S$920=0,"NA",IRR(($I$1087,$J$1087,$K$1087,$L$1087,$M$1087,L1109)))</f>
        <v>NA</v>
      </c>
      <c r="M1100" s="396" t="str">
        <f>IF($S$920=0,"NA",IRR(($I$1087,$J$1087,$K$1087,$L$1087,$M$1087,M1109)))</f>
        <v>NA</v>
      </c>
      <c r="N1100" s="473" t="str">
        <f>IF($S$920=0,"NA",IRR(($I$1087,$J$1087,$K$1087,$L$1087,$M$1087,N1109)))</f>
        <v>NA</v>
      </c>
      <c r="O1100" s="198"/>
      <c r="P1100" s="198"/>
      <c r="Q1100" s="198"/>
      <c r="R1100" s="198"/>
      <c r="S1100" s="199"/>
      <c r="T1100" s="294"/>
    </row>
    <row r="1101" spans="1:20" x14ac:dyDescent="0.25">
      <c r="A1101" s="302"/>
      <c r="B1101" s="3"/>
      <c r="C1101" s="294"/>
      <c r="F1101" s="711" t="s">
        <v>413</v>
      </c>
      <c r="G1101" s="546">
        <f>G1100+step</f>
        <v>6</v>
      </c>
      <c r="H1101" s="452" t="str">
        <f>IF($S$920=0,"NA",IRR(($I$1087,$J$1087,$K$1087,$L$1087,$M$1087,H1110)))</f>
        <v>NA</v>
      </c>
      <c r="I1101" s="452" t="str">
        <f>IF($S$920=0,"NA",IRR(($I$1087,$J$1087,$K$1087,$L$1087,$M$1087,I1110)))</f>
        <v>NA</v>
      </c>
      <c r="J1101" s="452" t="str">
        <f>IF($S$920=0,"NA",IRR(($I$1087,$J$1087,$K$1087,$L$1087,$M$1087,J1110)))</f>
        <v>NA</v>
      </c>
      <c r="K1101" s="454" t="str">
        <f>IF($S$920=0,"NA",IRR(($I$1087,$J$1087,$K$1087,$L$1087,$M$1087,K1110)))</f>
        <v>NA</v>
      </c>
      <c r="L1101" s="452" t="str">
        <f>IF($S$920=0,"NA",IRR(($I$1087,$J$1087,$K$1087,$L$1087,$M$1087,L1110)))</f>
        <v>NA</v>
      </c>
      <c r="M1101" s="452" t="str">
        <f>IF($S$920=0,"NA",IRR(($I$1087,$J$1087,$K$1087,$L$1087,$M$1087,M1110)))</f>
        <v>NA</v>
      </c>
      <c r="N1101" s="452" t="str">
        <f>IF($S$920=0,"NA",IRR(($I$1087,$J$1087,$K$1087,$L$1087,$M$1087,N1110)))</f>
        <v>NA</v>
      </c>
      <c r="O1101" s="198"/>
      <c r="P1101" s="198"/>
      <c r="Q1101" s="198"/>
      <c r="R1101" s="198"/>
      <c r="S1101" s="199"/>
      <c r="T1101" s="294"/>
    </row>
    <row r="1102" spans="1:20" x14ac:dyDescent="0.25">
      <c r="A1102" s="302"/>
      <c r="B1102" s="445" t="str">
        <f>"Rows ("&amp;ROW(B1104)&amp;") thru ("&amp;ROW(B1111)&amp;") are hidden."</f>
        <v>Rows (1104) thru (1111) are hidden.</v>
      </c>
      <c r="C1102" s="417"/>
      <c r="G1102" s="546">
        <f>G1101+step</f>
        <v>6.5</v>
      </c>
      <c r="H1102" s="452" t="str">
        <f>IF($S$920=0,"NA",IRR(($I$1087,$J$1087,$K$1087,$L$1087,$M$1087,H1111)))</f>
        <v>NA</v>
      </c>
      <c r="I1102" s="452" t="str">
        <f>IF($S$920=0,"NA",IRR(($I$1087,$J$1087,$K$1087,$L$1087,$M$1087,I1111)))</f>
        <v>NA</v>
      </c>
      <c r="J1102" s="452" t="str">
        <f>IF($S$920=0,"NA",IRR(($I$1087,$J$1087,$K$1087,$L$1087,$M$1087,J1111)))</f>
        <v>NA</v>
      </c>
      <c r="K1102" s="455" t="str">
        <f>IF($S$920=0,"NA",IRR(($I$1087,$J$1087,$K$1087,$L$1087,$M$1087,K1111)))</f>
        <v>NA</v>
      </c>
      <c r="L1102" s="452" t="str">
        <f>IF($S$920=0,"NA",IRR(($I$1087,$J$1087,$K$1087,$L$1087,$M$1087,L1111)))</f>
        <v>NA</v>
      </c>
      <c r="M1102" s="452" t="str">
        <f>IF($S$920=0,"NA",IRR(($I$1087,$J$1087,$K$1087,$L$1087,$M$1087,M1111)))</f>
        <v>NA</v>
      </c>
      <c r="N1102" s="452" t="str">
        <f>IF($S$920=0,"NA",IRR(($I$1087,$J$1087,$K$1087,$L$1087,$M$1087,N1111)))</f>
        <v>NA</v>
      </c>
      <c r="O1102" s="198"/>
      <c r="P1102" s="198"/>
      <c r="Q1102" s="198"/>
      <c r="R1102" s="198"/>
      <c r="S1102" s="199"/>
      <c r="T1102" s="294"/>
    </row>
    <row r="1103" spans="1:20" x14ac:dyDescent="0.25">
      <c r="A1103" s="302"/>
      <c r="B1103" s="713" t="s">
        <v>414</v>
      </c>
      <c r="C1103" s="418"/>
      <c r="G1103" s="340"/>
      <c r="H1103" s="456"/>
      <c r="I1103" s="456"/>
      <c r="J1103" s="456"/>
      <c r="K1103" s="456"/>
      <c r="L1103" s="456"/>
      <c r="M1103" s="456"/>
      <c r="N1103" s="456"/>
      <c r="O1103" s="198"/>
      <c r="P1103" s="198"/>
      <c r="Q1103" s="198"/>
      <c r="R1103" s="198"/>
      <c r="S1103" s="199"/>
      <c r="T1103" s="294"/>
    </row>
    <row r="1104" spans="1:20" hidden="1" outlineLevel="1" x14ac:dyDescent="0.25">
      <c r="A1104" s="302"/>
      <c r="B1104" s="3"/>
      <c r="C1104" s="294"/>
      <c r="D1104" s="169" t="str">
        <f>"Cash Flow in "&amp;FIXED(year+4,0,1)&amp;":"</f>
        <v>Cash Flow in 2002:</v>
      </c>
      <c r="F1104" s="339"/>
      <c r="G1104" s="340"/>
      <c r="O1104" s="198"/>
      <c r="P1104" s="198"/>
      <c r="Q1104" s="198"/>
      <c r="R1104" s="198"/>
      <c r="S1104" s="199"/>
      <c r="T1104" s="294"/>
    </row>
    <row r="1105" spans="1:20" hidden="1" outlineLevel="1" x14ac:dyDescent="0.25">
      <c r="A1105" s="302"/>
      <c r="B1105" s="3"/>
      <c r="C1105" s="294"/>
      <c r="H1105" s="341" t="str">
        <f>"Fully Diluted Equity to "&amp;$D$1412</f>
        <v>Fully Diluted Equity to Debt 1</v>
      </c>
      <c r="I1105" s="342"/>
      <c r="J1105" s="342"/>
      <c r="K1105" s="342"/>
      <c r="L1105" s="342"/>
      <c r="M1105" s="342"/>
      <c r="N1105" s="342"/>
      <c r="O1105" s="198"/>
      <c r="P1105" s="198"/>
      <c r="Q1105" s="198"/>
      <c r="R1105" s="198"/>
      <c r="S1105" s="199"/>
      <c r="T1105" s="294"/>
    </row>
    <row r="1106" spans="1:20" hidden="1" outlineLevel="1" x14ac:dyDescent="0.25">
      <c r="A1106" s="302"/>
      <c r="B1106" s="3"/>
      <c r="C1106" s="294"/>
      <c r="H1106" s="346">
        <f t="shared" ref="H1106:N1106" si="462">+H1097</f>
        <v>0</v>
      </c>
      <c r="I1106" s="346">
        <f t="shared" si="462"/>
        <v>0</v>
      </c>
      <c r="J1106" s="346">
        <f t="shared" si="462"/>
        <v>0</v>
      </c>
      <c r="K1106" s="346">
        <f t="shared" si="462"/>
        <v>0</v>
      </c>
      <c r="L1106" s="346">
        <f t="shared" si="462"/>
        <v>5.0000000000000001E-3</v>
      </c>
      <c r="M1106" s="346">
        <f t="shared" si="462"/>
        <v>0.01</v>
      </c>
      <c r="N1106" s="346">
        <f t="shared" si="462"/>
        <v>1.4999999999999999E-2</v>
      </c>
      <c r="O1106" s="198"/>
      <c r="P1106" s="198"/>
      <c r="Q1106" s="198"/>
      <c r="R1106" s="198"/>
      <c r="S1106" s="199"/>
      <c r="T1106" s="294"/>
    </row>
    <row r="1107" spans="1:20" hidden="1" outlineLevel="1" x14ac:dyDescent="0.25">
      <c r="A1107" s="302"/>
      <c r="B1107" s="3"/>
      <c r="C1107" s="294"/>
      <c r="G1107" s="340">
        <f>G1108-step</f>
        <v>4.5</v>
      </c>
      <c r="H1107" s="103">
        <f t="shared" ref="H1107:N1111" ca="1" si="463">($N$1087-$N$1080)+((term_eq+(term_cf*($G1107-mult)))*H$1106)</f>
        <v>0</v>
      </c>
      <c r="I1107" s="103">
        <f t="shared" ca="1" si="463"/>
        <v>0</v>
      </c>
      <c r="J1107" s="103">
        <f t="shared" ca="1" si="463"/>
        <v>0</v>
      </c>
      <c r="K1107" s="103">
        <f t="shared" ca="1" si="463"/>
        <v>0</v>
      </c>
      <c r="L1107" s="103">
        <f t="shared" ca="1" si="463"/>
        <v>7.5429934955188696</v>
      </c>
      <c r="M1107" s="103">
        <f t="shared" ca="1" si="463"/>
        <v>15.085986991037739</v>
      </c>
      <c r="N1107" s="103">
        <f t="shared" ca="1" si="463"/>
        <v>22.628980486556607</v>
      </c>
      <c r="O1107" s="198"/>
      <c r="P1107" s="198"/>
      <c r="Q1107" s="198"/>
      <c r="R1107" s="198"/>
      <c r="S1107" s="199"/>
      <c r="T1107" s="294"/>
    </row>
    <row r="1108" spans="1:20" hidden="1" outlineLevel="1" x14ac:dyDescent="0.25">
      <c r="A1108" s="302"/>
      <c r="B1108" s="3"/>
      <c r="C1108" s="294"/>
      <c r="F1108" s="711" t="s">
        <v>412</v>
      </c>
      <c r="G1108" s="340">
        <f>G1109-step</f>
        <v>5</v>
      </c>
      <c r="H1108" s="103">
        <f t="shared" ca="1" si="463"/>
        <v>0</v>
      </c>
      <c r="I1108" s="103">
        <f t="shared" ca="1" si="463"/>
        <v>0</v>
      </c>
      <c r="J1108" s="103">
        <f t="shared" ca="1" si="463"/>
        <v>0</v>
      </c>
      <c r="K1108" s="103">
        <f t="shared" ca="1" si="463"/>
        <v>0</v>
      </c>
      <c r="L1108" s="103">
        <f t="shared" ca="1" si="463"/>
        <v>8.1313154728626191</v>
      </c>
      <c r="M1108" s="103">
        <f t="shared" ca="1" si="463"/>
        <v>16.262630945725238</v>
      </c>
      <c r="N1108" s="103">
        <f t="shared" ca="1" si="463"/>
        <v>24.393946418587856</v>
      </c>
      <c r="O1108" s="198"/>
      <c r="P1108" s="198"/>
      <c r="Q1108" s="198"/>
      <c r="R1108" s="198"/>
      <c r="S1108" s="199"/>
      <c r="T1108" s="294"/>
    </row>
    <row r="1109" spans="1:20" hidden="1" outlineLevel="1" x14ac:dyDescent="0.25">
      <c r="A1109" s="302"/>
      <c r="B1109" s="3"/>
      <c r="C1109" s="294"/>
      <c r="F1109" s="711" t="s">
        <v>61</v>
      </c>
      <c r="G1109" s="360">
        <f>mult</f>
        <v>5.5</v>
      </c>
      <c r="H1109" s="103">
        <f t="shared" ca="1" si="463"/>
        <v>0</v>
      </c>
      <c r="I1109" s="103">
        <f t="shared" ca="1" si="463"/>
        <v>0</v>
      </c>
      <c r="J1109" s="103">
        <f t="shared" ca="1" si="463"/>
        <v>0</v>
      </c>
      <c r="K1109" s="103">
        <f t="shared" ca="1" si="463"/>
        <v>0</v>
      </c>
      <c r="L1109" s="103">
        <f t="shared" ca="1" si="463"/>
        <v>8.7196374502063687</v>
      </c>
      <c r="M1109" s="103">
        <f t="shared" ca="1" si="463"/>
        <v>17.439274900412737</v>
      </c>
      <c r="N1109" s="103">
        <f t="shared" ca="1" si="463"/>
        <v>26.158912350619108</v>
      </c>
      <c r="O1109" s="198"/>
      <c r="P1109" s="198"/>
      <c r="Q1109" s="198"/>
      <c r="R1109" s="198"/>
      <c r="S1109" s="199"/>
      <c r="T1109" s="294"/>
    </row>
    <row r="1110" spans="1:20" hidden="1" outlineLevel="1" x14ac:dyDescent="0.25">
      <c r="A1110" s="302"/>
      <c r="B1110" s="3"/>
      <c r="C1110" s="294"/>
      <c r="F1110" s="711" t="s">
        <v>413</v>
      </c>
      <c r="G1110" s="340">
        <f>G1109+step</f>
        <v>6</v>
      </c>
      <c r="H1110" s="103">
        <f t="shared" ca="1" si="463"/>
        <v>0</v>
      </c>
      <c r="I1110" s="103">
        <f t="shared" ca="1" si="463"/>
        <v>0</v>
      </c>
      <c r="J1110" s="103">
        <f t="shared" ca="1" si="463"/>
        <v>0</v>
      </c>
      <c r="K1110" s="103">
        <f t="shared" ca="1" si="463"/>
        <v>0</v>
      </c>
      <c r="L1110" s="103">
        <f t="shared" ca="1" si="463"/>
        <v>9.3079594275501183</v>
      </c>
      <c r="M1110" s="103">
        <f t="shared" ca="1" si="463"/>
        <v>18.615918855100237</v>
      </c>
      <c r="N1110" s="103">
        <f t="shared" ca="1" si="463"/>
        <v>27.923878282650357</v>
      </c>
      <c r="O1110" s="198"/>
      <c r="P1110" s="198"/>
      <c r="Q1110" s="198"/>
      <c r="R1110" s="198"/>
      <c r="S1110" s="199"/>
      <c r="T1110" s="294"/>
    </row>
    <row r="1111" spans="1:20" hidden="1" outlineLevel="1" x14ac:dyDescent="0.25">
      <c r="A1111" s="302"/>
      <c r="B1111" s="3"/>
      <c r="C1111" s="294"/>
      <c r="F1111" s="339"/>
      <c r="G1111" s="340">
        <f>G1110+step</f>
        <v>6.5</v>
      </c>
      <c r="H1111" s="103">
        <f t="shared" ca="1" si="463"/>
        <v>0</v>
      </c>
      <c r="I1111" s="103">
        <f t="shared" ca="1" si="463"/>
        <v>0</v>
      </c>
      <c r="J1111" s="103">
        <f t="shared" ca="1" si="463"/>
        <v>0</v>
      </c>
      <c r="K1111" s="103">
        <f t="shared" ca="1" si="463"/>
        <v>0</v>
      </c>
      <c r="L1111" s="103">
        <f t="shared" ca="1" si="463"/>
        <v>9.8962814048938679</v>
      </c>
      <c r="M1111" s="103">
        <f t="shared" ca="1" si="463"/>
        <v>19.792562809787736</v>
      </c>
      <c r="N1111" s="103">
        <f t="shared" ca="1" si="463"/>
        <v>29.688844214681605</v>
      </c>
      <c r="O1111" s="198"/>
      <c r="P1111" s="198"/>
      <c r="Q1111" s="198"/>
      <c r="R1111" s="198"/>
      <c r="S1111" s="199"/>
      <c r="T1111" s="294"/>
    </row>
    <row r="1112" spans="1:20" hidden="1" outlineLevel="1" x14ac:dyDescent="0.25">
      <c r="A1112" s="302"/>
      <c r="B1112" s="3"/>
      <c r="C1112" s="294"/>
      <c r="O1112" s="1"/>
      <c r="S1112" s="41"/>
      <c r="T1112" s="294"/>
    </row>
    <row r="1113" spans="1:20" ht="49.5" hidden="1" customHeight="1" outlineLevel="1" x14ac:dyDescent="0.25">
      <c r="A1113" s="302"/>
      <c r="B1113" s="3"/>
      <c r="C1113" s="294"/>
      <c r="D1113" s="217" t="str">
        <f>" Blended Returns to Holders of "&amp;$D$1413</f>
        <v xml:space="preserve"> Blended Returns to Holders of Debt 2</v>
      </c>
      <c r="E1113" s="170"/>
      <c r="F1113" s="170"/>
      <c r="G1113" s="170"/>
      <c r="H1113" s="170"/>
      <c r="I1113" s="170"/>
      <c r="J1113" s="170"/>
      <c r="K1113" s="170"/>
      <c r="L1113" s="170"/>
      <c r="M1113" s="170"/>
      <c r="N1113" s="170"/>
      <c r="O1113" s="170"/>
      <c r="P1113" s="170"/>
      <c r="Q1113" s="170"/>
      <c r="R1113" s="170"/>
      <c r="S1113" s="213"/>
      <c r="T1113" s="294"/>
    </row>
    <row r="1114" spans="1:20" hidden="1" outlineLevel="1" x14ac:dyDescent="0.25">
      <c r="A1114" s="302"/>
      <c r="B1114" s="3"/>
      <c r="C1114" s="294"/>
      <c r="D1114" s="495" t="str">
        <f>"Cash Flows to "&amp;$D$1413&amp;":"</f>
        <v>Cash Flows to Debt 2:</v>
      </c>
      <c r="E1114" s="170"/>
      <c r="F1114" s="170"/>
      <c r="G1114" s="170"/>
      <c r="H1114" s="170"/>
      <c r="I1114" s="170"/>
      <c r="J1114" s="188" t="str">
        <f>"For the Fiscal Year Ending "&amp;fye</f>
        <v>For the Fiscal Year Ending December 31,</v>
      </c>
      <c r="K1114" s="190"/>
      <c r="L1114" s="190"/>
      <c r="M1114" s="190"/>
      <c r="N1114" s="190"/>
      <c r="O1114" s="190"/>
      <c r="P1114" s="190"/>
      <c r="Q1114" s="190"/>
      <c r="R1114" s="190"/>
      <c r="S1114" s="190"/>
      <c r="T1114" s="294"/>
    </row>
    <row r="1115" spans="1:20" hidden="1" outlineLevel="1" x14ac:dyDescent="0.25">
      <c r="A1115" s="302"/>
      <c r="B1115" s="3"/>
      <c r="C1115" s="294"/>
      <c r="D1115"/>
      <c r="H1115" s="192"/>
      <c r="I1115" s="680" t="s">
        <v>95</v>
      </c>
      <c r="J1115" s="101">
        <f>year</f>
        <v>1998</v>
      </c>
      <c r="K1115" s="101">
        <f t="shared" ref="K1115:S1115" si="464">J1115+1</f>
        <v>1999</v>
      </c>
      <c r="L1115" s="101">
        <f t="shared" si="464"/>
        <v>2000</v>
      </c>
      <c r="M1115" s="101">
        <f t="shared" si="464"/>
        <v>2001</v>
      </c>
      <c r="N1115" s="338">
        <f t="shared" si="464"/>
        <v>2002</v>
      </c>
      <c r="O1115" s="101">
        <f t="shared" si="464"/>
        <v>2003</v>
      </c>
      <c r="P1115" s="101">
        <f t="shared" si="464"/>
        <v>2004</v>
      </c>
      <c r="Q1115" s="101">
        <f t="shared" si="464"/>
        <v>2005</v>
      </c>
      <c r="R1115" s="101">
        <f t="shared" si="464"/>
        <v>2006</v>
      </c>
      <c r="S1115" s="514">
        <f t="shared" si="464"/>
        <v>2007</v>
      </c>
      <c r="T1115" s="294"/>
    </row>
    <row r="1116" spans="1:20" hidden="1" outlineLevel="1" x14ac:dyDescent="0.25">
      <c r="A1116" s="302"/>
      <c r="B1116" s="3"/>
      <c r="C1116" s="294"/>
      <c r="D1116" s="600" t="s">
        <v>422</v>
      </c>
      <c r="H1116" s="349"/>
      <c r="I1116" s="198">
        <f ca="1">-J620</f>
        <v>0</v>
      </c>
      <c r="J1116" s="198"/>
      <c r="K1116" s="198"/>
      <c r="L1116" s="198"/>
      <c r="M1116" s="198"/>
      <c r="N1116" s="476"/>
      <c r="O1116" s="198"/>
      <c r="P1116" s="198"/>
      <c r="Q1116" s="198"/>
      <c r="R1116" s="198"/>
      <c r="S1116" s="199"/>
      <c r="T1116" s="294"/>
    </row>
    <row r="1117" spans="1:20" hidden="1" outlineLevel="1" x14ac:dyDescent="0.25">
      <c r="A1117" s="302"/>
      <c r="B1117" s="3"/>
      <c r="C1117" s="294"/>
      <c r="D1117" s="554" t="s">
        <v>423</v>
      </c>
      <c r="I1117" s="351">
        <f ca="1">-equity*$G$921</f>
        <v>0</v>
      </c>
      <c r="N1117" s="335"/>
      <c r="O1117" s="1"/>
      <c r="S1117" s="41"/>
      <c r="T1117" s="294"/>
    </row>
    <row r="1118" spans="1:20" ht="19.5" hidden="1" customHeight="1" outlineLevel="1" x14ac:dyDescent="0.25">
      <c r="A1118" s="302"/>
      <c r="B1118" s="3"/>
      <c r="C1118" s="294"/>
      <c r="D1118" s="600" t="s">
        <v>424</v>
      </c>
      <c r="I1118" s="600" t="s">
        <v>101</v>
      </c>
      <c r="J1118" s="198">
        <f t="shared" ref="J1118:S1118" ca="1" si="465">J248-J622</f>
        <v>0</v>
      </c>
      <c r="K1118" s="198">
        <f t="shared" ca="1" si="465"/>
        <v>0</v>
      </c>
      <c r="L1118" s="198">
        <f t="shared" ca="1" si="465"/>
        <v>0</v>
      </c>
      <c r="M1118" s="198">
        <f t="shared" ca="1" si="465"/>
        <v>0</v>
      </c>
      <c r="N1118" s="476">
        <f t="shared" ca="1" si="465"/>
        <v>0</v>
      </c>
      <c r="O1118" s="198">
        <f t="shared" ca="1" si="465"/>
        <v>0</v>
      </c>
      <c r="P1118" s="198">
        <f t="shared" ca="1" si="465"/>
        <v>0</v>
      </c>
      <c r="Q1118" s="198">
        <f t="shared" ca="1" si="465"/>
        <v>0</v>
      </c>
      <c r="R1118" s="198">
        <f t="shared" ca="1" si="465"/>
        <v>0</v>
      </c>
      <c r="S1118" s="199">
        <f t="shared" ca="1" si="465"/>
        <v>0</v>
      </c>
      <c r="T1118" s="294"/>
    </row>
    <row r="1119" spans="1:20" hidden="1" outlineLevel="1" x14ac:dyDescent="0.25">
      <c r="A1119" s="302"/>
      <c r="B1119" s="3"/>
      <c r="C1119" s="294"/>
      <c r="D1119" s="600" t="s">
        <v>425</v>
      </c>
      <c r="I1119" s="600" t="s">
        <v>101</v>
      </c>
      <c r="J1119" s="198">
        <f t="shared" ref="J1119:S1119" ca="1" si="466">J624+J623</f>
        <v>0</v>
      </c>
      <c r="K1119" s="198">
        <f t="shared" ca="1" si="466"/>
        <v>0</v>
      </c>
      <c r="L1119" s="198">
        <f t="shared" ca="1" si="466"/>
        <v>0</v>
      </c>
      <c r="M1119" s="198">
        <f t="shared" ca="1" si="466"/>
        <v>0</v>
      </c>
      <c r="N1119" s="476">
        <f t="shared" ca="1" si="466"/>
        <v>0</v>
      </c>
      <c r="O1119" s="198">
        <f t="shared" ca="1" si="466"/>
        <v>0</v>
      </c>
      <c r="P1119" s="198">
        <f t="shared" ca="1" si="466"/>
        <v>0</v>
      </c>
      <c r="Q1119" s="198">
        <f t="shared" ca="1" si="466"/>
        <v>0</v>
      </c>
      <c r="R1119" s="198">
        <f t="shared" ca="1" si="466"/>
        <v>0</v>
      </c>
      <c r="S1119" s="199">
        <f t="shared" ca="1" si="466"/>
        <v>0</v>
      </c>
      <c r="T1119" s="294"/>
    </row>
    <row r="1120" spans="1:20" ht="19.5" hidden="1" customHeight="1" outlineLevel="1" x14ac:dyDescent="0.25">
      <c r="A1120" s="302"/>
      <c r="B1120" s="3"/>
      <c r="C1120" s="294"/>
      <c r="D1120" s="715" t="s">
        <v>426</v>
      </c>
      <c r="I1120" s="600" t="s">
        <v>101</v>
      </c>
      <c r="J1120" s="198">
        <f t="shared" ref="J1120:S1120" ca="1" si="467">J625</f>
        <v>0</v>
      </c>
      <c r="K1120" s="198">
        <f t="shared" ca="1" si="467"/>
        <v>0</v>
      </c>
      <c r="L1120" s="198">
        <f t="shared" ca="1" si="467"/>
        <v>0</v>
      </c>
      <c r="M1120" s="198">
        <f t="shared" ca="1" si="467"/>
        <v>0</v>
      </c>
      <c r="N1120" s="476">
        <f t="shared" ca="1" si="467"/>
        <v>0</v>
      </c>
      <c r="O1120" s="198">
        <f t="shared" ca="1" si="467"/>
        <v>0</v>
      </c>
      <c r="P1120" s="198">
        <f t="shared" ca="1" si="467"/>
        <v>0</v>
      </c>
      <c r="Q1120" s="198">
        <f t="shared" ca="1" si="467"/>
        <v>0</v>
      </c>
      <c r="R1120" s="198">
        <f t="shared" ca="1" si="467"/>
        <v>0</v>
      </c>
      <c r="S1120" s="199">
        <f t="shared" ca="1" si="467"/>
        <v>0</v>
      </c>
      <c r="T1120" s="294"/>
    </row>
    <row r="1121" spans="1:20" hidden="1" outlineLevel="1" x14ac:dyDescent="0.25">
      <c r="A1121" s="302"/>
      <c r="B1121" s="3"/>
      <c r="C1121" s="294"/>
      <c r="D1121" s="600" t="s">
        <v>416</v>
      </c>
      <c r="I1121" s="600" t="s">
        <v>101</v>
      </c>
      <c r="J1121" s="198">
        <f ca="1">-$J$55*$I$921</f>
        <v>0</v>
      </c>
      <c r="K1121" s="198">
        <f t="shared" ref="K1121:S1121" ca="1" si="468">J1121</f>
        <v>0</v>
      </c>
      <c r="L1121" s="198">
        <f t="shared" ca="1" si="468"/>
        <v>0</v>
      </c>
      <c r="M1121" s="198">
        <f t="shared" ca="1" si="468"/>
        <v>0</v>
      </c>
      <c r="N1121" s="476">
        <f t="shared" ca="1" si="468"/>
        <v>0</v>
      </c>
      <c r="O1121" s="198">
        <f t="shared" ca="1" si="468"/>
        <v>0</v>
      </c>
      <c r="P1121" s="198">
        <f t="shared" ca="1" si="468"/>
        <v>0</v>
      </c>
      <c r="Q1121" s="198">
        <f t="shared" ca="1" si="468"/>
        <v>0</v>
      </c>
      <c r="R1121" s="198">
        <f t="shared" ca="1" si="468"/>
        <v>0</v>
      </c>
      <c r="S1121" s="199">
        <f t="shared" ca="1" si="468"/>
        <v>0</v>
      </c>
      <c r="T1121" s="294"/>
    </row>
    <row r="1122" spans="1:20" hidden="1" outlineLevel="1" x14ac:dyDescent="0.25">
      <c r="A1122" s="302"/>
      <c r="B1122" s="3"/>
      <c r="C1122" s="294"/>
      <c r="D1122" s="202" t="s">
        <v>417</v>
      </c>
      <c r="I1122" s="600" t="s">
        <v>101</v>
      </c>
      <c r="J1122" s="31">
        <f t="shared" ref="J1122:S1122" ca="1" si="469">J$955*$S$921</f>
        <v>0</v>
      </c>
      <c r="K1122" s="31">
        <f t="shared" ca="1" si="469"/>
        <v>0</v>
      </c>
      <c r="L1122" s="31">
        <f t="shared" ca="1" si="469"/>
        <v>0</v>
      </c>
      <c r="M1122" s="31">
        <f t="shared" ca="1" si="469"/>
        <v>0</v>
      </c>
      <c r="N1122" s="478">
        <f t="shared" ca="1" si="469"/>
        <v>0</v>
      </c>
      <c r="O1122" s="31">
        <f t="shared" ca="1" si="469"/>
        <v>0</v>
      </c>
      <c r="P1122" s="31">
        <f t="shared" ca="1" si="469"/>
        <v>0</v>
      </c>
      <c r="Q1122" s="31">
        <f t="shared" ca="1" si="469"/>
        <v>0</v>
      </c>
      <c r="R1122" s="31">
        <f t="shared" ca="1" si="469"/>
        <v>0</v>
      </c>
      <c r="S1122" s="521">
        <f t="shared" ca="1" si="469"/>
        <v>0</v>
      </c>
      <c r="T1122" s="294"/>
    </row>
    <row r="1123" spans="1:20" ht="75" hidden="1" customHeight="1" outlineLevel="1" x14ac:dyDescent="0.25">
      <c r="A1123" s="302"/>
      <c r="B1123" s="3"/>
      <c r="C1123" s="294"/>
      <c r="D1123" s="494" t="str">
        <f>"IRR to "&amp;$D$1413&amp;" (Assuming "&amp;FIXED($S$921*100,1)&amp;"% Ownership):"</f>
        <v>IRR to Debt 2 (Assuming 0.0% Ownership):</v>
      </c>
      <c r="I1123" s="38"/>
      <c r="J1123" s="188" t="str">
        <f>"For the Fiscal Year Ending "&amp;fye</f>
        <v>For the Fiscal Year Ending December 31,</v>
      </c>
      <c r="K1123" s="190"/>
      <c r="L1123" s="190"/>
      <c r="M1123" s="190"/>
      <c r="N1123" s="190"/>
      <c r="O1123" s="190"/>
      <c r="P1123" s="190"/>
      <c r="Q1123" s="190"/>
      <c r="R1123" s="190"/>
      <c r="S1123" s="190"/>
      <c r="T1123" s="294"/>
    </row>
    <row r="1124" spans="1:20" hidden="1" outlineLevel="1" x14ac:dyDescent="0.25">
      <c r="A1124" s="302"/>
      <c r="B1124" s="3"/>
      <c r="C1124" s="294"/>
      <c r="D1124"/>
      <c r="H1124" s="689" t="s">
        <v>410</v>
      </c>
      <c r="I1124" s="679" t="s">
        <v>95</v>
      </c>
      <c r="J1124" s="101">
        <f>year</f>
        <v>1998</v>
      </c>
      <c r="K1124" s="101">
        <f t="shared" ref="K1124:S1124" si="470">J1124+1</f>
        <v>1999</v>
      </c>
      <c r="L1124" s="101">
        <f t="shared" si="470"/>
        <v>2000</v>
      </c>
      <c r="M1124" s="101">
        <f t="shared" si="470"/>
        <v>2001</v>
      </c>
      <c r="N1124" s="338">
        <f t="shared" si="470"/>
        <v>2002</v>
      </c>
      <c r="O1124" s="101">
        <f t="shared" si="470"/>
        <v>2003</v>
      </c>
      <c r="P1124" s="101">
        <f t="shared" si="470"/>
        <v>2004</v>
      </c>
      <c r="Q1124" s="101">
        <f t="shared" si="470"/>
        <v>2005</v>
      </c>
      <c r="R1124" s="101">
        <f t="shared" si="470"/>
        <v>2006</v>
      </c>
      <c r="S1124" s="514">
        <f t="shared" si="470"/>
        <v>2007</v>
      </c>
      <c r="T1124" s="294"/>
    </row>
    <row r="1125" spans="1:20" hidden="1" outlineLevel="1" x14ac:dyDescent="0.25">
      <c r="A1125" s="302"/>
      <c r="B1125" s="3"/>
      <c r="C1125" s="294"/>
      <c r="D1125" s="1" t="str">
        <f>"IRR for Exit in "&amp;FIXED(year,0,1)&amp;".............................................................................................................................................................................."</f>
        <v>IRR for Exit in 1998..............................................................................................................................................................................</v>
      </c>
      <c r="G1125" s="38"/>
      <c r="H1125" s="452" t="str">
        <f ca="1">IF(ISERROR(IRR(I1125:J1125,0.1)),"NA",IRR(I1125:J1125,0.1))</f>
        <v>NA</v>
      </c>
      <c r="I1125" s="198">
        <f ca="1">I1116+I1117</f>
        <v>0</v>
      </c>
      <c r="J1125" s="198">
        <f ca="1">SUM(J1118:J1122)</f>
        <v>0</v>
      </c>
      <c r="N1125" s="335"/>
      <c r="O1125" s="1"/>
      <c r="S1125" s="41"/>
      <c r="T1125" s="294"/>
    </row>
    <row r="1126" spans="1:20" hidden="1" outlineLevel="1" x14ac:dyDescent="0.25">
      <c r="A1126" s="302"/>
      <c r="B1126" s="3"/>
      <c r="C1126" s="294"/>
      <c r="D1126" s="1" t="str">
        <f>"IRR for Exit in "&amp;FIXED(year+1,0,1)&amp;".............................................................................................................................................................................."</f>
        <v>IRR for Exit in 1999..............................................................................................................................................................................</v>
      </c>
      <c r="H1126" s="452" t="str">
        <f ca="1">IF(ISERROR(IRR(I1126:K1126,0.1)),"NA",IRR(I1126:K1126,0.1))</f>
        <v>NA</v>
      </c>
      <c r="I1126" s="198">
        <f t="shared" ref="I1126:I1134" ca="1" si="471">I1125</f>
        <v>0</v>
      </c>
      <c r="J1126" s="198">
        <f ca="1">+J1118+J1119</f>
        <v>0</v>
      </c>
      <c r="K1126" s="198">
        <f ca="1">SUM(K1118:K1122)</f>
        <v>0</v>
      </c>
      <c r="N1126" s="335"/>
      <c r="O1126" s="1"/>
      <c r="S1126" s="41"/>
      <c r="T1126" s="294"/>
    </row>
    <row r="1127" spans="1:20" hidden="1" outlineLevel="1" x14ac:dyDescent="0.25">
      <c r="A1127" s="302"/>
      <c r="B1127" s="3"/>
      <c r="C1127" s="294"/>
      <c r="D1127" s="1" t="str">
        <f>"IRR for Exit in "&amp;FIXED(year+2,0,1)&amp;".............................................................................................................................................................................."</f>
        <v>IRR for Exit in 2000..............................................................................................................................................................................</v>
      </c>
      <c r="H1127" s="452" t="str">
        <f ca="1">IF(ISERROR(IRR(I1127:L1127,0.1)),"NA",IRR(I1127:L1127,0.1))</f>
        <v>NA</v>
      </c>
      <c r="I1127" s="198">
        <f t="shared" ca="1" si="471"/>
        <v>0</v>
      </c>
      <c r="J1127" s="198">
        <f t="shared" ref="J1127:J1134" ca="1" si="472">J1126</f>
        <v>0</v>
      </c>
      <c r="K1127" s="198">
        <f ca="1">+K1118+K1119</f>
        <v>0</v>
      </c>
      <c r="L1127" s="198">
        <f ca="1">SUM(L1118:L1122)</f>
        <v>0</v>
      </c>
      <c r="N1127" s="335"/>
      <c r="O1127" s="1"/>
      <c r="S1127" s="41"/>
      <c r="T1127" s="294"/>
    </row>
    <row r="1128" spans="1:20" hidden="1" outlineLevel="1" x14ac:dyDescent="0.25">
      <c r="A1128" s="302"/>
      <c r="B1128" s="3"/>
      <c r="C1128" s="294"/>
      <c r="D1128" s="1" t="str">
        <f>"IRR for Exit in "&amp;FIXED(year+3,0,1)&amp;".............................................................................................................................................................................."</f>
        <v>IRR for Exit in 2001..............................................................................................................................................................................</v>
      </c>
      <c r="F1128" s="13"/>
      <c r="G1128" s="7"/>
      <c r="H1128" s="452" t="str">
        <f ca="1">IF(ISERROR(IRR(I1128:M1128,0.1)),"NA",IRR(I1128:M1128,0.1))</f>
        <v>NA</v>
      </c>
      <c r="I1128" s="198">
        <f t="shared" ca="1" si="471"/>
        <v>0</v>
      </c>
      <c r="J1128" s="198">
        <f t="shared" ca="1" si="472"/>
        <v>0</v>
      </c>
      <c r="K1128" s="198">
        <f t="shared" ref="K1128:K1134" ca="1" si="473">K1127</f>
        <v>0</v>
      </c>
      <c r="L1128" s="198">
        <f ca="1">+L1118+L1119</f>
        <v>0</v>
      </c>
      <c r="M1128" s="198">
        <f ca="1">SUM(M1118:M1122)</f>
        <v>0</v>
      </c>
      <c r="N1128" s="335"/>
      <c r="O1128" s="1"/>
      <c r="S1128" s="41"/>
      <c r="T1128" s="294"/>
    </row>
    <row r="1129" spans="1:20" ht="24" hidden="1" customHeight="1" outlineLevel="1" x14ac:dyDescent="0.25">
      <c r="A1129" s="302"/>
      <c r="B1129" s="3"/>
      <c r="C1129" s="294"/>
      <c r="D1129" s="389" t="str">
        <f>"IRR for Exit in "&amp;FIXED(year+4,0,1)&amp;"......................................................................................................................"</f>
        <v>IRR for Exit in 2002......................................................................................................................</v>
      </c>
      <c r="E1129" s="390"/>
      <c r="F1129" s="391"/>
      <c r="G1129" s="390"/>
      <c r="H1129" s="396" t="str">
        <f ca="1">IF(ISERROR(IRR(I1129:N1129,0.1)),"NA",IRR(I1129:N1129,0.1))</f>
        <v>NA</v>
      </c>
      <c r="I1129" s="392">
        <f t="shared" ca="1" si="471"/>
        <v>0</v>
      </c>
      <c r="J1129" s="392">
        <f t="shared" ca="1" si="472"/>
        <v>0</v>
      </c>
      <c r="K1129" s="392">
        <f t="shared" ca="1" si="473"/>
        <v>0</v>
      </c>
      <c r="L1129" s="392">
        <f t="shared" ref="L1129:L1134" ca="1" si="474">L1128</f>
        <v>0</v>
      </c>
      <c r="M1129" s="392">
        <f ca="1">+M1118+M1119</f>
        <v>0</v>
      </c>
      <c r="N1129" s="393">
        <f ca="1">SUM(N1118:N1122)</f>
        <v>0</v>
      </c>
      <c r="O1129" s="1"/>
      <c r="S1129" s="41"/>
      <c r="T1129" s="294"/>
    </row>
    <row r="1130" spans="1:20" hidden="1" outlineLevel="1" x14ac:dyDescent="0.25">
      <c r="A1130" s="302"/>
      <c r="B1130" s="3"/>
      <c r="C1130" s="294"/>
      <c r="D1130" s="1" t="str">
        <f>"IRR for Exit in "&amp;FIXED(year+5,0,1)&amp;".............................................................................................................................................................................."</f>
        <v>IRR for Exit in 2003..............................................................................................................................................................................</v>
      </c>
      <c r="H1130" s="452" t="str">
        <f ca="1">IF(ISERROR(IRR(I1130:O1130,0.1)),"NA",IRR(I1130:O1130,0.1))</f>
        <v>NA</v>
      </c>
      <c r="I1130" s="198">
        <f t="shared" ca="1" si="471"/>
        <v>0</v>
      </c>
      <c r="J1130" s="198">
        <f t="shared" ca="1" si="472"/>
        <v>0</v>
      </c>
      <c r="K1130" s="198">
        <f t="shared" ca="1" si="473"/>
        <v>0</v>
      </c>
      <c r="L1130" s="198">
        <f t="shared" ca="1" si="474"/>
        <v>0</v>
      </c>
      <c r="M1130" s="198">
        <f ca="1">M1129</f>
        <v>0</v>
      </c>
      <c r="N1130" s="198">
        <f ca="1">+N1118+N1119</f>
        <v>0</v>
      </c>
      <c r="O1130" s="198">
        <f ca="1">SUM(O1118:O1122)</f>
        <v>0</v>
      </c>
      <c r="S1130" s="41"/>
      <c r="T1130" s="294"/>
    </row>
    <row r="1131" spans="1:20" hidden="1" outlineLevel="1" x14ac:dyDescent="0.25">
      <c r="A1131" s="302"/>
      <c r="B1131" s="3"/>
      <c r="C1131" s="294"/>
      <c r="D1131" s="1" t="str">
        <f>"IRR for Exit in "&amp;FIXED(year+6,0,1)&amp;".............................................................................................................................................................................."</f>
        <v>IRR for Exit in 2004..............................................................................................................................................................................</v>
      </c>
      <c r="H1131" s="452" t="str">
        <f ca="1">IF(ISERROR(IRR(I1131:P1131,0.1)),"NA",IRR(I1131:P1131,0.1))</f>
        <v>NA</v>
      </c>
      <c r="I1131" s="198">
        <f t="shared" ca="1" si="471"/>
        <v>0</v>
      </c>
      <c r="J1131" s="198">
        <f t="shared" ca="1" si="472"/>
        <v>0</v>
      </c>
      <c r="K1131" s="198">
        <f t="shared" ca="1" si="473"/>
        <v>0</v>
      </c>
      <c r="L1131" s="198">
        <f t="shared" ca="1" si="474"/>
        <v>0</v>
      </c>
      <c r="M1131" s="198">
        <f ca="1">M1130</f>
        <v>0</v>
      </c>
      <c r="N1131" s="198">
        <f ca="1">N1130</f>
        <v>0</v>
      </c>
      <c r="O1131" s="198">
        <f ca="1">+O1118+O1119</f>
        <v>0</v>
      </c>
      <c r="P1131" s="198">
        <f ca="1">SUM(P1118:P1122)</f>
        <v>0</v>
      </c>
      <c r="S1131" s="41"/>
      <c r="T1131" s="294"/>
    </row>
    <row r="1132" spans="1:20" hidden="1" outlineLevel="1" x14ac:dyDescent="0.25">
      <c r="A1132" s="302"/>
      <c r="B1132" s="3"/>
      <c r="C1132" s="294"/>
      <c r="D1132" s="1" t="str">
        <f>"IRR for Exit in "&amp;FIXED(year+7,0,1)&amp;".............................................................................................................................................................................."</f>
        <v>IRR for Exit in 2005..............................................................................................................................................................................</v>
      </c>
      <c r="H1132" s="452" t="str">
        <f ca="1">IF(ISERROR(IRR(I1132:Q1132,0.1)),"NA",IRR(I1132:Q1132,0.1))</f>
        <v>NA</v>
      </c>
      <c r="I1132" s="198">
        <f t="shared" ca="1" si="471"/>
        <v>0</v>
      </c>
      <c r="J1132" s="198">
        <f t="shared" ca="1" si="472"/>
        <v>0</v>
      </c>
      <c r="K1132" s="198">
        <f t="shared" ca="1" si="473"/>
        <v>0</v>
      </c>
      <c r="L1132" s="198">
        <f t="shared" ca="1" si="474"/>
        <v>0</v>
      </c>
      <c r="M1132" s="198">
        <f ca="1">M1131</f>
        <v>0</v>
      </c>
      <c r="N1132" s="198">
        <f ca="1">N1131</f>
        <v>0</v>
      </c>
      <c r="O1132" s="198">
        <f ca="1">O1131</f>
        <v>0</v>
      </c>
      <c r="P1132" s="198">
        <f ca="1">+P1118+P1119</f>
        <v>0</v>
      </c>
      <c r="Q1132" s="198">
        <f ca="1">SUM(Q1118:Q1122)</f>
        <v>0</v>
      </c>
      <c r="S1132" s="41"/>
      <c r="T1132" s="294"/>
    </row>
    <row r="1133" spans="1:20" hidden="1" outlineLevel="1" x14ac:dyDescent="0.25">
      <c r="A1133" s="302"/>
      <c r="B1133" s="3"/>
      <c r="C1133" s="294"/>
      <c r="D1133" s="1" t="str">
        <f>"IRR for Exit in "&amp;FIXED(year+8,0,1)&amp;".............................................................................................................................................................................."</f>
        <v>IRR for Exit in 2006..............................................................................................................................................................................</v>
      </c>
      <c r="H1133" s="452" t="str">
        <f ca="1">IF(ISERROR(IRR(I1133:R1133,0.1)),"NA",IRR(I1133:R1133,0.1))</f>
        <v>NA</v>
      </c>
      <c r="I1133" s="198">
        <f t="shared" ca="1" si="471"/>
        <v>0</v>
      </c>
      <c r="J1133" s="198">
        <f t="shared" ca="1" si="472"/>
        <v>0</v>
      </c>
      <c r="K1133" s="198">
        <f t="shared" ca="1" si="473"/>
        <v>0</v>
      </c>
      <c r="L1133" s="198">
        <f t="shared" ca="1" si="474"/>
        <v>0</v>
      </c>
      <c r="M1133" s="198">
        <f ca="1">M1132</f>
        <v>0</v>
      </c>
      <c r="N1133" s="198">
        <f ca="1">N1132</f>
        <v>0</v>
      </c>
      <c r="O1133" s="198">
        <f ca="1">O1132</f>
        <v>0</v>
      </c>
      <c r="P1133" s="198">
        <f ca="1">P1132</f>
        <v>0</v>
      </c>
      <c r="Q1133" s="198">
        <f ca="1">+Q1118+Q1119</f>
        <v>0</v>
      </c>
      <c r="R1133" s="198">
        <f ca="1">SUM(R1118:R1122)</f>
        <v>0</v>
      </c>
      <c r="S1133" s="41"/>
      <c r="T1133" s="294"/>
    </row>
    <row r="1134" spans="1:20" hidden="1" outlineLevel="1" x14ac:dyDescent="0.25">
      <c r="A1134" s="302"/>
      <c r="B1134" s="3"/>
      <c r="C1134" s="294"/>
      <c r="D1134" s="1" t="str">
        <f>"IRR for Exit in "&amp;FIXED(year+9,0,1)&amp;".............................................................................................................................................................................."</f>
        <v>IRR for Exit in 2007..............................................................................................................................................................................</v>
      </c>
      <c r="H1134" s="452" t="str">
        <f ca="1">IF(ISERROR(IRR(I1134:S1134,0.1)),"NA",IRR(I1134:S1134,0.1))</f>
        <v>NA</v>
      </c>
      <c r="I1134" s="198">
        <f t="shared" ca="1" si="471"/>
        <v>0</v>
      </c>
      <c r="J1134" s="198">
        <f t="shared" ca="1" si="472"/>
        <v>0</v>
      </c>
      <c r="K1134" s="198">
        <f t="shared" ca="1" si="473"/>
        <v>0</v>
      </c>
      <c r="L1134" s="198">
        <f t="shared" ca="1" si="474"/>
        <v>0</v>
      </c>
      <c r="M1134" s="198">
        <f ca="1">M1133</f>
        <v>0</v>
      </c>
      <c r="N1134" s="198">
        <f ca="1">N1133</f>
        <v>0</v>
      </c>
      <c r="O1134" s="198">
        <f ca="1">O1133</f>
        <v>0</v>
      </c>
      <c r="P1134" s="198">
        <f ca="1">P1133</f>
        <v>0</v>
      </c>
      <c r="Q1134" s="198">
        <f ca="1">Q1133</f>
        <v>0</v>
      </c>
      <c r="R1134" s="198">
        <f ca="1">+R1118+R1119</f>
        <v>0</v>
      </c>
      <c r="S1134" s="199">
        <f ca="1">SUM(S1118:S1122)</f>
        <v>0</v>
      </c>
      <c r="T1134" s="294"/>
    </row>
    <row r="1135" spans="1:20" ht="75" hidden="1" customHeight="1" outlineLevel="1" x14ac:dyDescent="0.25">
      <c r="A1135" s="302"/>
      <c r="B1135" s="3"/>
      <c r="C1135" s="294"/>
      <c r="H1135" s="192"/>
      <c r="I1135" s="198"/>
      <c r="J1135" s="198"/>
      <c r="K1135" s="198"/>
      <c r="L1135" s="198"/>
      <c r="M1135" s="198"/>
      <c r="N1135" s="198"/>
      <c r="O1135" s="198"/>
      <c r="P1135" s="198"/>
      <c r="Q1135" s="198"/>
      <c r="R1135" s="198"/>
      <c r="S1135" s="199"/>
      <c r="T1135" s="294"/>
    </row>
    <row r="1136" spans="1:20" hidden="1" outlineLevel="1" x14ac:dyDescent="0.25">
      <c r="A1136" s="302"/>
      <c r="B1136" s="3"/>
      <c r="C1136" s="294"/>
      <c r="D1136" s="495" t="str">
        <f>"Variance Analysis of Returns in "&amp;FIXED(year+4,0,1)&amp;":"</f>
        <v>Variance Analysis of Returns in 2002:</v>
      </c>
      <c r="H1136" s="352"/>
      <c r="I1136" s="353"/>
      <c r="J1136" s="353"/>
      <c r="K1136" s="353"/>
      <c r="L1136" s="353"/>
      <c r="M1136" s="353"/>
      <c r="N1136" s="198"/>
      <c r="O1136" s="198"/>
      <c r="P1136" s="198"/>
      <c r="Q1136" s="198"/>
      <c r="R1136" s="198"/>
      <c r="S1136" s="199"/>
      <c r="T1136" s="294"/>
    </row>
    <row r="1137" spans="1:20" hidden="1" outlineLevel="1" x14ac:dyDescent="0.25">
      <c r="A1137" s="302"/>
      <c r="B1137" s="3"/>
      <c r="C1137" s="294"/>
      <c r="D1137" s="169"/>
      <c r="H1137" s="345"/>
      <c r="I1137" s="345"/>
      <c r="J1137" s="345"/>
      <c r="K1137" s="345"/>
      <c r="L1137" s="345"/>
      <c r="M1137" s="345"/>
      <c r="N1137" s="198"/>
      <c r="O1137" s="198"/>
      <c r="P1137" s="198"/>
      <c r="Q1137" s="198"/>
      <c r="R1137" s="198"/>
      <c r="S1137" s="199"/>
      <c r="T1137" s="294"/>
    </row>
    <row r="1138" spans="1:20" hidden="1" outlineLevel="1" x14ac:dyDescent="0.25">
      <c r="A1138" s="302"/>
      <c r="B1138" s="3"/>
      <c r="C1138" s="294"/>
      <c r="D1138" s="169"/>
      <c r="H1138" s="341" t="str">
        <f>"Fully Diluted Equity to "&amp;$D$1413</f>
        <v>Fully Diluted Equity to Debt 2</v>
      </c>
      <c r="I1138" s="342"/>
      <c r="J1138" s="342"/>
      <c r="K1138" s="342"/>
      <c r="L1138" s="342"/>
      <c r="M1138" s="342"/>
      <c r="N1138" s="342"/>
      <c r="O1138" s="198"/>
      <c r="P1138" s="198"/>
      <c r="Q1138" s="198"/>
      <c r="R1138" s="198"/>
      <c r="S1138" s="199"/>
      <c r="T1138" s="294"/>
    </row>
    <row r="1139" spans="1:20" hidden="1" outlineLevel="1" x14ac:dyDescent="0.25">
      <c r="A1139" s="302"/>
      <c r="B1139" s="3"/>
      <c r="C1139" s="294"/>
      <c r="H1139" s="346">
        <f>MAX(0,I1139-$O$1413)</f>
        <v>0</v>
      </c>
      <c r="I1139" s="346">
        <f>MAX(0,J1139-$O$1413)</f>
        <v>0</v>
      </c>
      <c r="J1139" s="346">
        <f>MAX(0,K1139-$O$1413)</f>
        <v>0</v>
      </c>
      <c r="K1139" s="346">
        <f>ROUND(($S$921*1000)/5,0)*0.005</f>
        <v>0</v>
      </c>
      <c r="L1139" s="346">
        <f>K1139+$O$1413</f>
        <v>5.0000000000000001E-3</v>
      </c>
      <c r="M1139" s="346">
        <f>L1139+$O$1413</f>
        <v>0.01</v>
      </c>
      <c r="N1139" s="346">
        <f>M1139+$O$1413</f>
        <v>1.4999999999999999E-2</v>
      </c>
      <c r="O1139" s="198"/>
      <c r="P1139" s="198"/>
      <c r="Q1139" s="198"/>
      <c r="R1139" s="198"/>
      <c r="S1139" s="199"/>
      <c r="T1139" s="294"/>
    </row>
    <row r="1140" spans="1:20" hidden="1" outlineLevel="1" x14ac:dyDescent="0.25">
      <c r="A1140" s="302"/>
      <c r="B1140" s="3"/>
      <c r="C1140" s="294"/>
      <c r="G1140" s="546">
        <f>G1141-step</f>
        <v>4.5</v>
      </c>
      <c r="H1140" s="452" t="str">
        <f>IF($S$921=0,"NA",IRR(($I$1129,$J$1129,$K$1129,$L$1129,$M$1129,H1149)))</f>
        <v>NA</v>
      </c>
      <c r="I1140" s="452" t="str">
        <f>IF($S$921=0,"NA",IRR(($I$1129,$J$1129,$K$1129,$L$1129,$M$1129,I1149)))</f>
        <v>NA</v>
      </c>
      <c r="J1140" s="452" t="str">
        <f>IF($S$921=0,"NA",IRR(($I$1129,$J$1129,$K$1129,$L$1129,$M$1129,J1149)))</f>
        <v>NA</v>
      </c>
      <c r="K1140" s="453" t="str">
        <f>IF($S$921=0,"NA",IRR(($I$1129,$J$1129,$K$1129,$L$1129,$M$1129,K1149)))</f>
        <v>NA</v>
      </c>
      <c r="L1140" s="452" t="str">
        <f>IF($S$921=0,"NA",IRR(($I$1129,$J$1129,$K$1129,$L$1129,$M$1129,L1149)))</f>
        <v>NA</v>
      </c>
      <c r="M1140" s="452" t="str">
        <f>IF($S$921=0,"NA",IRR(($I$1129,$J$1129,$K$1129,$L$1129,$M$1129,M1149)))</f>
        <v>NA</v>
      </c>
      <c r="N1140" s="452" t="str">
        <f>IF($S$921=0,"NA",IRR(($I$1129,$J$1129,$K$1129,$L$1129,$M$1129,N1149)))</f>
        <v>NA</v>
      </c>
      <c r="O1140" s="198"/>
      <c r="P1140" s="198"/>
      <c r="Q1140" s="198"/>
      <c r="R1140" s="198"/>
      <c r="S1140" s="199"/>
      <c r="T1140" s="294"/>
    </row>
    <row r="1141" spans="1:20" hidden="1" outlineLevel="1" x14ac:dyDescent="0.25">
      <c r="A1141" s="302"/>
      <c r="B1141" s="3"/>
      <c r="C1141" s="294"/>
      <c r="F1141" s="711" t="s">
        <v>412</v>
      </c>
      <c r="G1141" s="546">
        <f>G1142-step</f>
        <v>5</v>
      </c>
      <c r="H1141" s="452" t="str">
        <f>IF($S$921=0,"NA",IRR(($I$1129,$J$1129,$K$1129,$L$1129,$M$1129,H1150)))</f>
        <v>NA</v>
      </c>
      <c r="I1141" s="452" t="str">
        <f>IF($S$921=0,"NA",IRR(($I$1129,$J$1129,$K$1129,$L$1129,$M$1129,I1150)))</f>
        <v>NA</v>
      </c>
      <c r="J1141" s="452" t="str">
        <f>IF($S$921=0,"NA",IRR(($I$1129,$J$1129,$K$1129,$L$1129,$M$1129,J1150)))</f>
        <v>NA</v>
      </c>
      <c r="K1141" s="454" t="str">
        <f>IF($S$921=0,"NA",IRR(($I$1129,$J$1129,$K$1129,$L$1129,$M$1129,K1150)))</f>
        <v>NA</v>
      </c>
      <c r="L1141" s="452" t="str">
        <f>IF($S$921=0,"NA",IRR(($I$1129,$J$1129,$K$1129,$L$1129,$M$1129,L1150)))</f>
        <v>NA</v>
      </c>
      <c r="M1141" s="452" t="str">
        <f>IF($S$921=0,"NA",IRR(($I$1129,$J$1129,$K$1129,$L$1129,$M$1129,M1150)))</f>
        <v>NA</v>
      </c>
      <c r="N1141" s="452" t="str">
        <f>IF($S$921=0,"NA",IRR(($I$1129,$J$1129,$K$1129,$L$1129,$M$1129,N1150)))</f>
        <v>NA</v>
      </c>
      <c r="O1141" s="198"/>
      <c r="P1141" s="198"/>
      <c r="Q1141" s="198"/>
      <c r="R1141" s="198"/>
      <c r="S1141" s="199"/>
      <c r="T1141" s="294"/>
    </row>
    <row r="1142" spans="1:20" ht="18.75" hidden="1" customHeight="1" outlineLevel="1" x14ac:dyDescent="0.25">
      <c r="A1142" s="302"/>
      <c r="B1142" s="3"/>
      <c r="C1142" s="294"/>
      <c r="F1142" s="712" t="s">
        <v>61</v>
      </c>
      <c r="G1142" s="549">
        <f>mult</f>
        <v>5.5</v>
      </c>
      <c r="H1142" s="471" t="str">
        <f>IF($S$921=0,"NA",IRR(($I$1129,$J$1129,$K$1129,$L$1129,$M$1129,H1151)))</f>
        <v>NA</v>
      </c>
      <c r="I1142" s="396" t="str">
        <f>IF($S$921=0,"NA",IRR(($I$1129,$J$1129,$K$1129,$L$1129,$M$1129,I1151)))</f>
        <v>NA</v>
      </c>
      <c r="J1142" s="396" t="str">
        <f>IF($S$921=0,"NA",IRR(($I$1129,$J$1129,$K$1129,$L$1129,$M$1129,J1151)))</f>
        <v>NA</v>
      </c>
      <c r="K1142" s="472" t="str">
        <f>IF($S$921=0,"NA",IRR(($I$1129,$J$1129,$K$1129,$L$1129,$M$1129,K1151)))</f>
        <v>NA</v>
      </c>
      <c r="L1142" s="396" t="str">
        <f>IF($S$921=0,"NA",IRR(($I$1129,$J$1129,$K$1129,$L$1129,$M$1129,L1151)))</f>
        <v>NA</v>
      </c>
      <c r="M1142" s="396" t="str">
        <f>IF($S$921=0,"NA",IRR(($I$1129,$J$1129,$K$1129,$L$1129,$M$1129,M1151)))</f>
        <v>NA</v>
      </c>
      <c r="N1142" s="473" t="str">
        <f>IF($S$921=0,"NA",IRR(($I$1129,$J$1129,$K$1129,$L$1129,$M$1129,N1151)))</f>
        <v>NA</v>
      </c>
      <c r="O1142" s="198"/>
      <c r="P1142" s="198"/>
      <c r="Q1142" s="198"/>
      <c r="R1142" s="198"/>
      <c r="S1142" s="199"/>
      <c r="T1142" s="294"/>
    </row>
    <row r="1143" spans="1:20" hidden="1" outlineLevel="1" x14ac:dyDescent="0.25">
      <c r="A1143" s="302"/>
      <c r="B1143" s="3"/>
      <c r="C1143" s="294"/>
      <c r="F1143" s="711" t="s">
        <v>413</v>
      </c>
      <c r="G1143" s="546">
        <f>G1142+step</f>
        <v>6</v>
      </c>
      <c r="H1143" s="452" t="str">
        <f>IF($S$921=0,"NA",IRR(($I$1129,$J$1129,$K$1129,$L$1129,$M$1129,H1152)))</f>
        <v>NA</v>
      </c>
      <c r="I1143" s="452" t="str">
        <f>IF($S$921=0,"NA",IRR(($I$1129,$J$1129,$K$1129,$L$1129,$M$1129,I1152)))</f>
        <v>NA</v>
      </c>
      <c r="J1143" s="452" t="str">
        <f>IF($S$921=0,"NA",IRR(($I$1129,$J$1129,$K$1129,$L$1129,$M$1129,J1152)))</f>
        <v>NA</v>
      </c>
      <c r="K1143" s="454" t="str">
        <f>IF($S$921=0,"NA",IRR(($I$1129,$J$1129,$K$1129,$L$1129,$M$1129,K1152)))</f>
        <v>NA</v>
      </c>
      <c r="L1143" s="452" t="str">
        <f>IF($S$921=0,"NA",IRR(($I$1129,$J$1129,$K$1129,$L$1129,$M$1129,L1152)))</f>
        <v>NA</v>
      </c>
      <c r="M1143" s="452" t="str">
        <f>IF($S$921=0,"NA",IRR(($I$1129,$J$1129,$K$1129,$L$1129,$M$1129,M1152)))</f>
        <v>NA</v>
      </c>
      <c r="N1143" s="452" t="str">
        <f>IF($S$921=0,"NA",IRR(($I$1129,$J$1129,$K$1129,$L$1129,$M$1129,N1152)))</f>
        <v>NA</v>
      </c>
      <c r="O1143" s="198"/>
      <c r="P1143" s="198"/>
      <c r="Q1143" s="198"/>
      <c r="R1143" s="198"/>
      <c r="S1143" s="199"/>
      <c r="T1143" s="294"/>
    </row>
    <row r="1144" spans="1:20" hidden="1" outlineLevel="1" x14ac:dyDescent="0.25">
      <c r="A1144" s="302"/>
      <c r="B1144" s="445" t="str">
        <f>"Rows ("&amp;ROW(B1146)&amp;") thru ("&amp;ROW(B1153)&amp;") are hidden."</f>
        <v>Rows (1146) thru (1153) are hidden.</v>
      </c>
      <c r="C1144" s="417"/>
      <c r="G1144" s="546">
        <f>G1143+step</f>
        <v>6.5</v>
      </c>
      <c r="H1144" s="452" t="str">
        <f>IF($S$921=0,"NA",IRR(($I$1129,$J$1129,$K$1129,$L$1129,$M$1129,H1153)))</f>
        <v>NA</v>
      </c>
      <c r="I1144" s="452" t="str">
        <f>IF($S$921=0,"NA",IRR(($I$1129,$J$1129,$K$1129,$L$1129,$M$1129,I1153)))</f>
        <v>NA</v>
      </c>
      <c r="J1144" s="452" t="str">
        <f>IF($S$921=0,"NA",IRR(($I$1129,$J$1129,$K$1129,$L$1129,$M$1129,J1153)))</f>
        <v>NA</v>
      </c>
      <c r="K1144" s="455" t="str">
        <f>IF($S$921=0,"NA",IRR(($I$1129,$J$1129,$K$1129,$L$1129,$M$1129,K1153)))</f>
        <v>NA</v>
      </c>
      <c r="L1144" s="452" t="str">
        <f>IF($S$921=0,"NA",IRR(($I$1129,$J$1129,$K$1129,$L$1129,$M$1129,L1153)))</f>
        <v>NA</v>
      </c>
      <c r="M1144" s="452" t="str">
        <f>IF($S$921=0,"NA",IRR(($I$1129,$J$1129,$K$1129,$L$1129,$M$1129,M1153)))</f>
        <v>NA</v>
      </c>
      <c r="N1144" s="452" t="str">
        <f>IF($S$921=0,"NA",IRR(($I$1129,$J$1129,$K$1129,$L$1129,$M$1129,N1153)))</f>
        <v>NA</v>
      </c>
      <c r="O1144" s="198"/>
      <c r="P1144" s="198"/>
      <c r="Q1144" s="198"/>
      <c r="R1144" s="198"/>
      <c r="S1144" s="199"/>
      <c r="T1144" s="294"/>
    </row>
    <row r="1145" spans="1:20" hidden="1" outlineLevel="1" x14ac:dyDescent="0.25">
      <c r="A1145" s="302"/>
      <c r="B1145" s="713" t="s">
        <v>414</v>
      </c>
      <c r="C1145" s="418"/>
      <c r="G1145" s="340"/>
      <c r="H1145" s="456"/>
      <c r="I1145" s="456"/>
      <c r="J1145" s="456"/>
      <c r="K1145" s="456"/>
      <c r="L1145" s="456"/>
      <c r="M1145" s="456"/>
      <c r="N1145" s="456"/>
      <c r="O1145" s="198"/>
      <c r="P1145" s="198"/>
      <c r="Q1145" s="198"/>
      <c r="R1145" s="198"/>
      <c r="S1145" s="199"/>
      <c r="T1145" s="294"/>
    </row>
    <row r="1146" spans="1:20" hidden="1" outlineLevel="1" x14ac:dyDescent="0.25">
      <c r="A1146" s="302"/>
      <c r="B1146" s="3"/>
      <c r="C1146" s="294"/>
      <c r="D1146" s="169" t="str">
        <f>"Cash Flow in "&amp;FIXED(year+4,0,1)&amp;":"</f>
        <v>Cash Flow in 2002:</v>
      </c>
      <c r="F1146" s="339"/>
      <c r="G1146" s="340"/>
      <c r="O1146" s="198"/>
      <c r="P1146" s="198"/>
      <c r="Q1146" s="198"/>
      <c r="R1146" s="198"/>
      <c r="S1146" s="199"/>
      <c r="T1146" s="294"/>
    </row>
    <row r="1147" spans="1:20" hidden="1" outlineLevel="1" x14ac:dyDescent="0.25">
      <c r="A1147" s="302"/>
      <c r="B1147" s="3"/>
      <c r="C1147" s="294"/>
      <c r="H1147" s="341" t="str">
        <f>"Fully Diluted Equity to "&amp;$D$1413</f>
        <v>Fully Diluted Equity to Debt 2</v>
      </c>
      <c r="I1147" s="342"/>
      <c r="J1147" s="342"/>
      <c r="K1147" s="342"/>
      <c r="L1147" s="342"/>
      <c r="M1147" s="342"/>
      <c r="N1147" s="342"/>
      <c r="O1147" s="198"/>
      <c r="P1147" s="198"/>
      <c r="Q1147" s="198"/>
      <c r="R1147" s="198"/>
      <c r="S1147" s="199"/>
      <c r="T1147" s="294"/>
    </row>
    <row r="1148" spans="1:20" hidden="1" outlineLevel="1" x14ac:dyDescent="0.25">
      <c r="A1148" s="302"/>
      <c r="B1148" s="3"/>
      <c r="C1148" s="294"/>
      <c r="H1148" s="346">
        <f t="shared" ref="H1148:N1148" si="475">+H1139</f>
        <v>0</v>
      </c>
      <c r="I1148" s="346">
        <f t="shared" si="475"/>
        <v>0</v>
      </c>
      <c r="J1148" s="346">
        <f t="shared" si="475"/>
        <v>0</v>
      </c>
      <c r="K1148" s="346">
        <f t="shared" si="475"/>
        <v>0</v>
      </c>
      <c r="L1148" s="346">
        <f t="shared" si="475"/>
        <v>5.0000000000000001E-3</v>
      </c>
      <c r="M1148" s="346">
        <f t="shared" si="475"/>
        <v>0.01</v>
      </c>
      <c r="N1148" s="346">
        <f t="shared" si="475"/>
        <v>1.4999999999999999E-2</v>
      </c>
      <c r="O1148" s="198"/>
      <c r="P1148" s="198"/>
      <c r="Q1148" s="198"/>
      <c r="R1148" s="198"/>
      <c r="S1148" s="199"/>
      <c r="T1148" s="294"/>
    </row>
    <row r="1149" spans="1:20" hidden="1" outlineLevel="1" x14ac:dyDescent="0.25">
      <c r="A1149" s="302"/>
      <c r="B1149" s="3"/>
      <c r="C1149" s="294"/>
      <c r="G1149" s="340">
        <f>G1150-step</f>
        <v>4.5</v>
      </c>
      <c r="H1149" s="103">
        <f t="shared" ref="H1149:N1153" ca="1" si="476">($N$1129-$N$1122)+((term_eq+(term_cf*($G1149-mult)))*H$1148)</f>
        <v>0</v>
      </c>
      <c r="I1149" s="103">
        <f t="shared" ca="1" si="476"/>
        <v>0</v>
      </c>
      <c r="J1149" s="103">
        <f t="shared" ca="1" si="476"/>
        <v>0</v>
      </c>
      <c r="K1149" s="103">
        <f t="shared" ca="1" si="476"/>
        <v>0</v>
      </c>
      <c r="L1149" s="103">
        <f t="shared" ca="1" si="476"/>
        <v>7.5429934955188696</v>
      </c>
      <c r="M1149" s="103">
        <f t="shared" ca="1" si="476"/>
        <v>15.085986991037739</v>
      </c>
      <c r="N1149" s="103">
        <f t="shared" ca="1" si="476"/>
        <v>22.628980486556607</v>
      </c>
      <c r="O1149" s="198"/>
      <c r="P1149" s="198"/>
      <c r="Q1149" s="198"/>
      <c r="R1149" s="198"/>
      <c r="S1149" s="199"/>
      <c r="T1149" s="294"/>
    </row>
    <row r="1150" spans="1:20" hidden="1" outlineLevel="1" x14ac:dyDescent="0.25">
      <c r="A1150" s="302"/>
      <c r="B1150" s="3"/>
      <c r="C1150" s="294"/>
      <c r="F1150" s="711" t="s">
        <v>412</v>
      </c>
      <c r="G1150" s="340">
        <f>G1151-step</f>
        <v>5</v>
      </c>
      <c r="H1150" s="103">
        <f t="shared" ca="1" si="476"/>
        <v>0</v>
      </c>
      <c r="I1150" s="103">
        <f t="shared" ca="1" si="476"/>
        <v>0</v>
      </c>
      <c r="J1150" s="103">
        <f t="shared" ca="1" si="476"/>
        <v>0</v>
      </c>
      <c r="K1150" s="103">
        <f t="shared" ca="1" si="476"/>
        <v>0</v>
      </c>
      <c r="L1150" s="103">
        <f t="shared" ca="1" si="476"/>
        <v>8.1313154728626191</v>
      </c>
      <c r="M1150" s="103">
        <f t="shared" ca="1" si="476"/>
        <v>16.262630945725238</v>
      </c>
      <c r="N1150" s="103">
        <f t="shared" ca="1" si="476"/>
        <v>24.393946418587856</v>
      </c>
      <c r="O1150" s="198"/>
      <c r="P1150" s="198"/>
      <c r="Q1150" s="198"/>
      <c r="R1150" s="198"/>
      <c r="S1150" s="199"/>
      <c r="T1150" s="294"/>
    </row>
    <row r="1151" spans="1:20" hidden="1" outlineLevel="1" x14ac:dyDescent="0.25">
      <c r="A1151" s="302"/>
      <c r="B1151" s="3"/>
      <c r="C1151" s="294"/>
      <c r="F1151" s="711" t="s">
        <v>61</v>
      </c>
      <c r="G1151" s="360">
        <f>mult</f>
        <v>5.5</v>
      </c>
      <c r="H1151" s="103">
        <f t="shared" ca="1" si="476"/>
        <v>0</v>
      </c>
      <c r="I1151" s="103">
        <f t="shared" ca="1" si="476"/>
        <v>0</v>
      </c>
      <c r="J1151" s="103">
        <f t="shared" ca="1" si="476"/>
        <v>0</v>
      </c>
      <c r="K1151" s="103">
        <f t="shared" ca="1" si="476"/>
        <v>0</v>
      </c>
      <c r="L1151" s="103">
        <f t="shared" ca="1" si="476"/>
        <v>8.7196374502063687</v>
      </c>
      <c r="M1151" s="103">
        <f t="shared" ca="1" si="476"/>
        <v>17.439274900412737</v>
      </c>
      <c r="N1151" s="103">
        <f t="shared" ca="1" si="476"/>
        <v>26.158912350619108</v>
      </c>
      <c r="O1151" s="198"/>
      <c r="P1151" s="198"/>
      <c r="Q1151" s="198"/>
      <c r="R1151" s="198"/>
      <c r="S1151" s="199"/>
      <c r="T1151" s="294"/>
    </row>
    <row r="1152" spans="1:20" hidden="1" outlineLevel="1" x14ac:dyDescent="0.25">
      <c r="A1152" s="302"/>
      <c r="B1152" s="3"/>
      <c r="C1152" s="294"/>
      <c r="F1152" s="711" t="s">
        <v>413</v>
      </c>
      <c r="G1152" s="340">
        <f>G1151+step</f>
        <v>6</v>
      </c>
      <c r="H1152" s="103">
        <f t="shared" ca="1" si="476"/>
        <v>0</v>
      </c>
      <c r="I1152" s="103">
        <f t="shared" ca="1" si="476"/>
        <v>0</v>
      </c>
      <c r="J1152" s="103">
        <f t="shared" ca="1" si="476"/>
        <v>0</v>
      </c>
      <c r="K1152" s="103">
        <f t="shared" ca="1" si="476"/>
        <v>0</v>
      </c>
      <c r="L1152" s="103">
        <f t="shared" ca="1" si="476"/>
        <v>9.3079594275501183</v>
      </c>
      <c r="M1152" s="103">
        <f t="shared" ca="1" si="476"/>
        <v>18.615918855100237</v>
      </c>
      <c r="N1152" s="103">
        <f t="shared" ca="1" si="476"/>
        <v>27.923878282650357</v>
      </c>
      <c r="O1152" s="198"/>
      <c r="P1152" s="198"/>
      <c r="Q1152" s="198"/>
      <c r="R1152" s="198"/>
      <c r="S1152" s="199"/>
      <c r="T1152" s="294"/>
    </row>
    <row r="1153" spans="1:20" hidden="1" outlineLevel="1" x14ac:dyDescent="0.25">
      <c r="A1153" s="302"/>
      <c r="B1153" s="3"/>
      <c r="C1153" s="294"/>
      <c r="F1153" s="339"/>
      <c r="G1153" s="340">
        <f>G1152+step</f>
        <v>6.5</v>
      </c>
      <c r="H1153" s="103">
        <f t="shared" ca="1" si="476"/>
        <v>0</v>
      </c>
      <c r="I1153" s="103">
        <f t="shared" ca="1" si="476"/>
        <v>0</v>
      </c>
      <c r="J1153" s="103">
        <f t="shared" ca="1" si="476"/>
        <v>0</v>
      </c>
      <c r="K1153" s="103">
        <f t="shared" ca="1" si="476"/>
        <v>0</v>
      </c>
      <c r="L1153" s="103">
        <f t="shared" ca="1" si="476"/>
        <v>9.8962814048938679</v>
      </c>
      <c r="M1153" s="103">
        <f t="shared" ca="1" si="476"/>
        <v>19.792562809787736</v>
      </c>
      <c r="N1153" s="103">
        <f t="shared" ca="1" si="476"/>
        <v>29.688844214681605</v>
      </c>
      <c r="O1153" s="198"/>
      <c r="P1153" s="198"/>
      <c r="Q1153" s="198"/>
      <c r="R1153" s="198"/>
      <c r="S1153" s="199"/>
      <c r="T1153" s="294"/>
    </row>
    <row r="1154" spans="1:20" hidden="1" outlineLevel="1" x14ac:dyDescent="0.25">
      <c r="A1154" s="302"/>
      <c r="B1154" s="3"/>
      <c r="C1154" s="294"/>
      <c r="O1154" s="1"/>
      <c r="S1154" s="41"/>
      <c r="T1154" s="294"/>
    </row>
    <row r="1155" spans="1:20" ht="60" hidden="1" customHeight="1" outlineLevel="1" x14ac:dyDescent="0.25">
      <c r="A1155" s="302"/>
      <c r="B1155" s="3"/>
      <c r="C1155" s="294"/>
      <c r="D1155" s="217" t="str">
        <f>" Blended Returns to Holders of "&amp;$D$1414</f>
        <v xml:space="preserve"> Blended Returns to Holders of Debt 3</v>
      </c>
      <c r="E1155" s="170"/>
      <c r="F1155" s="170"/>
      <c r="G1155" s="170"/>
      <c r="H1155" s="170"/>
      <c r="I1155" s="170"/>
      <c r="J1155" s="170"/>
      <c r="K1155" s="170"/>
      <c r="L1155" s="170"/>
      <c r="M1155" s="170"/>
      <c r="N1155" s="170"/>
      <c r="O1155" s="170"/>
      <c r="P1155" s="170"/>
      <c r="Q1155" s="170"/>
      <c r="R1155" s="170"/>
      <c r="S1155" s="213"/>
      <c r="T1155" s="294"/>
    </row>
    <row r="1156" spans="1:20" hidden="1" outlineLevel="1" x14ac:dyDescent="0.25">
      <c r="A1156" s="302"/>
      <c r="B1156" s="3"/>
      <c r="C1156" s="294"/>
      <c r="D1156" s="495" t="str">
        <f>"Cash Flows to "&amp;$D$1414&amp;":"</f>
        <v>Cash Flows to Debt 3:</v>
      </c>
      <c r="E1156" s="170"/>
      <c r="F1156" s="170"/>
      <c r="G1156" s="170"/>
      <c r="H1156" s="170"/>
      <c r="I1156" s="170"/>
      <c r="J1156" s="188" t="str">
        <f>"For the Fiscal Year Ending "&amp;fye</f>
        <v>For the Fiscal Year Ending December 31,</v>
      </c>
      <c r="K1156" s="190"/>
      <c r="L1156" s="190"/>
      <c r="M1156" s="190"/>
      <c r="N1156" s="190"/>
      <c r="O1156" s="190"/>
      <c r="P1156" s="190"/>
      <c r="Q1156" s="190"/>
      <c r="R1156" s="190"/>
      <c r="S1156" s="190"/>
      <c r="T1156" s="294"/>
    </row>
    <row r="1157" spans="1:20" ht="18" hidden="1" customHeight="1" outlineLevel="1" x14ac:dyDescent="0.25">
      <c r="A1157" s="302"/>
      <c r="B1157" s="3"/>
      <c r="C1157" s="294"/>
      <c r="D1157"/>
      <c r="H1157" s="192"/>
      <c r="I1157" s="680" t="s">
        <v>95</v>
      </c>
      <c r="J1157" s="101">
        <f>year</f>
        <v>1998</v>
      </c>
      <c r="K1157" s="101">
        <f t="shared" ref="K1157:S1157" si="477">J1157+1</f>
        <v>1999</v>
      </c>
      <c r="L1157" s="101">
        <f t="shared" si="477"/>
        <v>2000</v>
      </c>
      <c r="M1157" s="101">
        <f t="shared" si="477"/>
        <v>2001</v>
      </c>
      <c r="N1157" s="338">
        <f t="shared" si="477"/>
        <v>2002</v>
      </c>
      <c r="O1157" s="101">
        <f t="shared" si="477"/>
        <v>2003</v>
      </c>
      <c r="P1157" s="101">
        <f t="shared" si="477"/>
        <v>2004</v>
      </c>
      <c r="Q1157" s="101">
        <f t="shared" si="477"/>
        <v>2005</v>
      </c>
      <c r="R1157" s="101">
        <f t="shared" si="477"/>
        <v>2006</v>
      </c>
      <c r="S1157" s="514">
        <f t="shared" si="477"/>
        <v>2007</v>
      </c>
      <c r="T1157" s="294"/>
    </row>
    <row r="1158" spans="1:20" hidden="1" outlineLevel="1" x14ac:dyDescent="0.25">
      <c r="A1158" s="302"/>
      <c r="B1158" s="3"/>
      <c r="C1158" s="294"/>
      <c r="D1158" s="600" t="s">
        <v>422</v>
      </c>
      <c r="H1158" s="349"/>
      <c r="I1158" s="198">
        <f ca="1">-J634</f>
        <v>0</v>
      </c>
      <c r="J1158" s="198"/>
      <c r="K1158" s="198"/>
      <c r="L1158" s="198"/>
      <c r="M1158" s="198"/>
      <c r="N1158" s="476"/>
      <c r="O1158" s="198"/>
      <c r="P1158" s="198"/>
      <c r="Q1158" s="198"/>
      <c r="R1158" s="198"/>
      <c r="S1158" s="199"/>
      <c r="T1158" s="294"/>
    </row>
    <row r="1159" spans="1:20" hidden="1" outlineLevel="1" x14ac:dyDescent="0.25">
      <c r="A1159" s="302"/>
      <c r="B1159" s="3"/>
      <c r="C1159" s="294"/>
      <c r="D1159" s="554" t="s">
        <v>423</v>
      </c>
      <c r="I1159" s="351">
        <f ca="1">-equity*$G$922</f>
        <v>0</v>
      </c>
      <c r="N1159" s="335"/>
      <c r="O1159" s="1"/>
      <c r="S1159" s="41"/>
      <c r="T1159" s="294"/>
    </row>
    <row r="1160" spans="1:20" ht="18.75" hidden="1" customHeight="1" outlineLevel="1" x14ac:dyDescent="0.25">
      <c r="A1160" s="302"/>
      <c r="B1160" s="3"/>
      <c r="C1160" s="294"/>
      <c r="D1160" s="600" t="s">
        <v>424</v>
      </c>
      <c r="I1160" s="600" t="s">
        <v>101</v>
      </c>
      <c r="J1160" s="198">
        <f t="shared" ref="J1160:S1160" ca="1" si="478">J249-J636</f>
        <v>0</v>
      </c>
      <c r="K1160" s="198">
        <f t="shared" ca="1" si="478"/>
        <v>0</v>
      </c>
      <c r="L1160" s="198">
        <f t="shared" ca="1" si="478"/>
        <v>0</v>
      </c>
      <c r="M1160" s="198">
        <f t="shared" ca="1" si="478"/>
        <v>0</v>
      </c>
      <c r="N1160" s="476">
        <f t="shared" ca="1" si="478"/>
        <v>0</v>
      </c>
      <c r="O1160" s="198">
        <f t="shared" ca="1" si="478"/>
        <v>0</v>
      </c>
      <c r="P1160" s="198">
        <f t="shared" ca="1" si="478"/>
        <v>0</v>
      </c>
      <c r="Q1160" s="198">
        <f t="shared" ca="1" si="478"/>
        <v>0</v>
      </c>
      <c r="R1160" s="198">
        <f t="shared" ca="1" si="478"/>
        <v>0</v>
      </c>
      <c r="S1160" s="199">
        <f t="shared" ca="1" si="478"/>
        <v>0</v>
      </c>
      <c r="T1160" s="294"/>
    </row>
    <row r="1161" spans="1:20" hidden="1" outlineLevel="1" x14ac:dyDescent="0.25">
      <c r="A1161" s="302"/>
      <c r="B1161" s="3"/>
      <c r="C1161" s="294"/>
      <c r="D1161" s="600" t="s">
        <v>425</v>
      </c>
      <c r="I1161" s="600" t="s">
        <v>101</v>
      </c>
      <c r="J1161" s="198">
        <f t="shared" ref="J1161:S1161" ca="1" si="479">+J638+J637</f>
        <v>0</v>
      </c>
      <c r="K1161" s="198">
        <f t="shared" ca="1" si="479"/>
        <v>0</v>
      </c>
      <c r="L1161" s="198">
        <f t="shared" ca="1" si="479"/>
        <v>0</v>
      </c>
      <c r="M1161" s="198">
        <f t="shared" ca="1" si="479"/>
        <v>0</v>
      </c>
      <c r="N1161" s="476">
        <f t="shared" ca="1" si="479"/>
        <v>0</v>
      </c>
      <c r="O1161" s="198">
        <f t="shared" ca="1" si="479"/>
        <v>0</v>
      </c>
      <c r="P1161" s="198">
        <f t="shared" ca="1" si="479"/>
        <v>0</v>
      </c>
      <c r="Q1161" s="198">
        <f t="shared" ca="1" si="479"/>
        <v>0</v>
      </c>
      <c r="R1161" s="198">
        <f t="shared" ca="1" si="479"/>
        <v>0</v>
      </c>
      <c r="S1161" s="199">
        <f t="shared" ca="1" si="479"/>
        <v>0</v>
      </c>
      <c r="T1161" s="294"/>
    </row>
    <row r="1162" spans="1:20" ht="19.5" hidden="1" customHeight="1" outlineLevel="1" x14ac:dyDescent="0.25">
      <c r="A1162" s="302"/>
      <c r="B1162" s="3"/>
      <c r="C1162" s="294"/>
      <c r="D1162" s="715" t="s">
        <v>426</v>
      </c>
      <c r="I1162" s="600" t="s">
        <v>101</v>
      </c>
      <c r="J1162" s="198">
        <f t="shared" ref="J1162:S1162" ca="1" si="480">J639</f>
        <v>0</v>
      </c>
      <c r="K1162" s="198">
        <f t="shared" ca="1" si="480"/>
        <v>0</v>
      </c>
      <c r="L1162" s="198">
        <f t="shared" ca="1" si="480"/>
        <v>0</v>
      </c>
      <c r="M1162" s="198">
        <f t="shared" ca="1" si="480"/>
        <v>0</v>
      </c>
      <c r="N1162" s="476">
        <f t="shared" ca="1" si="480"/>
        <v>0</v>
      </c>
      <c r="O1162" s="198">
        <f t="shared" ca="1" si="480"/>
        <v>0</v>
      </c>
      <c r="P1162" s="198">
        <f t="shared" ca="1" si="480"/>
        <v>0</v>
      </c>
      <c r="Q1162" s="198">
        <f t="shared" ca="1" si="480"/>
        <v>0</v>
      </c>
      <c r="R1162" s="198">
        <f t="shared" ca="1" si="480"/>
        <v>0</v>
      </c>
      <c r="S1162" s="199">
        <f t="shared" ca="1" si="480"/>
        <v>0</v>
      </c>
      <c r="T1162" s="294"/>
    </row>
    <row r="1163" spans="1:20" hidden="1" outlineLevel="1" x14ac:dyDescent="0.25">
      <c r="A1163" s="302"/>
      <c r="B1163" s="3"/>
      <c r="C1163" s="294"/>
      <c r="D1163" s="600" t="s">
        <v>416</v>
      </c>
      <c r="I1163" s="600" t="s">
        <v>101</v>
      </c>
      <c r="J1163" s="198">
        <f ca="1">-$J$55*$I$922</f>
        <v>0</v>
      </c>
      <c r="K1163" s="198">
        <f t="shared" ref="K1163:S1163" ca="1" si="481">J1163</f>
        <v>0</v>
      </c>
      <c r="L1163" s="198">
        <f t="shared" ca="1" si="481"/>
        <v>0</v>
      </c>
      <c r="M1163" s="198">
        <f t="shared" ca="1" si="481"/>
        <v>0</v>
      </c>
      <c r="N1163" s="476">
        <f t="shared" ca="1" si="481"/>
        <v>0</v>
      </c>
      <c r="O1163" s="198">
        <f t="shared" ca="1" si="481"/>
        <v>0</v>
      </c>
      <c r="P1163" s="198">
        <f t="shared" ca="1" si="481"/>
        <v>0</v>
      </c>
      <c r="Q1163" s="198">
        <f t="shared" ca="1" si="481"/>
        <v>0</v>
      </c>
      <c r="R1163" s="198">
        <f t="shared" ca="1" si="481"/>
        <v>0</v>
      </c>
      <c r="S1163" s="199">
        <f t="shared" ca="1" si="481"/>
        <v>0</v>
      </c>
      <c r="T1163" s="294"/>
    </row>
    <row r="1164" spans="1:20" hidden="1" outlineLevel="1" x14ac:dyDescent="0.25">
      <c r="A1164" s="302"/>
      <c r="B1164" s="3"/>
      <c r="C1164" s="294"/>
      <c r="D1164" s="202" t="s">
        <v>417</v>
      </c>
      <c r="I1164" s="600" t="s">
        <v>101</v>
      </c>
      <c r="J1164" s="31">
        <f t="shared" ref="J1164:S1164" ca="1" si="482">J$955*$S$922</f>
        <v>0</v>
      </c>
      <c r="K1164" s="31">
        <f t="shared" ca="1" si="482"/>
        <v>0</v>
      </c>
      <c r="L1164" s="31">
        <f t="shared" ca="1" si="482"/>
        <v>0</v>
      </c>
      <c r="M1164" s="31">
        <f t="shared" ca="1" si="482"/>
        <v>0</v>
      </c>
      <c r="N1164" s="478">
        <f t="shared" ca="1" si="482"/>
        <v>0</v>
      </c>
      <c r="O1164" s="31">
        <f t="shared" ca="1" si="482"/>
        <v>0</v>
      </c>
      <c r="P1164" s="31">
        <f t="shared" ca="1" si="482"/>
        <v>0</v>
      </c>
      <c r="Q1164" s="31">
        <f t="shared" ca="1" si="482"/>
        <v>0</v>
      </c>
      <c r="R1164" s="31">
        <f t="shared" ca="1" si="482"/>
        <v>0</v>
      </c>
      <c r="S1164" s="521">
        <f t="shared" ca="1" si="482"/>
        <v>0</v>
      </c>
      <c r="T1164" s="294"/>
    </row>
    <row r="1165" spans="1:20" ht="75" hidden="1" customHeight="1" outlineLevel="1" x14ac:dyDescent="0.25">
      <c r="A1165" s="302"/>
      <c r="B1165" s="3"/>
      <c r="C1165" s="294"/>
      <c r="D1165" s="494" t="str">
        <f>"IRR to "&amp;$D$1414&amp;" (Assuming "&amp;FIXED($S$922*100,1)&amp;"% Ownership):"</f>
        <v>IRR to Debt 3 (Assuming 0.0% Ownership):</v>
      </c>
      <c r="I1165" s="38"/>
      <c r="J1165" s="188" t="str">
        <f>"For the Fiscal Year Ending "&amp;fye</f>
        <v>For the Fiscal Year Ending December 31,</v>
      </c>
      <c r="K1165" s="190"/>
      <c r="L1165" s="190"/>
      <c r="M1165" s="190"/>
      <c r="N1165" s="190"/>
      <c r="O1165" s="190"/>
      <c r="P1165" s="190"/>
      <c r="Q1165" s="190"/>
      <c r="R1165" s="190"/>
      <c r="S1165" s="190"/>
      <c r="T1165" s="294"/>
    </row>
    <row r="1166" spans="1:20" hidden="1" outlineLevel="1" x14ac:dyDescent="0.25">
      <c r="A1166" s="302"/>
      <c r="B1166" s="3"/>
      <c r="C1166" s="294"/>
      <c r="D1166"/>
      <c r="H1166" s="689" t="s">
        <v>410</v>
      </c>
      <c r="I1166" s="679" t="s">
        <v>95</v>
      </c>
      <c r="J1166" s="101">
        <f>year</f>
        <v>1998</v>
      </c>
      <c r="K1166" s="101">
        <f t="shared" ref="K1166:S1166" si="483">J1166+1</f>
        <v>1999</v>
      </c>
      <c r="L1166" s="101">
        <f t="shared" si="483"/>
        <v>2000</v>
      </c>
      <c r="M1166" s="101">
        <f t="shared" si="483"/>
        <v>2001</v>
      </c>
      <c r="N1166" s="338">
        <f t="shared" si="483"/>
        <v>2002</v>
      </c>
      <c r="O1166" s="101">
        <f t="shared" si="483"/>
        <v>2003</v>
      </c>
      <c r="P1166" s="101">
        <f t="shared" si="483"/>
        <v>2004</v>
      </c>
      <c r="Q1166" s="101">
        <f t="shared" si="483"/>
        <v>2005</v>
      </c>
      <c r="R1166" s="101">
        <f t="shared" si="483"/>
        <v>2006</v>
      </c>
      <c r="S1166" s="514">
        <f t="shared" si="483"/>
        <v>2007</v>
      </c>
      <c r="T1166" s="294"/>
    </row>
    <row r="1167" spans="1:20" hidden="1" outlineLevel="1" x14ac:dyDescent="0.25">
      <c r="A1167" s="302"/>
      <c r="B1167" s="3"/>
      <c r="C1167" s="294"/>
      <c r="D1167" s="1" t="str">
        <f>"IRR for Exit in "&amp;FIXED(year,0,1)&amp;".............................................................................................................................................................................."</f>
        <v>IRR for Exit in 1998..............................................................................................................................................................................</v>
      </c>
      <c r="G1167" s="38"/>
      <c r="H1167" s="452" t="str">
        <f ca="1">IF(ISERROR(IRR(I1167:J1167,0.1)),"NA",IRR(I1167:J1167,0.1))</f>
        <v>NA</v>
      </c>
      <c r="I1167" s="198">
        <f ca="1">I1158+I1159</f>
        <v>0</v>
      </c>
      <c r="J1167" s="198">
        <f ca="1">SUM(J1160:J1164)</f>
        <v>0</v>
      </c>
      <c r="N1167" s="335"/>
      <c r="O1167" s="1"/>
      <c r="S1167" s="41"/>
      <c r="T1167" s="294"/>
    </row>
    <row r="1168" spans="1:20" hidden="1" outlineLevel="1" x14ac:dyDescent="0.25">
      <c r="A1168" s="302"/>
      <c r="B1168" s="3"/>
      <c r="C1168" s="294"/>
      <c r="D1168" s="1" t="str">
        <f>"IRR for Exit in "&amp;FIXED(year+1,0,1)&amp;".............................................................................................................................................................................."</f>
        <v>IRR for Exit in 1999..............................................................................................................................................................................</v>
      </c>
      <c r="H1168" s="452" t="str">
        <f ca="1">IF(ISERROR(IRR(I1168:K1168,0.1)),"NA",IRR(I1168:K1168,0.1))</f>
        <v>NA</v>
      </c>
      <c r="I1168" s="198">
        <f t="shared" ref="I1168:I1176" ca="1" si="484">I1167</f>
        <v>0</v>
      </c>
      <c r="J1168" s="198">
        <f ca="1">+J1160+J1161</f>
        <v>0</v>
      </c>
      <c r="K1168" s="198">
        <f ca="1">SUM(K1160:K1164)</f>
        <v>0</v>
      </c>
      <c r="N1168" s="335"/>
      <c r="O1168" s="1"/>
      <c r="S1168" s="41"/>
      <c r="T1168" s="294"/>
    </row>
    <row r="1169" spans="1:20" hidden="1" outlineLevel="1" x14ac:dyDescent="0.25">
      <c r="A1169" s="302"/>
      <c r="B1169" s="3"/>
      <c r="C1169" s="294"/>
      <c r="D1169" s="1" t="str">
        <f>"IRR for Exit in "&amp;FIXED(year+2,0,1)&amp;".............................................................................................................................................................................."</f>
        <v>IRR for Exit in 2000..............................................................................................................................................................................</v>
      </c>
      <c r="H1169" s="452" t="str">
        <f ca="1">IF(ISERROR(IRR(I1169:L1169,0.1)),"NA",IRR(I1169:L1169,0.1))</f>
        <v>NA</v>
      </c>
      <c r="I1169" s="198">
        <f t="shared" ca="1" si="484"/>
        <v>0</v>
      </c>
      <c r="J1169" s="198">
        <f t="shared" ref="J1169:J1176" ca="1" si="485">J1168</f>
        <v>0</v>
      </c>
      <c r="K1169" s="198">
        <f ca="1">+K1160+K1161</f>
        <v>0</v>
      </c>
      <c r="L1169" s="198">
        <f ca="1">SUM(L1160:L1164)</f>
        <v>0</v>
      </c>
      <c r="N1169" s="335"/>
      <c r="O1169" s="1"/>
      <c r="S1169" s="41"/>
      <c r="T1169" s="294"/>
    </row>
    <row r="1170" spans="1:20" hidden="1" outlineLevel="1" x14ac:dyDescent="0.25">
      <c r="A1170" s="302"/>
      <c r="B1170" s="3"/>
      <c r="C1170" s="294"/>
      <c r="D1170" s="1" t="str">
        <f>"IRR for Exit in "&amp;FIXED(year+3,0,1)&amp;".............................................................................................................................................................................."</f>
        <v>IRR for Exit in 2001..............................................................................................................................................................................</v>
      </c>
      <c r="F1170" s="13"/>
      <c r="G1170" s="7"/>
      <c r="H1170" s="452" t="str">
        <f ca="1">IF(ISERROR(IRR(I1170:M1170,0.1)),"NA",IRR(I1170:M1170,0.1))</f>
        <v>NA</v>
      </c>
      <c r="I1170" s="198">
        <f t="shared" ca="1" si="484"/>
        <v>0</v>
      </c>
      <c r="J1170" s="198">
        <f t="shared" ca="1" si="485"/>
        <v>0</v>
      </c>
      <c r="K1170" s="198">
        <f t="shared" ref="K1170:K1176" ca="1" si="486">K1169</f>
        <v>0</v>
      </c>
      <c r="L1170" s="198">
        <f ca="1">+L1160+L1161</f>
        <v>0</v>
      </c>
      <c r="M1170" s="198">
        <f ca="1">SUM(M1160:M1164)</f>
        <v>0</v>
      </c>
      <c r="N1170" s="335"/>
      <c r="O1170" s="1"/>
      <c r="S1170" s="41"/>
      <c r="T1170" s="294"/>
    </row>
    <row r="1171" spans="1:20" ht="25.5" hidden="1" customHeight="1" outlineLevel="1" x14ac:dyDescent="0.25">
      <c r="A1171" s="302"/>
      <c r="B1171" s="3"/>
      <c r="C1171" s="294"/>
      <c r="D1171" s="389" t="str">
        <f>"IRR for Exit in "&amp;FIXED(year+4,0,1)&amp;"......................................................................................................................"</f>
        <v>IRR for Exit in 2002......................................................................................................................</v>
      </c>
      <c r="E1171" s="390"/>
      <c r="F1171" s="391"/>
      <c r="G1171" s="390"/>
      <c r="H1171" s="396" t="str">
        <f ca="1">IF(ISERROR(IRR(I1171:N1171,0.1)),"NA",IRR(I1171:N1171,0.1))</f>
        <v>NA</v>
      </c>
      <c r="I1171" s="392">
        <f t="shared" ca="1" si="484"/>
        <v>0</v>
      </c>
      <c r="J1171" s="392">
        <f t="shared" ca="1" si="485"/>
        <v>0</v>
      </c>
      <c r="K1171" s="392">
        <f t="shared" ca="1" si="486"/>
        <v>0</v>
      </c>
      <c r="L1171" s="392">
        <f t="shared" ref="L1171:L1176" ca="1" si="487">L1170</f>
        <v>0</v>
      </c>
      <c r="M1171" s="392">
        <f ca="1">+M1160+M1161</f>
        <v>0</v>
      </c>
      <c r="N1171" s="393">
        <f ca="1">SUM(N1160:N1164)</f>
        <v>0</v>
      </c>
      <c r="O1171" s="1"/>
      <c r="S1171" s="41"/>
      <c r="T1171" s="294"/>
    </row>
    <row r="1172" spans="1:20" hidden="1" outlineLevel="1" x14ac:dyDescent="0.25">
      <c r="A1172" s="302"/>
      <c r="B1172" s="3"/>
      <c r="C1172" s="294"/>
      <c r="D1172" s="1" t="str">
        <f>"IRR for Exit in "&amp;FIXED(year+5,0,1)&amp;".............................................................................................................................................................................."</f>
        <v>IRR for Exit in 2003..............................................................................................................................................................................</v>
      </c>
      <c r="H1172" s="452" t="str">
        <f ca="1">IF(ISERROR(IRR(I1172:O1172,0.1)),"NA",IRR(I1172:O1172,0.1))</f>
        <v>NA</v>
      </c>
      <c r="I1172" s="198">
        <f t="shared" ca="1" si="484"/>
        <v>0</v>
      </c>
      <c r="J1172" s="198">
        <f t="shared" ca="1" si="485"/>
        <v>0</v>
      </c>
      <c r="K1172" s="198">
        <f t="shared" ca="1" si="486"/>
        <v>0</v>
      </c>
      <c r="L1172" s="198">
        <f t="shared" ca="1" si="487"/>
        <v>0</v>
      </c>
      <c r="M1172" s="198">
        <f ca="1">M1171</f>
        <v>0</v>
      </c>
      <c r="N1172" s="198">
        <f ca="1">+N1160+N1161</f>
        <v>0</v>
      </c>
      <c r="O1172" s="198">
        <f ca="1">SUM(O1160:O1164)</f>
        <v>0</v>
      </c>
      <c r="S1172" s="41"/>
      <c r="T1172" s="294"/>
    </row>
    <row r="1173" spans="1:20" hidden="1" outlineLevel="1" x14ac:dyDescent="0.25">
      <c r="A1173" s="302"/>
      <c r="B1173" s="3"/>
      <c r="C1173" s="294"/>
      <c r="D1173" s="1" t="str">
        <f>"IRR for Exit in "&amp;FIXED(year+6,0,1)&amp;".............................................................................................................................................................................."</f>
        <v>IRR for Exit in 2004..............................................................................................................................................................................</v>
      </c>
      <c r="H1173" s="452" t="str">
        <f ca="1">IF(ISERROR(IRR(I1173:P1173,0.1)),"NA",IRR(I1173:P1173,0.1))</f>
        <v>NA</v>
      </c>
      <c r="I1173" s="198">
        <f t="shared" ca="1" si="484"/>
        <v>0</v>
      </c>
      <c r="J1173" s="198">
        <f t="shared" ca="1" si="485"/>
        <v>0</v>
      </c>
      <c r="K1173" s="198">
        <f t="shared" ca="1" si="486"/>
        <v>0</v>
      </c>
      <c r="L1173" s="198">
        <f t="shared" ca="1" si="487"/>
        <v>0</v>
      </c>
      <c r="M1173" s="198">
        <f ca="1">M1172</f>
        <v>0</v>
      </c>
      <c r="N1173" s="198">
        <f ca="1">N1172</f>
        <v>0</v>
      </c>
      <c r="O1173" s="198">
        <f ca="1">+O1160+O1161</f>
        <v>0</v>
      </c>
      <c r="P1173" s="198">
        <f ca="1">SUM(P1160:P1164)</f>
        <v>0</v>
      </c>
      <c r="S1173" s="41"/>
      <c r="T1173" s="294"/>
    </row>
    <row r="1174" spans="1:20" hidden="1" outlineLevel="1" x14ac:dyDescent="0.25">
      <c r="A1174" s="302"/>
      <c r="B1174" s="3"/>
      <c r="C1174" s="294"/>
      <c r="D1174" s="1" t="str">
        <f>"IRR for Exit in "&amp;FIXED(year+7,0,1)&amp;".............................................................................................................................................................................."</f>
        <v>IRR for Exit in 2005..............................................................................................................................................................................</v>
      </c>
      <c r="H1174" s="452" t="str">
        <f ca="1">IF(ISERROR(IRR(I1174:Q1174,0.1)),"NA",IRR(I1174:Q1174,0.1))</f>
        <v>NA</v>
      </c>
      <c r="I1174" s="198">
        <f t="shared" ca="1" si="484"/>
        <v>0</v>
      </c>
      <c r="J1174" s="198">
        <f t="shared" ca="1" si="485"/>
        <v>0</v>
      </c>
      <c r="K1174" s="198">
        <f t="shared" ca="1" si="486"/>
        <v>0</v>
      </c>
      <c r="L1174" s="198">
        <f t="shared" ca="1" si="487"/>
        <v>0</v>
      </c>
      <c r="M1174" s="198">
        <f ca="1">M1173</f>
        <v>0</v>
      </c>
      <c r="N1174" s="198">
        <f ca="1">N1173</f>
        <v>0</v>
      </c>
      <c r="O1174" s="198">
        <f ca="1">O1173</f>
        <v>0</v>
      </c>
      <c r="P1174" s="198">
        <f ca="1">+P1160+P1161</f>
        <v>0</v>
      </c>
      <c r="Q1174" s="198">
        <f ca="1">SUM(Q1160:Q1164)</f>
        <v>0</v>
      </c>
      <c r="S1174" s="41"/>
      <c r="T1174" s="294"/>
    </row>
    <row r="1175" spans="1:20" hidden="1" outlineLevel="1" x14ac:dyDescent="0.25">
      <c r="A1175" s="302"/>
      <c r="B1175" s="3"/>
      <c r="C1175" s="294"/>
      <c r="D1175" s="1" t="str">
        <f>"IRR for Exit in "&amp;FIXED(year+8,0,1)&amp;".............................................................................................................................................................................."</f>
        <v>IRR for Exit in 2006..............................................................................................................................................................................</v>
      </c>
      <c r="H1175" s="452" t="str">
        <f ca="1">IF(ISERROR(IRR(I1175:R1175,0.1)),"NA",IRR(I1175:R1175,0.1))</f>
        <v>NA</v>
      </c>
      <c r="I1175" s="198">
        <f t="shared" ca="1" si="484"/>
        <v>0</v>
      </c>
      <c r="J1175" s="198">
        <f t="shared" ca="1" si="485"/>
        <v>0</v>
      </c>
      <c r="K1175" s="198">
        <f t="shared" ca="1" si="486"/>
        <v>0</v>
      </c>
      <c r="L1175" s="198">
        <f t="shared" ca="1" si="487"/>
        <v>0</v>
      </c>
      <c r="M1175" s="198">
        <f ca="1">M1174</f>
        <v>0</v>
      </c>
      <c r="N1175" s="198">
        <f ca="1">N1174</f>
        <v>0</v>
      </c>
      <c r="O1175" s="198">
        <f ca="1">O1174</f>
        <v>0</v>
      </c>
      <c r="P1175" s="198">
        <f ca="1">P1174</f>
        <v>0</v>
      </c>
      <c r="Q1175" s="198">
        <f ca="1">+Q1160+Q1161</f>
        <v>0</v>
      </c>
      <c r="R1175" s="198">
        <f ca="1">SUM(R1160:R1164)</f>
        <v>0</v>
      </c>
      <c r="S1175" s="41"/>
      <c r="T1175" s="294"/>
    </row>
    <row r="1176" spans="1:20" hidden="1" outlineLevel="1" x14ac:dyDescent="0.25">
      <c r="A1176" s="302"/>
      <c r="B1176" s="3"/>
      <c r="C1176" s="294"/>
      <c r="D1176" s="1" t="str">
        <f>"IRR for Exit in "&amp;FIXED(year+9,0,1)&amp;".............................................................................................................................................................................."</f>
        <v>IRR for Exit in 2007..............................................................................................................................................................................</v>
      </c>
      <c r="H1176" s="452" t="str">
        <f ca="1">IF(ISERROR(IRR(I1176:S1176,0.1)),"NA",IRR(I1176:S1176,0.1))</f>
        <v>NA</v>
      </c>
      <c r="I1176" s="198">
        <f t="shared" ca="1" si="484"/>
        <v>0</v>
      </c>
      <c r="J1176" s="198">
        <f t="shared" ca="1" si="485"/>
        <v>0</v>
      </c>
      <c r="K1176" s="198">
        <f t="shared" ca="1" si="486"/>
        <v>0</v>
      </c>
      <c r="L1176" s="198">
        <f t="shared" ca="1" si="487"/>
        <v>0</v>
      </c>
      <c r="M1176" s="198">
        <f ca="1">M1175</f>
        <v>0</v>
      </c>
      <c r="N1176" s="198">
        <f ca="1">N1175</f>
        <v>0</v>
      </c>
      <c r="O1176" s="198">
        <f ca="1">O1175</f>
        <v>0</v>
      </c>
      <c r="P1176" s="198">
        <f ca="1">P1175</f>
        <v>0</v>
      </c>
      <c r="Q1176" s="198">
        <f ca="1">Q1175</f>
        <v>0</v>
      </c>
      <c r="R1176" s="198">
        <f ca="1">+R1160+R1161</f>
        <v>0</v>
      </c>
      <c r="S1176" s="199">
        <f ca="1">SUM(S1160:S1164)</f>
        <v>0</v>
      </c>
      <c r="T1176" s="294"/>
    </row>
    <row r="1177" spans="1:20" ht="75" hidden="1" customHeight="1" outlineLevel="1" x14ac:dyDescent="0.25">
      <c r="A1177" s="302"/>
      <c r="B1177" s="3"/>
      <c r="C1177" s="294"/>
      <c r="H1177" s="192"/>
      <c r="I1177" s="198"/>
      <c r="J1177" s="198"/>
      <c r="K1177" s="198"/>
      <c r="L1177" s="198"/>
      <c r="M1177" s="198"/>
      <c r="N1177" s="198"/>
      <c r="O1177" s="198"/>
      <c r="P1177" s="198"/>
      <c r="Q1177" s="198"/>
      <c r="R1177" s="198"/>
      <c r="S1177" s="199"/>
      <c r="T1177" s="294"/>
    </row>
    <row r="1178" spans="1:20" hidden="1" outlineLevel="1" x14ac:dyDescent="0.25">
      <c r="A1178" s="302"/>
      <c r="B1178" s="3"/>
      <c r="C1178" s="294"/>
      <c r="D1178" s="495" t="str">
        <f>"Variance Analysis of Returns in "&amp;FIXED(year+4,0,1)&amp;":"</f>
        <v>Variance Analysis of Returns in 2002:</v>
      </c>
      <c r="H1178" s="352"/>
      <c r="I1178" s="353"/>
      <c r="J1178" s="353"/>
      <c r="K1178" s="353"/>
      <c r="L1178" s="353"/>
      <c r="M1178" s="353"/>
      <c r="N1178" s="198"/>
      <c r="O1178" s="198"/>
      <c r="P1178" s="198"/>
      <c r="Q1178" s="198"/>
      <c r="R1178" s="198"/>
      <c r="S1178" s="199"/>
      <c r="T1178" s="294"/>
    </row>
    <row r="1179" spans="1:20" hidden="1" outlineLevel="1" x14ac:dyDescent="0.25">
      <c r="A1179" s="302"/>
      <c r="B1179" s="4"/>
      <c r="C1179" s="299"/>
      <c r="D1179" s="169"/>
      <c r="H1179" s="345"/>
      <c r="I1179" s="345"/>
      <c r="J1179" s="345"/>
      <c r="K1179" s="345"/>
      <c r="L1179" s="345"/>
      <c r="M1179" s="345"/>
      <c r="N1179" s="198"/>
      <c r="O1179" s="198"/>
      <c r="P1179" s="198"/>
      <c r="Q1179" s="198"/>
      <c r="R1179" s="198"/>
      <c r="S1179" s="199"/>
      <c r="T1179" s="294"/>
    </row>
    <row r="1180" spans="1:20" hidden="1" outlineLevel="1" x14ac:dyDescent="0.25">
      <c r="A1180" s="302"/>
      <c r="C1180" s="294"/>
      <c r="D1180" s="169"/>
      <c r="H1180" s="341" t="str">
        <f>"Fully Diluted Equity to "&amp;$D$1414</f>
        <v>Fully Diluted Equity to Debt 3</v>
      </c>
      <c r="I1180" s="342"/>
      <c r="J1180" s="342"/>
      <c r="K1180" s="342"/>
      <c r="L1180" s="342"/>
      <c r="M1180" s="342"/>
      <c r="N1180" s="342"/>
      <c r="O1180" s="198"/>
      <c r="P1180" s="198"/>
      <c r="Q1180" s="198"/>
      <c r="R1180" s="198"/>
      <c r="S1180" s="199"/>
      <c r="T1180" s="294"/>
    </row>
    <row r="1181" spans="1:20" hidden="1" outlineLevel="1" x14ac:dyDescent="0.25">
      <c r="A1181" s="302"/>
      <c r="C1181" s="294"/>
      <c r="H1181" s="446" t="str">
        <f>IF($S$922=0,"NA",I1181-$O$1414)</f>
        <v>NA</v>
      </c>
      <c r="I1181" s="446" t="str">
        <f>IF($S$922=0,"NA",J1181-$O$1414)</f>
        <v>NA</v>
      </c>
      <c r="J1181" s="446" t="str">
        <f>IF($S$922=0,"NA",K1181-$O$1414)</f>
        <v>NA</v>
      </c>
      <c r="K1181" s="446" t="str">
        <f>IF(S922=0,"NA",ROUND(($S$922*1000)/5,0)*0.005)</f>
        <v>NA</v>
      </c>
      <c r="L1181" s="446" t="str">
        <f>IF($S$922=0,"NA",K1181+$O$1414)</f>
        <v>NA</v>
      </c>
      <c r="M1181" s="446" t="str">
        <f>IF($S$922=0,"NA",L1181+$O$1414)</f>
        <v>NA</v>
      </c>
      <c r="N1181" s="446" t="str">
        <f>IF($S$922=0,"NA",M1181+$O$1414)</f>
        <v>NA</v>
      </c>
      <c r="O1181" s="198"/>
      <c r="P1181" s="198"/>
      <c r="Q1181" s="198"/>
      <c r="R1181" s="198"/>
      <c r="S1181" s="199"/>
      <c r="T1181" s="294"/>
    </row>
    <row r="1182" spans="1:20" hidden="1" outlineLevel="1" x14ac:dyDescent="0.25">
      <c r="A1182" s="302"/>
      <c r="C1182" s="294"/>
      <c r="G1182" s="546">
        <f>G1183-step</f>
        <v>4.5</v>
      </c>
      <c r="H1182" s="452" t="str">
        <f>IF($S$922=0,"NA",IRR(($I$1171,$J$1171,$K$1171,$L$1171,$M$1171,H1191)))</f>
        <v>NA</v>
      </c>
      <c r="I1182" s="452" t="str">
        <f>IF($S$922=0,"NA",IRR(($I$1171,$J$1171,$K$1171,$L$1171,$M$1171,I1191)))</f>
        <v>NA</v>
      </c>
      <c r="J1182" s="452" t="str">
        <f>IF($S$922=0,"NA",IRR(($I$1171,$J$1171,$K$1171,$L$1171,$M$1171,J1191)))</f>
        <v>NA</v>
      </c>
      <c r="K1182" s="453" t="str">
        <f>IF($S$922=0,"NA",IRR(($I$1171,$J$1171,$K$1171,$L$1171,$M$1171,K1191)))</f>
        <v>NA</v>
      </c>
      <c r="L1182" s="452" t="str">
        <f>IF($S$922=0,"NA",IRR(($I$1171,$J$1171,$K$1171,$L$1171,$M$1171,L1191)))</f>
        <v>NA</v>
      </c>
      <c r="M1182" s="452" t="str">
        <f>IF($S$922=0,"NA",IRR(($I$1171,$J$1171,$K$1171,$L$1171,$M$1171,M1191)))</f>
        <v>NA</v>
      </c>
      <c r="N1182" s="452" t="str">
        <f>IF($S$922=0,"NA",IRR(($I$1171,$J$1171,$K$1171,$L$1171,$M$1171,N1191)))</f>
        <v>NA</v>
      </c>
      <c r="O1182" s="198"/>
      <c r="P1182" s="198"/>
      <c r="Q1182" s="198"/>
      <c r="R1182" s="198"/>
      <c r="S1182" s="199"/>
      <c r="T1182" s="294"/>
    </row>
    <row r="1183" spans="1:20" hidden="1" outlineLevel="1" x14ac:dyDescent="0.25">
      <c r="A1183" s="302"/>
      <c r="C1183" s="294"/>
      <c r="F1183" s="711" t="s">
        <v>412</v>
      </c>
      <c r="G1183" s="546">
        <f>G1184-step</f>
        <v>5</v>
      </c>
      <c r="H1183" s="452" t="str">
        <f>IF($S$922=0,"NA",IRR(($I$1171,$J$1171,$K$1171,$L$1171,$M$1171,H1192)))</f>
        <v>NA</v>
      </c>
      <c r="I1183" s="452" t="str">
        <f>IF($S$922=0,"NA",IRR(($I$1171,$J$1171,$K$1171,$L$1171,$M$1171,I1192)))</f>
        <v>NA</v>
      </c>
      <c r="J1183" s="452" t="str">
        <f>IF($S$922=0,"NA",IRR(($I$1171,$J$1171,$K$1171,$L$1171,$M$1171,J1192)))</f>
        <v>NA</v>
      </c>
      <c r="K1183" s="454" t="str">
        <f>IF($S$922=0,"NA",IRR(($I$1171,$J$1171,$K$1171,$L$1171,$M$1171,K1192)))</f>
        <v>NA</v>
      </c>
      <c r="L1183" s="452" t="str">
        <f>IF($S$922=0,"NA",IRR(($I$1171,$J$1171,$K$1171,$L$1171,$M$1171,L1192)))</f>
        <v>NA</v>
      </c>
      <c r="M1183" s="452" t="str">
        <f>IF($S$922=0,"NA",IRR(($I$1171,$J$1171,$K$1171,$L$1171,$M$1171,M1192)))</f>
        <v>NA</v>
      </c>
      <c r="N1183" s="452" t="str">
        <f>IF($S$922=0,"NA",IRR(($I$1171,$J$1171,$K$1171,$L$1171,$M$1171,N1192)))</f>
        <v>NA</v>
      </c>
      <c r="O1183" s="198"/>
      <c r="P1183" s="198"/>
      <c r="Q1183" s="198"/>
      <c r="R1183" s="198"/>
      <c r="S1183" s="199"/>
      <c r="T1183" s="294"/>
    </row>
    <row r="1184" spans="1:20" ht="18.75" hidden="1" customHeight="1" outlineLevel="1" x14ac:dyDescent="0.25">
      <c r="A1184" s="302"/>
      <c r="C1184" s="294"/>
      <c r="F1184" s="712" t="s">
        <v>61</v>
      </c>
      <c r="G1184" s="549">
        <f>mult</f>
        <v>5.5</v>
      </c>
      <c r="H1184" s="471" t="str">
        <f>IF($S$922=0,"NA",IRR(($I$1171,$J$1171,$K$1171,$L$1171,$M$1171,H1193)))</f>
        <v>NA</v>
      </c>
      <c r="I1184" s="396" t="str">
        <f>IF($S$922=0,"NA",IRR(($I$1171,$J$1171,$K$1171,$L$1171,$M$1171,I1193)))</f>
        <v>NA</v>
      </c>
      <c r="J1184" s="396" t="str">
        <f>IF($S$922=0,"NA",IRR(($I$1171,$J$1171,$K$1171,$L$1171,$M$1171,J1193)))</f>
        <v>NA</v>
      </c>
      <c r="K1184" s="472" t="str">
        <f>IF($S$922=0,"NA",IRR(($I$1171,$J$1171,$K$1171,$L$1171,$M$1171,K1193)))</f>
        <v>NA</v>
      </c>
      <c r="L1184" s="396" t="str">
        <f>IF($S$922=0,"NA",IRR(($I$1171,$J$1171,$K$1171,$L$1171,$M$1171,L1193)))</f>
        <v>NA</v>
      </c>
      <c r="M1184" s="396" t="str">
        <f>IF($S$922=0,"NA",IRR(($I$1171,$J$1171,$K$1171,$L$1171,$M$1171,M1193)))</f>
        <v>NA</v>
      </c>
      <c r="N1184" s="473" t="str">
        <f>IF($S$922=0,"NA",IRR(($I$1171,$J$1171,$K$1171,$L$1171,$M$1171,N1193)))</f>
        <v>NA</v>
      </c>
      <c r="O1184" s="198"/>
      <c r="P1184" s="198"/>
      <c r="Q1184" s="198"/>
      <c r="R1184" s="198"/>
      <c r="S1184" s="199"/>
      <c r="T1184" s="294"/>
    </row>
    <row r="1185" spans="1:20" hidden="1" outlineLevel="1" x14ac:dyDescent="0.25">
      <c r="A1185" s="302"/>
      <c r="C1185" s="294"/>
      <c r="F1185" s="711" t="s">
        <v>413</v>
      </c>
      <c r="G1185" s="546">
        <f>G1184+step</f>
        <v>6</v>
      </c>
      <c r="H1185" s="452" t="str">
        <f>IF($S$922=0,"NA",IRR(($I$1171,$J$1171,$K$1171,$L$1171,$M$1171,H1194)))</f>
        <v>NA</v>
      </c>
      <c r="I1185" s="452" t="str">
        <f>IF($S$922=0,"NA",IRR(($I$1171,$J$1171,$K$1171,$L$1171,$M$1171,I1194)))</f>
        <v>NA</v>
      </c>
      <c r="J1185" s="452" t="str">
        <f>IF($S$922=0,"NA",IRR(($I$1171,$J$1171,$K$1171,$L$1171,$M$1171,J1194)))</f>
        <v>NA</v>
      </c>
      <c r="K1185" s="454" t="str">
        <f>IF($S$922=0,"NA",IRR(($I$1171,$J$1171,$K$1171,$L$1171,$M$1171,K1194)))</f>
        <v>NA</v>
      </c>
      <c r="L1185" s="452" t="str">
        <f>IF($S$922=0,"NA",IRR(($I$1171,$J$1171,$K$1171,$L$1171,$M$1171,L1194)))</f>
        <v>NA</v>
      </c>
      <c r="M1185" s="452" t="str">
        <f>IF($S$922=0,"NA",IRR(($I$1171,$J$1171,$K$1171,$L$1171,$M$1171,M1194)))</f>
        <v>NA</v>
      </c>
      <c r="N1185" s="452" t="str">
        <f>IF($S$922=0,"NA",IRR(($I$1171,$J$1171,$K$1171,$L$1171,$M$1171,N1194)))</f>
        <v>NA</v>
      </c>
      <c r="O1185" s="198"/>
      <c r="P1185" s="198"/>
      <c r="Q1185" s="198"/>
      <c r="R1185" s="198"/>
      <c r="S1185" s="199"/>
      <c r="T1185" s="294"/>
    </row>
    <row r="1186" spans="1:20" hidden="1" outlineLevel="1" x14ac:dyDescent="0.25">
      <c r="A1186" s="302"/>
      <c r="B1186" s="445" t="str">
        <f>"Rows ("&amp;ROW(B1188)&amp;") thru ("&amp;ROW(B1195)&amp;") are hidden."</f>
        <v>Rows (1188) thru (1195) are hidden.</v>
      </c>
      <c r="C1186" s="417"/>
      <c r="F1186" s="339"/>
      <c r="G1186" s="546">
        <f>G1185+step</f>
        <v>6.5</v>
      </c>
      <c r="H1186" s="452" t="str">
        <f>IF($S$922=0,"NA",IRR(($I$1171,$J$1171,$K$1171,$L$1171,$M$1171,H1195)))</f>
        <v>NA</v>
      </c>
      <c r="I1186" s="452" t="str">
        <f>IF($S$922=0,"NA",IRR(($I$1171,$J$1171,$K$1171,$L$1171,$M$1171,I1195)))</f>
        <v>NA</v>
      </c>
      <c r="J1186" s="452" t="str">
        <f>IF($S$922=0,"NA",IRR(($I$1171,$J$1171,$K$1171,$L$1171,$M$1171,J1195)))</f>
        <v>NA</v>
      </c>
      <c r="K1186" s="455" t="str">
        <f>IF($S$922=0,"NA",IRR(($I$1171,$J$1171,$K$1171,$L$1171,$M$1171,K1195)))</f>
        <v>NA</v>
      </c>
      <c r="L1186" s="452" t="str">
        <f>IF($S$922=0,"NA",IRR(($I$1171,$J$1171,$K$1171,$L$1171,$M$1171,L1195)))</f>
        <v>NA</v>
      </c>
      <c r="M1186" s="452" t="str">
        <f>IF($S$922=0,"NA",IRR(($I$1171,$J$1171,$K$1171,$L$1171,$M$1171,M1195)))</f>
        <v>NA</v>
      </c>
      <c r="N1186" s="452" t="str">
        <f>IF($S$922=0,"NA",IRR(($I$1171,$J$1171,$K$1171,$L$1171,$M$1171,N1195)))</f>
        <v>NA</v>
      </c>
      <c r="O1186" s="198"/>
      <c r="P1186" s="198"/>
      <c r="Q1186" s="198"/>
      <c r="R1186" s="198"/>
      <c r="S1186" s="199"/>
      <c r="T1186" s="294"/>
    </row>
    <row r="1187" spans="1:20" hidden="1" outlineLevel="1" x14ac:dyDescent="0.25">
      <c r="A1187" s="302"/>
      <c r="B1187" s="713" t="s">
        <v>414</v>
      </c>
      <c r="C1187" s="418"/>
      <c r="F1187" s="339"/>
      <c r="G1187" s="340"/>
      <c r="H1187" s="456"/>
      <c r="I1187" s="456"/>
      <c r="J1187" s="456"/>
      <c r="K1187" s="456"/>
      <c r="L1187" s="456"/>
      <c r="M1187" s="456"/>
      <c r="N1187" s="456"/>
      <c r="O1187" s="198"/>
      <c r="P1187" s="198"/>
      <c r="Q1187" s="198"/>
      <c r="R1187" s="198"/>
      <c r="S1187" s="199"/>
      <c r="T1187" s="294"/>
    </row>
    <row r="1188" spans="1:20" hidden="1" outlineLevel="1" x14ac:dyDescent="0.25">
      <c r="A1188" s="302"/>
      <c r="C1188" s="294"/>
      <c r="D1188" s="169" t="str">
        <f>"Cash Flow in "&amp;FIXED(year+4,0,1)&amp;":"</f>
        <v>Cash Flow in 2002:</v>
      </c>
      <c r="F1188" s="339"/>
      <c r="G1188" s="340"/>
      <c r="O1188" s="198"/>
      <c r="P1188" s="198"/>
      <c r="Q1188" s="198"/>
      <c r="R1188" s="198"/>
      <c r="S1188" s="199"/>
      <c r="T1188" s="294"/>
    </row>
    <row r="1189" spans="1:20" hidden="1" outlineLevel="1" x14ac:dyDescent="0.25">
      <c r="A1189" s="302"/>
      <c r="C1189" s="294"/>
      <c r="H1189" s="341" t="str">
        <f>"Fully Diluted Equity to "&amp;$D$1414</f>
        <v>Fully Diluted Equity to Debt 3</v>
      </c>
      <c r="I1189" s="342"/>
      <c r="J1189" s="342"/>
      <c r="K1189" s="342"/>
      <c r="L1189" s="342"/>
      <c r="M1189" s="342"/>
      <c r="N1189" s="342"/>
      <c r="O1189" s="198"/>
      <c r="P1189" s="198"/>
      <c r="Q1189" s="198"/>
      <c r="R1189" s="198"/>
      <c r="S1189" s="199"/>
      <c r="T1189" s="294"/>
    </row>
    <row r="1190" spans="1:20" hidden="1" outlineLevel="1" x14ac:dyDescent="0.25">
      <c r="A1190" s="302"/>
      <c r="C1190" s="294"/>
      <c r="H1190" s="346" t="str">
        <f t="shared" ref="H1190:N1190" si="488">+H1181</f>
        <v>NA</v>
      </c>
      <c r="I1190" s="346" t="str">
        <f t="shared" si="488"/>
        <v>NA</v>
      </c>
      <c r="J1190" s="346" t="str">
        <f t="shared" si="488"/>
        <v>NA</v>
      </c>
      <c r="K1190" s="346" t="str">
        <f t="shared" si="488"/>
        <v>NA</v>
      </c>
      <c r="L1190" s="346" t="str">
        <f t="shared" si="488"/>
        <v>NA</v>
      </c>
      <c r="M1190" s="346" t="str">
        <f t="shared" si="488"/>
        <v>NA</v>
      </c>
      <c r="N1190" s="346" t="str">
        <f t="shared" si="488"/>
        <v>NA</v>
      </c>
      <c r="O1190" s="198"/>
      <c r="P1190" s="198"/>
      <c r="Q1190" s="198"/>
      <c r="R1190" s="198"/>
      <c r="S1190" s="199"/>
      <c r="T1190" s="294"/>
    </row>
    <row r="1191" spans="1:20" hidden="1" outlineLevel="1" x14ac:dyDescent="0.25">
      <c r="A1191" s="302"/>
      <c r="C1191" s="294"/>
      <c r="G1191" s="340">
        <f>G1192-step</f>
        <v>4.5</v>
      </c>
      <c r="H1191" s="103" t="e">
        <f t="shared" ref="H1191:N1195" ca="1" si="489">($N$1171-$N$1164)+((term_eq+(term_cf*($G1191-mult)))*H$1190)</f>
        <v>#VALUE!</v>
      </c>
      <c r="I1191" s="103" t="e">
        <f t="shared" ca="1" si="489"/>
        <v>#VALUE!</v>
      </c>
      <c r="J1191" s="103" t="e">
        <f t="shared" ca="1" si="489"/>
        <v>#VALUE!</v>
      </c>
      <c r="K1191" s="103" t="e">
        <f t="shared" ca="1" si="489"/>
        <v>#VALUE!</v>
      </c>
      <c r="L1191" s="103" t="e">
        <f t="shared" ca="1" si="489"/>
        <v>#VALUE!</v>
      </c>
      <c r="M1191" s="103" t="e">
        <f t="shared" ca="1" si="489"/>
        <v>#VALUE!</v>
      </c>
      <c r="N1191" s="103" t="e">
        <f t="shared" ca="1" si="489"/>
        <v>#VALUE!</v>
      </c>
      <c r="O1191" s="198"/>
      <c r="P1191" s="198"/>
      <c r="Q1191" s="198"/>
      <c r="R1191" s="198"/>
      <c r="S1191" s="199"/>
      <c r="T1191" s="294"/>
    </row>
    <row r="1192" spans="1:20" hidden="1" outlineLevel="1" x14ac:dyDescent="0.25">
      <c r="A1192" s="302"/>
      <c r="C1192" s="294"/>
      <c r="F1192" s="711" t="s">
        <v>412</v>
      </c>
      <c r="G1192" s="340">
        <f>G1193-step</f>
        <v>5</v>
      </c>
      <c r="H1192" s="103" t="e">
        <f t="shared" ca="1" si="489"/>
        <v>#VALUE!</v>
      </c>
      <c r="I1192" s="103" t="e">
        <f t="shared" ca="1" si="489"/>
        <v>#VALUE!</v>
      </c>
      <c r="J1192" s="103" t="e">
        <f t="shared" ca="1" si="489"/>
        <v>#VALUE!</v>
      </c>
      <c r="K1192" s="103" t="e">
        <f t="shared" ca="1" si="489"/>
        <v>#VALUE!</v>
      </c>
      <c r="L1192" s="103" t="e">
        <f t="shared" ca="1" si="489"/>
        <v>#VALUE!</v>
      </c>
      <c r="M1192" s="103" t="e">
        <f t="shared" ca="1" si="489"/>
        <v>#VALUE!</v>
      </c>
      <c r="N1192" s="103" t="e">
        <f t="shared" ca="1" si="489"/>
        <v>#VALUE!</v>
      </c>
      <c r="O1192" s="198"/>
      <c r="P1192" s="198"/>
      <c r="Q1192" s="198"/>
      <c r="R1192" s="198"/>
      <c r="S1192" s="199"/>
      <c r="T1192" s="294"/>
    </row>
    <row r="1193" spans="1:20" hidden="1" outlineLevel="1" x14ac:dyDescent="0.25">
      <c r="A1193" s="302"/>
      <c r="C1193" s="294"/>
      <c r="F1193" s="711" t="s">
        <v>61</v>
      </c>
      <c r="G1193" s="360">
        <f>mult</f>
        <v>5.5</v>
      </c>
      <c r="H1193" s="103" t="e">
        <f t="shared" ca="1" si="489"/>
        <v>#VALUE!</v>
      </c>
      <c r="I1193" s="103" t="e">
        <f t="shared" ca="1" si="489"/>
        <v>#VALUE!</v>
      </c>
      <c r="J1193" s="103" t="e">
        <f t="shared" ca="1" si="489"/>
        <v>#VALUE!</v>
      </c>
      <c r="K1193" s="103" t="e">
        <f t="shared" ca="1" si="489"/>
        <v>#VALUE!</v>
      </c>
      <c r="L1193" s="103" t="e">
        <f t="shared" ca="1" si="489"/>
        <v>#VALUE!</v>
      </c>
      <c r="M1193" s="103" t="e">
        <f t="shared" ca="1" si="489"/>
        <v>#VALUE!</v>
      </c>
      <c r="N1193" s="103" t="e">
        <f t="shared" ca="1" si="489"/>
        <v>#VALUE!</v>
      </c>
      <c r="O1193" s="198"/>
      <c r="P1193" s="198"/>
      <c r="Q1193" s="198"/>
      <c r="R1193" s="198"/>
      <c r="S1193" s="199"/>
      <c r="T1193" s="294"/>
    </row>
    <row r="1194" spans="1:20" hidden="1" outlineLevel="1" x14ac:dyDescent="0.25">
      <c r="A1194" s="302"/>
      <c r="C1194" s="294"/>
      <c r="F1194" s="711" t="s">
        <v>413</v>
      </c>
      <c r="G1194" s="340">
        <f>G1193+step</f>
        <v>6</v>
      </c>
      <c r="H1194" s="103" t="e">
        <f t="shared" ca="1" si="489"/>
        <v>#VALUE!</v>
      </c>
      <c r="I1194" s="103" t="e">
        <f t="shared" ca="1" si="489"/>
        <v>#VALUE!</v>
      </c>
      <c r="J1194" s="103" t="e">
        <f t="shared" ca="1" si="489"/>
        <v>#VALUE!</v>
      </c>
      <c r="K1194" s="103" t="e">
        <f t="shared" ca="1" si="489"/>
        <v>#VALUE!</v>
      </c>
      <c r="L1194" s="103" t="e">
        <f t="shared" ca="1" si="489"/>
        <v>#VALUE!</v>
      </c>
      <c r="M1194" s="103" t="e">
        <f t="shared" ca="1" si="489"/>
        <v>#VALUE!</v>
      </c>
      <c r="N1194" s="103" t="e">
        <f t="shared" ca="1" si="489"/>
        <v>#VALUE!</v>
      </c>
      <c r="O1194" s="198"/>
      <c r="P1194" s="198"/>
      <c r="Q1194" s="198"/>
      <c r="R1194" s="198"/>
      <c r="S1194" s="199"/>
      <c r="T1194" s="294"/>
    </row>
    <row r="1195" spans="1:20" hidden="1" outlineLevel="1" x14ac:dyDescent="0.25">
      <c r="A1195" s="302"/>
      <c r="C1195" s="294"/>
      <c r="F1195" s="339"/>
      <c r="G1195" s="340">
        <f>G1194+step</f>
        <v>6.5</v>
      </c>
      <c r="H1195" s="103" t="e">
        <f t="shared" ca="1" si="489"/>
        <v>#VALUE!</v>
      </c>
      <c r="I1195" s="103" t="e">
        <f t="shared" ca="1" si="489"/>
        <v>#VALUE!</v>
      </c>
      <c r="J1195" s="103" t="e">
        <f t="shared" ca="1" si="489"/>
        <v>#VALUE!</v>
      </c>
      <c r="K1195" s="103" t="e">
        <f t="shared" ca="1" si="489"/>
        <v>#VALUE!</v>
      </c>
      <c r="L1195" s="103" t="e">
        <f t="shared" ca="1" si="489"/>
        <v>#VALUE!</v>
      </c>
      <c r="M1195" s="103" t="e">
        <f t="shared" ca="1" si="489"/>
        <v>#VALUE!</v>
      </c>
      <c r="N1195" s="103" t="e">
        <f t="shared" ca="1" si="489"/>
        <v>#VALUE!</v>
      </c>
      <c r="O1195" s="198"/>
      <c r="P1195" s="198"/>
      <c r="Q1195" s="198"/>
      <c r="R1195" s="198"/>
      <c r="S1195" s="199"/>
      <c r="T1195" s="294"/>
    </row>
    <row r="1196" spans="1:20" hidden="1" outlineLevel="1" x14ac:dyDescent="0.25">
      <c r="A1196" s="302"/>
      <c r="C1196" s="294"/>
      <c r="H1196" s="456"/>
      <c r="I1196" s="456"/>
      <c r="J1196" s="456"/>
      <c r="K1196" s="456"/>
      <c r="L1196" s="456"/>
      <c r="M1196" s="456"/>
      <c r="N1196" s="456"/>
      <c r="O1196" s="198"/>
      <c r="P1196" s="198"/>
      <c r="Q1196" s="198"/>
      <c r="R1196" s="198"/>
      <c r="S1196" s="199"/>
      <c r="T1196" s="294"/>
    </row>
    <row r="1197" spans="1:20" ht="51.75" hidden="1" customHeight="1" outlineLevel="1" x14ac:dyDescent="0.25">
      <c r="A1197" s="302"/>
      <c r="C1197" s="294"/>
      <c r="D1197" s="217" t="str">
        <f>" Blended Returns to Holders of "&amp;$D$1415</f>
        <v xml:space="preserve"> Blended Returns to Holders of Debt 4</v>
      </c>
      <c r="E1197" s="170"/>
      <c r="F1197" s="170"/>
      <c r="G1197" s="357"/>
      <c r="H1197" s="358"/>
      <c r="I1197" s="358"/>
      <c r="J1197" s="358"/>
      <c r="K1197" s="358"/>
      <c r="L1197" s="358"/>
      <c r="M1197" s="358"/>
      <c r="N1197" s="348"/>
      <c r="O1197" s="348"/>
      <c r="P1197" s="348"/>
      <c r="Q1197" s="348"/>
      <c r="R1197" s="348"/>
      <c r="S1197" s="522"/>
      <c r="T1197" s="294"/>
    </row>
    <row r="1198" spans="1:20" hidden="1" outlineLevel="1" x14ac:dyDescent="0.25">
      <c r="A1198" s="302"/>
      <c r="C1198" s="294"/>
      <c r="D1198" s="495" t="str">
        <f>"Cash Flows to "&amp;$D$1415&amp;":"</f>
        <v>Cash Flows to Debt 4:</v>
      </c>
      <c r="E1198" s="170"/>
      <c r="F1198" s="170"/>
      <c r="G1198" s="357"/>
      <c r="H1198" s="358"/>
      <c r="I1198" s="358"/>
      <c r="J1198" s="188" t="str">
        <f>"For the Fiscal Year Ending "&amp;fye</f>
        <v>For the Fiscal Year Ending December 31,</v>
      </c>
      <c r="K1198" s="190"/>
      <c r="L1198" s="190"/>
      <c r="M1198" s="190"/>
      <c r="N1198" s="190"/>
      <c r="O1198" s="190"/>
      <c r="P1198" s="190"/>
      <c r="Q1198" s="190"/>
      <c r="R1198" s="190"/>
      <c r="S1198" s="190"/>
      <c r="T1198" s="294"/>
    </row>
    <row r="1199" spans="1:20" hidden="1" outlineLevel="1" x14ac:dyDescent="0.25">
      <c r="A1199" s="302"/>
      <c r="C1199" s="294"/>
      <c r="D1199"/>
      <c r="H1199" s="192"/>
      <c r="I1199" s="680" t="s">
        <v>95</v>
      </c>
      <c r="J1199" s="101">
        <f>year</f>
        <v>1998</v>
      </c>
      <c r="K1199" s="101">
        <f t="shared" ref="K1199:S1199" si="490">J1199+1</f>
        <v>1999</v>
      </c>
      <c r="L1199" s="101">
        <f t="shared" si="490"/>
        <v>2000</v>
      </c>
      <c r="M1199" s="101">
        <f t="shared" si="490"/>
        <v>2001</v>
      </c>
      <c r="N1199" s="338">
        <f t="shared" si="490"/>
        <v>2002</v>
      </c>
      <c r="O1199" s="101">
        <f t="shared" si="490"/>
        <v>2003</v>
      </c>
      <c r="P1199" s="101">
        <f t="shared" si="490"/>
        <v>2004</v>
      </c>
      <c r="Q1199" s="101">
        <f t="shared" si="490"/>
        <v>2005</v>
      </c>
      <c r="R1199" s="101">
        <f t="shared" si="490"/>
        <v>2006</v>
      </c>
      <c r="S1199" s="514">
        <f t="shared" si="490"/>
        <v>2007</v>
      </c>
      <c r="T1199" s="294"/>
    </row>
    <row r="1200" spans="1:20" hidden="1" outlineLevel="1" x14ac:dyDescent="0.25">
      <c r="A1200" s="302"/>
      <c r="C1200" s="294"/>
      <c r="D1200" s="600" t="s">
        <v>422</v>
      </c>
      <c r="H1200" s="349"/>
      <c r="I1200" s="198">
        <f ca="1">-J642</f>
        <v>0</v>
      </c>
      <c r="J1200" s="198"/>
      <c r="K1200" s="198"/>
      <c r="L1200" s="198"/>
      <c r="M1200" s="198"/>
      <c r="N1200" s="476"/>
      <c r="O1200" s="198"/>
      <c r="P1200" s="198"/>
      <c r="Q1200" s="198"/>
      <c r="R1200" s="198"/>
      <c r="S1200" s="199"/>
      <c r="T1200" s="294"/>
    </row>
    <row r="1201" spans="1:20" hidden="1" outlineLevel="1" x14ac:dyDescent="0.25">
      <c r="A1201" s="302"/>
      <c r="C1201" s="294"/>
      <c r="D1201" s="554" t="s">
        <v>423</v>
      </c>
      <c r="I1201" s="351">
        <f ca="1">-equity*$G$923</f>
        <v>0</v>
      </c>
      <c r="N1201" s="335"/>
      <c r="O1201" s="1"/>
      <c r="S1201" s="41"/>
      <c r="T1201" s="294"/>
    </row>
    <row r="1202" spans="1:20" ht="18" hidden="1" customHeight="1" outlineLevel="1" x14ac:dyDescent="0.25">
      <c r="A1202" s="302"/>
      <c r="C1202" s="294"/>
      <c r="D1202" s="600" t="s">
        <v>424</v>
      </c>
      <c r="I1202" s="600" t="s">
        <v>101</v>
      </c>
      <c r="J1202" s="198">
        <f t="shared" ref="J1202:S1202" ca="1" si="491">J250-J644</f>
        <v>0</v>
      </c>
      <c r="K1202" s="198">
        <f t="shared" ca="1" si="491"/>
        <v>0</v>
      </c>
      <c r="L1202" s="198">
        <f t="shared" ca="1" si="491"/>
        <v>0</v>
      </c>
      <c r="M1202" s="198">
        <f t="shared" ca="1" si="491"/>
        <v>0</v>
      </c>
      <c r="N1202" s="476">
        <f t="shared" ca="1" si="491"/>
        <v>0</v>
      </c>
      <c r="O1202" s="198">
        <f t="shared" ca="1" si="491"/>
        <v>0</v>
      </c>
      <c r="P1202" s="198">
        <f t="shared" ca="1" si="491"/>
        <v>0</v>
      </c>
      <c r="Q1202" s="198">
        <f t="shared" ca="1" si="491"/>
        <v>0</v>
      </c>
      <c r="R1202" s="198">
        <f t="shared" ca="1" si="491"/>
        <v>0</v>
      </c>
      <c r="S1202" s="199">
        <f t="shared" ca="1" si="491"/>
        <v>0</v>
      </c>
      <c r="T1202" s="294"/>
    </row>
    <row r="1203" spans="1:20" hidden="1" outlineLevel="1" x14ac:dyDescent="0.25">
      <c r="A1203" s="302"/>
      <c r="C1203" s="294"/>
      <c r="D1203" s="600" t="s">
        <v>425</v>
      </c>
      <c r="I1203" s="600" t="s">
        <v>101</v>
      </c>
      <c r="J1203" s="198">
        <f t="shared" ref="J1203:S1203" ca="1" si="492">+J645+J646</f>
        <v>0</v>
      </c>
      <c r="K1203" s="198">
        <f t="shared" ca="1" si="492"/>
        <v>0</v>
      </c>
      <c r="L1203" s="198">
        <f t="shared" ca="1" si="492"/>
        <v>0</v>
      </c>
      <c r="M1203" s="198">
        <f t="shared" ca="1" si="492"/>
        <v>0</v>
      </c>
      <c r="N1203" s="476">
        <f t="shared" ca="1" si="492"/>
        <v>0</v>
      </c>
      <c r="O1203" s="198">
        <f t="shared" ca="1" si="492"/>
        <v>0</v>
      </c>
      <c r="P1203" s="198">
        <f t="shared" ca="1" si="492"/>
        <v>0</v>
      </c>
      <c r="Q1203" s="198">
        <f t="shared" ca="1" si="492"/>
        <v>0</v>
      </c>
      <c r="R1203" s="198">
        <f t="shared" ca="1" si="492"/>
        <v>0</v>
      </c>
      <c r="S1203" s="199">
        <f t="shared" ca="1" si="492"/>
        <v>0</v>
      </c>
      <c r="T1203" s="294"/>
    </row>
    <row r="1204" spans="1:20" ht="18" hidden="1" customHeight="1" outlineLevel="1" x14ac:dyDescent="0.25">
      <c r="A1204" s="302"/>
      <c r="C1204" s="294"/>
      <c r="D1204" s="715" t="s">
        <v>426</v>
      </c>
      <c r="I1204" s="600" t="s">
        <v>101</v>
      </c>
      <c r="J1204" s="198">
        <f t="shared" ref="J1204:S1204" ca="1" si="493">J647</f>
        <v>0</v>
      </c>
      <c r="K1204" s="198">
        <f t="shared" ca="1" si="493"/>
        <v>0</v>
      </c>
      <c r="L1204" s="198">
        <f t="shared" ca="1" si="493"/>
        <v>0</v>
      </c>
      <c r="M1204" s="198">
        <f t="shared" ca="1" si="493"/>
        <v>0</v>
      </c>
      <c r="N1204" s="476">
        <f t="shared" ca="1" si="493"/>
        <v>0</v>
      </c>
      <c r="O1204" s="198">
        <f t="shared" ca="1" si="493"/>
        <v>0</v>
      </c>
      <c r="P1204" s="198">
        <f t="shared" ca="1" si="493"/>
        <v>0</v>
      </c>
      <c r="Q1204" s="198">
        <f t="shared" ca="1" si="493"/>
        <v>0</v>
      </c>
      <c r="R1204" s="198">
        <f t="shared" ca="1" si="493"/>
        <v>0</v>
      </c>
      <c r="S1204" s="199">
        <f t="shared" ca="1" si="493"/>
        <v>0</v>
      </c>
      <c r="T1204" s="294"/>
    </row>
    <row r="1205" spans="1:20" hidden="1" outlineLevel="1" x14ac:dyDescent="0.25">
      <c r="A1205" s="302"/>
      <c r="C1205" s="294"/>
      <c r="D1205" s="600" t="s">
        <v>416</v>
      </c>
      <c r="I1205" s="600" t="s">
        <v>101</v>
      </c>
      <c r="J1205" s="198">
        <f ca="1">-$J$55*$I$923</f>
        <v>0</v>
      </c>
      <c r="K1205" s="198">
        <f t="shared" ref="K1205:S1205" ca="1" si="494">J1205</f>
        <v>0</v>
      </c>
      <c r="L1205" s="198">
        <f t="shared" ca="1" si="494"/>
        <v>0</v>
      </c>
      <c r="M1205" s="198">
        <f t="shared" ca="1" si="494"/>
        <v>0</v>
      </c>
      <c r="N1205" s="476">
        <f t="shared" ca="1" si="494"/>
        <v>0</v>
      </c>
      <c r="O1205" s="198">
        <f t="shared" ca="1" si="494"/>
        <v>0</v>
      </c>
      <c r="P1205" s="198">
        <f t="shared" ca="1" si="494"/>
        <v>0</v>
      </c>
      <c r="Q1205" s="198">
        <f t="shared" ca="1" si="494"/>
        <v>0</v>
      </c>
      <c r="R1205" s="198">
        <f t="shared" ca="1" si="494"/>
        <v>0</v>
      </c>
      <c r="S1205" s="199">
        <f t="shared" ca="1" si="494"/>
        <v>0</v>
      </c>
      <c r="T1205" s="294"/>
    </row>
    <row r="1206" spans="1:20" hidden="1" outlineLevel="1" x14ac:dyDescent="0.25">
      <c r="A1206" s="302"/>
      <c r="C1206" s="294"/>
      <c r="D1206" s="202" t="s">
        <v>417</v>
      </c>
      <c r="I1206" s="600" t="s">
        <v>101</v>
      </c>
      <c r="J1206" s="31">
        <f t="shared" ref="J1206:S1206" ca="1" si="495">J$955*$S$923</f>
        <v>0</v>
      </c>
      <c r="K1206" s="31">
        <f t="shared" ca="1" si="495"/>
        <v>0</v>
      </c>
      <c r="L1206" s="31">
        <f t="shared" ca="1" si="495"/>
        <v>0</v>
      </c>
      <c r="M1206" s="31">
        <f t="shared" ca="1" si="495"/>
        <v>0</v>
      </c>
      <c r="N1206" s="478">
        <f t="shared" ca="1" si="495"/>
        <v>0</v>
      </c>
      <c r="O1206" s="31">
        <f t="shared" ca="1" si="495"/>
        <v>0</v>
      </c>
      <c r="P1206" s="31">
        <f t="shared" ca="1" si="495"/>
        <v>0</v>
      </c>
      <c r="Q1206" s="31">
        <f t="shared" ca="1" si="495"/>
        <v>0</v>
      </c>
      <c r="R1206" s="31">
        <f t="shared" ca="1" si="495"/>
        <v>0</v>
      </c>
      <c r="S1206" s="521">
        <f t="shared" ca="1" si="495"/>
        <v>0</v>
      </c>
      <c r="T1206" s="294"/>
    </row>
    <row r="1207" spans="1:20" ht="75" hidden="1" customHeight="1" outlineLevel="1" x14ac:dyDescent="0.25">
      <c r="A1207" s="302"/>
      <c r="C1207" s="294"/>
      <c r="D1207" s="494" t="str">
        <f>"IRR to "&amp;$D$1415&amp;" (Assuming "&amp;FIXED($S$923*100,1)&amp;"% Ownership):"</f>
        <v>IRR to Debt 4 (Assuming 0.0% Ownership):</v>
      </c>
      <c r="I1207" s="38"/>
      <c r="J1207" s="188" t="str">
        <f>"For the Fiscal Year Ending "&amp;fye</f>
        <v>For the Fiscal Year Ending December 31,</v>
      </c>
      <c r="K1207" s="190"/>
      <c r="L1207" s="190"/>
      <c r="M1207" s="190"/>
      <c r="N1207" s="190"/>
      <c r="O1207" s="190"/>
      <c r="P1207" s="190"/>
      <c r="Q1207" s="190"/>
      <c r="R1207" s="190"/>
      <c r="S1207" s="190"/>
      <c r="T1207" s="294"/>
    </row>
    <row r="1208" spans="1:20" hidden="1" outlineLevel="1" x14ac:dyDescent="0.25">
      <c r="A1208" s="302"/>
      <c r="C1208" s="294"/>
      <c r="D1208"/>
      <c r="H1208" s="689" t="s">
        <v>410</v>
      </c>
      <c r="I1208" s="679" t="s">
        <v>95</v>
      </c>
      <c r="J1208" s="101">
        <f>year</f>
        <v>1998</v>
      </c>
      <c r="K1208" s="101">
        <f t="shared" ref="K1208:S1208" si="496">J1208+1</f>
        <v>1999</v>
      </c>
      <c r="L1208" s="101">
        <f t="shared" si="496"/>
        <v>2000</v>
      </c>
      <c r="M1208" s="101">
        <f t="shared" si="496"/>
        <v>2001</v>
      </c>
      <c r="N1208" s="338">
        <f t="shared" si="496"/>
        <v>2002</v>
      </c>
      <c r="O1208" s="101">
        <f t="shared" si="496"/>
        <v>2003</v>
      </c>
      <c r="P1208" s="101">
        <f t="shared" si="496"/>
        <v>2004</v>
      </c>
      <c r="Q1208" s="101">
        <f t="shared" si="496"/>
        <v>2005</v>
      </c>
      <c r="R1208" s="101">
        <f t="shared" si="496"/>
        <v>2006</v>
      </c>
      <c r="S1208" s="514">
        <f t="shared" si="496"/>
        <v>2007</v>
      </c>
      <c r="T1208" s="294"/>
    </row>
    <row r="1209" spans="1:20" hidden="1" outlineLevel="1" x14ac:dyDescent="0.25">
      <c r="A1209" s="302"/>
      <c r="C1209" s="294"/>
      <c r="D1209" s="1" t="str">
        <f>"IRR for Exit in "&amp;FIXED(year,0,1)&amp;".............................................................................................................................................................................."</f>
        <v>IRR for Exit in 1998..............................................................................................................................................................................</v>
      </c>
      <c r="G1209" s="38"/>
      <c r="H1209" s="452" t="str">
        <f ca="1">IF(ISERROR(IRR(I1209:J1209,0.1)),"NA",IRR(I1209:J1209,0.1))</f>
        <v>NA</v>
      </c>
      <c r="I1209" s="198">
        <f ca="1">I1200+I1201</f>
        <v>0</v>
      </c>
      <c r="J1209" s="198">
        <f ca="1">SUM(J1202:J1206)</f>
        <v>0</v>
      </c>
      <c r="N1209" s="335"/>
      <c r="O1209" s="1"/>
      <c r="S1209" s="41"/>
      <c r="T1209" s="294"/>
    </row>
    <row r="1210" spans="1:20" hidden="1" outlineLevel="1" x14ac:dyDescent="0.25">
      <c r="A1210" s="302"/>
      <c r="C1210" s="294"/>
      <c r="D1210" s="1" t="str">
        <f>"IRR for Exit in "&amp;FIXED(year+1,0,1)&amp;".............................................................................................................................................................................."</f>
        <v>IRR for Exit in 1999..............................................................................................................................................................................</v>
      </c>
      <c r="H1210" s="452" t="str">
        <f ca="1">IF(ISERROR(IRR(I1210:K1210,0.1)),"NA",IRR(I1210:K1210,0.1))</f>
        <v>NA</v>
      </c>
      <c r="I1210" s="198">
        <f t="shared" ref="I1210:I1218" ca="1" si="497">I1209</f>
        <v>0</v>
      </c>
      <c r="J1210" s="198">
        <f ca="1">+J1202+J1203</f>
        <v>0</v>
      </c>
      <c r="K1210" s="198">
        <f ca="1">SUM(K1202:K1206)</f>
        <v>0</v>
      </c>
      <c r="N1210" s="335"/>
      <c r="O1210" s="1"/>
      <c r="S1210" s="41"/>
      <c r="T1210" s="294"/>
    </row>
    <row r="1211" spans="1:20" hidden="1" outlineLevel="1" x14ac:dyDescent="0.25">
      <c r="A1211" s="302"/>
      <c r="C1211" s="294"/>
      <c r="D1211" s="1" t="str">
        <f>"IRR for Exit in "&amp;FIXED(year+2,0,1)&amp;".............................................................................................................................................................................."</f>
        <v>IRR for Exit in 2000..............................................................................................................................................................................</v>
      </c>
      <c r="H1211" s="452" t="str">
        <f ca="1">IF(ISERROR(IRR(I1211:L1211,0.1)),"NA",IRR(I1211:L1211,0.1))</f>
        <v>NA</v>
      </c>
      <c r="I1211" s="198">
        <f t="shared" ca="1" si="497"/>
        <v>0</v>
      </c>
      <c r="J1211" s="198">
        <f t="shared" ref="J1211:J1218" ca="1" si="498">J1210</f>
        <v>0</v>
      </c>
      <c r="K1211" s="198">
        <f ca="1">+K1202+K1203</f>
        <v>0</v>
      </c>
      <c r="L1211" s="198">
        <f ca="1">SUM(L1202:L1206)</f>
        <v>0</v>
      </c>
      <c r="N1211" s="335"/>
      <c r="O1211" s="1"/>
      <c r="S1211" s="41"/>
      <c r="T1211" s="294"/>
    </row>
    <row r="1212" spans="1:20" hidden="1" outlineLevel="1" x14ac:dyDescent="0.25">
      <c r="A1212" s="302"/>
      <c r="C1212" s="294"/>
      <c r="D1212" s="1" t="str">
        <f>"IRR for Exit in "&amp;FIXED(year+3,0,1)&amp;".............................................................................................................................................................................."</f>
        <v>IRR for Exit in 2001..............................................................................................................................................................................</v>
      </c>
      <c r="F1212" s="13"/>
      <c r="G1212" s="7"/>
      <c r="H1212" s="452" t="str">
        <f ca="1">IF(ISERROR(IRR(I1212:M1212,0.1)),"NA",IRR(I1212:M1212,0.1))</f>
        <v>NA</v>
      </c>
      <c r="I1212" s="198">
        <f t="shared" ca="1" si="497"/>
        <v>0</v>
      </c>
      <c r="J1212" s="198">
        <f t="shared" ca="1" si="498"/>
        <v>0</v>
      </c>
      <c r="K1212" s="198">
        <f t="shared" ref="K1212:K1218" ca="1" si="499">K1211</f>
        <v>0</v>
      </c>
      <c r="L1212" s="198">
        <f ca="1">+L1202+L1203</f>
        <v>0</v>
      </c>
      <c r="M1212" s="198">
        <f ca="1">SUM(M1202:M1206)</f>
        <v>0</v>
      </c>
      <c r="N1212" s="335"/>
      <c r="O1212" s="1"/>
      <c r="S1212" s="41"/>
      <c r="T1212" s="294"/>
    </row>
    <row r="1213" spans="1:20" ht="24.75" hidden="1" customHeight="1" outlineLevel="1" x14ac:dyDescent="0.25">
      <c r="A1213" s="302"/>
      <c r="C1213" s="294"/>
      <c r="D1213" s="389" t="str">
        <f>"IRR for Exit in "&amp;FIXED(year+4,0,1)&amp;"......................................................................................................................"</f>
        <v>IRR for Exit in 2002......................................................................................................................</v>
      </c>
      <c r="E1213" s="390"/>
      <c r="F1213" s="391"/>
      <c r="G1213" s="390"/>
      <c r="H1213" s="396" t="str">
        <f ca="1">IF(ISERROR(IRR(I1213:N1213,0.1)),"NA",IRR(I1213:N1213,0.1))</f>
        <v>NA</v>
      </c>
      <c r="I1213" s="392">
        <f t="shared" ca="1" si="497"/>
        <v>0</v>
      </c>
      <c r="J1213" s="392">
        <f t="shared" ca="1" si="498"/>
        <v>0</v>
      </c>
      <c r="K1213" s="392">
        <f t="shared" ca="1" si="499"/>
        <v>0</v>
      </c>
      <c r="L1213" s="392">
        <f t="shared" ref="L1213:L1218" ca="1" si="500">L1212</f>
        <v>0</v>
      </c>
      <c r="M1213" s="392">
        <f ca="1">+M1202+M1203</f>
        <v>0</v>
      </c>
      <c r="N1213" s="393">
        <f ca="1">SUM(N1202:N1206)</f>
        <v>0</v>
      </c>
      <c r="O1213" s="1"/>
      <c r="S1213" s="41"/>
      <c r="T1213" s="294"/>
    </row>
    <row r="1214" spans="1:20" hidden="1" outlineLevel="1" x14ac:dyDescent="0.25">
      <c r="A1214" s="302"/>
      <c r="C1214" s="294"/>
      <c r="D1214" s="1" t="str">
        <f>"IRR for Exit in "&amp;FIXED(year+5,0,1)&amp;".............................................................................................................................................................................."</f>
        <v>IRR for Exit in 2003..............................................................................................................................................................................</v>
      </c>
      <c r="H1214" s="452" t="str">
        <f ca="1">IF(ISERROR(IRR(I1214:O1214,0.1)),"NA",IRR(I1214:O1214,0.1))</f>
        <v>NA</v>
      </c>
      <c r="I1214" s="198">
        <f t="shared" ca="1" si="497"/>
        <v>0</v>
      </c>
      <c r="J1214" s="198">
        <f t="shared" ca="1" si="498"/>
        <v>0</v>
      </c>
      <c r="K1214" s="198">
        <f t="shared" ca="1" si="499"/>
        <v>0</v>
      </c>
      <c r="L1214" s="198">
        <f t="shared" ca="1" si="500"/>
        <v>0</v>
      </c>
      <c r="M1214" s="198">
        <f ca="1">M1213</f>
        <v>0</v>
      </c>
      <c r="N1214" s="198">
        <f ca="1">+N1202+N1203</f>
        <v>0</v>
      </c>
      <c r="O1214" s="198">
        <f ca="1">SUM(O1202:O1206)</f>
        <v>0</v>
      </c>
      <c r="S1214" s="41"/>
      <c r="T1214" s="438"/>
    </row>
    <row r="1215" spans="1:20" hidden="1" outlineLevel="1" x14ac:dyDescent="0.25">
      <c r="A1215" s="302"/>
      <c r="C1215" s="294"/>
      <c r="D1215" s="1" t="str">
        <f>"IRR for Exit in "&amp;FIXED(year+6,0,1)&amp;".............................................................................................................................................................................."</f>
        <v>IRR for Exit in 2004..............................................................................................................................................................................</v>
      </c>
      <c r="H1215" s="452" t="str">
        <f ca="1">IF(ISERROR(IRR(I1215:P1215,0.1)),"NA",IRR(I1215:P1215,0.1))</f>
        <v>NA</v>
      </c>
      <c r="I1215" s="198">
        <f t="shared" ca="1" si="497"/>
        <v>0</v>
      </c>
      <c r="J1215" s="198">
        <f t="shared" ca="1" si="498"/>
        <v>0</v>
      </c>
      <c r="K1215" s="198">
        <f t="shared" ca="1" si="499"/>
        <v>0</v>
      </c>
      <c r="L1215" s="198">
        <f t="shared" ca="1" si="500"/>
        <v>0</v>
      </c>
      <c r="M1215" s="198">
        <f ca="1">M1214</f>
        <v>0</v>
      </c>
      <c r="N1215" s="198">
        <f ca="1">N1214</f>
        <v>0</v>
      </c>
      <c r="O1215" s="198">
        <f ca="1">+O1202+O1203</f>
        <v>0</v>
      </c>
      <c r="P1215" s="198">
        <f ca="1">SUM(P1202:P1206)</f>
        <v>0</v>
      </c>
      <c r="S1215" s="41"/>
      <c r="T1215" s="294"/>
    </row>
    <row r="1216" spans="1:20" hidden="1" outlineLevel="1" x14ac:dyDescent="0.25">
      <c r="A1216" s="302"/>
      <c r="C1216" s="294"/>
      <c r="D1216" s="1" t="str">
        <f>"IRR for Exit in "&amp;FIXED(year+7,0,1)&amp;".............................................................................................................................................................................."</f>
        <v>IRR for Exit in 2005..............................................................................................................................................................................</v>
      </c>
      <c r="H1216" s="452" t="str">
        <f ca="1">IF(ISERROR(IRR(I1216:Q1216,0.1)),"NA",IRR(I1216:Q1216,0.1))</f>
        <v>NA</v>
      </c>
      <c r="I1216" s="198">
        <f t="shared" ca="1" si="497"/>
        <v>0</v>
      </c>
      <c r="J1216" s="198">
        <f t="shared" ca="1" si="498"/>
        <v>0</v>
      </c>
      <c r="K1216" s="198">
        <f t="shared" ca="1" si="499"/>
        <v>0</v>
      </c>
      <c r="L1216" s="198">
        <f t="shared" ca="1" si="500"/>
        <v>0</v>
      </c>
      <c r="M1216" s="198">
        <f ca="1">M1215</f>
        <v>0</v>
      </c>
      <c r="N1216" s="198">
        <f ca="1">N1215</f>
        <v>0</v>
      </c>
      <c r="O1216" s="198">
        <f ca="1">O1215</f>
        <v>0</v>
      </c>
      <c r="P1216" s="198">
        <f ca="1">+P1202+P1203</f>
        <v>0</v>
      </c>
      <c r="Q1216" s="198">
        <f ca="1">SUM(Q1202:Q1206)</f>
        <v>0</v>
      </c>
      <c r="S1216" s="41"/>
      <c r="T1216" s="294"/>
    </row>
    <row r="1217" spans="1:20" hidden="1" outlineLevel="1" x14ac:dyDescent="0.25">
      <c r="A1217" s="302"/>
      <c r="C1217" s="294"/>
      <c r="D1217" s="1" t="str">
        <f>"IRR for Exit in "&amp;FIXED(year+8,0,1)&amp;".............................................................................................................................................................................."</f>
        <v>IRR for Exit in 2006..............................................................................................................................................................................</v>
      </c>
      <c r="H1217" s="452" t="str">
        <f ca="1">IF(ISERROR(IRR(I1217:R1217,0.1)),"NA",IRR(I1217:R1217,0.1))</f>
        <v>NA</v>
      </c>
      <c r="I1217" s="198">
        <f t="shared" ca="1" si="497"/>
        <v>0</v>
      </c>
      <c r="J1217" s="198">
        <f t="shared" ca="1" si="498"/>
        <v>0</v>
      </c>
      <c r="K1217" s="198">
        <f t="shared" ca="1" si="499"/>
        <v>0</v>
      </c>
      <c r="L1217" s="198">
        <f t="shared" ca="1" si="500"/>
        <v>0</v>
      </c>
      <c r="M1217" s="198">
        <f ca="1">M1216</f>
        <v>0</v>
      </c>
      <c r="N1217" s="198">
        <f ca="1">N1216</f>
        <v>0</v>
      </c>
      <c r="O1217" s="198">
        <f ca="1">O1216</f>
        <v>0</v>
      </c>
      <c r="P1217" s="198">
        <f ca="1">P1216</f>
        <v>0</v>
      </c>
      <c r="Q1217" s="198">
        <f ca="1">+Q1202+Q1203</f>
        <v>0</v>
      </c>
      <c r="R1217" s="198">
        <f ca="1">SUM(R1202:R1206)</f>
        <v>0</v>
      </c>
      <c r="S1217" s="41"/>
      <c r="T1217" s="294"/>
    </row>
    <row r="1218" spans="1:20" hidden="1" outlineLevel="1" x14ac:dyDescent="0.25">
      <c r="A1218" s="302"/>
      <c r="C1218" s="294"/>
      <c r="D1218" s="1" t="str">
        <f>"IRR for Exit in "&amp;FIXED(year+9,0,1)&amp;".............................................................................................................................................................................."</f>
        <v>IRR for Exit in 2007..............................................................................................................................................................................</v>
      </c>
      <c r="H1218" s="452" t="str">
        <f ca="1">IF(ISERROR(IRR(I1218:S1218,0.1)),"NA",IRR(I1218:S1218,0.1))</f>
        <v>NA</v>
      </c>
      <c r="I1218" s="198">
        <f t="shared" ca="1" si="497"/>
        <v>0</v>
      </c>
      <c r="J1218" s="198">
        <f t="shared" ca="1" si="498"/>
        <v>0</v>
      </c>
      <c r="K1218" s="198">
        <f t="shared" ca="1" si="499"/>
        <v>0</v>
      </c>
      <c r="L1218" s="198">
        <f t="shared" ca="1" si="500"/>
        <v>0</v>
      </c>
      <c r="M1218" s="198">
        <f ca="1">M1217</f>
        <v>0</v>
      </c>
      <c r="N1218" s="198">
        <f ca="1">N1217</f>
        <v>0</v>
      </c>
      <c r="O1218" s="198">
        <f ca="1">O1217</f>
        <v>0</v>
      </c>
      <c r="P1218" s="198">
        <f ca="1">P1217</f>
        <v>0</v>
      </c>
      <c r="Q1218" s="198">
        <f ca="1">Q1217</f>
        <v>0</v>
      </c>
      <c r="R1218" s="198">
        <f ca="1">+R1202+R1203</f>
        <v>0</v>
      </c>
      <c r="S1218" s="199">
        <f ca="1">SUM(S1202:S1206)</f>
        <v>0</v>
      </c>
      <c r="T1218" s="294"/>
    </row>
    <row r="1219" spans="1:20" ht="75" hidden="1" customHeight="1" outlineLevel="1" x14ac:dyDescent="0.25">
      <c r="A1219" s="302"/>
      <c r="C1219" s="294"/>
      <c r="H1219" s="192"/>
      <c r="I1219" s="198"/>
      <c r="J1219" s="198"/>
      <c r="K1219" s="198"/>
      <c r="L1219" s="198"/>
      <c r="M1219" s="198"/>
      <c r="N1219" s="198"/>
      <c r="O1219" s="198"/>
      <c r="P1219" s="198"/>
      <c r="Q1219" s="198"/>
      <c r="R1219" s="198"/>
      <c r="S1219" s="199"/>
      <c r="T1219" s="294"/>
    </row>
    <row r="1220" spans="1:20" hidden="1" outlineLevel="1" x14ac:dyDescent="0.25">
      <c r="A1220" s="302"/>
      <c r="C1220" s="294"/>
      <c r="D1220" s="495" t="str">
        <f>"Variance Analysis of Returns in "&amp;FIXED(year+4,0,1)&amp;":"</f>
        <v>Variance Analysis of Returns in 2002:</v>
      </c>
      <c r="H1220" s="352"/>
      <c r="I1220" s="353"/>
      <c r="J1220" s="353"/>
      <c r="K1220" s="353"/>
      <c r="L1220" s="353"/>
      <c r="M1220" s="353"/>
      <c r="N1220" s="198"/>
      <c r="O1220" s="198"/>
      <c r="P1220" s="198"/>
      <c r="Q1220" s="198"/>
      <c r="R1220" s="198"/>
      <c r="S1220" s="199"/>
      <c r="T1220" s="294"/>
    </row>
    <row r="1221" spans="1:20" hidden="1" outlineLevel="1" x14ac:dyDescent="0.25">
      <c r="A1221" s="302"/>
      <c r="C1221" s="294"/>
      <c r="D1221" s="169"/>
      <c r="H1221" s="345"/>
      <c r="I1221" s="345"/>
      <c r="J1221" s="345"/>
      <c r="K1221" s="345"/>
      <c r="L1221" s="345"/>
      <c r="M1221" s="345"/>
      <c r="N1221" s="198"/>
      <c r="O1221" s="198"/>
      <c r="P1221" s="198"/>
      <c r="Q1221" s="198"/>
      <c r="R1221" s="198"/>
      <c r="S1221" s="199"/>
      <c r="T1221" s="294"/>
    </row>
    <row r="1222" spans="1:20" hidden="1" outlineLevel="1" x14ac:dyDescent="0.25">
      <c r="A1222" s="302"/>
      <c r="C1222" s="294"/>
      <c r="D1222" s="169"/>
      <c r="H1222" s="341" t="str">
        <f>"Fully Diluted Equity to "&amp;$D$1415</f>
        <v>Fully Diluted Equity to Debt 4</v>
      </c>
      <c r="I1222" s="342"/>
      <c r="J1222" s="342"/>
      <c r="K1222" s="342"/>
      <c r="L1222" s="342"/>
      <c r="M1222" s="342"/>
      <c r="N1222" s="342"/>
      <c r="O1222" s="198"/>
      <c r="P1222" s="198"/>
      <c r="Q1222" s="198"/>
      <c r="R1222" s="198"/>
      <c r="S1222" s="199"/>
      <c r="T1222" s="294"/>
    </row>
    <row r="1223" spans="1:20" hidden="1" outlineLevel="1" x14ac:dyDescent="0.25">
      <c r="A1223" s="302"/>
      <c r="C1223" s="294"/>
      <c r="H1223" s="346">
        <f>MAX(0,I1223-$O$1415)</f>
        <v>0</v>
      </c>
      <c r="I1223" s="346">
        <f>MAX(0,J1223-$O$1415)</f>
        <v>0</v>
      </c>
      <c r="J1223" s="346">
        <f>MAX(0,K1223-$O$1415)</f>
        <v>0</v>
      </c>
      <c r="K1223" s="346">
        <f>ROUND(($S$923*1000)/5,0)*0.005</f>
        <v>0</v>
      </c>
      <c r="L1223" s="346">
        <f>K1223+$O$1415</f>
        <v>5.0000000000000001E-3</v>
      </c>
      <c r="M1223" s="346">
        <f>L1223+$O$1415</f>
        <v>0.01</v>
      </c>
      <c r="N1223" s="346">
        <f>M1223+$O$1415</f>
        <v>1.4999999999999999E-2</v>
      </c>
      <c r="O1223" s="198"/>
      <c r="P1223" s="198"/>
      <c r="Q1223" s="198"/>
      <c r="R1223" s="198"/>
      <c r="S1223" s="199"/>
      <c r="T1223" s="294"/>
    </row>
    <row r="1224" spans="1:20" hidden="1" outlineLevel="1" x14ac:dyDescent="0.25">
      <c r="A1224" s="302"/>
      <c r="C1224" s="294"/>
      <c r="G1224" s="546">
        <f>G1225-step</f>
        <v>4.5</v>
      </c>
      <c r="H1224" s="452" t="str">
        <f>IF($S$923=0,"NA",IRR(($I$1213,$J$1213,$K$1213,$L$1213,$M$1213,H1233)))</f>
        <v>NA</v>
      </c>
      <c r="I1224" s="452" t="str">
        <f>IF($S$923=0,"NA",IRR(($I$1213,$J$1213,$K$1213,$L$1213,$M$1213,I1233)))</f>
        <v>NA</v>
      </c>
      <c r="J1224" s="452" t="str">
        <f>IF($S$923=0,"NA",IRR(($I$1213,$J$1213,$K$1213,$L$1213,$M$1213,J1233)))</f>
        <v>NA</v>
      </c>
      <c r="K1224" s="453" t="str">
        <f>IF($S$923=0,"NA",IRR(($I$1213,$J$1213,$K$1213,$L$1213,$M$1213,K1233)))</f>
        <v>NA</v>
      </c>
      <c r="L1224" s="452" t="str">
        <f>IF($S$923=0,"NA",IRR(($I$1213,$J$1213,$K$1213,$L$1213,$M$1213,L1233)))</f>
        <v>NA</v>
      </c>
      <c r="M1224" s="452" t="str">
        <f>IF($S$923=0,"NA",IRR(($I$1213,$J$1213,$K$1213,$L$1213,$M$1213,M1233)))</f>
        <v>NA</v>
      </c>
      <c r="N1224" s="452" t="str">
        <f>IF($S$923=0,"NA",IRR(($I$1213,$J$1213,$K$1213,$L$1213,$M$1213,N1233)))</f>
        <v>NA</v>
      </c>
      <c r="O1224" s="198"/>
      <c r="P1224" s="198"/>
      <c r="Q1224" s="198"/>
      <c r="R1224" s="198"/>
      <c r="S1224" s="199"/>
      <c r="T1224" s="294"/>
    </row>
    <row r="1225" spans="1:20" hidden="1" outlineLevel="1" x14ac:dyDescent="0.25">
      <c r="A1225" s="302"/>
      <c r="C1225" s="294"/>
      <c r="F1225" s="711" t="s">
        <v>412</v>
      </c>
      <c r="G1225" s="546">
        <f>G1226-step</f>
        <v>5</v>
      </c>
      <c r="H1225" s="452" t="str">
        <f>IF($S$923=0,"NA",IRR(($I$1213,$J$1213,$K$1213,$L$1213,$M$1213,H1234)))</f>
        <v>NA</v>
      </c>
      <c r="I1225" s="452" t="str">
        <f>IF($S$923=0,"NA",IRR(($I$1213,$J$1213,$K$1213,$L$1213,$M$1213,I1234)))</f>
        <v>NA</v>
      </c>
      <c r="J1225" s="452" t="str">
        <f>IF($S$923=0,"NA",IRR(($I$1213,$J$1213,$K$1213,$L$1213,$M$1213,J1234)))</f>
        <v>NA</v>
      </c>
      <c r="K1225" s="454" t="str">
        <f>IF($S$923=0,"NA",IRR(($I$1213,$J$1213,$K$1213,$L$1213,$M$1213,K1234)))</f>
        <v>NA</v>
      </c>
      <c r="L1225" s="452" t="str">
        <f>IF($S$923=0,"NA",IRR(($I$1213,$J$1213,$K$1213,$L$1213,$M$1213,L1234)))</f>
        <v>NA</v>
      </c>
      <c r="M1225" s="452" t="str">
        <f>IF($S$923=0,"NA",IRR(($I$1213,$J$1213,$K$1213,$L$1213,$M$1213,M1234)))</f>
        <v>NA</v>
      </c>
      <c r="N1225" s="452" t="str">
        <f>IF($S$923=0,"NA",IRR(($I$1213,$J$1213,$K$1213,$L$1213,$M$1213,N1234)))</f>
        <v>NA</v>
      </c>
      <c r="O1225" s="198"/>
      <c r="P1225" s="198"/>
      <c r="Q1225" s="198"/>
      <c r="R1225" s="198"/>
      <c r="S1225" s="199"/>
      <c r="T1225" s="294"/>
    </row>
    <row r="1226" spans="1:20" ht="18.75" hidden="1" customHeight="1" outlineLevel="1" x14ac:dyDescent="0.25">
      <c r="A1226" s="302"/>
      <c r="C1226" s="294"/>
      <c r="F1226" s="712" t="s">
        <v>61</v>
      </c>
      <c r="G1226" s="549">
        <f>mult</f>
        <v>5.5</v>
      </c>
      <c r="H1226" s="471" t="str">
        <f>IF($S$923=0,"NA",IRR(($I$1213,$J$1213,$K$1213,$L$1213,$M$1213,H1235)))</f>
        <v>NA</v>
      </c>
      <c r="I1226" s="396" t="str">
        <f>IF($S$923=0,"NA",IRR(($I$1213,$J$1213,$K$1213,$L$1213,$M$1213,I1235)))</f>
        <v>NA</v>
      </c>
      <c r="J1226" s="396" t="str">
        <f>IF($S$923=0,"NA",IRR(($I$1213,$J$1213,$K$1213,$L$1213,$M$1213,J1235)))</f>
        <v>NA</v>
      </c>
      <c r="K1226" s="472" t="str">
        <f>IF($S$923=0,"NA",IRR(($I$1213,$J$1213,$K$1213,$L$1213,$M$1213,K1235)))</f>
        <v>NA</v>
      </c>
      <c r="L1226" s="396" t="str">
        <f>IF($S$923=0,"NA",IRR(($I$1213,$J$1213,$K$1213,$L$1213,$M$1213,L1235)))</f>
        <v>NA</v>
      </c>
      <c r="M1226" s="396" t="str">
        <f>IF($S$923=0,"NA",IRR(($I$1213,$J$1213,$K$1213,$L$1213,$M$1213,M1235)))</f>
        <v>NA</v>
      </c>
      <c r="N1226" s="473" t="str">
        <f>IF($S$923=0,"NA",IRR(($I$1213,$J$1213,$K$1213,$L$1213,$M$1213,N1235)))</f>
        <v>NA</v>
      </c>
      <c r="O1226" s="198"/>
      <c r="P1226" s="198"/>
      <c r="Q1226" s="198"/>
      <c r="R1226" s="198"/>
      <c r="S1226" s="199"/>
      <c r="T1226" s="294"/>
    </row>
    <row r="1227" spans="1:20" hidden="1" outlineLevel="1" x14ac:dyDescent="0.25">
      <c r="A1227" s="302"/>
      <c r="B1227"/>
      <c r="C1227" s="294"/>
      <c r="F1227" s="711" t="s">
        <v>413</v>
      </c>
      <c r="G1227" s="546">
        <f>G1226+step</f>
        <v>6</v>
      </c>
      <c r="H1227" s="452" t="str">
        <f>IF($S$923=0,"NA",IRR(($I$1213,$J$1213,$K$1213,$L$1213,$M$1213,H1236)))</f>
        <v>NA</v>
      </c>
      <c r="I1227" s="452" t="str">
        <f>IF($S$923=0,"NA",IRR(($I$1213,$J$1213,$K$1213,$L$1213,$M$1213,I1236)))</f>
        <v>NA</v>
      </c>
      <c r="J1227" s="452" t="str">
        <f>IF($S$923=0,"NA",IRR(($I$1213,$J$1213,$K$1213,$L$1213,$M$1213,J1236)))</f>
        <v>NA</v>
      </c>
      <c r="K1227" s="454" t="str">
        <f>IF($S$923=0,"NA",IRR(($I$1213,$J$1213,$K$1213,$L$1213,$M$1213,K1236)))</f>
        <v>NA</v>
      </c>
      <c r="L1227" s="452" t="str">
        <f>IF($S$923=0,"NA",IRR(($I$1213,$J$1213,$K$1213,$L$1213,$M$1213,L1236)))</f>
        <v>NA</v>
      </c>
      <c r="M1227" s="452" t="str">
        <f>IF($S$923=0,"NA",IRR(($I$1213,$J$1213,$K$1213,$L$1213,$M$1213,M1236)))</f>
        <v>NA</v>
      </c>
      <c r="N1227" s="452" t="str">
        <f>IF($S$923=0,"NA",IRR(($I$1213,$J$1213,$K$1213,$L$1213,$M$1213,N1236)))</f>
        <v>NA</v>
      </c>
      <c r="O1227" s="198"/>
      <c r="P1227" s="198"/>
      <c r="Q1227" s="198"/>
      <c r="R1227" s="198"/>
      <c r="S1227" s="199"/>
      <c r="T1227" s="294"/>
    </row>
    <row r="1228" spans="1:20" hidden="1" outlineLevel="1" x14ac:dyDescent="0.25">
      <c r="A1228" s="302"/>
      <c r="B1228" s="445" t="str">
        <f>"Rows ("&amp;ROW(B1230)&amp;") thru ("&amp;ROW(B1237)&amp;") are hidden."</f>
        <v>Rows (1230) thru (1237) are hidden.</v>
      </c>
      <c r="C1228" s="417"/>
      <c r="F1228" s="339"/>
      <c r="G1228" s="546">
        <f>G1227+H1376</f>
        <v>6.5</v>
      </c>
      <c r="H1228" s="452" t="str">
        <f>IF($S$923=0,"NA",IRR(($I$1213,$J$1213,$K$1213,$L$1213,$M$1213,H1237)))</f>
        <v>NA</v>
      </c>
      <c r="I1228" s="452" t="str">
        <f>IF($S$923=0,"NA",IRR(($I$1213,$J$1213,$K$1213,$L$1213,$M$1213,I1237)))</f>
        <v>NA</v>
      </c>
      <c r="J1228" s="452" t="str">
        <f>IF($S$923=0,"NA",IRR(($I$1213,$J$1213,$K$1213,$L$1213,$M$1213,J1237)))</f>
        <v>NA</v>
      </c>
      <c r="K1228" s="455" t="str">
        <f>IF($S$923=0,"NA",IRR(($I$1213,$J$1213,$K$1213,$L$1213,$M$1213,K1237)))</f>
        <v>NA</v>
      </c>
      <c r="L1228" s="452" t="str">
        <f>IF($S$923=0,"NA",IRR(($I$1213,$J$1213,$K$1213,$L$1213,$M$1213,L1237)))</f>
        <v>NA</v>
      </c>
      <c r="M1228" s="452" t="str">
        <f>IF($S$923=0,"NA",IRR(($I$1213,$J$1213,$K$1213,$L$1213,$M$1213,M1237)))</f>
        <v>NA</v>
      </c>
      <c r="N1228" s="452" t="str">
        <f>IF($S$923=0,"NA",IRR(($I$1213,$J$1213,$K$1213,$L$1213,$M$1213,N1237)))</f>
        <v>NA</v>
      </c>
      <c r="O1228" s="198"/>
      <c r="P1228" s="198"/>
      <c r="Q1228" s="198"/>
      <c r="R1228" s="198"/>
      <c r="S1228" s="199"/>
      <c r="T1228" s="294"/>
    </row>
    <row r="1229" spans="1:20" hidden="1" outlineLevel="1" x14ac:dyDescent="0.25">
      <c r="A1229" s="302"/>
      <c r="B1229" s="713" t="s">
        <v>414</v>
      </c>
      <c r="C1229" s="418"/>
      <c r="F1229" s="339"/>
      <c r="G1229" s="340"/>
      <c r="H1229" s="456"/>
      <c r="I1229" s="456"/>
      <c r="J1229" s="456"/>
      <c r="K1229" s="456"/>
      <c r="L1229" s="456"/>
      <c r="M1229" s="456"/>
      <c r="N1229" s="456"/>
      <c r="O1229" s="198"/>
      <c r="P1229" s="198"/>
      <c r="Q1229" s="198"/>
      <c r="R1229" s="198"/>
      <c r="S1229" s="199"/>
      <c r="T1229" s="294"/>
    </row>
    <row r="1230" spans="1:20" hidden="1" outlineLevel="1" x14ac:dyDescent="0.25">
      <c r="A1230" s="302"/>
      <c r="C1230" s="294"/>
      <c r="D1230" s="169" t="str">
        <f>"Cash Flow in "&amp;FIXED(year+4,0,1)&amp;":"</f>
        <v>Cash Flow in 2002:</v>
      </c>
      <c r="F1230" s="339"/>
      <c r="G1230" s="340"/>
      <c r="O1230" s="198"/>
      <c r="P1230" s="198"/>
      <c r="Q1230" s="198"/>
      <c r="R1230" s="198"/>
      <c r="S1230" s="199"/>
      <c r="T1230" s="294"/>
    </row>
    <row r="1231" spans="1:20" hidden="1" outlineLevel="1" x14ac:dyDescent="0.25">
      <c r="A1231" s="302"/>
      <c r="C1231" s="294"/>
      <c r="H1231" s="341" t="str">
        <f>"Fully Diluted Equity to "&amp;$D$1415</f>
        <v>Fully Diluted Equity to Debt 4</v>
      </c>
      <c r="I1231" s="342"/>
      <c r="J1231" s="342"/>
      <c r="K1231" s="342"/>
      <c r="L1231" s="342"/>
      <c r="M1231" s="342"/>
      <c r="N1231" s="342"/>
      <c r="O1231" s="198"/>
      <c r="P1231" s="198"/>
      <c r="Q1231" s="198"/>
      <c r="R1231" s="198"/>
      <c r="S1231" s="199"/>
      <c r="T1231" s="294"/>
    </row>
    <row r="1232" spans="1:20" hidden="1" outlineLevel="1" x14ac:dyDescent="0.25">
      <c r="A1232" s="302"/>
      <c r="C1232" s="294"/>
      <c r="H1232" s="346">
        <f t="shared" ref="H1232:N1232" si="501">+H1223</f>
        <v>0</v>
      </c>
      <c r="I1232" s="346">
        <f t="shared" si="501"/>
        <v>0</v>
      </c>
      <c r="J1232" s="346">
        <f t="shared" si="501"/>
        <v>0</v>
      </c>
      <c r="K1232" s="346">
        <f t="shared" si="501"/>
        <v>0</v>
      </c>
      <c r="L1232" s="346">
        <f t="shared" si="501"/>
        <v>5.0000000000000001E-3</v>
      </c>
      <c r="M1232" s="346">
        <f t="shared" si="501"/>
        <v>0.01</v>
      </c>
      <c r="N1232" s="346">
        <f t="shared" si="501"/>
        <v>1.4999999999999999E-2</v>
      </c>
      <c r="O1232" s="198"/>
      <c r="P1232" s="198"/>
      <c r="Q1232" s="198"/>
      <c r="R1232" s="198"/>
      <c r="S1232" s="199"/>
      <c r="T1232" s="294"/>
    </row>
    <row r="1233" spans="1:20" hidden="1" outlineLevel="1" x14ac:dyDescent="0.25">
      <c r="A1233" s="302"/>
      <c r="C1233" s="294"/>
      <c r="G1233" s="340">
        <f>G1234-step</f>
        <v>4.5</v>
      </c>
      <c r="H1233" s="103">
        <f t="shared" ref="H1233:N1237" ca="1" si="502">($N$1213-$N$1206)+((term_eq+(term_cf*($G1233-mult)))*H$1232)</f>
        <v>0</v>
      </c>
      <c r="I1233" s="103">
        <f t="shared" ca="1" si="502"/>
        <v>0</v>
      </c>
      <c r="J1233" s="103">
        <f t="shared" ca="1" si="502"/>
        <v>0</v>
      </c>
      <c r="K1233" s="103">
        <f t="shared" ca="1" si="502"/>
        <v>0</v>
      </c>
      <c r="L1233" s="103">
        <f t="shared" ca="1" si="502"/>
        <v>7.5429934955188696</v>
      </c>
      <c r="M1233" s="103">
        <f t="shared" ca="1" si="502"/>
        <v>15.085986991037739</v>
      </c>
      <c r="N1233" s="103">
        <f t="shared" ca="1" si="502"/>
        <v>22.628980486556607</v>
      </c>
      <c r="O1233" s="198"/>
      <c r="P1233" s="198"/>
      <c r="Q1233" s="198"/>
      <c r="R1233" s="198"/>
      <c r="S1233" s="199"/>
      <c r="T1233" s="294"/>
    </row>
    <row r="1234" spans="1:20" hidden="1" outlineLevel="1" x14ac:dyDescent="0.25">
      <c r="A1234" s="302"/>
      <c r="C1234" s="294"/>
      <c r="F1234" s="711" t="s">
        <v>412</v>
      </c>
      <c r="G1234" s="340">
        <f>G1235-step</f>
        <v>5</v>
      </c>
      <c r="H1234" s="103">
        <f t="shared" ca="1" si="502"/>
        <v>0</v>
      </c>
      <c r="I1234" s="103">
        <f t="shared" ca="1" si="502"/>
        <v>0</v>
      </c>
      <c r="J1234" s="103">
        <f t="shared" ca="1" si="502"/>
        <v>0</v>
      </c>
      <c r="K1234" s="103">
        <f t="shared" ca="1" si="502"/>
        <v>0</v>
      </c>
      <c r="L1234" s="103">
        <f t="shared" ca="1" si="502"/>
        <v>8.1313154728626191</v>
      </c>
      <c r="M1234" s="103">
        <f t="shared" ca="1" si="502"/>
        <v>16.262630945725238</v>
      </c>
      <c r="N1234" s="103">
        <f t="shared" ca="1" si="502"/>
        <v>24.393946418587856</v>
      </c>
      <c r="O1234" s="198"/>
      <c r="P1234" s="198"/>
      <c r="Q1234" s="198"/>
      <c r="R1234" s="198"/>
      <c r="S1234" s="199"/>
      <c r="T1234" s="294"/>
    </row>
    <row r="1235" spans="1:20" hidden="1" outlineLevel="1" x14ac:dyDescent="0.25">
      <c r="A1235" s="302"/>
      <c r="C1235" s="294"/>
      <c r="F1235" s="711" t="s">
        <v>61</v>
      </c>
      <c r="G1235" s="360">
        <f>mult</f>
        <v>5.5</v>
      </c>
      <c r="H1235" s="103">
        <f t="shared" ca="1" si="502"/>
        <v>0</v>
      </c>
      <c r="I1235" s="103">
        <f t="shared" ca="1" si="502"/>
        <v>0</v>
      </c>
      <c r="J1235" s="103">
        <f t="shared" ca="1" si="502"/>
        <v>0</v>
      </c>
      <c r="K1235" s="103">
        <f t="shared" ca="1" si="502"/>
        <v>0</v>
      </c>
      <c r="L1235" s="103">
        <f t="shared" ca="1" si="502"/>
        <v>8.7196374502063687</v>
      </c>
      <c r="M1235" s="103">
        <f t="shared" ca="1" si="502"/>
        <v>17.439274900412737</v>
      </c>
      <c r="N1235" s="103">
        <f t="shared" ca="1" si="502"/>
        <v>26.158912350619108</v>
      </c>
      <c r="O1235" s="198"/>
      <c r="P1235" s="198"/>
      <c r="Q1235" s="198"/>
      <c r="R1235" s="198"/>
      <c r="S1235" s="199"/>
      <c r="T1235" s="294"/>
    </row>
    <row r="1236" spans="1:20" hidden="1" outlineLevel="1" x14ac:dyDescent="0.25">
      <c r="A1236" s="302"/>
      <c r="C1236" s="294"/>
      <c r="F1236" s="711" t="s">
        <v>413</v>
      </c>
      <c r="G1236" s="340">
        <f>G1235+step</f>
        <v>6</v>
      </c>
      <c r="H1236" s="103">
        <f t="shared" ca="1" si="502"/>
        <v>0</v>
      </c>
      <c r="I1236" s="103">
        <f t="shared" ca="1" si="502"/>
        <v>0</v>
      </c>
      <c r="J1236" s="103">
        <f t="shared" ca="1" si="502"/>
        <v>0</v>
      </c>
      <c r="K1236" s="103">
        <f t="shared" ca="1" si="502"/>
        <v>0</v>
      </c>
      <c r="L1236" s="103">
        <f t="shared" ca="1" si="502"/>
        <v>9.3079594275501183</v>
      </c>
      <c r="M1236" s="103">
        <f t="shared" ca="1" si="502"/>
        <v>18.615918855100237</v>
      </c>
      <c r="N1236" s="103">
        <f t="shared" ca="1" si="502"/>
        <v>27.923878282650357</v>
      </c>
      <c r="O1236" s="198"/>
      <c r="P1236" s="198"/>
      <c r="Q1236" s="198"/>
      <c r="R1236" s="198"/>
      <c r="S1236" s="199"/>
      <c r="T1236" s="294"/>
    </row>
    <row r="1237" spans="1:20" hidden="1" outlineLevel="1" x14ac:dyDescent="0.25">
      <c r="A1237" s="302"/>
      <c r="C1237" s="294"/>
      <c r="F1237" s="339"/>
      <c r="G1237" s="340">
        <f>G1236+step</f>
        <v>6.5</v>
      </c>
      <c r="H1237" s="103">
        <f t="shared" ca="1" si="502"/>
        <v>0</v>
      </c>
      <c r="I1237" s="103">
        <f t="shared" ca="1" si="502"/>
        <v>0</v>
      </c>
      <c r="J1237" s="103">
        <f t="shared" ca="1" si="502"/>
        <v>0</v>
      </c>
      <c r="K1237" s="103">
        <f t="shared" ca="1" si="502"/>
        <v>0</v>
      </c>
      <c r="L1237" s="103">
        <f t="shared" ca="1" si="502"/>
        <v>9.8962814048938679</v>
      </c>
      <c r="M1237" s="103">
        <f t="shared" ca="1" si="502"/>
        <v>19.792562809787736</v>
      </c>
      <c r="N1237" s="103">
        <f t="shared" ca="1" si="502"/>
        <v>29.688844214681605</v>
      </c>
      <c r="O1237" s="198"/>
      <c r="P1237" s="198"/>
      <c r="Q1237" s="198"/>
      <c r="R1237" s="198"/>
      <c r="S1237" s="199"/>
      <c r="T1237" s="294"/>
    </row>
    <row r="1238" spans="1:20" hidden="1" outlineLevel="1" x14ac:dyDescent="0.25">
      <c r="A1238" s="302"/>
      <c r="C1238" s="294"/>
      <c r="G1238" s="340"/>
      <c r="H1238" s="456"/>
      <c r="I1238" s="456"/>
      <c r="J1238" s="456"/>
      <c r="K1238" s="456"/>
      <c r="L1238" s="456"/>
      <c r="M1238" s="456"/>
      <c r="N1238" s="456"/>
      <c r="O1238" s="198"/>
      <c r="P1238" s="198"/>
      <c r="Q1238" s="198"/>
      <c r="R1238" s="198"/>
      <c r="S1238" s="199"/>
      <c r="T1238" s="294"/>
    </row>
    <row r="1239" spans="1:20" ht="51" hidden="1" customHeight="1" outlineLevel="1" x14ac:dyDescent="0.25">
      <c r="A1239" s="302"/>
      <c r="C1239" s="294"/>
      <c r="D1239" s="217" t="str">
        <f>" Blended Returns to Holders of "&amp;$D$1416</f>
        <v xml:space="preserve"> Blended Returns to Holders of Debt 5</v>
      </c>
      <c r="E1239" s="170"/>
      <c r="F1239" s="170"/>
      <c r="G1239" s="357"/>
      <c r="H1239" s="358"/>
      <c r="I1239" s="358"/>
      <c r="J1239" s="358"/>
      <c r="K1239" s="358"/>
      <c r="L1239" s="358"/>
      <c r="M1239" s="358"/>
      <c r="N1239" s="348"/>
      <c r="O1239" s="348"/>
      <c r="P1239" s="348"/>
      <c r="Q1239" s="348"/>
      <c r="R1239" s="348"/>
      <c r="S1239" s="522"/>
      <c r="T1239" s="294"/>
    </row>
    <row r="1240" spans="1:20" hidden="1" outlineLevel="1" x14ac:dyDescent="0.25">
      <c r="A1240" s="302"/>
      <c r="C1240" s="294"/>
      <c r="D1240" s="495" t="str">
        <f>"Cash Flows to "&amp;$D$1416&amp;":"</f>
        <v>Cash Flows to Debt 5:</v>
      </c>
      <c r="E1240" s="170"/>
      <c r="F1240" s="170"/>
      <c r="G1240" s="357"/>
      <c r="H1240" s="358"/>
      <c r="I1240" s="358"/>
      <c r="J1240" s="188" t="str">
        <f>"For the Fiscal Year Ending "&amp;fye</f>
        <v>For the Fiscal Year Ending December 31,</v>
      </c>
      <c r="K1240" s="190"/>
      <c r="L1240" s="190"/>
      <c r="M1240" s="190"/>
      <c r="N1240" s="190"/>
      <c r="O1240" s="190"/>
      <c r="P1240" s="190"/>
      <c r="Q1240" s="190"/>
      <c r="R1240" s="190"/>
      <c r="S1240" s="190"/>
      <c r="T1240" s="294"/>
    </row>
    <row r="1241" spans="1:20" hidden="1" outlineLevel="1" x14ac:dyDescent="0.25">
      <c r="A1241" s="302"/>
      <c r="C1241" s="294"/>
      <c r="D1241"/>
      <c r="H1241" s="192"/>
      <c r="I1241" s="680" t="s">
        <v>95</v>
      </c>
      <c r="J1241" s="101">
        <f>year</f>
        <v>1998</v>
      </c>
      <c r="K1241" s="101">
        <f t="shared" ref="K1241:S1241" si="503">J1241+1</f>
        <v>1999</v>
      </c>
      <c r="L1241" s="101">
        <f t="shared" si="503"/>
        <v>2000</v>
      </c>
      <c r="M1241" s="101">
        <f t="shared" si="503"/>
        <v>2001</v>
      </c>
      <c r="N1241" s="338">
        <f t="shared" si="503"/>
        <v>2002</v>
      </c>
      <c r="O1241" s="101">
        <f t="shared" si="503"/>
        <v>2003</v>
      </c>
      <c r="P1241" s="101">
        <f t="shared" si="503"/>
        <v>2004</v>
      </c>
      <c r="Q1241" s="101">
        <f t="shared" si="503"/>
        <v>2005</v>
      </c>
      <c r="R1241" s="101">
        <f t="shared" si="503"/>
        <v>2006</v>
      </c>
      <c r="S1241" s="514">
        <f t="shared" si="503"/>
        <v>2007</v>
      </c>
      <c r="T1241" s="294"/>
    </row>
    <row r="1242" spans="1:20" hidden="1" outlineLevel="1" x14ac:dyDescent="0.25">
      <c r="A1242" s="302"/>
      <c r="C1242" s="294"/>
      <c r="D1242" s="600" t="s">
        <v>422</v>
      </c>
      <c r="H1242" s="349"/>
      <c r="I1242" s="198">
        <f ca="1">-J650</f>
        <v>0</v>
      </c>
      <c r="J1242" s="198"/>
      <c r="K1242" s="198"/>
      <c r="L1242" s="198"/>
      <c r="M1242" s="198"/>
      <c r="N1242" s="476"/>
      <c r="O1242" s="198"/>
      <c r="P1242" s="198"/>
      <c r="Q1242" s="198"/>
      <c r="R1242" s="198"/>
      <c r="S1242" s="199"/>
      <c r="T1242" s="294"/>
    </row>
    <row r="1243" spans="1:20" hidden="1" outlineLevel="1" x14ac:dyDescent="0.25">
      <c r="A1243" s="302"/>
      <c r="C1243" s="294"/>
      <c r="D1243" s="554" t="s">
        <v>423</v>
      </c>
      <c r="I1243" s="351">
        <f ca="1">-equity*$G$924</f>
        <v>0</v>
      </c>
      <c r="N1243" s="335"/>
      <c r="O1243" s="1"/>
      <c r="S1243" s="41"/>
      <c r="T1243" s="294"/>
    </row>
    <row r="1244" spans="1:20" ht="18.75" hidden="1" customHeight="1" outlineLevel="1" x14ac:dyDescent="0.25">
      <c r="A1244" s="302"/>
      <c r="C1244" s="294"/>
      <c r="D1244" s="600" t="s">
        <v>424</v>
      </c>
      <c r="I1244" s="600" t="s">
        <v>101</v>
      </c>
      <c r="J1244" s="198">
        <f t="shared" ref="J1244:S1244" ca="1" si="504">J251-J652</f>
        <v>0</v>
      </c>
      <c r="K1244" s="198">
        <f t="shared" ca="1" si="504"/>
        <v>0</v>
      </c>
      <c r="L1244" s="198">
        <f t="shared" ca="1" si="504"/>
        <v>0</v>
      </c>
      <c r="M1244" s="198">
        <f t="shared" ca="1" si="504"/>
        <v>0</v>
      </c>
      <c r="N1244" s="476">
        <f t="shared" ca="1" si="504"/>
        <v>0</v>
      </c>
      <c r="O1244" s="198">
        <f t="shared" ca="1" si="504"/>
        <v>0</v>
      </c>
      <c r="P1244" s="198">
        <f t="shared" ca="1" si="504"/>
        <v>0</v>
      </c>
      <c r="Q1244" s="198">
        <f t="shared" ca="1" si="504"/>
        <v>0</v>
      </c>
      <c r="R1244" s="198">
        <f t="shared" ca="1" si="504"/>
        <v>0</v>
      </c>
      <c r="S1244" s="199">
        <f t="shared" ca="1" si="504"/>
        <v>0</v>
      </c>
      <c r="T1244" s="294"/>
    </row>
    <row r="1245" spans="1:20" hidden="1" outlineLevel="1" x14ac:dyDescent="0.25">
      <c r="A1245" s="302"/>
      <c r="C1245" s="294"/>
      <c r="D1245" s="600" t="s">
        <v>425</v>
      </c>
      <c r="I1245" s="600" t="s">
        <v>101</v>
      </c>
      <c r="J1245" s="198">
        <f t="shared" ref="J1245:S1245" ca="1" si="505">+J653+J654</f>
        <v>0</v>
      </c>
      <c r="K1245" s="198">
        <f t="shared" ca="1" si="505"/>
        <v>0</v>
      </c>
      <c r="L1245" s="198">
        <f t="shared" ca="1" si="505"/>
        <v>0</v>
      </c>
      <c r="M1245" s="198">
        <f t="shared" ca="1" si="505"/>
        <v>0</v>
      </c>
      <c r="N1245" s="476">
        <f t="shared" ca="1" si="505"/>
        <v>0</v>
      </c>
      <c r="O1245" s="198">
        <f t="shared" ca="1" si="505"/>
        <v>0</v>
      </c>
      <c r="P1245" s="198">
        <f t="shared" ca="1" si="505"/>
        <v>0</v>
      </c>
      <c r="Q1245" s="198">
        <f t="shared" ca="1" si="505"/>
        <v>0</v>
      </c>
      <c r="R1245" s="198">
        <f t="shared" ca="1" si="505"/>
        <v>0</v>
      </c>
      <c r="S1245" s="199">
        <f t="shared" ca="1" si="505"/>
        <v>0</v>
      </c>
      <c r="T1245" s="294"/>
    </row>
    <row r="1246" spans="1:20" ht="18.75" hidden="1" customHeight="1" outlineLevel="1" x14ac:dyDescent="0.25">
      <c r="A1246" s="302"/>
      <c r="C1246" s="294"/>
      <c r="D1246" s="715" t="s">
        <v>426</v>
      </c>
      <c r="I1246" s="600" t="s">
        <v>101</v>
      </c>
      <c r="J1246" s="198">
        <f t="shared" ref="J1246:S1246" ca="1" si="506">J655</f>
        <v>0</v>
      </c>
      <c r="K1246" s="198">
        <f t="shared" ca="1" si="506"/>
        <v>0</v>
      </c>
      <c r="L1246" s="198">
        <f t="shared" ca="1" si="506"/>
        <v>0</v>
      </c>
      <c r="M1246" s="198">
        <f t="shared" ca="1" si="506"/>
        <v>0</v>
      </c>
      <c r="N1246" s="476">
        <f t="shared" ca="1" si="506"/>
        <v>0</v>
      </c>
      <c r="O1246" s="198">
        <f t="shared" ca="1" si="506"/>
        <v>0</v>
      </c>
      <c r="P1246" s="198">
        <f t="shared" ca="1" si="506"/>
        <v>0</v>
      </c>
      <c r="Q1246" s="198">
        <f t="shared" ca="1" si="506"/>
        <v>0</v>
      </c>
      <c r="R1246" s="198">
        <f t="shared" ca="1" si="506"/>
        <v>0</v>
      </c>
      <c r="S1246" s="199">
        <f t="shared" ca="1" si="506"/>
        <v>0</v>
      </c>
      <c r="T1246" s="294"/>
    </row>
    <row r="1247" spans="1:20" hidden="1" outlineLevel="1" x14ac:dyDescent="0.25">
      <c r="A1247" s="302"/>
      <c r="C1247" s="294"/>
      <c r="D1247" s="600" t="s">
        <v>416</v>
      </c>
      <c r="I1247" s="600" t="s">
        <v>101</v>
      </c>
      <c r="J1247" s="198">
        <f t="shared" ref="J1247:S1247" ca="1" si="507">-$J$55*$I$924</f>
        <v>0</v>
      </c>
      <c r="K1247" s="198">
        <f t="shared" ca="1" si="507"/>
        <v>0</v>
      </c>
      <c r="L1247" s="198">
        <f t="shared" ca="1" si="507"/>
        <v>0</v>
      </c>
      <c r="M1247" s="198">
        <f t="shared" ca="1" si="507"/>
        <v>0</v>
      </c>
      <c r="N1247" s="476">
        <f t="shared" ca="1" si="507"/>
        <v>0</v>
      </c>
      <c r="O1247" s="198">
        <f t="shared" ca="1" si="507"/>
        <v>0</v>
      </c>
      <c r="P1247" s="198">
        <f t="shared" ca="1" si="507"/>
        <v>0</v>
      </c>
      <c r="Q1247" s="198">
        <f t="shared" ca="1" si="507"/>
        <v>0</v>
      </c>
      <c r="R1247" s="198">
        <f t="shared" ca="1" si="507"/>
        <v>0</v>
      </c>
      <c r="S1247" s="199">
        <f t="shared" ca="1" si="507"/>
        <v>0</v>
      </c>
      <c r="T1247" s="294"/>
    </row>
    <row r="1248" spans="1:20" hidden="1" outlineLevel="1" x14ac:dyDescent="0.25">
      <c r="A1248" s="302"/>
      <c r="C1248" s="294"/>
      <c r="D1248" s="202" t="s">
        <v>417</v>
      </c>
      <c r="I1248" s="600" t="s">
        <v>101</v>
      </c>
      <c r="J1248" s="31">
        <f t="shared" ref="J1248:S1248" ca="1" si="508">J$955*$S$924</f>
        <v>0</v>
      </c>
      <c r="K1248" s="31">
        <f t="shared" ca="1" si="508"/>
        <v>0</v>
      </c>
      <c r="L1248" s="31">
        <f t="shared" ca="1" si="508"/>
        <v>0</v>
      </c>
      <c r="M1248" s="31">
        <f t="shared" ca="1" si="508"/>
        <v>0</v>
      </c>
      <c r="N1248" s="478">
        <f t="shared" ca="1" si="508"/>
        <v>0</v>
      </c>
      <c r="O1248" s="31">
        <f t="shared" ca="1" si="508"/>
        <v>0</v>
      </c>
      <c r="P1248" s="31">
        <f t="shared" ca="1" si="508"/>
        <v>0</v>
      </c>
      <c r="Q1248" s="31">
        <f t="shared" ca="1" si="508"/>
        <v>0</v>
      </c>
      <c r="R1248" s="31">
        <f t="shared" ca="1" si="508"/>
        <v>0</v>
      </c>
      <c r="S1248" s="521">
        <f t="shared" ca="1" si="508"/>
        <v>0</v>
      </c>
      <c r="T1248" s="294"/>
    </row>
    <row r="1249" spans="1:20" ht="75" hidden="1" customHeight="1" outlineLevel="1" x14ac:dyDescent="0.25">
      <c r="A1249" s="302"/>
      <c r="C1249" s="294"/>
      <c r="D1249" s="494" t="str">
        <f>"IRR to "&amp;$D$1416&amp;" (Assuming "&amp;FIXED($S$924*100,1)&amp;"% Ownership):"</f>
        <v>IRR to Debt 5 (Assuming 0.0% Ownership):</v>
      </c>
      <c r="I1249" s="38"/>
      <c r="J1249" s="188" t="str">
        <f>"For the Fiscal Year Ending "&amp;fye</f>
        <v>For the Fiscal Year Ending December 31,</v>
      </c>
      <c r="K1249" s="190"/>
      <c r="L1249" s="190"/>
      <c r="M1249" s="190"/>
      <c r="N1249" s="190"/>
      <c r="O1249" s="190"/>
      <c r="P1249" s="190"/>
      <c r="Q1249" s="190"/>
      <c r="R1249" s="190"/>
      <c r="S1249" s="190"/>
      <c r="T1249" s="294"/>
    </row>
    <row r="1250" spans="1:20" hidden="1" outlineLevel="1" x14ac:dyDescent="0.25">
      <c r="A1250" s="302"/>
      <c r="C1250" s="294"/>
      <c r="D1250"/>
      <c r="H1250" s="689" t="s">
        <v>410</v>
      </c>
      <c r="I1250" s="679" t="s">
        <v>95</v>
      </c>
      <c r="J1250" s="101">
        <f>year</f>
        <v>1998</v>
      </c>
      <c r="K1250" s="101">
        <f t="shared" ref="K1250:S1250" si="509">J1250+1</f>
        <v>1999</v>
      </c>
      <c r="L1250" s="101">
        <f t="shared" si="509"/>
        <v>2000</v>
      </c>
      <c r="M1250" s="101">
        <f t="shared" si="509"/>
        <v>2001</v>
      </c>
      <c r="N1250" s="338">
        <f t="shared" si="509"/>
        <v>2002</v>
      </c>
      <c r="O1250" s="101">
        <f t="shared" si="509"/>
        <v>2003</v>
      </c>
      <c r="P1250" s="101">
        <f t="shared" si="509"/>
        <v>2004</v>
      </c>
      <c r="Q1250" s="101">
        <f t="shared" si="509"/>
        <v>2005</v>
      </c>
      <c r="R1250" s="101">
        <f t="shared" si="509"/>
        <v>2006</v>
      </c>
      <c r="S1250" s="514">
        <f t="shared" si="509"/>
        <v>2007</v>
      </c>
      <c r="T1250" s="294"/>
    </row>
    <row r="1251" spans="1:20" hidden="1" outlineLevel="1" x14ac:dyDescent="0.25">
      <c r="A1251" s="302"/>
      <c r="C1251" s="294"/>
      <c r="D1251" s="1" t="str">
        <f>"IRR for Exit in "&amp;FIXED(year,0,1)&amp;".............................................................................................................................................................................."</f>
        <v>IRR for Exit in 1998..............................................................................................................................................................................</v>
      </c>
      <c r="G1251" s="38"/>
      <c r="H1251" s="452" t="str">
        <f ca="1">IF(ISERROR(IRR(I1251:J1251,0.1)),"NA",IRR(I1251:J1251,0.1))</f>
        <v>NA</v>
      </c>
      <c r="I1251" s="198">
        <f ca="1">I1242+I1243</f>
        <v>0</v>
      </c>
      <c r="J1251" s="198">
        <f ca="1">SUM(J1244:J1248)</f>
        <v>0</v>
      </c>
      <c r="N1251" s="335"/>
      <c r="O1251" s="1"/>
      <c r="S1251" s="41"/>
      <c r="T1251" s="294"/>
    </row>
    <row r="1252" spans="1:20" hidden="1" outlineLevel="1" x14ac:dyDescent="0.25">
      <c r="A1252" s="302"/>
      <c r="C1252" s="294"/>
      <c r="D1252" s="1" t="str">
        <f>"IRR for Exit in "&amp;FIXED(year+1,0,1)&amp;".............................................................................................................................................................................."</f>
        <v>IRR for Exit in 1999..............................................................................................................................................................................</v>
      </c>
      <c r="H1252" s="452" t="str">
        <f ca="1">IF(ISERROR(IRR(I1252:K1252,0.1)),"NA",IRR(I1252:K1252,0.1))</f>
        <v>NA</v>
      </c>
      <c r="I1252" s="198">
        <f t="shared" ref="I1252:I1260" ca="1" si="510">I1251</f>
        <v>0</v>
      </c>
      <c r="J1252" s="198">
        <f ca="1">+J1244+J1245</f>
        <v>0</v>
      </c>
      <c r="K1252" s="198">
        <f ca="1">SUM(K1244:K1248)</f>
        <v>0</v>
      </c>
      <c r="N1252" s="335"/>
      <c r="O1252" s="1"/>
      <c r="S1252" s="41"/>
      <c r="T1252" s="294"/>
    </row>
    <row r="1253" spans="1:20" hidden="1" outlineLevel="1" x14ac:dyDescent="0.25">
      <c r="A1253" s="302"/>
      <c r="C1253" s="294"/>
      <c r="D1253" s="1" t="str">
        <f>"IRR for Exit in "&amp;FIXED(year+2,0,1)&amp;".............................................................................................................................................................................."</f>
        <v>IRR for Exit in 2000..............................................................................................................................................................................</v>
      </c>
      <c r="H1253" s="452" t="str">
        <f ca="1">IF(ISERROR(IRR(I1253:L1253,0.1)),"NA",IRR(I1253:L1253,0.1))</f>
        <v>NA</v>
      </c>
      <c r="I1253" s="198">
        <f t="shared" ca="1" si="510"/>
        <v>0</v>
      </c>
      <c r="J1253" s="198">
        <f t="shared" ref="J1253:J1260" ca="1" si="511">J1252</f>
        <v>0</v>
      </c>
      <c r="K1253" s="198">
        <f ca="1">+K1244+K1245</f>
        <v>0</v>
      </c>
      <c r="L1253" s="198">
        <f ca="1">SUM(L1244:L1248)</f>
        <v>0</v>
      </c>
      <c r="N1253" s="335"/>
      <c r="O1253" s="1"/>
      <c r="S1253" s="41"/>
      <c r="T1253" s="294"/>
    </row>
    <row r="1254" spans="1:20" hidden="1" outlineLevel="1" x14ac:dyDescent="0.25">
      <c r="A1254" s="302"/>
      <c r="C1254" s="294"/>
      <c r="D1254" s="1" t="str">
        <f>"IRR for Exit in "&amp;FIXED(year+3,0,1)&amp;".............................................................................................................................................................................."</f>
        <v>IRR for Exit in 2001..............................................................................................................................................................................</v>
      </c>
      <c r="F1254" s="13"/>
      <c r="G1254" s="7"/>
      <c r="H1254" s="452" t="str">
        <f ca="1">IF(ISERROR(IRR(I1254:M1254,0.1)),"NA",IRR(I1254:M1254,0.1))</f>
        <v>NA</v>
      </c>
      <c r="I1254" s="198">
        <f t="shared" ca="1" si="510"/>
        <v>0</v>
      </c>
      <c r="J1254" s="198">
        <f t="shared" ca="1" si="511"/>
        <v>0</v>
      </c>
      <c r="K1254" s="198">
        <f t="shared" ref="K1254:K1260" ca="1" si="512">K1253</f>
        <v>0</v>
      </c>
      <c r="L1254" s="198">
        <f ca="1">+L1244+L1245</f>
        <v>0</v>
      </c>
      <c r="M1254" s="198">
        <f ca="1">SUM(M1244:M1248)</f>
        <v>0</v>
      </c>
      <c r="N1254" s="335"/>
      <c r="O1254" s="1"/>
      <c r="S1254" s="41"/>
      <c r="T1254" s="294"/>
    </row>
    <row r="1255" spans="1:20" ht="24" hidden="1" customHeight="1" outlineLevel="1" x14ac:dyDescent="0.25">
      <c r="A1255" s="302"/>
      <c r="C1255" s="294"/>
      <c r="D1255" s="389" t="str">
        <f>"IRR for Exit in "&amp;FIXED(year+4,0,1)&amp;"......................................................................................................................"</f>
        <v>IRR for Exit in 2002......................................................................................................................</v>
      </c>
      <c r="E1255" s="394"/>
      <c r="F1255" s="395"/>
      <c r="G1255" s="394"/>
      <c r="H1255" s="396" t="str">
        <f ca="1">IF(ISERROR(IRR(I1255:N1255,0.1)),"NA",IRR(I1255:N1255,0.1))</f>
        <v>NA</v>
      </c>
      <c r="I1255" s="397">
        <f t="shared" ca="1" si="510"/>
        <v>0</v>
      </c>
      <c r="J1255" s="397">
        <f t="shared" ca="1" si="511"/>
        <v>0</v>
      </c>
      <c r="K1255" s="397">
        <f t="shared" ca="1" si="512"/>
        <v>0</v>
      </c>
      <c r="L1255" s="397">
        <f t="shared" ref="L1255:L1260" ca="1" si="513">L1254</f>
        <v>0</v>
      </c>
      <c r="M1255" s="397">
        <f ca="1">+M1244+M1245</f>
        <v>0</v>
      </c>
      <c r="N1255" s="398">
        <f ca="1">SUM(N1244:N1248)</f>
        <v>0</v>
      </c>
      <c r="O1255" s="1"/>
      <c r="S1255" s="41"/>
      <c r="T1255" s="294"/>
    </row>
    <row r="1256" spans="1:20" hidden="1" outlineLevel="1" x14ac:dyDescent="0.25">
      <c r="A1256" s="302"/>
      <c r="C1256" s="294"/>
      <c r="D1256" s="1" t="str">
        <f>"IRR for Exit in "&amp;FIXED(year+5,0,1)&amp;".............................................................................................................................................................................."</f>
        <v>IRR for Exit in 2003..............................................................................................................................................................................</v>
      </c>
      <c r="H1256" s="452" t="str">
        <f ca="1">IF(ISERROR(IRR(I1256:O1256,0.1)),"NA",IRR(I1256:O1256,0.1))</f>
        <v>NA</v>
      </c>
      <c r="I1256" s="198">
        <f t="shared" ca="1" si="510"/>
        <v>0</v>
      </c>
      <c r="J1256" s="198">
        <f t="shared" ca="1" si="511"/>
        <v>0</v>
      </c>
      <c r="K1256" s="198">
        <f t="shared" ca="1" si="512"/>
        <v>0</v>
      </c>
      <c r="L1256" s="198">
        <f t="shared" ca="1" si="513"/>
        <v>0</v>
      </c>
      <c r="M1256" s="198">
        <f ca="1">M1255</f>
        <v>0</v>
      </c>
      <c r="N1256" s="198">
        <f ca="1">+N1244+N1245</f>
        <v>0</v>
      </c>
      <c r="O1256" s="198">
        <f ca="1">SUM(O1244:O1248)</f>
        <v>0</v>
      </c>
      <c r="S1256" s="41"/>
      <c r="T1256" s="294"/>
    </row>
    <row r="1257" spans="1:20" hidden="1" outlineLevel="1" x14ac:dyDescent="0.25">
      <c r="A1257" s="302"/>
      <c r="C1257" s="294"/>
      <c r="D1257" s="1" t="str">
        <f>"IRR for Exit in "&amp;FIXED(year+6,0,1)&amp;".............................................................................................................................................................................."</f>
        <v>IRR for Exit in 2004..............................................................................................................................................................................</v>
      </c>
      <c r="H1257" s="452" t="str">
        <f ca="1">IF(ISERROR(IRR(I1257:P1257,0.1)),"NA",IRR(I1257:P1257,0.1))</f>
        <v>NA</v>
      </c>
      <c r="I1257" s="198">
        <f t="shared" ca="1" si="510"/>
        <v>0</v>
      </c>
      <c r="J1257" s="198">
        <f t="shared" ca="1" si="511"/>
        <v>0</v>
      </c>
      <c r="K1257" s="198">
        <f t="shared" ca="1" si="512"/>
        <v>0</v>
      </c>
      <c r="L1257" s="198">
        <f t="shared" ca="1" si="513"/>
        <v>0</v>
      </c>
      <c r="M1257" s="198">
        <f ca="1">M1256</f>
        <v>0</v>
      </c>
      <c r="N1257" s="198">
        <f ca="1">N1256</f>
        <v>0</v>
      </c>
      <c r="O1257" s="198">
        <f ca="1">+O1244+O1245</f>
        <v>0</v>
      </c>
      <c r="P1257" s="198">
        <f ca="1">SUM(P1244:P1248)</f>
        <v>0</v>
      </c>
      <c r="S1257" s="41"/>
      <c r="T1257" s="294"/>
    </row>
    <row r="1258" spans="1:20" hidden="1" outlineLevel="1" x14ac:dyDescent="0.25">
      <c r="A1258" s="302"/>
      <c r="C1258" s="294"/>
      <c r="D1258" s="1" t="str">
        <f>"IRR for Exit in "&amp;FIXED(year+7,0,1)&amp;".............................................................................................................................................................................."</f>
        <v>IRR for Exit in 2005..............................................................................................................................................................................</v>
      </c>
      <c r="H1258" s="452" t="str">
        <f ca="1">IF(ISERROR(IRR(I1258:Q1258,0.1)),"NA",IRR(I1258:Q1258,0.1))</f>
        <v>NA</v>
      </c>
      <c r="I1258" s="198">
        <f t="shared" ca="1" si="510"/>
        <v>0</v>
      </c>
      <c r="J1258" s="198">
        <f t="shared" ca="1" si="511"/>
        <v>0</v>
      </c>
      <c r="K1258" s="198">
        <f t="shared" ca="1" si="512"/>
        <v>0</v>
      </c>
      <c r="L1258" s="198">
        <f t="shared" ca="1" si="513"/>
        <v>0</v>
      </c>
      <c r="M1258" s="198">
        <f ca="1">M1257</f>
        <v>0</v>
      </c>
      <c r="N1258" s="198">
        <f ca="1">N1257</f>
        <v>0</v>
      </c>
      <c r="O1258" s="198">
        <f ca="1">O1257</f>
        <v>0</v>
      </c>
      <c r="P1258" s="198">
        <f ca="1">+P1244+P1245</f>
        <v>0</v>
      </c>
      <c r="Q1258" s="198">
        <f ca="1">SUM(Q1244:Q1248)</f>
        <v>0</v>
      </c>
      <c r="S1258" s="41"/>
      <c r="T1258" s="294"/>
    </row>
    <row r="1259" spans="1:20" hidden="1" outlineLevel="1" x14ac:dyDescent="0.25">
      <c r="A1259" s="302"/>
      <c r="C1259" s="294"/>
      <c r="D1259" s="1" t="str">
        <f>"IRR for Exit in "&amp;FIXED(year+8,0,1)&amp;".............................................................................................................................................................................."</f>
        <v>IRR for Exit in 2006..............................................................................................................................................................................</v>
      </c>
      <c r="H1259" s="452" t="str">
        <f ca="1">IF(ISERROR(IRR(I1259:R1259,0.1)),"NA",IRR(I1259:R1259,0.1))</f>
        <v>NA</v>
      </c>
      <c r="I1259" s="198">
        <f t="shared" ca="1" si="510"/>
        <v>0</v>
      </c>
      <c r="J1259" s="198">
        <f t="shared" ca="1" si="511"/>
        <v>0</v>
      </c>
      <c r="K1259" s="198">
        <f t="shared" ca="1" si="512"/>
        <v>0</v>
      </c>
      <c r="L1259" s="198">
        <f t="shared" ca="1" si="513"/>
        <v>0</v>
      </c>
      <c r="M1259" s="198">
        <f ca="1">M1258</f>
        <v>0</v>
      </c>
      <c r="N1259" s="198">
        <f ca="1">N1258</f>
        <v>0</v>
      </c>
      <c r="O1259" s="198">
        <f ca="1">O1258</f>
        <v>0</v>
      </c>
      <c r="P1259" s="198">
        <f ca="1">P1258</f>
        <v>0</v>
      </c>
      <c r="Q1259" s="198">
        <f ca="1">+Q1244+Q1245</f>
        <v>0</v>
      </c>
      <c r="R1259" s="198">
        <f ca="1">SUM(R1244:R1248)</f>
        <v>0</v>
      </c>
      <c r="S1259" s="41"/>
      <c r="T1259" s="294"/>
    </row>
    <row r="1260" spans="1:20" hidden="1" outlineLevel="1" x14ac:dyDescent="0.25">
      <c r="A1260" s="302"/>
      <c r="C1260" s="294"/>
      <c r="D1260" s="1" t="str">
        <f>"IRR for Exit in "&amp;FIXED(year+9,0,1)&amp;".............................................................................................................................................................................."</f>
        <v>IRR for Exit in 2007..............................................................................................................................................................................</v>
      </c>
      <c r="H1260" s="452" t="str">
        <f ca="1">IF(ISERROR(IRR(I1260:S1260,0.1)),"NA",IRR(I1260:S1260,0.1))</f>
        <v>NA</v>
      </c>
      <c r="I1260" s="198">
        <f t="shared" ca="1" si="510"/>
        <v>0</v>
      </c>
      <c r="J1260" s="198">
        <f t="shared" ca="1" si="511"/>
        <v>0</v>
      </c>
      <c r="K1260" s="198">
        <f t="shared" ca="1" si="512"/>
        <v>0</v>
      </c>
      <c r="L1260" s="198">
        <f t="shared" ca="1" si="513"/>
        <v>0</v>
      </c>
      <c r="M1260" s="198">
        <f ca="1">M1259</f>
        <v>0</v>
      </c>
      <c r="N1260" s="198">
        <f ca="1">N1259</f>
        <v>0</v>
      </c>
      <c r="O1260" s="198">
        <f ca="1">O1259</f>
        <v>0</v>
      </c>
      <c r="P1260" s="198">
        <f ca="1">P1259</f>
        <v>0</v>
      </c>
      <c r="Q1260" s="198">
        <f ca="1">Q1259</f>
        <v>0</v>
      </c>
      <c r="R1260" s="198">
        <f ca="1">+R1244+R1245</f>
        <v>0</v>
      </c>
      <c r="S1260" s="199">
        <f ca="1">SUM(S1244:S1248)</f>
        <v>0</v>
      </c>
      <c r="T1260" s="294"/>
    </row>
    <row r="1261" spans="1:20" ht="75" hidden="1" customHeight="1" outlineLevel="1" x14ac:dyDescent="0.25">
      <c r="A1261" s="302"/>
      <c r="C1261" s="294"/>
      <c r="H1261" s="192"/>
      <c r="I1261" s="198"/>
      <c r="J1261" s="198"/>
      <c r="K1261" s="198"/>
      <c r="L1261" s="198"/>
      <c r="M1261" s="198"/>
      <c r="N1261" s="198"/>
      <c r="O1261" s="198"/>
      <c r="P1261" s="198"/>
      <c r="Q1261" s="198"/>
      <c r="R1261" s="198"/>
      <c r="S1261" s="199"/>
      <c r="T1261" s="294"/>
    </row>
    <row r="1262" spans="1:20" hidden="1" outlineLevel="1" x14ac:dyDescent="0.25">
      <c r="A1262" s="302"/>
      <c r="C1262" s="294"/>
      <c r="D1262" s="495" t="str">
        <f>"Variance Analysis of Returns in "&amp;FIXED(year+4,0,1)&amp;":"</f>
        <v>Variance Analysis of Returns in 2002:</v>
      </c>
      <c r="H1262" s="352"/>
      <c r="I1262" s="353"/>
      <c r="J1262" s="353"/>
      <c r="K1262" s="353"/>
      <c r="L1262" s="353"/>
      <c r="M1262" s="353"/>
      <c r="N1262" s="198"/>
      <c r="O1262" s="198"/>
      <c r="P1262" s="198"/>
      <c r="Q1262" s="198"/>
      <c r="R1262" s="198"/>
      <c r="S1262" s="199"/>
      <c r="T1262" s="294"/>
    </row>
    <row r="1263" spans="1:20" hidden="1" outlineLevel="1" x14ac:dyDescent="0.25">
      <c r="A1263" s="302"/>
      <c r="C1263" s="294"/>
      <c r="D1263" s="169"/>
      <c r="H1263" s="345"/>
      <c r="I1263" s="345"/>
      <c r="J1263" s="345"/>
      <c r="K1263" s="345"/>
      <c r="L1263" s="345"/>
      <c r="M1263" s="345"/>
      <c r="N1263" s="198"/>
      <c r="O1263" s="198"/>
      <c r="P1263" s="198"/>
      <c r="Q1263" s="198"/>
      <c r="R1263" s="198"/>
      <c r="S1263" s="199"/>
      <c r="T1263" s="294"/>
    </row>
    <row r="1264" spans="1:20" hidden="1" outlineLevel="1" x14ac:dyDescent="0.25">
      <c r="A1264" s="302"/>
      <c r="C1264" s="294"/>
      <c r="D1264" s="169"/>
      <c r="H1264" s="341" t="str">
        <f>"Fully Diluted Equity to "&amp;$D$1416</f>
        <v>Fully Diluted Equity to Debt 5</v>
      </c>
      <c r="I1264" s="342"/>
      <c r="J1264" s="342"/>
      <c r="K1264" s="342"/>
      <c r="L1264" s="342"/>
      <c r="M1264" s="342"/>
      <c r="N1264" s="342"/>
      <c r="O1264" s="198"/>
      <c r="P1264" s="198"/>
      <c r="Q1264" s="198"/>
      <c r="R1264" s="198"/>
      <c r="S1264" s="199"/>
      <c r="T1264" s="294"/>
    </row>
    <row r="1265" spans="1:20" hidden="1" outlineLevel="1" x14ac:dyDescent="0.25">
      <c r="A1265" s="302"/>
      <c r="C1265" s="294"/>
      <c r="H1265" s="448" t="str">
        <f>IF($S$924=0,"NA",I1265-$O$1416)</f>
        <v>NA</v>
      </c>
      <c r="I1265" s="448" t="str">
        <f>IF($S$924=0,"NA",J1265-$O$1416)</f>
        <v>NA</v>
      </c>
      <c r="J1265" s="448" t="str">
        <f>IF($S$924=0,"NA",K1265-$O$1416)</f>
        <v>NA</v>
      </c>
      <c r="K1265" s="447" t="str">
        <f>IF(S924=0,"NA",ROUND(($S$924*1000)/5,0)*0.005)</f>
        <v>NA</v>
      </c>
      <c r="L1265" s="446" t="str">
        <f>IF($S$924=0,"NA",K1265+$O$1416)</f>
        <v>NA</v>
      </c>
      <c r="M1265" s="446" t="str">
        <f>IF($S$924=0,"NA",L1265+$O$1416)</f>
        <v>NA</v>
      </c>
      <c r="N1265" s="446" t="str">
        <f>IF($S$924=0,"NA",M1265+$O$1416)</f>
        <v>NA</v>
      </c>
      <c r="O1265" s="198"/>
      <c r="P1265" s="198"/>
      <c r="Q1265" s="198"/>
      <c r="R1265" s="198"/>
      <c r="S1265" s="199"/>
      <c r="T1265" s="294"/>
    </row>
    <row r="1266" spans="1:20" hidden="1" outlineLevel="1" x14ac:dyDescent="0.25">
      <c r="A1266" s="302"/>
      <c r="C1266" s="294"/>
      <c r="G1266" s="546">
        <f>G1267-step</f>
        <v>4.5</v>
      </c>
      <c r="H1266" s="452" t="str">
        <f>IF($S$924=0,"NA",IRR(($I$1255,$J$1255,$K$1255,$L$1255,$M$1255,H1275)))</f>
        <v>NA</v>
      </c>
      <c r="I1266" s="452" t="str">
        <f>IF($S$924=0,"NA",IRR(($I$1255,$J$1255,$K$1255,$L$1255,$M$1255,I1275)))</f>
        <v>NA</v>
      </c>
      <c r="J1266" s="452" t="str">
        <f>IF($S$924=0,"NA",IRR(($I$1255,$J$1255,$K$1255,$L$1255,$M$1255,J1275)))</f>
        <v>NA</v>
      </c>
      <c r="K1266" s="453" t="str">
        <f>IF($S$924=0,"NA",IRR(($I$1255,$J$1255,$K$1255,$L$1255,$M$1255,K1275)))</f>
        <v>NA</v>
      </c>
      <c r="L1266" s="452" t="str">
        <f>IF($S$924=0,"NA",IRR(($I$1255,$J$1255,$K$1255,$L$1255,$M$1255,L1275)))</f>
        <v>NA</v>
      </c>
      <c r="M1266" s="452" t="str">
        <f>IF($S$924=0,"NA",IRR(($I$1255,$J$1255,$K$1255,$L$1255,$M$1255,M1275)))</f>
        <v>NA</v>
      </c>
      <c r="N1266" s="452" t="str">
        <f>IF($S$924=0,"NA",IRR(($I$1255,$J$1255,$K$1255,$L$1255,$M$1255,N1275)))</f>
        <v>NA</v>
      </c>
      <c r="O1266" s="198"/>
      <c r="P1266" s="198"/>
      <c r="Q1266" s="198"/>
      <c r="R1266" s="198"/>
      <c r="S1266" s="199"/>
      <c r="T1266" s="294"/>
    </row>
    <row r="1267" spans="1:20" hidden="1" outlineLevel="1" x14ac:dyDescent="0.25">
      <c r="A1267" s="302"/>
      <c r="C1267" s="294"/>
      <c r="F1267" s="711" t="s">
        <v>412</v>
      </c>
      <c r="G1267" s="546">
        <f>G1268-step</f>
        <v>5</v>
      </c>
      <c r="H1267" s="452" t="str">
        <f>IF($S$924=0,"NA",IRR(($I$1255,$J$1255,$K$1255,$L$1255,$M$1255,H1276)))</f>
        <v>NA</v>
      </c>
      <c r="I1267" s="452" t="str">
        <f>IF($S$924=0,"NA",IRR(($I$1255,$J$1255,$K$1255,$L$1255,$M$1255,I1276)))</f>
        <v>NA</v>
      </c>
      <c r="J1267" s="452" t="str">
        <f>IF($S$924=0,"NA",IRR(($I$1255,$J$1255,$K$1255,$L$1255,$M$1255,J1276)))</f>
        <v>NA</v>
      </c>
      <c r="K1267" s="454" t="str">
        <f>IF($S$924=0,"NA",IRR(($I$1255,$J$1255,$K$1255,$L$1255,$M$1255,K1276)))</f>
        <v>NA</v>
      </c>
      <c r="L1267" s="452" t="str">
        <f>IF($S$924=0,"NA",IRR(($I$1255,$J$1255,$K$1255,$L$1255,$M$1255,L1276)))</f>
        <v>NA</v>
      </c>
      <c r="M1267" s="452" t="str">
        <f>IF($S$924=0,"NA",IRR(($I$1255,$J$1255,$K$1255,$L$1255,$M$1255,M1276)))</f>
        <v>NA</v>
      </c>
      <c r="N1267" s="452" t="str">
        <f>IF($S$924=0,"NA",IRR(($I$1255,$J$1255,$K$1255,$L$1255,$M$1255,N1276)))</f>
        <v>NA</v>
      </c>
      <c r="O1267" s="198"/>
      <c r="P1267" s="198"/>
      <c r="Q1267" s="198"/>
      <c r="R1267" s="198"/>
      <c r="S1267" s="199"/>
      <c r="T1267" s="294"/>
    </row>
    <row r="1268" spans="1:20" ht="18.75" hidden="1" customHeight="1" outlineLevel="1" x14ac:dyDescent="0.25">
      <c r="A1268" s="302"/>
      <c r="C1268" s="294"/>
      <c r="F1268" s="712" t="s">
        <v>61</v>
      </c>
      <c r="G1268" s="549">
        <f>mult</f>
        <v>5.5</v>
      </c>
      <c r="H1268" s="471" t="str">
        <f>IF($S$924=0,"NA",IRR(($I$1255,$J$1255,$K$1255,$L$1255,$M$1255,H1277)))</f>
        <v>NA</v>
      </c>
      <c r="I1268" s="396" t="str">
        <f>IF($S$924=0,"NA",IRR(($I$1255,$J$1255,$K$1255,$L$1255,$M$1255,I1277)))</f>
        <v>NA</v>
      </c>
      <c r="J1268" s="396" t="str">
        <f>IF($S$924=0,"NA",IRR(($I$1255,$J$1255,$K$1255,$L$1255,$M$1255,J1277)))</f>
        <v>NA</v>
      </c>
      <c r="K1268" s="472" t="str">
        <f>IF($S$924=0,"NA",IRR(($I$1255,$J$1255,$K$1255,$L$1255,$M$1255,K1277)))</f>
        <v>NA</v>
      </c>
      <c r="L1268" s="396" t="str">
        <f>IF($S$924=0,"NA",IRR(($I$1255,$J$1255,$K$1255,$L$1255,$M$1255,L1277)))</f>
        <v>NA</v>
      </c>
      <c r="M1268" s="396" t="str">
        <f>IF($S$924=0,"NA",IRR(($I$1255,$J$1255,$K$1255,$L$1255,$M$1255,M1277)))</f>
        <v>NA</v>
      </c>
      <c r="N1268" s="473" t="str">
        <f>IF($S$924=0,"NA",IRR(($I$1255,$J$1255,$K$1255,$L$1255,$M$1255,N1277)))</f>
        <v>NA</v>
      </c>
      <c r="O1268" s="198"/>
      <c r="P1268" s="198"/>
      <c r="Q1268" s="198"/>
      <c r="R1268" s="198"/>
      <c r="S1268" s="199"/>
      <c r="T1268" s="294"/>
    </row>
    <row r="1269" spans="1:20" hidden="1" outlineLevel="1" x14ac:dyDescent="0.25">
      <c r="A1269" s="302"/>
      <c r="C1269" s="294"/>
      <c r="F1269" s="711" t="s">
        <v>413</v>
      </c>
      <c r="G1269" s="546">
        <f>G1268+step</f>
        <v>6</v>
      </c>
      <c r="H1269" s="452" t="str">
        <f>IF($S$924=0,"NA",IRR(($I$1255,$J$1255,$K$1255,$L$1255,$M$1255,H1278)))</f>
        <v>NA</v>
      </c>
      <c r="I1269" s="452" t="str">
        <f>IF($S$924=0,"NA",IRR(($I$1255,$J$1255,$K$1255,$L$1255,$M$1255,I1278)))</f>
        <v>NA</v>
      </c>
      <c r="J1269" s="452" t="str">
        <f>IF($S$924=0,"NA",IRR(($I$1255,$J$1255,$K$1255,$L$1255,$M$1255,J1278)))</f>
        <v>NA</v>
      </c>
      <c r="K1269" s="454" t="str">
        <f>IF($S$924=0,"NA",IRR(($I$1255,$J$1255,$K$1255,$L$1255,$M$1255,K1278)))</f>
        <v>NA</v>
      </c>
      <c r="L1269" s="452" t="str">
        <f>IF($S$924=0,"NA",IRR(($I$1255,$J$1255,$K$1255,$L$1255,$M$1255,L1278)))</f>
        <v>NA</v>
      </c>
      <c r="M1269" s="452" t="str">
        <f>IF($S$924=0,"NA",IRR(($I$1255,$J$1255,$K$1255,$L$1255,$M$1255,M1278)))</f>
        <v>NA</v>
      </c>
      <c r="N1269" s="452" t="str">
        <f>IF($S$924=0,"NA",IRR(($I$1255,$J$1255,$K$1255,$L$1255,$M$1255,N1278)))</f>
        <v>NA</v>
      </c>
      <c r="O1269" s="198"/>
      <c r="P1269" s="198"/>
      <c r="Q1269" s="198"/>
      <c r="R1269" s="198"/>
      <c r="S1269" s="199"/>
      <c r="T1269" s="294"/>
    </row>
    <row r="1270" spans="1:20" hidden="1" outlineLevel="1" x14ac:dyDescent="0.25">
      <c r="A1270" s="302"/>
      <c r="B1270" s="445" t="str">
        <f>"Rows ("&amp;ROW(B1272)&amp;") thru ("&amp;ROW(B1279)&amp;") are hidden."</f>
        <v>Rows (1272) thru (1279) are hidden.</v>
      </c>
      <c r="C1270" s="417"/>
      <c r="G1270" s="546">
        <f>G1269+step</f>
        <v>6.5</v>
      </c>
      <c r="H1270" s="452" t="str">
        <f>IF($S$924=0,"NA",IRR(($I$1255,$J$1255,$K$1255,$L$1255,$M$1255,H1279)))</f>
        <v>NA</v>
      </c>
      <c r="I1270" s="452" t="str">
        <f>IF($S$924=0,"NA",IRR(($I$1255,$J$1255,$K$1255,$L$1255,$M$1255,I1279)))</f>
        <v>NA</v>
      </c>
      <c r="J1270" s="452" t="str">
        <f>IF($S$924=0,"NA",IRR(($I$1255,$J$1255,$K$1255,$L$1255,$M$1255,J1279)))</f>
        <v>NA</v>
      </c>
      <c r="K1270" s="455" t="str">
        <f>IF($S$924=0,"NA",IRR(($I$1255,$J$1255,$K$1255,$L$1255,$M$1255,K1279)))</f>
        <v>NA</v>
      </c>
      <c r="L1270" s="452" t="str">
        <f>IF($S$924=0,"NA",IRR(($I$1255,$J$1255,$K$1255,$L$1255,$M$1255,L1279)))</f>
        <v>NA</v>
      </c>
      <c r="M1270" s="452" t="str">
        <f>IF($S$924=0,"NA",IRR(($I$1255,$J$1255,$K$1255,$L$1255,$M$1255,M1279)))</f>
        <v>NA</v>
      </c>
      <c r="N1270" s="452" t="str">
        <f>IF($S$924=0,"NA",IRR(($I$1255,$J$1255,$K$1255,$L$1255,$M$1255,N1279)))</f>
        <v>NA</v>
      </c>
      <c r="O1270" s="198"/>
      <c r="P1270" s="198"/>
      <c r="Q1270" s="198"/>
      <c r="R1270" s="198"/>
      <c r="S1270" s="199"/>
      <c r="T1270" s="294"/>
    </row>
    <row r="1271" spans="1:20" hidden="1" outlineLevel="1" x14ac:dyDescent="0.25">
      <c r="A1271" s="302"/>
      <c r="B1271" s="713" t="s">
        <v>414</v>
      </c>
      <c r="C1271" s="418"/>
      <c r="G1271" s="340"/>
      <c r="O1271" s="198"/>
      <c r="P1271" s="198"/>
      <c r="Q1271" s="198"/>
      <c r="R1271" s="198"/>
      <c r="S1271" s="199"/>
      <c r="T1271" s="294"/>
    </row>
    <row r="1272" spans="1:20" hidden="1" outlineLevel="1" x14ac:dyDescent="0.25">
      <c r="A1272" s="302"/>
      <c r="C1272" s="294"/>
      <c r="D1272" s="169" t="str">
        <f>"Cash Flow in "&amp;FIXED(year+4,0,1)&amp;":"</f>
        <v>Cash Flow in 2002:</v>
      </c>
      <c r="F1272" s="339"/>
      <c r="G1272" s="340"/>
      <c r="O1272" s="198"/>
      <c r="P1272" s="198"/>
      <c r="Q1272" s="198"/>
      <c r="R1272" s="198"/>
      <c r="S1272" s="199"/>
      <c r="T1272" s="294"/>
    </row>
    <row r="1273" spans="1:20" hidden="1" outlineLevel="1" x14ac:dyDescent="0.25">
      <c r="A1273" s="302"/>
      <c r="C1273" s="294"/>
      <c r="H1273" s="341" t="str">
        <f>"Fully Diluted Equity to "&amp;$D$1416</f>
        <v>Fully Diluted Equity to Debt 5</v>
      </c>
      <c r="I1273" s="342"/>
      <c r="J1273" s="342"/>
      <c r="K1273" s="342"/>
      <c r="L1273" s="342"/>
      <c r="M1273" s="342"/>
      <c r="N1273" s="342"/>
      <c r="O1273" s="198"/>
      <c r="P1273" s="198"/>
      <c r="Q1273" s="198"/>
      <c r="R1273" s="198"/>
      <c r="S1273" s="199"/>
      <c r="T1273" s="294"/>
    </row>
    <row r="1274" spans="1:20" hidden="1" outlineLevel="1" x14ac:dyDescent="0.25">
      <c r="A1274" s="302"/>
      <c r="C1274" s="294"/>
      <c r="H1274" s="346" t="str">
        <f t="shared" ref="H1274:N1274" si="514">+H1265</f>
        <v>NA</v>
      </c>
      <c r="I1274" s="346" t="str">
        <f t="shared" si="514"/>
        <v>NA</v>
      </c>
      <c r="J1274" s="346" t="str">
        <f t="shared" si="514"/>
        <v>NA</v>
      </c>
      <c r="K1274" s="346" t="str">
        <f t="shared" si="514"/>
        <v>NA</v>
      </c>
      <c r="L1274" s="346" t="str">
        <f t="shared" si="514"/>
        <v>NA</v>
      </c>
      <c r="M1274" s="346" t="str">
        <f t="shared" si="514"/>
        <v>NA</v>
      </c>
      <c r="N1274" s="346" t="str">
        <f t="shared" si="514"/>
        <v>NA</v>
      </c>
      <c r="O1274" s="198"/>
      <c r="P1274" s="198"/>
      <c r="Q1274" s="198"/>
      <c r="R1274" s="198"/>
      <c r="S1274" s="199"/>
      <c r="T1274" s="294"/>
    </row>
    <row r="1275" spans="1:20" hidden="1" outlineLevel="1" x14ac:dyDescent="0.25">
      <c r="A1275" s="302"/>
      <c r="C1275" s="294"/>
      <c r="G1275" s="340">
        <f>G1276-step</f>
        <v>4.5</v>
      </c>
      <c r="H1275" s="103" t="e">
        <f t="shared" ref="H1275:N1279" ca="1" si="515">($N$1255-$N$1248)+((term_eq+(term_cf*($G1275-mult)))*H$1274)</f>
        <v>#VALUE!</v>
      </c>
      <c r="I1275" s="103" t="e">
        <f t="shared" ca="1" si="515"/>
        <v>#VALUE!</v>
      </c>
      <c r="J1275" s="103" t="e">
        <f t="shared" ca="1" si="515"/>
        <v>#VALUE!</v>
      </c>
      <c r="K1275" s="103" t="e">
        <f t="shared" ca="1" si="515"/>
        <v>#VALUE!</v>
      </c>
      <c r="L1275" s="103" t="e">
        <f t="shared" ca="1" si="515"/>
        <v>#VALUE!</v>
      </c>
      <c r="M1275" s="103" t="e">
        <f t="shared" ca="1" si="515"/>
        <v>#VALUE!</v>
      </c>
      <c r="N1275" s="103" t="e">
        <f t="shared" ca="1" si="515"/>
        <v>#VALUE!</v>
      </c>
      <c r="O1275" s="198"/>
      <c r="P1275" s="198"/>
      <c r="Q1275" s="198"/>
      <c r="R1275" s="198"/>
      <c r="S1275" s="199"/>
      <c r="T1275" s="294"/>
    </row>
    <row r="1276" spans="1:20" hidden="1" outlineLevel="1" x14ac:dyDescent="0.25">
      <c r="A1276" s="302"/>
      <c r="C1276" s="294"/>
      <c r="F1276" s="711" t="s">
        <v>412</v>
      </c>
      <c r="G1276" s="340">
        <f>G1277-step</f>
        <v>5</v>
      </c>
      <c r="H1276" s="103" t="e">
        <f t="shared" ca="1" si="515"/>
        <v>#VALUE!</v>
      </c>
      <c r="I1276" s="103" t="e">
        <f t="shared" ca="1" si="515"/>
        <v>#VALUE!</v>
      </c>
      <c r="J1276" s="103" t="e">
        <f t="shared" ca="1" si="515"/>
        <v>#VALUE!</v>
      </c>
      <c r="K1276" s="103" t="e">
        <f t="shared" ca="1" si="515"/>
        <v>#VALUE!</v>
      </c>
      <c r="L1276" s="103" t="e">
        <f t="shared" ca="1" si="515"/>
        <v>#VALUE!</v>
      </c>
      <c r="M1276" s="103" t="e">
        <f t="shared" ca="1" si="515"/>
        <v>#VALUE!</v>
      </c>
      <c r="N1276" s="103" t="e">
        <f t="shared" ca="1" si="515"/>
        <v>#VALUE!</v>
      </c>
      <c r="O1276" s="198"/>
      <c r="P1276" s="198"/>
      <c r="Q1276" s="198"/>
      <c r="R1276" s="198"/>
      <c r="S1276" s="199"/>
      <c r="T1276" s="294"/>
    </row>
    <row r="1277" spans="1:20" hidden="1" outlineLevel="1" x14ac:dyDescent="0.25">
      <c r="A1277" s="302"/>
      <c r="C1277" s="294"/>
      <c r="F1277" s="711" t="s">
        <v>61</v>
      </c>
      <c r="G1277" s="360">
        <f>mult</f>
        <v>5.5</v>
      </c>
      <c r="H1277" s="103" t="e">
        <f t="shared" ca="1" si="515"/>
        <v>#VALUE!</v>
      </c>
      <c r="I1277" s="103" t="e">
        <f t="shared" ca="1" si="515"/>
        <v>#VALUE!</v>
      </c>
      <c r="J1277" s="103" t="e">
        <f t="shared" ca="1" si="515"/>
        <v>#VALUE!</v>
      </c>
      <c r="K1277" s="103" t="e">
        <f t="shared" ca="1" si="515"/>
        <v>#VALUE!</v>
      </c>
      <c r="L1277" s="103" t="e">
        <f t="shared" ca="1" si="515"/>
        <v>#VALUE!</v>
      </c>
      <c r="M1277" s="103" t="e">
        <f t="shared" ca="1" si="515"/>
        <v>#VALUE!</v>
      </c>
      <c r="N1277" s="103" t="e">
        <f t="shared" ca="1" si="515"/>
        <v>#VALUE!</v>
      </c>
      <c r="O1277" s="198"/>
      <c r="P1277" s="198"/>
      <c r="Q1277" s="198"/>
      <c r="R1277" s="198"/>
      <c r="S1277" s="199"/>
      <c r="T1277" s="294"/>
    </row>
    <row r="1278" spans="1:20" hidden="1" outlineLevel="1" x14ac:dyDescent="0.25">
      <c r="A1278" s="302"/>
      <c r="C1278" s="294"/>
      <c r="F1278" s="711" t="s">
        <v>413</v>
      </c>
      <c r="G1278" s="340">
        <f>G1277+step</f>
        <v>6</v>
      </c>
      <c r="H1278" s="103" t="e">
        <f t="shared" ca="1" si="515"/>
        <v>#VALUE!</v>
      </c>
      <c r="I1278" s="103" t="e">
        <f t="shared" ca="1" si="515"/>
        <v>#VALUE!</v>
      </c>
      <c r="J1278" s="103" t="e">
        <f t="shared" ca="1" si="515"/>
        <v>#VALUE!</v>
      </c>
      <c r="K1278" s="103" t="e">
        <f t="shared" ca="1" si="515"/>
        <v>#VALUE!</v>
      </c>
      <c r="L1278" s="103" t="e">
        <f t="shared" ca="1" si="515"/>
        <v>#VALUE!</v>
      </c>
      <c r="M1278" s="103" t="e">
        <f t="shared" ca="1" si="515"/>
        <v>#VALUE!</v>
      </c>
      <c r="N1278" s="103" t="e">
        <f t="shared" ca="1" si="515"/>
        <v>#VALUE!</v>
      </c>
      <c r="O1278" s="198"/>
      <c r="P1278" s="198"/>
      <c r="Q1278" s="198"/>
      <c r="R1278" s="198"/>
      <c r="S1278" s="199"/>
      <c r="T1278" s="294"/>
    </row>
    <row r="1279" spans="1:20" hidden="1" outlineLevel="1" x14ac:dyDescent="0.25">
      <c r="A1279" s="302"/>
      <c r="C1279" s="294"/>
      <c r="F1279" s="339"/>
      <c r="G1279" s="340">
        <f>G1278+step</f>
        <v>6.5</v>
      </c>
      <c r="H1279" s="103" t="e">
        <f t="shared" ca="1" si="515"/>
        <v>#VALUE!</v>
      </c>
      <c r="I1279" s="103" t="e">
        <f t="shared" ca="1" si="515"/>
        <v>#VALUE!</v>
      </c>
      <c r="J1279" s="103" t="e">
        <f t="shared" ca="1" si="515"/>
        <v>#VALUE!</v>
      </c>
      <c r="K1279" s="103" t="e">
        <f t="shared" ca="1" si="515"/>
        <v>#VALUE!</v>
      </c>
      <c r="L1279" s="103" t="e">
        <f t="shared" ca="1" si="515"/>
        <v>#VALUE!</v>
      </c>
      <c r="M1279" s="103" t="e">
        <f t="shared" ca="1" si="515"/>
        <v>#VALUE!</v>
      </c>
      <c r="N1279" s="103" t="e">
        <f t="shared" ca="1" si="515"/>
        <v>#VALUE!</v>
      </c>
      <c r="O1279" s="198"/>
      <c r="P1279" s="198"/>
      <c r="Q1279" s="198"/>
      <c r="R1279" s="198"/>
      <c r="S1279" s="199"/>
      <c r="T1279" s="294"/>
    </row>
    <row r="1280" spans="1:20" hidden="1" outlineLevel="1" x14ac:dyDescent="0.25">
      <c r="A1280" s="302"/>
      <c r="C1280" s="294"/>
      <c r="G1280" s="340"/>
      <c r="O1280" s="198"/>
      <c r="P1280" s="198"/>
      <c r="Q1280" s="198"/>
      <c r="R1280" s="198"/>
      <c r="S1280" s="199"/>
      <c r="T1280" s="294"/>
    </row>
    <row r="1281" spans="1:20" ht="52.5" hidden="1" customHeight="1" outlineLevel="1" x14ac:dyDescent="0.25">
      <c r="A1281" s="302"/>
      <c r="C1281" s="294"/>
      <c r="D1281" s="217" t="str">
        <f>" Blended Returns to Holders of "&amp;$D$1417</f>
        <v xml:space="preserve"> Blended Returns to Holders of Preferred 1</v>
      </c>
      <c r="E1281" s="170"/>
      <c r="F1281" s="170"/>
      <c r="G1281" s="357"/>
      <c r="H1281" s="358"/>
      <c r="I1281" s="358"/>
      <c r="J1281" s="358"/>
      <c r="K1281" s="358"/>
      <c r="L1281" s="358"/>
      <c r="M1281" s="358"/>
      <c r="N1281" s="348"/>
      <c r="O1281" s="348"/>
      <c r="P1281" s="348"/>
      <c r="Q1281" s="348"/>
      <c r="R1281" s="348"/>
      <c r="S1281" s="522"/>
      <c r="T1281" s="294"/>
    </row>
    <row r="1282" spans="1:20" hidden="1" outlineLevel="1" x14ac:dyDescent="0.25">
      <c r="A1282" s="302"/>
      <c r="C1282" s="294"/>
      <c r="D1282" s="495" t="str">
        <f>"Cash Flows to "&amp;$D$1417&amp;":"</f>
        <v>Cash Flows to Preferred 1:</v>
      </c>
      <c r="G1282" s="340"/>
      <c r="H1282" s="212"/>
      <c r="I1282" s="212"/>
      <c r="J1282" s="188" t="str">
        <f>"For the Fiscal Year Ending "&amp;fye</f>
        <v>For the Fiscal Year Ending December 31,</v>
      </c>
      <c r="K1282" s="190"/>
      <c r="L1282" s="190"/>
      <c r="M1282" s="190"/>
      <c r="N1282" s="190"/>
      <c r="O1282" s="190"/>
      <c r="P1282" s="190"/>
      <c r="Q1282" s="190"/>
      <c r="R1282" s="190"/>
      <c r="S1282" s="190"/>
      <c r="T1282" s="294"/>
    </row>
    <row r="1283" spans="1:20" hidden="1" outlineLevel="1" x14ac:dyDescent="0.25">
      <c r="A1283" s="302"/>
      <c r="C1283" s="294"/>
      <c r="D1283"/>
      <c r="H1283" s="192"/>
      <c r="I1283" s="680" t="s">
        <v>95</v>
      </c>
      <c r="J1283" s="101">
        <f>year</f>
        <v>1998</v>
      </c>
      <c r="K1283" s="101">
        <f t="shared" ref="K1283:S1283" si="516">J1283+1</f>
        <v>1999</v>
      </c>
      <c r="L1283" s="101">
        <f t="shared" si="516"/>
        <v>2000</v>
      </c>
      <c r="M1283" s="101">
        <f t="shared" si="516"/>
        <v>2001</v>
      </c>
      <c r="N1283" s="338">
        <f t="shared" si="516"/>
        <v>2002</v>
      </c>
      <c r="O1283" s="101">
        <f t="shared" si="516"/>
        <v>2003</v>
      </c>
      <c r="P1283" s="101">
        <f t="shared" si="516"/>
        <v>2004</v>
      </c>
      <c r="Q1283" s="101">
        <f t="shared" si="516"/>
        <v>2005</v>
      </c>
      <c r="R1283" s="101">
        <f t="shared" si="516"/>
        <v>2006</v>
      </c>
      <c r="S1283" s="514">
        <f t="shared" si="516"/>
        <v>2007</v>
      </c>
      <c r="T1283" s="294"/>
    </row>
    <row r="1284" spans="1:20" hidden="1" outlineLevel="1" x14ac:dyDescent="0.25">
      <c r="A1284" s="302"/>
      <c r="C1284" s="294"/>
      <c r="D1284" s="600" t="s">
        <v>422</v>
      </c>
      <c r="H1284" s="349"/>
      <c r="I1284" s="198">
        <f ca="1">-J658</f>
        <v>0</v>
      </c>
      <c r="J1284" s="198"/>
      <c r="K1284" s="198"/>
      <c r="L1284" s="198"/>
      <c r="M1284" s="198"/>
      <c r="N1284" s="476"/>
      <c r="O1284" s="198"/>
      <c r="P1284" s="198"/>
      <c r="Q1284" s="198"/>
      <c r="R1284" s="198"/>
      <c r="S1284" s="199"/>
      <c r="T1284" s="294"/>
    </row>
    <row r="1285" spans="1:20" hidden="1" outlineLevel="1" x14ac:dyDescent="0.25">
      <c r="A1285" s="302"/>
      <c r="C1285" s="294"/>
      <c r="D1285" s="554" t="s">
        <v>423</v>
      </c>
      <c r="I1285" s="351">
        <f ca="1">-equity*$G$925</f>
        <v>0</v>
      </c>
      <c r="N1285" s="335"/>
      <c r="O1285" s="1"/>
      <c r="S1285" s="41"/>
      <c r="T1285" s="294"/>
    </row>
    <row r="1286" spans="1:20" ht="18.75" hidden="1" customHeight="1" outlineLevel="1" x14ac:dyDescent="0.25">
      <c r="A1286" s="302"/>
      <c r="C1286" s="294"/>
      <c r="D1286" s="600" t="s">
        <v>424</v>
      </c>
      <c r="I1286" s="600" t="s">
        <v>101</v>
      </c>
      <c r="J1286" s="198">
        <f t="shared" ref="J1286:S1286" ca="1" si="517">J659-J660</f>
        <v>0</v>
      </c>
      <c r="K1286" s="198">
        <f t="shared" ca="1" si="517"/>
        <v>0</v>
      </c>
      <c r="L1286" s="198">
        <f t="shared" ca="1" si="517"/>
        <v>0</v>
      </c>
      <c r="M1286" s="198">
        <f t="shared" ca="1" si="517"/>
        <v>0</v>
      </c>
      <c r="N1286" s="476">
        <f t="shared" ca="1" si="517"/>
        <v>0</v>
      </c>
      <c r="O1286" s="198">
        <f t="shared" ca="1" si="517"/>
        <v>0</v>
      </c>
      <c r="P1286" s="198">
        <f t="shared" ca="1" si="517"/>
        <v>0</v>
      </c>
      <c r="Q1286" s="198">
        <f t="shared" ca="1" si="517"/>
        <v>0</v>
      </c>
      <c r="R1286" s="198">
        <f t="shared" ca="1" si="517"/>
        <v>0</v>
      </c>
      <c r="S1286" s="199">
        <f t="shared" ca="1" si="517"/>
        <v>0</v>
      </c>
      <c r="T1286" s="294"/>
    </row>
    <row r="1287" spans="1:20" hidden="1" outlineLevel="1" x14ac:dyDescent="0.25">
      <c r="A1287" s="302"/>
      <c r="C1287" s="294"/>
      <c r="D1287" s="600" t="s">
        <v>425</v>
      </c>
      <c r="I1287" s="600" t="s">
        <v>101</v>
      </c>
      <c r="J1287" s="198">
        <f t="shared" ref="J1287:S1287" ca="1" si="518">+J661</f>
        <v>0</v>
      </c>
      <c r="K1287" s="198">
        <f t="shared" ca="1" si="518"/>
        <v>0</v>
      </c>
      <c r="L1287" s="198">
        <f t="shared" ca="1" si="518"/>
        <v>0</v>
      </c>
      <c r="M1287" s="198">
        <f t="shared" ca="1" si="518"/>
        <v>0</v>
      </c>
      <c r="N1287" s="476">
        <f t="shared" ca="1" si="518"/>
        <v>0</v>
      </c>
      <c r="O1287" s="198">
        <f t="shared" ca="1" si="518"/>
        <v>0</v>
      </c>
      <c r="P1287" s="198">
        <f t="shared" ca="1" si="518"/>
        <v>0</v>
      </c>
      <c r="Q1287" s="198">
        <f t="shared" ca="1" si="518"/>
        <v>0</v>
      </c>
      <c r="R1287" s="198">
        <f t="shared" ca="1" si="518"/>
        <v>0</v>
      </c>
      <c r="S1287" s="199">
        <f t="shared" ca="1" si="518"/>
        <v>0</v>
      </c>
      <c r="T1287" s="294"/>
    </row>
    <row r="1288" spans="1:20" ht="21" hidden="1" customHeight="1" outlineLevel="1" x14ac:dyDescent="0.25">
      <c r="A1288" s="302"/>
      <c r="C1288" s="294"/>
      <c r="D1288" s="715" t="s">
        <v>426</v>
      </c>
      <c r="I1288" s="600" t="s">
        <v>101</v>
      </c>
      <c r="J1288" s="198">
        <f t="shared" ref="J1288:S1288" ca="1" si="519">J662</f>
        <v>0</v>
      </c>
      <c r="K1288" s="198">
        <f t="shared" ca="1" si="519"/>
        <v>0</v>
      </c>
      <c r="L1288" s="198">
        <f t="shared" ca="1" si="519"/>
        <v>0</v>
      </c>
      <c r="M1288" s="198">
        <f t="shared" ca="1" si="519"/>
        <v>0</v>
      </c>
      <c r="N1288" s="476">
        <f t="shared" ca="1" si="519"/>
        <v>0</v>
      </c>
      <c r="O1288" s="198">
        <f t="shared" ca="1" si="519"/>
        <v>0</v>
      </c>
      <c r="P1288" s="198">
        <f t="shared" ca="1" si="519"/>
        <v>0</v>
      </c>
      <c r="Q1288" s="198">
        <f t="shared" ca="1" si="519"/>
        <v>0</v>
      </c>
      <c r="R1288" s="198">
        <f t="shared" ca="1" si="519"/>
        <v>0</v>
      </c>
      <c r="S1288" s="199">
        <f t="shared" ca="1" si="519"/>
        <v>0</v>
      </c>
      <c r="T1288" s="294"/>
    </row>
    <row r="1289" spans="1:20" hidden="1" outlineLevel="1" x14ac:dyDescent="0.25">
      <c r="A1289" s="302"/>
      <c r="C1289" s="294"/>
      <c r="D1289" s="600" t="s">
        <v>416</v>
      </c>
      <c r="I1289" s="600" t="s">
        <v>101</v>
      </c>
      <c r="J1289" s="198">
        <f t="shared" ref="J1289:S1289" ca="1" si="520">-$J$55*$I$925</f>
        <v>0</v>
      </c>
      <c r="K1289" s="198">
        <f t="shared" ca="1" si="520"/>
        <v>0</v>
      </c>
      <c r="L1289" s="198">
        <f t="shared" ca="1" si="520"/>
        <v>0</v>
      </c>
      <c r="M1289" s="198">
        <f t="shared" ca="1" si="520"/>
        <v>0</v>
      </c>
      <c r="N1289" s="476">
        <f t="shared" ca="1" si="520"/>
        <v>0</v>
      </c>
      <c r="O1289" s="198">
        <f t="shared" ca="1" si="520"/>
        <v>0</v>
      </c>
      <c r="P1289" s="198">
        <f t="shared" ca="1" si="520"/>
        <v>0</v>
      </c>
      <c r="Q1289" s="198">
        <f t="shared" ca="1" si="520"/>
        <v>0</v>
      </c>
      <c r="R1289" s="198">
        <f t="shared" ca="1" si="520"/>
        <v>0</v>
      </c>
      <c r="S1289" s="199">
        <f t="shared" ca="1" si="520"/>
        <v>0</v>
      </c>
      <c r="T1289" s="294"/>
    </row>
    <row r="1290" spans="1:20" hidden="1" outlineLevel="1" x14ac:dyDescent="0.25">
      <c r="A1290" s="302"/>
      <c r="C1290" s="294"/>
      <c r="D1290" s="202" t="s">
        <v>417</v>
      </c>
      <c r="I1290" s="600" t="s">
        <v>101</v>
      </c>
      <c r="J1290" s="31">
        <f t="shared" ref="J1290:S1290" ca="1" si="521">J$955*$S$925</f>
        <v>0</v>
      </c>
      <c r="K1290" s="31">
        <f t="shared" ca="1" si="521"/>
        <v>0</v>
      </c>
      <c r="L1290" s="31">
        <f t="shared" ca="1" si="521"/>
        <v>0</v>
      </c>
      <c r="M1290" s="31">
        <f t="shared" ca="1" si="521"/>
        <v>0</v>
      </c>
      <c r="N1290" s="478">
        <f t="shared" ca="1" si="521"/>
        <v>0</v>
      </c>
      <c r="O1290" s="31">
        <f t="shared" ca="1" si="521"/>
        <v>0</v>
      </c>
      <c r="P1290" s="31">
        <f t="shared" ca="1" si="521"/>
        <v>0</v>
      </c>
      <c r="Q1290" s="31">
        <f t="shared" ca="1" si="521"/>
        <v>0</v>
      </c>
      <c r="R1290" s="31">
        <f t="shared" ca="1" si="521"/>
        <v>0</v>
      </c>
      <c r="S1290" s="521">
        <f t="shared" ca="1" si="521"/>
        <v>0</v>
      </c>
      <c r="T1290" s="294"/>
    </row>
    <row r="1291" spans="1:20" ht="75" hidden="1" customHeight="1" outlineLevel="1" x14ac:dyDescent="0.25">
      <c r="A1291" s="302"/>
      <c r="C1291" s="294"/>
      <c r="D1291" s="494" t="str">
        <f>"IRR to "&amp;$D$1417&amp;" (Assuming "&amp;FIXED($S$925*100,1)&amp;"% Ownership):"</f>
        <v>IRR to Preferred 1 (Assuming 0.0% Ownership):</v>
      </c>
      <c r="I1291" s="38"/>
      <c r="J1291" s="188" t="str">
        <f>"For the Fiscal Year Ending "&amp;fye</f>
        <v>For the Fiscal Year Ending December 31,</v>
      </c>
      <c r="K1291" s="190"/>
      <c r="L1291" s="190"/>
      <c r="M1291" s="190"/>
      <c r="N1291" s="190"/>
      <c r="O1291" s="190"/>
      <c r="P1291" s="190"/>
      <c r="Q1291" s="190"/>
      <c r="R1291" s="190"/>
      <c r="S1291" s="190"/>
      <c r="T1291" s="294"/>
    </row>
    <row r="1292" spans="1:20" hidden="1" outlineLevel="1" x14ac:dyDescent="0.25">
      <c r="A1292" s="302"/>
      <c r="C1292" s="294"/>
      <c r="D1292"/>
      <c r="H1292" s="689" t="s">
        <v>410</v>
      </c>
      <c r="I1292" s="679" t="s">
        <v>95</v>
      </c>
      <c r="J1292" s="101">
        <f>year</f>
        <v>1998</v>
      </c>
      <c r="K1292" s="101">
        <f t="shared" ref="K1292:S1292" si="522">J1292+1</f>
        <v>1999</v>
      </c>
      <c r="L1292" s="101">
        <f t="shared" si="522"/>
        <v>2000</v>
      </c>
      <c r="M1292" s="101">
        <f t="shared" si="522"/>
        <v>2001</v>
      </c>
      <c r="N1292" s="338">
        <f t="shared" si="522"/>
        <v>2002</v>
      </c>
      <c r="O1292" s="101">
        <f t="shared" si="522"/>
        <v>2003</v>
      </c>
      <c r="P1292" s="101">
        <f t="shared" si="522"/>
        <v>2004</v>
      </c>
      <c r="Q1292" s="101">
        <f t="shared" si="522"/>
        <v>2005</v>
      </c>
      <c r="R1292" s="101">
        <f t="shared" si="522"/>
        <v>2006</v>
      </c>
      <c r="S1292" s="514">
        <f t="shared" si="522"/>
        <v>2007</v>
      </c>
      <c r="T1292" s="294"/>
    </row>
    <row r="1293" spans="1:20" hidden="1" outlineLevel="1" x14ac:dyDescent="0.25">
      <c r="A1293" s="302"/>
      <c r="C1293" s="294"/>
      <c r="D1293" s="1" t="str">
        <f>"IRR for Exit in "&amp;FIXED(year,0,1)&amp;".............................................................................................................................................................................."</f>
        <v>IRR for Exit in 1998..............................................................................................................................................................................</v>
      </c>
      <c r="G1293" s="38"/>
      <c r="H1293" s="452" t="str">
        <f ca="1">IF(ISERROR(IRR(I1293:J1293,0.1)),"NA",IRR(I1293:J1293,0.1))</f>
        <v>NA</v>
      </c>
      <c r="I1293" s="198">
        <f ca="1">I1284+I1285</f>
        <v>0</v>
      </c>
      <c r="J1293" s="198">
        <f ca="1">SUM(J1286:J1290)</f>
        <v>0</v>
      </c>
      <c r="N1293" s="335"/>
      <c r="O1293" s="1"/>
      <c r="S1293" s="41"/>
      <c r="T1293" s="294"/>
    </row>
    <row r="1294" spans="1:20" hidden="1" outlineLevel="1" x14ac:dyDescent="0.25">
      <c r="A1294" s="302"/>
      <c r="C1294" s="294"/>
      <c r="D1294" s="1" t="str">
        <f>"IRR for Exit in "&amp;FIXED(year+1,0,1)&amp;".............................................................................................................................................................................."</f>
        <v>IRR for Exit in 1999..............................................................................................................................................................................</v>
      </c>
      <c r="H1294" s="452" t="str">
        <f ca="1">IF(ISERROR(IRR(I1294:K1294,0.1)),"NA",IRR(I1294:K1294,0.1))</f>
        <v>NA</v>
      </c>
      <c r="I1294" s="198">
        <f t="shared" ref="I1294:I1302" ca="1" si="523">I1293</f>
        <v>0</v>
      </c>
      <c r="J1294" s="198">
        <f ca="1">+J1286+J1287</f>
        <v>0</v>
      </c>
      <c r="K1294" s="198">
        <f ca="1">SUM(K1286:K1290)</f>
        <v>0</v>
      </c>
      <c r="N1294" s="335"/>
      <c r="O1294" s="1"/>
      <c r="S1294" s="41"/>
      <c r="T1294" s="294"/>
    </row>
    <row r="1295" spans="1:20" hidden="1" outlineLevel="1" x14ac:dyDescent="0.25">
      <c r="A1295" s="302"/>
      <c r="C1295" s="294"/>
      <c r="D1295" s="1" t="str">
        <f>"IRR for Exit in "&amp;FIXED(year+2,0,1)&amp;".............................................................................................................................................................................."</f>
        <v>IRR for Exit in 2000..............................................................................................................................................................................</v>
      </c>
      <c r="H1295" s="452" t="str">
        <f ca="1">IF(ISERROR(IRR(I1295:L1295,0.1)),"NA",IRR(I1295:L1295,0.1))</f>
        <v>NA</v>
      </c>
      <c r="I1295" s="198">
        <f t="shared" ca="1" si="523"/>
        <v>0</v>
      </c>
      <c r="J1295" s="198">
        <f t="shared" ref="J1295:J1302" ca="1" si="524">J1294</f>
        <v>0</v>
      </c>
      <c r="K1295" s="198">
        <f ca="1">+K1286+K1287</f>
        <v>0</v>
      </c>
      <c r="L1295" s="198">
        <f ca="1">SUM(L1286:L1290)</f>
        <v>0</v>
      </c>
      <c r="N1295" s="335"/>
      <c r="O1295" s="1"/>
      <c r="S1295" s="41"/>
      <c r="T1295" s="294"/>
    </row>
    <row r="1296" spans="1:20" hidden="1" outlineLevel="1" x14ac:dyDescent="0.25">
      <c r="A1296" s="302"/>
      <c r="C1296" s="294"/>
      <c r="D1296" s="1" t="str">
        <f>"IRR for Exit in "&amp;FIXED(year+3,0,1)&amp;".............................................................................................................................................................................."</f>
        <v>IRR for Exit in 2001..............................................................................................................................................................................</v>
      </c>
      <c r="F1296" s="13"/>
      <c r="G1296" s="7"/>
      <c r="H1296" s="452" t="str">
        <f ca="1">IF(ISERROR(IRR(I1296:M1296,0.1)),"NA",IRR(I1296:M1296,0.1))</f>
        <v>NA</v>
      </c>
      <c r="I1296" s="198">
        <f t="shared" ca="1" si="523"/>
        <v>0</v>
      </c>
      <c r="J1296" s="198">
        <f t="shared" ca="1" si="524"/>
        <v>0</v>
      </c>
      <c r="K1296" s="198">
        <f t="shared" ref="K1296:K1302" ca="1" si="525">K1295</f>
        <v>0</v>
      </c>
      <c r="L1296" s="198">
        <f ca="1">+L1286+L1287</f>
        <v>0</v>
      </c>
      <c r="M1296" s="198">
        <f ca="1">SUM(M1286:M1290)</f>
        <v>0</v>
      </c>
      <c r="N1296" s="335"/>
      <c r="O1296" s="1"/>
      <c r="S1296" s="41"/>
      <c r="T1296" s="294"/>
    </row>
    <row r="1297" spans="1:20" ht="24.75" hidden="1" customHeight="1" outlineLevel="1" x14ac:dyDescent="0.25">
      <c r="A1297" s="302"/>
      <c r="C1297" s="294"/>
      <c r="D1297" s="389" t="str">
        <f>"IRR for Exit in "&amp;FIXED(year+4,0,1)&amp;"......................................................................................................................"</f>
        <v>IRR for Exit in 2002......................................................................................................................</v>
      </c>
      <c r="E1297" s="390"/>
      <c r="F1297" s="391"/>
      <c r="G1297" s="390"/>
      <c r="H1297" s="396" t="str">
        <f ca="1">IF(ISERROR(IRR(I1297:N1297,0.1)),"NA",IRR(I1297:N1297,0.1))</f>
        <v>NA</v>
      </c>
      <c r="I1297" s="392">
        <f t="shared" ca="1" si="523"/>
        <v>0</v>
      </c>
      <c r="J1297" s="392">
        <f t="shared" ca="1" si="524"/>
        <v>0</v>
      </c>
      <c r="K1297" s="392">
        <f t="shared" ca="1" si="525"/>
        <v>0</v>
      </c>
      <c r="L1297" s="392">
        <f t="shared" ref="L1297:L1302" ca="1" si="526">L1296</f>
        <v>0</v>
      </c>
      <c r="M1297" s="392">
        <f ca="1">+M1286+M1287</f>
        <v>0</v>
      </c>
      <c r="N1297" s="393">
        <f ca="1">SUM(N1286:N1290)</f>
        <v>0</v>
      </c>
      <c r="O1297" s="1"/>
      <c r="S1297" s="41"/>
      <c r="T1297" s="294"/>
    </row>
    <row r="1298" spans="1:20" hidden="1" outlineLevel="1" x14ac:dyDescent="0.25">
      <c r="A1298" s="302"/>
      <c r="C1298" s="294"/>
      <c r="D1298" s="1" t="str">
        <f>"IRR for Exit in "&amp;FIXED(year+5,0,1)&amp;".............................................................................................................................................................................."</f>
        <v>IRR for Exit in 2003..............................................................................................................................................................................</v>
      </c>
      <c r="H1298" s="452" t="str">
        <f ca="1">IF(ISERROR(IRR(I1298:O1298,0.1)),"NA",IRR(I1298:O1298,0.1))</f>
        <v>NA</v>
      </c>
      <c r="I1298" s="198">
        <f t="shared" ca="1" si="523"/>
        <v>0</v>
      </c>
      <c r="J1298" s="198">
        <f t="shared" ca="1" si="524"/>
        <v>0</v>
      </c>
      <c r="K1298" s="198">
        <f t="shared" ca="1" si="525"/>
        <v>0</v>
      </c>
      <c r="L1298" s="198">
        <f t="shared" ca="1" si="526"/>
        <v>0</v>
      </c>
      <c r="M1298" s="198">
        <f ca="1">M1297</f>
        <v>0</v>
      </c>
      <c r="N1298" s="198">
        <f ca="1">+N1286+N1287</f>
        <v>0</v>
      </c>
      <c r="O1298" s="198">
        <f ca="1">SUM(O1286:O1290)</f>
        <v>0</v>
      </c>
      <c r="S1298" s="41"/>
      <c r="T1298" s="294"/>
    </row>
    <row r="1299" spans="1:20" hidden="1" outlineLevel="1" x14ac:dyDescent="0.25">
      <c r="A1299" s="302"/>
      <c r="C1299" s="294"/>
      <c r="D1299" s="1" t="str">
        <f>"IRR for Exit in "&amp;FIXED(year+6,0,1)&amp;".............................................................................................................................................................................."</f>
        <v>IRR for Exit in 2004..............................................................................................................................................................................</v>
      </c>
      <c r="H1299" s="452" t="str">
        <f ca="1">IF(ISERROR(IRR(I1299:P1299,0.1)),"NA",IRR(I1299:P1299,0.1))</f>
        <v>NA</v>
      </c>
      <c r="I1299" s="198">
        <f t="shared" ca="1" si="523"/>
        <v>0</v>
      </c>
      <c r="J1299" s="198">
        <f t="shared" ca="1" si="524"/>
        <v>0</v>
      </c>
      <c r="K1299" s="198">
        <f t="shared" ca="1" si="525"/>
        <v>0</v>
      </c>
      <c r="L1299" s="198">
        <f t="shared" ca="1" si="526"/>
        <v>0</v>
      </c>
      <c r="M1299" s="198">
        <f ca="1">M1298</f>
        <v>0</v>
      </c>
      <c r="N1299" s="198">
        <f ca="1">N1298</f>
        <v>0</v>
      </c>
      <c r="O1299" s="198">
        <f ca="1">+O1286+O1287</f>
        <v>0</v>
      </c>
      <c r="P1299" s="198">
        <f ca="1">SUM(P1286:P1290)</f>
        <v>0</v>
      </c>
      <c r="S1299" s="41"/>
      <c r="T1299" s="294"/>
    </row>
    <row r="1300" spans="1:20" hidden="1" outlineLevel="1" x14ac:dyDescent="0.25">
      <c r="A1300" s="302"/>
      <c r="C1300" s="294"/>
      <c r="D1300" s="1" t="str">
        <f>"IRR for Exit in "&amp;FIXED(year+7,0,1)&amp;".............................................................................................................................................................................."</f>
        <v>IRR for Exit in 2005..............................................................................................................................................................................</v>
      </c>
      <c r="H1300" s="452" t="str">
        <f ca="1">IF(ISERROR(IRR(I1300:Q1300,0.1)),"NA",IRR(I1300:Q1300,0.1))</f>
        <v>NA</v>
      </c>
      <c r="I1300" s="198">
        <f t="shared" ca="1" si="523"/>
        <v>0</v>
      </c>
      <c r="J1300" s="198">
        <f t="shared" ca="1" si="524"/>
        <v>0</v>
      </c>
      <c r="K1300" s="198">
        <f t="shared" ca="1" si="525"/>
        <v>0</v>
      </c>
      <c r="L1300" s="198">
        <f t="shared" ca="1" si="526"/>
        <v>0</v>
      </c>
      <c r="M1300" s="198">
        <f ca="1">M1299</f>
        <v>0</v>
      </c>
      <c r="N1300" s="198">
        <f ca="1">N1299</f>
        <v>0</v>
      </c>
      <c r="O1300" s="198">
        <f ca="1">O1299</f>
        <v>0</v>
      </c>
      <c r="P1300" s="198">
        <f ca="1">+P1286+P1287</f>
        <v>0</v>
      </c>
      <c r="Q1300" s="198">
        <f ca="1">SUM(Q1286:Q1290)</f>
        <v>0</v>
      </c>
      <c r="S1300" s="41"/>
      <c r="T1300" s="294"/>
    </row>
    <row r="1301" spans="1:20" hidden="1" outlineLevel="1" x14ac:dyDescent="0.25">
      <c r="A1301" s="302"/>
      <c r="C1301" s="294"/>
      <c r="D1301" s="1" t="str">
        <f>"IRR for Exit in "&amp;FIXED(year+8,0,1)&amp;".............................................................................................................................................................................."</f>
        <v>IRR for Exit in 2006..............................................................................................................................................................................</v>
      </c>
      <c r="H1301" s="452" t="str">
        <f ca="1">IF(ISERROR(IRR(I1301:R1301,0.1)),"NA",IRR(I1301:R1301,0.1))</f>
        <v>NA</v>
      </c>
      <c r="I1301" s="198">
        <f t="shared" ca="1" si="523"/>
        <v>0</v>
      </c>
      <c r="J1301" s="198">
        <f t="shared" ca="1" si="524"/>
        <v>0</v>
      </c>
      <c r="K1301" s="198">
        <f t="shared" ca="1" si="525"/>
        <v>0</v>
      </c>
      <c r="L1301" s="198">
        <f t="shared" ca="1" si="526"/>
        <v>0</v>
      </c>
      <c r="M1301" s="198">
        <f ca="1">M1300</f>
        <v>0</v>
      </c>
      <c r="N1301" s="198">
        <f ca="1">N1300</f>
        <v>0</v>
      </c>
      <c r="O1301" s="198">
        <f ca="1">O1300</f>
        <v>0</v>
      </c>
      <c r="P1301" s="198">
        <f ca="1">P1300</f>
        <v>0</v>
      </c>
      <c r="Q1301" s="198">
        <f ca="1">+Q1286+Q1287</f>
        <v>0</v>
      </c>
      <c r="R1301" s="198">
        <f ca="1">SUM(R1286:R1290)</f>
        <v>0</v>
      </c>
      <c r="S1301" s="41"/>
      <c r="T1301" s="294"/>
    </row>
    <row r="1302" spans="1:20" hidden="1" outlineLevel="1" x14ac:dyDescent="0.25">
      <c r="A1302" s="302"/>
      <c r="C1302" s="294"/>
      <c r="D1302" s="1" t="str">
        <f>"IRR for Exit in "&amp;FIXED(year+9,0,1)&amp;".............................................................................................................................................................................."</f>
        <v>IRR for Exit in 2007..............................................................................................................................................................................</v>
      </c>
      <c r="H1302" s="452" t="str">
        <f ca="1">IF(ISERROR(IRR(I1302:S1302,0.1)),"NA",IRR(I1302:S1302,0.1))</f>
        <v>NA</v>
      </c>
      <c r="I1302" s="198">
        <f t="shared" ca="1" si="523"/>
        <v>0</v>
      </c>
      <c r="J1302" s="198">
        <f t="shared" ca="1" si="524"/>
        <v>0</v>
      </c>
      <c r="K1302" s="198">
        <f t="shared" ca="1" si="525"/>
        <v>0</v>
      </c>
      <c r="L1302" s="198">
        <f t="shared" ca="1" si="526"/>
        <v>0</v>
      </c>
      <c r="M1302" s="198">
        <f ca="1">M1301</f>
        <v>0</v>
      </c>
      <c r="N1302" s="198">
        <f ca="1">N1301</f>
        <v>0</v>
      </c>
      <c r="O1302" s="198">
        <f ca="1">O1301</f>
        <v>0</v>
      </c>
      <c r="P1302" s="198">
        <f ca="1">P1301</f>
        <v>0</v>
      </c>
      <c r="Q1302" s="198">
        <f ca="1">Q1301</f>
        <v>0</v>
      </c>
      <c r="R1302" s="198">
        <f ca="1">+R1286+R1287</f>
        <v>0</v>
      </c>
      <c r="S1302" s="199">
        <f ca="1">SUM(S1286:S1290)</f>
        <v>0</v>
      </c>
      <c r="T1302" s="294"/>
    </row>
    <row r="1303" spans="1:20" ht="75" hidden="1" customHeight="1" outlineLevel="1" x14ac:dyDescent="0.25">
      <c r="A1303" s="302"/>
      <c r="C1303" s="294"/>
      <c r="H1303" s="192"/>
      <c r="I1303" s="198"/>
      <c r="J1303" s="198"/>
      <c r="K1303" s="198"/>
      <c r="L1303" s="198"/>
      <c r="M1303" s="198"/>
      <c r="N1303" s="198"/>
      <c r="O1303" s="198"/>
      <c r="P1303" s="198"/>
      <c r="Q1303" s="198"/>
      <c r="R1303" s="198"/>
      <c r="S1303" s="199"/>
      <c r="T1303" s="294"/>
    </row>
    <row r="1304" spans="1:20" hidden="1" outlineLevel="1" x14ac:dyDescent="0.25">
      <c r="A1304" s="302"/>
      <c r="C1304" s="294"/>
      <c r="D1304" s="495" t="str">
        <f>"Variance Analysis of Returns in "&amp;FIXED(year+4,0,1)&amp;":"</f>
        <v>Variance Analysis of Returns in 2002:</v>
      </c>
      <c r="H1304" s="352"/>
      <c r="I1304" s="353"/>
      <c r="J1304" s="353"/>
      <c r="K1304" s="353"/>
      <c r="L1304" s="353"/>
      <c r="M1304" s="353"/>
      <c r="N1304" s="198"/>
      <c r="O1304" s="198"/>
      <c r="P1304" s="198"/>
      <c r="Q1304" s="198"/>
      <c r="R1304" s="198"/>
      <c r="S1304" s="199"/>
      <c r="T1304" s="294"/>
    </row>
    <row r="1305" spans="1:20" hidden="1" outlineLevel="1" x14ac:dyDescent="0.25">
      <c r="A1305" s="302"/>
      <c r="C1305" s="294"/>
      <c r="D1305" s="169"/>
      <c r="H1305" s="345"/>
      <c r="I1305" s="345"/>
      <c r="J1305" s="345"/>
      <c r="K1305" s="345"/>
      <c r="L1305" s="345"/>
      <c r="M1305" s="345"/>
      <c r="N1305" s="198"/>
      <c r="O1305" s="198"/>
      <c r="P1305" s="198"/>
      <c r="Q1305" s="198"/>
      <c r="R1305" s="198"/>
      <c r="S1305" s="199"/>
      <c r="T1305" s="294"/>
    </row>
    <row r="1306" spans="1:20" hidden="1" outlineLevel="1" x14ac:dyDescent="0.25">
      <c r="A1306" s="302"/>
      <c r="C1306" s="294"/>
      <c r="D1306" s="169"/>
      <c r="H1306" s="341" t="str">
        <f>"Fully Diluted Equity to "&amp;$D$1417</f>
        <v>Fully Diluted Equity to Preferred 1</v>
      </c>
      <c r="I1306" s="342"/>
      <c r="J1306" s="342"/>
      <c r="K1306" s="342"/>
      <c r="L1306" s="342"/>
      <c r="M1306" s="342"/>
      <c r="N1306" s="342"/>
      <c r="O1306" s="198"/>
      <c r="P1306" s="198"/>
      <c r="Q1306" s="198"/>
      <c r="R1306" s="198"/>
      <c r="S1306" s="199"/>
      <c r="T1306" s="294"/>
    </row>
    <row r="1307" spans="1:20" hidden="1" outlineLevel="1" x14ac:dyDescent="0.25">
      <c r="A1307" s="302"/>
      <c r="C1307" s="294"/>
      <c r="H1307" s="446" t="str">
        <f>IF($S$925=0,"NA",I1307-$O$1417)</f>
        <v>NA</v>
      </c>
      <c r="I1307" s="446" t="str">
        <f>IF($S$925=0,"NA",J1307-$O$1417)</f>
        <v>NA</v>
      </c>
      <c r="J1307" s="446" t="str">
        <f>IF($S$925=0,"NA",K1307-$O$1417)</f>
        <v>NA</v>
      </c>
      <c r="K1307" s="447" t="str">
        <f>IF(S925=0,"NA",ROUND(($S$925*1000)/5,0)*0.005)</f>
        <v>NA</v>
      </c>
      <c r="L1307" s="446" t="str">
        <f>IF($S$925=0,"NA",K1307+$O$1417)</f>
        <v>NA</v>
      </c>
      <c r="M1307" s="446" t="str">
        <f>IF($S$925=0,"NA",L1307+$O$1417)</f>
        <v>NA</v>
      </c>
      <c r="N1307" s="446" t="str">
        <f>IF($S$925=0,"NA",M1307+$O$1417)</f>
        <v>NA</v>
      </c>
      <c r="O1307" s="198"/>
      <c r="P1307" s="198"/>
      <c r="Q1307" s="198"/>
      <c r="R1307" s="198"/>
      <c r="S1307" s="199"/>
      <c r="T1307" s="294"/>
    </row>
    <row r="1308" spans="1:20" hidden="1" outlineLevel="1" x14ac:dyDescent="0.25">
      <c r="A1308" s="302"/>
      <c r="C1308" s="294"/>
      <c r="G1308" s="546">
        <f>G1309-step</f>
        <v>4.5</v>
      </c>
      <c r="H1308" s="452" t="str">
        <f>IF($S$925=0,"NA",IRR((I1297,J1297,K1297,L1297,M1297,H1317)))</f>
        <v>NA</v>
      </c>
      <c r="I1308" s="452" t="str">
        <f>IF($S$925=0,"NA",IRR(($I$1297,$J$1297,$K$1297,$L$1297,$M$1297,I1317)))</f>
        <v>NA</v>
      </c>
      <c r="J1308" s="452" t="str">
        <f>IF($S$925=0,"NA",IRR(($I$1297,$J$1297,$K$1297,$L$1297,$M$1297,J1317)))</f>
        <v>NA</v>
      </c>
      <c r="K1308" s="453" t="str">
        <f>IF($S$925=0,"NA",IRR(($I$1297,$J$1297,$K$1297,$L$1297,$M$1297,K1317)))</f>
        <v>NA</v>
      </c>
      <c r="L1308" s="452" t="str">
        <f>IF($S$925=0,"NA",IRR(($I$1297,$J$1297,$K$1297,$L$1297,$M$1297,L1317)))</f>
        <v>NA</v>
      </c>
      <c r="M1308" s="452" t="str">
        <f>IF($S$925=0,"NA",IRR(($I$1297,$J$1297,$K$1297,$L$1297,$M$1297,M1317)))</f>
        <v>NA</v>
      </c>
      <c r="N1308" s="452" t="str">
        <f>IF($S$925=0,"NA",IRR(($I$1297,$J$1297,$K$1297,$L$1297,$M$1297,N1317)))</f>
        <v>NA</v>
      </c>
      <c r="O1308" s="198"/>
      <c r="P1308" s="198"/>
      <c r="Q1308" s="198"/>
      <c r="R1308" s="198"/>
      <c r="S1308" s="199"/>
      <c r="T1308" s="294"/>
    </row>
    <row r="1309" spans="1:20" hidden="1" outlineLevel="1" x14ac:dyDescent="0.25">
      <c r="A1309" s="302"/>
      <c r="C1309" s="294"/>
      <c r="F1309" s="711" t="s">
        <v>412</v>
      </c>
      <c r="G1309" s="546">
        <f>G1310-step</f>
        <v>5</v>
      </c>
      <c r="H1309" s="452" t="str">
        <f>IF($S$925=0,"NA",IRR(($I$1297,$J$1297,$K$1297,$L$1297,$M$1297,H1318)))</f>
        <v>NA</v>
      </c>
      <c r="I1309" s="452" t="str">
        <f>IF($S$925=0,"NA",IRR(($I$1297,$J$1297,$K$1297,$L$1297,$M$1297,I1318)))</f>
        <v>NA</v>
      </c>
      <c r="J1309" s="452" t="str">
        <f>IF($S$925=0,"NA",IRR(($I$1297,$J$1297,$K$1297,$L$1297,$M$1297,J1318)))</f>
        <v>NA</v>
      </c>
      <c r="K1309" s="454" t="str">
        <f>IF($S$925=0,"NA",IRR(($I$1297,$J$1297,$K$1297,$L$1297,$M$1297,K1318)))</f>
        <v>NA</v>
      </c>
      <c r="L1309" s="452" t="str">
        <f>IF($S$925=0,"NA",IRR(($I$1297,$J$1297,$K$1297,$L$1297,$M$1297,L1318)))</f>
        <v>NA</v>
      </c>
      <c r="M1309" s="452" t="str">
        <f>IF($S$925=0,"NA",IRR(($I$1297,$J$1297,$K$1297,$L$1297,$M$1297,M1318)))</f>
        <v>NA</v>
      </c>
      <c r="N1309" s="452" t="str">
        <f>IF($S$925=0,"NA",IRR(($I$1297,$J$1297,$K$1297,$L$1297,$M$1297,N1318)))</f>
        <v>NA</v>
      </c>
      <c r="O1309" s="198"/>
      <c r="P1309" s="198"/>
      <c r="Q1309" s="198"/>
      <c r="R1309" s="198"/>
      <c r="S1309" s="199"/>
      <c r="T1309" s="294"/>
    </row>
    <row r="1310" spans="1:20" ht="18.75" hidden="1" customHeight="1" outlineLevel="1" x14ac:dyDescent="0.25">
      <c r="A1310" s="302"/>
      <c r="C1310" s="294"/>
      <c r="F1310" s="712" t="s">
        <v>61</v>
      </c>
      <c r="G1310" s="549">
        <f>mult</f>
        <v>5.5</v>
      </c>
      <c r="H1310" s="471" t="str">
        <f>IF($S$925=0,"NA",IRR(($I$1297,$J$1297,$K$1297,$L$1297,$M$1297,H1319)))</f>
        <v>NA</v>
      </c>
      <c r="I1310" s="396" t="str">
        <f>IF($S$925=0,"NA",IRR(($I$1297,$J$1297,$K$1297,$L$1297,$M$1297,I1319)))</f>
        <v>NA</v>
      </c>
      <c r="J1310" s="396" t="str">
        <f>IF($S$925=0,"NA",IRR(($I$1297,$J$1297,$K$1297,$L$1297,$M$1297,J1319)))</f>
        <v>NA</v>
      </c>
      <c r="K1310" s="472" t="str">
        <f>IF($S$925=0,"NA",IRR(($I$1297,$J$1297,$K$1297,$L$1297,$M$1297,K1319)))</f>
        <v>NA</v>
      </c>
      <c r="L1310" s="396" t="str">
        <f>IF($S$925=0,"NA",IRR(($I$1297,$J$1297,$K$1297,$L$1297,$M$1297,L1319)))</f>
        <v>NA</v>
      </c>
      <c r="M1310" s="396" t="str">
        <f>IF($S$925=0,"NA",IRR(($I$1297,$J$1297,$K$1297,$L$1297,$M$1297,M1319)))</f>
        <v>NA</v>
      </c>
      <c r="N1310" s="473" t="str">
        <f>IF($S$925=0,"NA",IRR(($I$1297,$J$1297,$K$1297,$L$1297,$M$1297,N1319)))</f>
        <v>NA</v>
      </c>
      <c r="O1310" s="198"/>
      <c r="P1310" s="198"/>
      <c r="Q1310" s="198"/>
      <c r="R1310" s="198"/>
      <c r="S1310" s="199"/>
      <c r="T1310" s="294"/>
    </row>
    <row r="1311" spans="1:20" hidden="1" outlineLevel="1" x14ac:dyDescent="0.25">
      <c r="A1311" s="302"/>
      <c r="C1311" s="294"/>
      <c r="F1311" s="711" t="s">
        <v>413</v>
      </c>
      <c r="G1311" s="546">
        <f>G1310+step</f>
        <v>6</v>
      </c>
      <c r="H1311" s="452" t="str">
        <f>IF($S$925=0,"NA",IRR(($I$1297,$J$1297,$K$1297,$L$1297,$M$1297,H1320)))</f>
        <v>NA</v>
      </c>
      <c r="I1311" s="452" t="str">
        <f>IF($S$925=0,"NA",IRR(($I$1297,$J$1297,$K$1297,$L$1297,$M$1297,I1320)))</f>
        <v>NA</v>
      </c>
      <c r="J1311" s="452" t="str">
        <f>IF($S$925=0,"NA",IRR(($I$1297,$J$1297,$K$1297,$L$1297,$M$1297,J1320)))</f>
        <v>NA</v>
      </c>
      <c r="K1311" s="454" t="str">
        <f>IF($S$925=0,"NA",IRR(($I$1297,$J$1297,$K$1297,$L$1297,$M$1297,K1320)))</f>
        <v>NA</v>
      </c>
      <c r="L1311" s="452" t="str">
        <f>IF($S$925=0,"NA",IRR(($I$1297,$J$1297,$K$1297,$L$1297,$M$1297,L1320)))</f>
        <v>NA</v>
      </c>
      <c r="M1311" s="452" t="str">
        <f>IF($S$925=0,"NA",IRR(($I$1297,$J$1297,$K$1297,$L$1297,$M$1297,M1320)))</f>
        <v>NA</v>
      </c>
      <c r="N1311" s="452" t="str">
        <f>IF($S$925=0,"NA",IRR(($I$1297,$J$1297,$K$1297,$L$1297,$M$1297,N1320)))</f>
        <v>NA</v>
      </c>
      <c r="O1311" s="198"/>
      <c r="P1311" s="198"/>
      <c r="Q1311" s="198"/>
      <c r="R1311" s="198"/>
      <c r="S1311" s="199"/>
      <c r="T1311" s="294"/>
    </row>
    <row r="1312" spans="1:20" hidden="1" outlineLevel="1" x14ac:dyDescent="0.25">
      <c r="A1312" s="302"/>
      <c r="B1312" s="445" t="str">
        <f>"Rows ("&amp;ROW(B1314)&amp;") thru ("&amp;ROW(B1321)&amp;") are hidden."</f>
        <v>Rows (1314) thru (1321) are hidden.</v>
      </c>
      <c r="C1312" s="417"/>
      <c r="F1312" s="339"/>
      <c r="G1312" s="546">
        <f>G1311+step</f>
        <v>6.5</v>
      </c>
      <c r="H1312" s="452" t="str">
        <f>IF($S$925=0,"NA",IRR(($I$1297,$J$1297,$K$1297,$L$1297,$M$1297,H1321)))</f>
        <v>NA</v>
      </c>
      <c r="I1312" s="452" t="str">
        <f>IF($S$925=0,"NA",IRR(($I$1297,$J$1297,$K$1297,$L$1297,$M$1297,I1321)))</f>
        <v>NA</v>
      </c>
      <c r="J1312" s="452" t="str">
        <f>IF($S$925=0,"NA",IRR(($I$1297,$J$1297,$K$1297,$L$1297,$M$1297,J1321)))</f>
        <v>NA</v>
      </c>
      <c r="K1312" s="455" t="str">
        <f>IF($S$925=0,"NA",IRR(($I$1297,$J$1297,$K$1297,$L$1297,$M$1297,K1321)))</f>
        <v>NA</v>
      </c>
      <c r="L1312" s="452" t="str">
        <f>IF($S$925=0,"NA",IRR(($I$1297,$J$1297,$K$1297,$L$1297,$M$1297,L1321)))</f>
        <v>NA</v>
      </c>
      <c r="M1312" s="452" t="str">
        <f>IF($S$925=0,"NA",IRR(($I$1297,$J$1297,$K$1297,$L$1297,$M$1297,M1321)))</f>
        <v>NA</v>
      </c>
      <c r="N1312" s="452" t="str">
        <f>IF($S$925=0,"NA",IRR(($I$1297,$J$1297,$K$1297,$L$1297,$M$1297,N1321)))</f>
        <v>NA</v>
      </c>
      <c r="O1312" s="198"/>
      <c r="P1312" s="198"/>
      <c r="Q1312" s="198"/>
      <c r="R1312" s="198"/>
      <c r="S1312" s="199"/>
      <c r="T1312" s="294"/>
    </row>
    <row r="1313" spans="1:20" hidden="1" outlineLevel="1" x14ac:dyDescent="0.25">
      <c r="A1313" s="302"/>
      <c r="B1313" s="713" t="s">
        <v>414</v>
      </c>
      <c r="C1313" s="418"/>
      <c r="F1313" s="339"/>
      <c r="G1313" s="340"/>
      <c r="O1313" s="198"/>
      <c r="P1313" s="198"/>
      <c r="Q1313" s="198"/>
      <c r="R1313" s="198"/>
      <c r="S1313" s="199"/>
      <c r="T1313" s="294"/>
    </row>
    <row r="1314" spans="1:20" ht="24.75" hidden="1" customHeight="1" outlineLevel="1" x14ac:dyDescent="0.25">
      <c r="A1314" s="302"/>
      <c r="C1314" s="294"/>
      <c r="D1314" s="169" t="str">
        <f>"Cash Flow in "&amp;FIXED(year+4,0,1)&amp;":"</f>
        <v>Cash Flow in 2002:</v>
      </c>
      <c r="F1314" s="339"/>
      <c r="G1314" s="340"/>
      <c r="O1314" s="198"/>
      <c r="P1314" s="198"/>
      <c r="Q1314" s="198"/>
      <c r="R1314" s="198"/>
      <c r="S1314" s="199"/>
      <c r="T1314" s="294"/>
    </row>
    <row r="1315" spans="1:20" hidden="1" outlineLevel="1" x14ac:dyDescent="0.25">
      <c r="A1315" s="302"/>
      <c r="C1315" s="294"/>
      <c r="H1315" s="341" t="str">
        <f>"Fully Diluted Equity to "&amp;$D$1417</f>
        <v>Fully Diluted Equity to Preferred 1</v>
      </c>
      <c r="I1315" s="342"/>
      <c r="J1315" s="342"/>
      <c r="K1315" s="342"/>
      <c r="L1315" s="342"/>
      <c r="M1315" s="342"/>
      <c r="N1315" s="342"/>
      <c r="O1315" s="198"/>
      <c r="P1315" s="198"/>
      <c r="Q1315" s="198"/>
      <c r="R1315" s="198"/>
      <c r="S1315" s="199"/>
      <c r="T1315" s="294"/>
    </row>
    <row r="1316" spans="1:20" hidden="1" outlineLevel="1" x14ac:dyDescent="0.25">
      <c r="A1316" s="302"/>
      <c r="C1316" s="294"/>
      <c r="H1316" s="346" t="str">
        <f t="shared" ref="H1316:N1316" si="527">+H1307</f>
        <v>NA</v>
      </c>
      <c r="I1316" s="346" t="str">
        <f t="shared" si="527"/>
        <v>NA</v>
      </c>
      <c r="J1316" s="346" t="str">
        <f t="shared" si="527"/>
        <v>NA</v>
      </c>
      <c r="K1316" s="346" t="str">
        <f t="shared" si="527"/>
        <v>NA</v>
      </c>
      <c r="L1316" s="346" t="str">
        <f t="shared" si="527"/>
        <v>NA</v>
      </c>
      <c r="M1316" s="346" t="str">
        <f t="shared" si="527"/>
        <v>NA</v>
      </c>
      <c r="N1316" s="346" t="str">
        <f t="shared" si="527"/>
        <v>NA</v>
      </c>
      <c r="O1316" s="198"/>
      <c r="P1316" s="198"/>
      <c r="Q1316" s="198"/>
      <c r="R1316" s="198"/>
      <c r="S1316" s="199"/>
      <c r="T1316" s="294"/>
    </row>
    <row r="1317" spans="1:20" hidden="1" outlineLevel="1" x14ac:dyDescent="0.25">
      <c r="A1317" s="302"/>
      <c r="C1317" s="294"/>
      <c r="G1317" s="340">
        <f>G1318-step</f>
        <v>4.5</v>
      </c>
      <c r="H1317" s="103" t="e">
        <f t="shared" ref="H1317:N1321" ca="1" si="528">($N$1297-$N$1290)+((term_eq+(term_cf*($G1317-mult)))*H$1316)</f>
        <v>#VALUE!</v>
      </c>
      <c r="I1317" s="103" t="e">
        <f t="shared" ca="1" si="528"/>
        <v>#VALUE!</v>
      </c>
      <c r="J1317" s="103" t="e">
        <f t="shared" ca="1" si="528"/>
        <v>#VALUE!</v>
      </c>
      <c r="K1317" s="103" t="e">
        <f t="shared" ca="1" si="528"/>
        <v>#VALUE!</v>
      </c>
      <c r="L1317" s="103" t="e">
        <f t="shared" ca="1" si="528"/>
        <v>#VALUE!</v>
      </c>
      <c r="M1317" s="103" t="e">
        <f t="shared" ca="1" si="528"/>
        <v>#VALUE!</v>
      </c>
      <c r="N1317" s="103" t="e">
        <f t="shared" ca="1" si="528"/>
        <v>#VALUE!</v>
      </c>
      <c r="O1317" s="198"/>
      <c r="P1317" s="198"/>
      <c r="Q1317" s="198"/>
      <c r="R1317" s="198"/>
      <c r="S1317" s="199"/>
      <c r="T1317" s="294"/>
    </row>
    <row r="1318" spans="1:20" hidden="1" outlineLevel="1" x14ac:dyDescent="0.25">
      <c r="A1318" s="302"/>
      <c r="C1318" s="294"/>
      <c r="F1318" s="711" t="s">
        <v>412</v>
      </c>
      <c r="G1318" s="340">
        <f>G1319-step</f>
        <v>5</v>
      </c>
      <c r="H1318" s="103" t="e">
        <f t="shared" ca="1" si="528"/>
        <v>#VALUE!</v>
      </c>
      <c r="I1318" s="103" t="e">
        <f t="shared" ca="1" si="528"/>
        <v>#VALUE!</v>
      </c>
      <c r="J1318" s="103" t="e">
        <f t="shared" ca="1" si="528"/>
        <v>#VALUE!</v>
      </c>
      <c r="K1318" s="103" t="e">
        <f t="shared" ca="1" si="528"/>
        <v>#VALUE!</v>
      </c>
      <c r="L1318" s="103" t="e">
        <f t="shared" ca="1" si="528"/>
        <v>#VALUE!</v>
      </c>
      <c r="M1318" s="103" t="e">
        <f t="shared" ca="1" si="528"/>
        <v>#VALUE!</v>
      </c>
      <c r="N1318" s="103" t="e">
        <f t="shared" ca="1" si="528"/>
        <v>#VALUE!</v>
      </c>
      <c r="O1318" s="198"/>
      <c r="P1318" s="198"/>
      <c r="Q1318" s="198"/>
      <c r="R1318" s="198"/>
      <c r="S1318" s="199"/>
      <c r="T1318" s="294"/>
    </row>
    <row r="1319" spans="1:20" hidden="1" outlineLevel="1" x14ac:dyDescent="0.25">
      <c r="A1319" s="302"/>
      <c r="C1319" s="294"/>
      <c r="F1319" s="711" t="s">
        <v>61</v>
      </c>
      <c r="G1319" s="360">
        <f>mult</f>
        <v>5.5</v>
      </c>
      <c r="H1319" s="103" t="e">
        <f t="shared" ca="1" si="528"/>
        <v>#VALUE!</v>
      </c>
      <c r="I1319" s="103" t="e">
        <f t="shared" ca="1" si="528"/>
        <v>#VALUE!</v>
      </c>
      <c r="J1319" s="103" t="e">
        <f t="shared" ca="1" si="528"/>
        <v>#VALUE!</v>
      </c>
      <c r="K1319" s="103" t="e">
        <f t="shared" ca="1" si="528"/>
        <v>#VALUE!</v>
      </c>
      <c r="L1319" s="103" t="e">
        <f t="shared" ca="1" si="528"/>
        <v>#VALUE!</v>
      </c>
      <c r="M1319" s="103" t="e">
        <f t="shared" ca="1" si="528"/>
        <v>#VALUE!</v>
      </c>
      <c r="N1319" s="103" t="e">
        <f t="shared" ca="1" si="528"/>
        <v>#VALUE!</v>
      </c>
      <c r="O1319" s="198"/>
      <c r="P1319" s="198"/>
      <c r="Q1319" s="198"/>
      <c r="R1319" s="198"/>
      <c r="S1319" s="199"/>
      <c r="T1319" s="294"/>
    </row>
    <row r="1320" spans="1:20" hidden="1" outlineLevel="1" x14ac:dyDescent="0.25">
      <c r="A1320" s="302"/>
      <c r="C1320" s="294"/>
      <c r="F1320" s="711" t="s">
        <v>413</v>
      </c>
      <c r="G1320" s="340">
        <f>G1319+step</f>
        <v>6</v>
      </c>
      <c r="H1320" s="103" t="e">
        <f t="shared" ca="1" si="528"/>
        <v>#VALUE!</v>
      </c>
      <c r="I1320" s="103" t="e">
        <f t="shared" ca="1" si="528"/>
        <v>#VALUE!</v>
      </c>
      <c r="J1320" s="103" t="e">
        <f t="shared" ca="1" si="528"/>
        <v>#VALUE!</v>
      </c>
      <c r="K1320" s="103" t="e">
        <f t="shared" ca="1" si="528"/>
        <v>#VALUE!</v>
      </c>
      <c r="L1320" s="103" t="e">
        <f t="shared" ca="1" si="528"/>
        <v>#VALUE!</v>
      </c>
      <c r="M1320" s="103" t="e">
        <f t="shared" ca="1" si="528"/>
        <v>#VALUE!</v>
      </c>
      <c r="N1320" s="103" t="e">
        <f t="shared" ca="1" si="528"/>
        <v>#VALUE!</v>
      </c>
      <c r="O1320" s="198"/>
      <c r="P1320" s="198"/>
      <c r="Q1320" s="198"/>
      <c r="R1320" s="198"/>
      <c r="S1320" s="199"/>
      <c r="T1320" s="294"/>
    </row>
    <row r="1321" spans="1:20" hidden="1" outlineLevel="1" x14ac:dyDescent="0.25">
      <c r="A1321" s="302"/>
      <c r="C1321" s="294"/>
      <c r="F1321" s="339"/>
      <c r="G1321" s="340">
        <f>G1320+step</f>
        <v>6.5</v>
      </c>
      <c r="H1321" s="103" t="e">
        <f t="shared" ca="1" si="528"/>
        <v>#VALUE!</v>
      </c>
      <c r="I1321" s="103" t="e">
        <f t="shared" ca="1" si="528"/>
        <v>#VALUE!</v>
      </c>
      <c r="J1321" s="103" t="e">
        <f t="shared" ca="1" si="528"/>
        <v>#VALUE!</v>
      </c>
      <c r="K1321" s="103" t="e">
        <f t="shared" ca="1" si="528"/>
        <v>#VALUE!</v>
      </c>
      <c r="L1321" s="103" t="e">
        <f t="shared" ca="1" si="528"/>
        <v>#VALUE!</v>
      </c>
      <c r="M1321" s="103" t="e">
        <f t="shared" ca="1" si="528"/>
        <v>#VALUE!</v>
      </c>
      <c r="N1321" s="103" t="e">
        <f t="shared" ca="1" si="528"/>
        <v>#VALUE!</v>
      </c>
      <c r="O1321" s="198"/>
      <c r="P1321" s="198"/>
      <c r="Q1321" s="198"/>
      <c r="R1321" s="198"/>
      <c r="S1321" s="199"/>
      <c r="T1321" s="294"/>
    </row>
    <row r="1322" spans="1:20" hidden="1" outlineLevel="1" x14ac:dyDescent="0.25">
      <c r="A1322" s="302"/>
      <c r="C1322" s="294"/>
      <c r="O1322" s="198"/>
      <c r="P1322" s="198"/>
      <c r="Q1322" s="198"/>
      <c r="R1322" s="198"/>
      <c r="S1322" s="199"/>
      <c r="T1322" s="294"/>
    </row>
    <row r="1323" spans="1:20" ht="51.75" hidden="1" customHeight="1" outlineLevel="1" x14ac:dyDescent="0.25">
      <c r="A1323" s="302"/>
      <c r="C1323" s="294"/>
      <c r="D1323" s="217" t="str">
        <f>" Blended Returns to Holders of "&amp;$D$1418</f>
        <v xml:space="preserve"> Blended Returns to Holders of Preferred 2</v>
      </c>
      <c r="E1323" s="170"/>
      <c r="F1323" s="170"/>
      <c r="G1323" s="357"/>
      <c r="H1323" s="358"/>
      <c r="I1323" s="358"/>
      <c r="J1323" s="358"/>
      <c r="K1323" s="358"/>
      <c r="L1323" s="358"/>
      <c r="M1323" s="358"/>
      <c r="N1323" s="348"/>
      <c r="O1323" s="348"/>
      <c r="P1323" s="348"/>
      <c r="Q1323" s="348"/>
      <c r="R1323" s="348"/>
      <c r="S1323" s="522"/>
      <c r="T1323" s="294"/>
    </row>
    <row r="1324" spans="1:20" hidden="1" outlineLevel="1" x14ac:dyDescent="0.25">
      <c r="A1324" s="302"/>
      <c r="C1324" s="294"/>
      <c r="D1324" s="495" t="str">
        <f>"Cash Flows to "&amp;$D$1418&amp;":"</f>
        <v>Cash Flows to Preferred 2:</v>
      </c>
      <c r="E1324" s="170"/>
      <c r="F1324" s="170"/>
      <c r="G1324" s="357"/>
      <c r="H1324" s="358"/>
      <c r="I1324" s="358"/>
      <c r="J1324" s="188" t="str">
        <f>"For the Fiscal Year Ending "&amp;fye</f>
        <v>For the Fiscal Year Ending December 31,</v>
      </c>
      <c r="K1324" s="190"/>
      <c r="L1324" s="190"/>
      <c r="M1324" s="190"/>
      <c r="N1324" s="190"/>
      <c r="O1324" s="190"/>
      <c r="P1324" s="190"/>
      <c r="Q1324" s="190"/>
      <c r="R1324" s="190"/>
      <c r="S1324" s="190"/>
      <c r="T1324" s="294"/>
    </row>
    <row r="1325" spans="1:20" hidden="1" outlineLevel="1" x14ac:dyDescent="0.25">
      <c r="A1325" s="302"/>
      <c r="C1325" s="294"/>
      <c r="D1325" s="495"/>
      <c r="H1325" s="192"/>
      <c r="I1325" s="680" t="s">
        <v>95</v>
      </c>
      <c r="J1325" s="101">
        <f>year</f>
        <v>1998</v>
      </c>
      <c r="K1325" s="101">
        <f t="shared" ref="K1325:S1325" si="529">J1325+1</f>
        <v>1999</v>
      </c>
      <c r="L1325" s="101">
        <f t="shared" si="529"/>
        <v>2000</v>
      </c>
      <c r="M1325" s="101">
        <f t="shared" si="529"/>
        <v>2001</v>
      </c>
      <c r="N1325" s="338">
        <f t="shared" si="529"/>
        <v>2002</v>
      </c>
      <c r="O1325" s="101">
        <f t="shared" si="529"/>
        <v>2003</v>
      </c>
      <c r="P1325" s="101">
        <f t="shared" si="529"/>
        <v>2004</v>
      </c>
      <c r="Q1325" s="101">
        <f t="shared" si="529"/>
        <v>2005</v>
      </c>
      <c r="R1325" s="101">
        <f t="shared" si="529"/>
        <v>2006</v>
      </c>
      <c r="S1325" s="514">
        <f t="shared" si="529"/>
        <v>2007</v>
      </c>
      <c r="T1325" s="294"/>
    </row>
    <row r="1326" spans="1:20" hidden="1" outlineLevel="1" x14ac:dyDescent="0.25">
      <c r="A1326" s="302"/>
      <c r="C1326" s="294"/>
      <c r="D1326" s="600" t="s">
        <v>422</v>
      </c>
      <c r="H1326" s="349"/>
      <c r="I1326" s="198">
        <f ca="1">-J665</f>
        <v>0</v>
      </c>
      <c r="J1326" s="198"/>
      <c r="K1326" s="198"/>
      <c r="L1326" s="198"/>
      <c r="M1326" s="198"/>
      <c r="N1326" s="476"/>
      <c r="O1326" s="198"/>
      <c r="P1326" s="198"/>
      <c r="Q1326" s="198"/>
      <c r="R1326" s="198"/>
      <c r="S1326" s="199"/>
      <c r="T1326" s="294"/>
    </row>
    <row r="1327" spans="1:20" hidden="1" outlineLevel="1" x14ac:dyDescent="0.25">
      <c r="A1327" s="302"/>
      <c r="C1327" s="294"/>
      <c r="D1327" s="554" t="s">
        <v>423</v>
      </c>
      <c r="I1327" s="351">
        <f ca="1">-equity*$G$926</f>
        <v>0</v>
      </c>
      <c r="N1327" s="335"/>
      <c r="O1327" s="1"/>
      <c r="S1327" s="41"/>
      <c r="T1327" s="294"/>
    </row>
    <row r="1328" spans="1:20" ht="18" hidden="1" customHeight="1" outlineLevel="1" x14ac:dyDescent="0.25">
      <c r="A1328" s="302"/>
      <c r="C1328" s="294"/>
      <c r="D1328" s="600" t="s">
        <v>424</v>
      </c>
      <c r="I1328" s="600" t="s">
        <v>101</v>
      </c>
      <c r="J1328" s="198">
        <f ca="1">J666-J667</f>
        <v>0</v>
      </c>
      <c r="K1328" s="198">
        <f t="shared" ref="K1328:S1328" ca="1" si="530">K666-K667</f>
        <v>0</v>
      </c>
      <c r="L1328" s="198">
        <f t="shared" ca="1" si="530"/>
        <v>0</v>
      </c>
      <c r="M1328" s="198">
        <f t="shared" ca="1" si="530"/>
        <v>0</v>
      </c>
      <c r="N1328" s="476">
        <f t="shared" ca="1" si="530"/>
        <v>0</v>
      </c>
      <c r="O1328" s="198">
        <f t="shared" ca="1" si="530"/>
        <v>0</v>
      </c>
      <c r="P1328" s="198">
        <f t="shared" ca="1" si="530"/>
        <v>0</v>
      </c>
      <c r="Q1328" s="198">
        <f t="shared" ca="1" si="530"/>
        <v>0</v>
      </c>
      <c r="R1328" s="198">
        <f t="shared" ca="1" si="530"/>
        <v>0</v>
      </c>
      <c r="S1328" s="199">
        <f t="shared" ca="1" si="530"/>
        <v>0</v>
      </c>
      <c r="T1328" s="294"/>
    </row>
    <row r="1329" spans="1:20" hidden="1" outlineLevel="1" x14ac:dyDescent="0.25">
      <c r="A1329" s="302"/>
      <c r="C1329" s="294"/>
      <c r="D1329" s="600" t="s">
        <v>425</v>
      </c>
      <c r="I1329" s="600" t="s">
        <v>101</v>
      </c>
      <c r="J1329" s="198">
        <f ca="1">+J668</f>
        <v>0</v>
      </c>
      <c r="K1329" s="198">
        <f t="shared" ref="K1329:S1329" ca="1" si="531">+K668</f>
        <v>0</v>
      </c>
      <c r="L1329" s="198">
        <f t="shared" ca="1" si="531"/>
        <v>0</v>
      </c>
      <c r="M1329" s="198">
        <f t="shared" ca="1" si="531"/>
        <v>0</v>
      </c>
      <c r="N1329" s="476">
        <f t="shared" ca="1" si="531"/>
        <v>0</v>
      </c>
      <c r="O1329" s="198">
        <f t="shared" ca="1" si="531"/>
        <v>0</v>
      </c>
      <c r="P1329" s="198">
        <f t="shared" ca="1" si="531"/>
        <v>0</v>
      </c>
      <c r="Q1329" s="198">
        <f t="shared" ca="1" si="531"/>
        <v>0</v>
      </c>
      <c r="R1329" s="198">
        <f t="shared" ca="1" si="531"/>
        <v>0</v>
      </c>
      <c r="S1329" s="199">
        <f t="shared" ca="1" si="531"/>
        <v>0</v>
      </c>
      <c r="T1329" s="294"/>
    </row>
    <row r="1330" spans="1:20" ht="18.75" hidden="1" customHeight="1" outlineLevel="1" x14ac:dyDescent="0.25">
      <c r="A1330" s="302"/>
      <c r="C1330" s="294"/>
      <c r="D1330" s="715" t="s">
        <v>426</v>
      </c>
      <c r="I1330" s="600" t="s">
        <v>101</v>
      </c>
      <c r="J1330" s="198">
        <f t="shared" ref="J1330:S1330" ca="1" si="532">J669</f>
        <v>0</v>
      </c>
      <c r="K1330" s="198">
        <f t="shared" ca="1" si="532"/>
        <v>0</v>
      </c>
      <c r="L1330" s="198">
        <f t="shared" ca="1" si="532"/>
        <v>0</v>
      </c>
      <c r="M1330" s="198">
        <f t="shared" ca="1" si="532"/>
        <v>0</v>
      </c>
      <c r="N1330" s="476">
        <f t="shared" ca="1" si="532"/>
        <v>0</v>
      </c>
      <c r="O1330" s="198">
        <f t="shared" ca="1" si="532"/>
        <v>0</v>
      </c>
      <c r="P1330" s="198">
        <f t="shared" ca="1" si="532"/>
        <v>0</v>
      </c>
      <c r="Q1330" s="198">
        <f t="shared" ca="1" si="532"/>
        <v>0</v>
      </c>
      <c r="R1330" s="198">
        <f t="shared" ca="1" si="532"/>
        <v>0</v>
      </c>
      <c r="S1330" s="199">
        <f t="shared" ca="1" si="532"/>
        <v>0</v>
      </c>
      <c r="T1330" s="294"/>
    </row>
    <row r="1331" spans="1:20" hidden="1" outlineLevel="1" x14ac:dyDescent="0.25">
      <c r="A1331" s="302"/>
      <c r="C1331" s="294"/>
      <c r="D1331" s="600" t="s">
        <v>416</v>
      </c>
      <c r="I1331" s="600" t="s">
        <v>101</v>
      </c>
      <c r="J1331" s="198">
        <f t="shared" ref="J1331:S1331" ca="1" si="533">-$J$55*$I$926</f>
        <v>0</v>
      </c>
      <c r="K1331" s="198">
        <f t="shared" ca="1" si="533"/>
        <v>0</v>
      </c>
      <c r="L1331" s="198">
        <f t="shared" ca="1" si="533"/>
        <v>0</v>
      </c>
      <c r="M1331" s="198">
        <f t="shared" ca="1" si="533"/>
        <v>0</v>
      </c>
      <c r="N1331" s="476">
        <f t="shared" ca="1" si="533"/>
        <v>0</v>
      </c>
      <c r="O1331" s="198">
        <f t="shared" ca="1" si="533"/>
        <v>0</v>
      </c>
      <c r="P1331" s="198">
        <f t="shared" ca="1" si="533"/>
        <v>0</v>
      </c>
      <c r="Q1331" s="198">
        <f t="shared" ca="1" si="533"/>
        <v>0</v>
      </c>
      <c r="R1331" s="198">
        <f t="shared" ca="1" si="533"/>
        <v>0</v>
      </c>
      <c r="S1331" s="199">
        <f t="shared" ca="1" si="533"/>
        <v>0</v>
      </c>
      <c r="T1331" s="294"/>
    </row>
    <row r="1332" spans="1:20" hidden="1" outlineLevel="1" x14ac:dyDescent="0.25">
      <c r="A1332" s="302"/>
      <c r="C1332" s="294"/>
      <c r="D1332" s="202" t="s">
        <v>417</v>
      </c>
      <c r="I1332" s="600" t="s">
        <v>101</v>
      </c>
      <c r="J1332" s="31">
        <f t="shared" ref="J1332:S1332" ca="1" si="534">J$955*$S$926</f>
        <v>0</v>
      </c>
      <c r="K1332" s="31">
        <f t="shared" ca="1" si="534"/>
        <v>0</v>
      </c>
      <c r="L1332" s="31">
        <f t="shared" ca="1" si="534"/>
        <v>0</v>
      </c>
      <c r="M1332" s="31">
        <f t="shared" ca="1" si="534"/>
        <v>0</v>
      </c>
      <c r="N1332" s="478">
        <f t="shared" ca="1" si="534"/>
        <v>0</v>
      </c>
      <c r="O1332" s="31">
        <f t="shared" ca="1" si="534"/>
        <v>0</v>
      </c>
      <c r="P1332" s="31">
        <f t="shared" ca="1" si="534"/>
        <v>0</v>
      </c>
      <c r="Q1332" s="31">
        <f t="shared" ca="1" si="534"/>
        <v>0</v>
      </c>
      <c r="R1332" s="31">
        <f t="shared" ca="1" si="534"/>
        <v>0</v>
      </c>
      <c r="S1332" s="521">
        <f t="shared" ca="1" si="534"/>
        <v>0</v>
      </c>
      <c r="T1332" s="294"/>
    </row>
    <row r="1333" spans="1:20" ht="75" hidden="1" customHeight="1" outlineLevel="1" x14ac:dyDescent="0.25">
      <c r="A1333" s="302"/>
      <c r="C1333" s="294"/>
      <c r="D1333" s="494" t="str">
        <f>"IRR to "&amp;$D$1418&amp;" (Assuming "&amp;FIXED($S$926*100,1)&amp;"% Ownership):"</f>
        <v>IRR to Preferred 2 (Assuming 0.0% Ownership):</v>
      </c>
      <c r="I1333" s="38"/>
      <c r="J1333" s="188" t="str">
        <f>"For the Fiscal Year Ending "&amp;fye</f>
        <v>For the Fiscal Year Ending December 31,</v>
      </c>
      <c r="K1333" s="190"/>
      <c r="L1333" s="190"/>
      <c r="M1333" s="190"/>
      <c r="N1333" s="190"/>
      <c r="O1333" s="190"/>
      <c r="P1333" s="190"/>
      <c r="Q1333" s="190"/>
      <c r="R1333" s="190"/>
      <c r="S1333" s="190"/>
      <c r="T1333" s="294"/>
    </row>
    <row r="1334" spans="1:20" hidden="1" outlineLevel="1" x14ac:dyDescent="0.25">
      <c r="A1334" s="302"/>
      <c r="C1334" s="294"/>
      <c r="D1334" s="337"/>
      <c r="H1334" s="689" t="s">
        <v>410</v>
      </c>
      <c r="I1334" s="679" t="s">
        <v>95</v>
      </c>
      <c r="J1334" s="101">
        <f>year</f>
        <v>1998</v>
      </c>
      <c r="K1334" s="101">
        <f t="shared" ref="K1334:S1334" si="535">J1334+1</f>
        <v>1999</v>
      </c>
      <c r="L1334" s="101">
        <f t="shared" si="535"/>
        <v>2000</v>
      </c>
      <c r="M1334" s="101">
        <f t="shared" si="535"/>
        <v>2001</v>
      </c>
      <c r="N1334" s="338">
        <f t="shared" si="535"/>
        <v>2002</v>
      </c>
      <c r="O1334" s="101">
        <f t="shared" si="535"/>
        <v>2003</v>
      </c>
      <c r="P1334" s="101">
        <f t="shared" si="535"/>
        <v>2004</v>
      </c>
      <c r="Q1334" s="101">
        <f t="shared" si="535"/>
        <v>2005</v>
      </c>
      <c r="R1334" s="101">
        <f t="shared" si="535"/>
        <v>2006</v>
      </c>
      <c r="S1334" s="514">
        <f t="shared" si="535"/>
        <v>2007</v>
      </c>
      <c r="T1334" s="294"/>
    </row>
    <row r="1335" spans="1:20" hidden="1" outlineLevel="1" x14ac:dyDescent="0.25">
      <c r="A1335" s="302"/>
      <c r="C1335" s="294"/>
      <c r="D1335" s="1" t="str">
        <f>"IRR for Exit in "&amp;FIXED(year,0,1)&amp;".............................................................................................................................................................................."</f>
        <v>IRR for Exit in 1998..............................................................................................................................................................................</v>
      </c>
      <c r="G1335" s="38"/>
      <c r="H1335" s="452" t="str">
        <f ca="1">IF(ISERROR(IRR(I1335:J1335,0.1)),"NA",IRR(I1335:J1335,0.1))</f>
        <v>NA</v>
      </c>
      <c r="I1335" s="198">
        <f ca="1">I1326+I1327</f>
        <v>0</v>
      </c>
      <c r="J1335" s="198">
        <f ca="1">SUM(J1328:J1332)</f>
        <v>0</v>
      </c>
      <c r="N1335" s="335"/>
      <c r="O1335" s="1"/>
      <c r="S1335" s="41"/>
      <c r="T1335" s="294"/>
    </row>
    <row r="1336" spans="1:20" hidden="1" outlineLevel="1" x14ac:dyDescent="0.25">
      <c r="A1336" s="302"/>
      <c r="C1336" s="294"/>
      <c r="D1336" s="1" t="str">
        <f>"IRR for Exit in "&amp;FIXED(year+1,0,1)&amp;".............................................................................................................................................................................."</f>
        <v>IRR for Exit in 1999..............................................................................................................................................................................</v>
      </c>
      <c r="H1336" s="452" t="str">
        <f ca="1">IF(ISERROR(IRR(I1336:K1336,0.1)),"NA",IRR(I1336:K1336,0.1))</f>
        <v>NA</v>
      </c>
      <c r="I1336" s="198">
        <f t="shared" ref="I1336:I1344" ca="1" si="536">I1335</f>
        <v>0</v>
      </c>
      <c r="J1336" s="198">
        <f ca="1">+J1328+J1329</f>
        <v>0</v>
      </c>
      <c r="K1336" s="198">
        <f ca="1">SUM(K1328:K1332)</f>
        <v>0</v>
      </c>
      <c r="N1336" s="335"/>
      <c r="O1336" s="1"/>
      <c r="S1336" s="41"/>
      <c r="T1336" s="294"/>
    </row>
    <row r="1337" spans="1:20" hidden="1" outlineLevel="1" x14ac:dyDescent="0.25">
      <c r="A1337" s="302"/>
      <c r="C1337" s="294"/>
      <c r="D1337" s="1" t="str">
        <f>"IRR for Exit in "&amp;FIXED(year+2,0,1)&amp;".............................................................................................................................................................................."</f>
        <v>IRR for Exit in 2000..............................................................................................................................................................................</v>
      </c>
      <c r="H1337" s="452" t="str">
        <f ca="1">IF(ISERROR(IRR(I1337:L1337,0.1)),"NA",IRR(I1337:L1337,0.1))</f>
        <v>NA</v>
      </c>
      <c r="I1337" s="198">
        <f t="shared" ca="1" si="536"/>
        <v>0</v>
      </c>
      <c r="J1337" s="198">
        <f t="shared" ref="J1337:J1344" ca="1" si="537">J1336</f>
        <v>0</v>
      </c>
      <c r="K1337" s="198">
        <f ca="1">+K1328+K1329</f>
        <v>0</v>
      </c>
      <c r="L1337" s="198">
        <f ca="1">SUM(L1328:L1332)</f>
        <v>0</v>
      </c>
      <c r="N1337" s="335"/>
      <c r="O1337" s="1"/>
      <c r="S1337" s="41"/>
      <c r="T1337" s="294"/>
    </row>
    <row r="1338" spans="1:20" hidden="1" outlineLevel="1" x14ac:dyDescent="0.25">
      <c r="A1338" s="302"/>
      <c r="C1338" s="294"/>
      <c r="D1338" s="1" t="str">
        <f>"IRR for Exit in "&amp;FIXED(year+3,0,1)&amp;".............................................................................................................................................................................."</f>
        <v>IRR for Exit in 2001..............................................................................................................................................................................</v>
      </c>
      <c r="F1338" s="13"/>
      <c r="G1338" s="7"/>
      <c r="H1338" s="452" t="str">
        <f ca="1">IF(ISERROR(IRR(I1338:M1338,0.1)),"NA",IRR(I1338:M1338,0.1))</f>
        <v>NA</v>
      </c>
      <c r="I1338" s="198">
        <f t="shared" ca="1" si="536"/>
        <v>0</v>
      </c>
      <c r="J1338" s="198">
        <f t="shared" ca="1" si="537"/>
        <v>0</v>
      </c>
      <c r="K1338" s="198">
        <f t="shared" ref="K1338:K1344" ca="1" si="538">K1337</f>
        <v>0</v>
      </c>
      <c r="L1338" s="198">
        <f ca="1">+L1328+L1329</f>
        <v>0</v>
      </c>
      <c r="M1338" s="198">
        <f ca="1">SUM(M1328:M1332)</f>
        <v>0</v>
      </c>
      <c r="N1338" s="335"/>
      <c r="O1338" s="1"/>
      <c r="S1338" s="41"/>
      <c r="T1338" s="294"/>
    </row>
    <row r="1339" spans="1:20" ht="25.5" hidden="1" customHeight="1" outlineLevel="1" x14ac:dyDescent="0.25">
      <c r="A1339" s="302"/>
      <c r="C1339" s="294"/>
      <c r="D1339" s="389" t="str">
        <f>"IRR for Exit in "&amp;FIXED(year+4,0,1)&amp;"......................................................................................................................"</f>
        <v>IRR for Exit in 2002......................................................................................................................</v>
      </c>
      <c r="E1339" s="390"/>
      <c r="F1339" s="391"/>
      <c r="G1339" s="390"/>
      <c r="H1339" s="396" t="str">
        <f ca="1">IF(ISERROR(IRR(I1339:N1339,0.1)),"NA",IRR(I1339:N1339,0.1))</f>
        <v>NA</v>
      </c>
      <c r="I1339" s="392">
        <f t="shared" ca="1" si="536"/>
        <v>0</v>
      </c>
      <c r="J1339" s="392">
        <f t="shared" ca="1" si="537"/>
        <v>0</v>
      </c>
      <c r="K1339" s="392">
        <f t="shared" ca="1" si="538"/>
        <v>0</v>
      </c>
      <c r="L1339" s="392">
        <f t="shared" ref="L1339:L1344" ca="1" si="539">L1338</f>
        <v>0</v>
      </c>
      <c r="M1339" s="392">
        <f ca="1">+M1328+M1329</f>
        <v>0</v>
      </c>
      <c r="N1339" s="393">
        <f ca="1">SUM(N1328:N1332)</f>
        <v>0</v>
      </c>
      <c r="O1339" s="1"/>
      <c r="S1339" s="41"/>
      <c r="T1339" s="294"/>
    </row>
    <row r="1340" spans="1:20" hidden="1" outlineLevel="1" x14ac:dyDescent="0.25">
      <c r="A1340" s="302"/>
      <c r="C1340" s="294"/>
      <c r="D1340" s="1" t="str">
        <f>"IRR for Exit in "&amp;FIXED(year+5,0,1)&amp;".............................................................................................................................................................................."</f>
        <v>IRR for Exit in 2003..............................................................................................................................................................................</v>
      </c>
      <c r="H1340" s="452" t="str">
        <f ca="1">IF(ISERROR(IRR(I1340:O1340,0.1)),"NA",IRR(I1340:O1340,0.1))</f>
        <v>NA</v>
      </c>
      <c r="I1340" s="198">
        <f t="shared" ca="1" si="536"/>
        <v>0</v>
      </c>
      <c r="J1340" s="198">
        <f t="shared" ca="1" si="537"/>
        <v>0</v>
      </c>
      <c r="K1340" s="198">
        <f t="shared" ca="1" si="538"/>
        <v>0</v>
      </c>
      <c r="L1340" s="198">
        <f t="shared" ca="1" si="539"/>
        <v>0</v>
      </c>
      <c r="M1340" s="198">
        <f ca="1">M1339</f>
        <v>0</v>
      </c>
      <c r="N1340" s="198">
        <f ca="1">+N1328+N1329</f>
        <v>0</v>
      </c>
      <c r="O1340" s="198">
        <f ca="1">SUM(O1328:O1332)</f>
        <v>0</v>
      </c>
      <c r="S1340" s="41"/>
      <c r="T1340" s="294"/>
    </row>
    <row r="1341" spans="1:20" hidden="1" outlineLevel="1" x14ac:dyDescent="0.25">
      <c r="A1341" s="302"/>
      <c r="C1341" s="294"/>
      <c r="D1341" s="1" t="str">
        <f>"IRR for Exit in "&amp;FIXED(year+6,0,1)&amp;".............................................................................................................................................................................."</f>
        <v>IRR for Exit in 2004..............................................................................................................................................................................</v>
      </c>
      <c r="H1341" s="452" t="str">
        <f ca="1">IF(ISERROR(IRR(I1341:P1341,0.1)),"NA",IRR(I1341:P1341,0.1))</f>
        <v>NA</v>
      </c>
      <c r="I1341" s="198">
        <f t="shared" ca="1" si="536"/>
        <v>0</v>
      </c>
      <c r="J1341" s="198">
        <f t="shared" ca="1" si="537"/>
        <v>0</v>
      </c>
      <c r="K1341" s="198">
        <f t="shared" ca="1" si="538"/>
        <v>0</v>
      </c>
      <c r="L1341" s="198">
        <f t="shared" ca="1" si="539"/>
        <v>0</v>
      </c>
      <c r="M1341" s="198">
        <f ca="1">M1340</f>
        <v>0</v>
      </c>
      <c r="N1341" s="198">
        <f ca="1">N1340</f>
        <v>0</v>
      </c>
      <c r="O1341" s="198">
        <f ca="1">+O1328+O1329</f>
        <v>0</v>
      </c>
      <c r="P1341" s="198">
        <f ca="1">SUM(P1328:P1332)</f>
        <v>0</v>
      </c>
      <c r="S1341" s="41"/>
      <c r="T1341" s="294"/>
    </row>
    <row r="1342" spans="1:20" hidden="1" outlineLevel="1" x14ac:dyDescent="0.25">
      <c r="A1342" s="302"/>
      <c r="C1342" s="294"/>
      <c r="D1342" s="1" t="str">
        <f>"IRR for Exit in "&amp;FIXED(year+7,0,1)&amp;".............................................................................................................................................................................."</f>
        <v>IRR for Exit in 2005..............................................................................................................................................................................</v>
      </c>
      <c r="H1342" s="452" t="str">
        <f ca="1">IF(ISERROR(IRR(I1342:Q1342,0.1)),"NA",IRR(I1342:Q1342,0.1))</f>
        <v>NA</v>
      </c>
      <c r="I1342" s="198">
        <f t="shared" ca="1" si="536"/>
        <v>0</v>
      </c>
      <c r="J1342" s="198">
        <f t="shared" ca="1" si="537"/>
        <v>0</v>
      </c>
      <c r="K1342" s="198">
        <f t="shared" ca="1" si="538"/>
        <v>0</v>
      </c>
      <c r="L1342" s="198">
        <f t="shared" ca="1" si="539"/>
        <v>0</v>
      </c>
      <c r="M1342" s="198">
        <f ca="1">M1341</f>
        <v>0</v>
      </c>
      <c r="N1342" s="198">
        <f ca="1">N1341</f>
        <v>0</v>
      </c>
      <c r="O1342" s="198">
        <f ca="1">O1341</f>
        <v>0</v>
      </c>
      <c r="P1342" s="198">
        <f ca="1">+P1328+P1329</f>
        <v>0</v>
      </c>
      <c r="Q1342" s="198">
        <f ca="1">SUM(Q1328:Q1332)</f>
        <v>0</v>
      </c>
      <c r="S1342" s="41"/>
      <c r="T1342" s="294"/>
    </row>
    <row r="1343" spans="1:20" hidden="1" outlineLevel="1" x14ac:dyDescent="0.25">
      <c r="A1343" s="302"/>
      <c r="C1343" s="294"/>
      <c r="D1343" s="1" t="str">
        <f>"IRR for Exit in "&amp;FIXED(year+8,0,1)&amp;".............................................................................................................................................................................."</f>
        <v>IRR for Exit in 2006..............................................................................................................................................................................</v>
      </c>
      <c r="H1343" s="452" t="str">
        <f ca="1">IF(ISERROR(IRR(I1343:R1343,0.1)),"NA",IRR(I1343:R1343,0.1))</f>
        <v>NA</v>
      </c>
      <c r="I1343" s="198">
        <f t="shared" ca="1" si="536"/>
        <v>0</v>
      </c>
      <c r="J1343" s="198">
        <f t="shared" ca="1" si="537"/>
        <v>0</v>
      </c>
      <c r="K1343" s="198">
        <f t="shared" ca="1" si="538"/>
        <v>0</v>
      </c>
      <c r="L1343" s="198">
        <f t="shared" ca="1" si="539"/>
        <v>0</v>
      </c>
      <c r="M1343" s="198">
        <f ca="1">M1342</f>
        <v>0</v>
      </c>
      <c r="N1343" s="198">
        <f ca="1">N1342</f>
        <v>0</v>
      </c>
      <c r="O1343" s="198">
        <f ca="1">O1342</f>
        <v>0</v>
      </c>
      <c r="P1343" s="198">
        <f ca="1">P1342</f>
        <v>0</v>
      </c>
      <c r="Q1343" s="198">
        <f ca="1">+Q1328+Q1329</f>
        <v>0</v>
      </c>
      <c r="R1343" s="198">
        <f ca="1">SUM(R1328:R1332)</f>
        <v>0</v>
      </c>
      <c r="S1343" s="41"/>
      <c r="T1343" s="294"/>
    </row>
    <row r="1344" spans="1:20" hidden="1" outlineLevel="1" x14ac:dyDescent="0.25">
      <c r="A1344" s="302"/>
      <c r="C1344" s="294"/>
      <c r="D1344" s="1" t="str">
        <f>"IRR for Exit in "&amp;FIXED(year+9,0,1)&amp;".............................................................................................................................................................................."</f>
        <v>IRR for Exit in 2007..............................................................................................................................................................................</v>
      </c>
      <c r="H1344" s="452" t="str">
        <f ca="1">IF(ISERROR(IRR(I1344:S1344,0.1)),"NA",IRR(I1344:S1344,0.1))</f>
        <v>NA</v>
      </c>
      <c r="I1344" s="198">
        <f t="shared" ca="1" si="536"/>
        <v>0</v>
      </c>
      <c r="J1344" s="198">
        <f t="shared" ca="1" si="537"/>
        <v>0</v>
      </c>
      <c r="K1344" s="198">
        <f t="shared" ca="1" si="538"/>
        <v>0</v>
      </c>
      <c r="L1344" s="198">
        <f t="shared" ca="1" si="539"/>
        <v>0</v>
      </c>
      <c r="M1344" s="198">
        <f ca="1">M1343</f>
        <v>0</v>
      </c>
      <c r="N1344" s="198">
        <f ca="1">N1343</f>
        <v>0</v>
      </c>
      <c r="O1344" s="198">
        <f ca="1">O1343</f>
        <v>0</v>
      </c>
      <c r="P1344" s="198">
        <f ca="1">P1343</f>
        <v>0</v>
      </c>
      <c r="Q1344" s="198">
        <f ca="1">Q1343</f>
        <v>0</v>
      </c>
      <c r="R1344" s="198">
        <f ca="1">+R1328+R1329</f>
        <v>0</v>
      </c>
      <c r="S1344" s="199">
        <f ca="1">SUM(S1328:S1332)</f>
        <v>0</v>
      </c>
      <c r="T1344" s="294"/>
    </row>
    <row r="1345" spans="1:20" ht="75" hidden="1" customHeight="1" outlineLevel="1" x14ac:dyDescent="0.25">
      <c r="A1345" s="302"/>
      <c r="C1345" s="294"/>
      <c r="H1345" s="192"/>
      <c r="I1345" s="198"/>
      <c r="J1345" s="198"/>
      <c r="K1345" s="198"/>
      <c r="L1345" s="198"/>
      <c r="M1345" s="198"/>
      <c r="N1345" s="198"/>
      <c r="O1345" s="198"/>
      <c r="P1345" s="198"/>
      <c r="Q1345" s="198"/>
      <c r="R1345" s="198"/>
      <c r="S1345" s="199"/>
      <c r="T1345" s="294"/>
    </row>
    <row r="1346" spans="1:20" hidden="1" outlineLevel="1" x14ac:dyDescent="0.25">
      <c r="A1346" s="302"/>
      <c r="C1346" s="294"/>
      <c r="D1346" s="495" t="str">
        <f>"Variance Analysis of Returns in "&amp;FIXED(year+4,0,1)&amp;":"</f>
        <v>Variance Analysis of Returns in 2002:</v>
      </c>
      <c r="H1346" s="352"/>
      <c r="I1346" s="353"/>
      <c r="J1346" s="353"/>
      <c r="K1346" s="353"/>
      <c r="L1346" s="353"/>
      <c r="M1346" s="353"/>
      <c r="N1346" s="198"/>
      <c r="O1346" s="198"/>
      <c r="P1346" s="198"/>
      <c r="Q1346" s="198"/>
      <c r="R1346" s="198"/>
      <c r="S1346" s="199"/>
      <c r="T1346" s="294"/>
    </row>
    <row r="1347" spans="1:20" hidden="1" outlineLevel="1" x14ac:dyDescent="0.25">
      <c r="A1347" s="302"/>
      <c r="C1347" s="294"/>
      <c r="D1347" s="169"/>
      <c r="H1347" s="345"/>
      <c r="I1347" s="345"/>
      <c r="J1347" s="345"/>
      <c r="K1347" s="345"/>
      <c r="L1347" s="345"/>
      <c r="M1347" s="345"/>
      <c r="N1347" s="198"/>
      <c r="O1347" s="198"/>
      <c r="P1347" s="198"/>
      <c r="Q1347" s="198"/>
      <c r="R1347" s="198"/>
      <c r="S1347" s="199"/>
      <c r="T1347" s="294"/>
    </row>
    <row r="1348" spans="1:20" hidden="1" outlineLevel="1" x14ac:dyDescent="0.25">
      <c r="A1348" s="302"/>
      <c r="C1348" s="294"/>
      <c r="D1348" s="169"/>
      <c r="H1348" s="341" t="str">
        <f>"Fully Diluted Equity to "&amp;$D$1418</f>
        <v>Fully Diluted Equity to Preferred 2</v>
      </c>
      <c r="I1348" s="342"/>
      <c r="J1348" s="342"/>
      <c r="K1348" s="342"/>
      <c r="L1348" s="342"/>
      <c r="M1348" s="342"/>
      <c r="N1348" s="342"/>
      <c r="O1348" s="198"/>
      <c r="P1348" s="198"/>
      <c r="Q1348" s="198"/>
      <c r="R1348" s="198"/>
      <c r="S1348" s="199"/>
      <c r="T1348" s="294"/>
    </row>
    <row r="1349" spans="1:20" hidden="1" outlineLevel="1" x14ac:dyDescent="0.25">
      <c r="A1349" s="302"/>
      <c r="C1349" s="294"/>
      <c r="H1349" s="446" t="str">
        <f>IF($S$926=0,"NA",I1349-$O$1418)</f>
        <v>NA</v>
      </c>
      <c r="I1349" s="446" t="str">
        <f>IF($S$926=0,"NA",J1349-$O$1418)</f>
        <v>NA</v>
      </c>
      <c r="J1349" s="446" t="str">
        <f>IF($S$926=0,"NA",K1349-$O$1418)</f>
        <v>NA</v>
      </c>
      <c r="K1349" s="447" t="str">
        <f>IF(S926=0,"NA",ROUND(($S$926*1000)/5,0)*0.005)</f>
        <v>NA</v>
      </c>
      <c r="L1349" s="446" t="str">
        <f>IF($S$926=0,"NA",K1349+$O$1418)</f>
        <v>NA</v>
      </c>
      <c r="M1349" s="446" t="str">
        <f>IF($S$926=0,"NA",L1349+$O$1418)</f>
        <v>NA</v>
      </c>
      <c r="N1349" s="446" t="str">
        <f>IF($S$926=0,"NA",M1349+$O$1418)</f>
        <v>NA</v>
      </c>
      <c r="O1349" s="198"/>
      <c r="P1349" s="198"/>
      <c r="Q1349" s="198"/>
      <c r="R1349" s="198"/>
      <c r="S1349" s="199"/>
      <c r="T1349" s="294"/>
    </row>
    <row r="1350" spans="1:20" hidden="1" outlineLevel="1" x14ac:dyDescent="0.25">
      <c r="A1350" s="302"/>
      <c r="C1350" s="294"/>
      <c r="G1350" s="546">
        <f>G1351-step</f>
        <v>4.5</v>
      </c>
      <c r="H1350" s="452" t="str">
        <f>IF($S$926=0,"NA",IRR(($I$1339,$J$1339,$K$1339,$L$1339,$M$1339,H1359)))</f>
        <v>NA</v>
      </c>
      <c r="I1350" s="452" t="str">
        <f>IF($S$926=0,"NA",IRR(($I$1339,$J$1339,$K$1339,$L$1339,$M$1339,I1359)))</f>
        <v>NA</v>
      </c>
      <c r="J1350" s="452" t="str">
        <f>IF($S$926=0,"NA",IRR(($I$1339,$J$1339,$K$1339,$L$1339,$M$1339,J1359)))</f>
        <v>NA</v>
      </c>
      <c r="K1350" s="453" t="str">
        <f>IF($S$926=0,"NA",IRR(($I$1339,$J$1339,$K$1339,$L$1339,$M$1339,K1359)))</f>
        <v>NA</v>
      </c>
      <c r="L1350" s="452" t="str">
        <f>IF($S$926=0,"NA",IRR(($I$1339,$J$1339,$K$1339,$L$1339,$M$1339,L1359)))</f>
        <v>NA</v>
      </c>
      <c r="M1350" s="452" t="str">
        <f>IF($S$926=0,"NA",IRR(($I$1339,$J$1339,$K$1339,$L$1339,$M$1339,M1359)))</f>
        <v>NA</v>
      </c>
      <c r="N1350" s="452" t="str">
        <f>IF($S$926=0,"NA",IRR(($I$1339,$J$1339,$K$1339,$L$1339,$M$1339,N1359)))</f>
        <v>NA</v>
      </c>
      <c r="O1350" s="198"/>
      <c r="P1350" s="198"/>
      <c r="Q1350" s="198"/>
      <c r="R1350" s="198"/>
      <c r="S1350" s="199"/>
      <c r="T1350" s="294"/>
    </row>
    <row r="1351" spans="1:20" hidden="1" outlineLevel="1" x14ac:dyDescent="0.25">
      <c r="A1351" s="302"/>
      <c r="C1351" s="294"/>
      <c r="F1351" s="711" t="s">
        <v>412</v>
      </c>
      <c r="G1351" s="546">
        <f>G1352-step</f>
        <v>5</v>
      </c>
      <c r="H1351" s="452" t="str">
        <f>IF($S$926=0,"NA",IRR(($I$1339,$J$1339,$K$1339,$L$1339,$M$1339,H1360)))</f>
        <v>NA</v>
      </c>
      <c r="I1351" s="452" t="str">
        <f>IF($S$926=0,"NA",IRR(($I$1339,$J$1339,$K$1339,$L$1339,$M$1339,I1360)))</f>
        <v>NA</v>
      </c>
      <c r="J1351" s="452" t="str">
        <f>IF($S$926=0,"NA",IRR(($I$1339,$J$1339,$K$1339,$L$1339,$M$1339,J1360)))</f>
        <v>NA</v>
      </c>
      <c r="K1351" s="454" t="str">
        <f>IF($S$926=0,"NA",IRR(($I$1339,$J$1339,$K$1339,$L$1339,$M$1339,K1360)))</f>
        <v>NA</v>
      </c>
      <c r="L1351" s="452" t="str">
        <f>IF($S$926=0,"NA",IRR(($I$1339,$J$1339,$K$1339,$L$1339,$M$1339,L1360)))</f>
        <v>NA</v>
      </c>
      <c r="M1351" s="452" t="str">
        <f>IF($S$926=0,"NA",IRR(($I$1339,$J$1339,$K$1339,$L$1339,$M$1339,M1360)))</f>
        <v>NA</v>
      </c>
      <c r="N1351" s="452" t="str">
        <f>IF($S$926=0,"NA",IRR(($I$1339,$J$1339,$K$1339,$L$1339,$M$1339,N1360)))</f>
        <v>NA</v>
      </c>
      <c r="O1351" s="198"/>
      <c r="P1351" s="198"/>
      <c r="Q1351" s="198"/>
      <c r="R1351" s="198"/>
      <c r="S1351" s="199"/>
      <c r="T1351" s="294"/>
    </row>
    <row r="1352" spans="1:20" ht="18.75" hidden="1" customHeight="1" outlineLevel="1" x14ac:dyDescent="0.25">
      <c r="A1352" s="302"/>
      <c r="C1352" s="294"/>
      <c r="F1352" s="712" t="s">
        <v>61</v>
      </c>
      <c r="G1352" s="549">
        <f>mult</f>
        <v>5.5</v>
      </c>
      <c r="H1352" s="471" t="str">
        <f>IF($S$926=0,"NA",IRR(($I$1339,$J$1339,$K$1339,$L$1339,$M$1339,H1361)))</f>
        <v>NA</v>
      </c>
      <c r="I1352" s="396" t="str">
        <f>IF($S$926=0,"NA",IRR(($I$1339,$J$1339,$K$1339,$L$1339,$M$1339,I1361)))</f>
        <v>NA</v>
      </c>
      <c r="J1352" s="396" t="str">
        <f>IF($S$926=0,"NA",IRR(($I$1339,$J$1339,$K$1339,$L$1339,$M$1339,J1361)))</f>
        <v>NA</v>
      </c>
      <c r="K1352" s="472" t="str">
        <f>IF($S$926=0,"NA",IRR(($I$1339,$J$1339,$K$1339,$L$1339,$M$1339,K1361)))</f>
        <v>NA</v>
      </c>
      <c r="L1352" s="396" t="str">
        <f>IF($S$926=0,"NA",IRR(($I$1339,$J$1339,$K$1339,$L$1339,$M$1339,L1361)))</f>
        <v>NA</v>
      </c>
      <c r="M1352" s="396" t="str">
        <f>IF($S$926=0,"NA",IRR(($I$1339,$J$1339,$K$1339,$L$1339,$M$1339,M1361)))</f>
        <v>NA</v>
      </c>
      <c r="N1352" s="473" t="str">
        <f>IF($S$926=0,"NA",IRR(($I$1339,$J$1339,$K$1339,$L$1339,$M$1339,N1361)))</f>
        <v>NA</v>
      </c>
      <c r="O1352" s="198"/>
      <c r="P1352" s="198"/>
      <c r="Q1352" s="198"/>
      <c r="R1352" s="198"/>
      <c r="S1352" s="199"/>
      <c r="T1352" s="294"/>
    </row>
    <row r="1353" spans="1:20" hidden="1" outlineLevel="1" x14ac:dyDescent="0.25">
      <c r="A1353" s="302"/>
      <c r="C1353" s="294"/>
      <c r="F1353" s="711" t="s">
        <v>413</v>
      </c>
      <c r="G1353" s="546">
        <f>G1352+step</f>
        <v>6</v>
      </c>
      <c r="H1353" s="452" t="str">
        <f>IF($S$926=0,"NA",IRR(($I$1339,$J$1339,$K$1339,$L$1339,$M$1339,H1362)))</f>
        <v>NA</v>
      </c>
      <c r="I1353" s="452" t="str">
        <f>IF($S$926=0,"NA",IRR(($I$1339,$J$1339,$K$1339,$L$1339,$M$1339,I1362)))</f>
        <v>NA</v>
      </c>
      <c r="J1353" s="452" t="str">
        <f>IF($S$926=0,"NA",IRR(($I$1339,$J$1339,$K$1339,$L$1339,$M$1339,J1362)))</f>
        <v>NA</v>
      </c>
      <c r="K1353" s="454" t="str">
        <f>IF($S$926=0,"NA",IRR(($I$1339,$J$1339,$K$1339,$L$1339,$M$1339,K1362)))</f>
        <v>NA</v>
      </c>
      <c r="L1353" s="452" t="str">
        <f>IF($S$926=0,"NA",IRR(($I$1339,$J$1339,$K$1339,$L$1339,$M$1339,L1362)))</f>
        <v>NA</v>
      </c>
      <c r="M1353" s="452" t="str">
        <f>IF($S$926=0,"NA",IRR(($I$1339,$J$1339,$K$1339,$L$1339,$M$1339,M1362)))</f>
        <v>NA</v>
      </c>
      <c r="N1353" s="452" t="str">
        <f>IF($S$926=0,"NA",IRR(($I$1339,$J$1339,$K$1339,$L$1339,$M$1339,N1362)))</f>
        <v>NA</v>
      </c>
      <c r="O1353" s="198"/>
      <c r="P1353" s="198"/>
      <c r="Q1353" s="198"/>
      <c r="R1353" s="198"/>
      <c r="S1353" s="199"/>
      <c r="T1353" s="294"/>
    </row>
    <row r="1354" spans="1:20" hidden="1" outlineLevel="1" x14ac:dyDescent="0.25">
      <c r="A1354" s="302"/>
      <c r="B1354" s="445" t="str">
        <f>"Rows ("&amp;ROW(B1356)&amp;") thru ("&amp;ROW(B1363)&amp;") are hidden."</f>
        <v>Rows (1356) thru (1363) are hidden.</v>
      </c>
      <c r="C1354" s="417"/>
      <c r="G1354" s="546">
        <f>G1353+step</f>
        <v>6.5</v>
      </c>
      <c r="H1354" s="452" t="str">
        <f>IF($S$926=0,"NA",IRR(($I$1339,$J$1339,$K$1339,$L$1339,$M$1339,H1363)))</f>
        <v>NA</v>
      </c>
      <c r="I1354" s="452" t="str">
        <f>IF($S$926=0,"NA",IRR(($I$1339,$J$1339,$K$1339,$L$1339,$M$1339,I1363)))</f>
        <v>NA</v>
      </c>
      <c r="J1354" s="452" t="str">
        <f>IF($S$926=0,"NA",IRR(($I$1339,$J$1339,$K$1339,$L$1339,$M$1339,J1363)))</f>
        <v>NA</v>
      </c>
      <c r="K1354" s="455" t="str">
        <f>IF($S$926=0,"NA",IRR(($I$1339,$J$1339,$K$1339,$L$1339,$M$1339,K1363)))</f>
        <v>NA</v>
      </c>
      <c r="L1354" s="452" t="str">
        <f>IF($S$926=0,"NA",IRR(($I$1339,$J$1339,$K$1339,$L$1339,$M$1339,L1363)))</f>
        <v>NA</v>
      </c>
      <c r="M1354" s="452" t="str">
        <f>IF($S$926=0,"NA",IRR(($I$1339,$J$1339,$K$1339,$L$1339,$M$1339,M1363)))</f>
        <v>NA</v>
      </c>
      <c r="N1354" s="452" t="str">
        <f>IF($S$926=0,"NA",IRR(($I$1339,$J$1339,$K$1339,$L$1339,$M$1339,N1363)))</f>
        <v>NA</v>
      </c>
      <c r="O1354" s="198"/>
      <c r="P1354" s="198"/>
      <c r="Q1354" s="198"/>
      <c r="R1354" s="198"/>
      <c r="S1354" s="199"/>
      <c r="T1354" s="294"/>
    </row>
    <row r="1355" spans="1:20" hidden="1" outlineLevel="1" x14ac:dyDescent="0.25">
      <c r="A1355" s="302"/>
      <c r="B1355" s="713" t="s">
        <v>414</v>
      </c>
      <c r="C1355" s="418"/>
      <c r="G1355" s="340"/>
      <c r="O1355" s="198"/>
      <c r="P1355" s="198"/>
      <c r="Q1355" s="198"/>
      <c r="R1355" s="198"/>
      <c r="S1355" s="199"/>
      <c r="T1355" s="294"/>
    </row>
    <row r="1356" spans="1:20" hidden="1" outlineLevel="1" x14ac:dyDescent="0.25">
      <c r="A1356" s="302"/>
      <c r="C1356" s="294"/>
      <c r="D1356" s="169" t="str">
        <f>FIXED(year+4,0,1)&amp;"Cash Flow:"</f>
        <v>2002Cash Flow:</v>
      </c>
      <c r="G1356" s="340"/>
      <c r="O1356" s="198"/>
      <c r="P1356" s="198"/>
      <c r="Q1356" s="198"/>
      <c r="R1356" s="198"/>
      <c r="S1356" s="199"/>
      <c r="T1356" s="294"/>
    </row>
    <row r="1357" spans="1:20" hidden="1" outlineLevel="1" x14ac:dyDescent="0.25">
      <c r="A1357" s="302"/>
      <c r="C1357" s="294"/>
      <c r="H1357" s="341" t="str">
        <f>"Fully Diluted Equity to "&amp;$D$1418</f>
        <v>Fully Diluted Equity to Preferred 2</v>
      </c>
      <c r="I1357" s="342"/>
      <c r="J1357" s="342"/>
      <c r="K1357" s="342"/>
      <c r="L1357" s="342"/>
      <c r="M1357" s="342"/>
      <c r="N1357" s="342"/>
      <c r="O1357" s="198"/>
      <c r="P1357" s="198"/>
      <c r="Q1357" s="198"/>
      <c r="R1357" s="198"/>
      <c r="S1357" s="199"/>
      <c r="T1357" s="294"/>
    </row>
    <row r="1358" spans="1:20" hidden="1" outlineLevel="1" x14ac:dyDescent="0.25">
      <c r="A1358" s="302"/>
      <c r="C1358" s="294"/>
      <c r="H1358" s="346">
        <f>I1358-$O$1418</f>
        <v>-1.4999999999999999E-2</v>
      </c>
      <c r="I1358" s="346">
        <f>J1358-$O$1418</f>
        <v>-0.01</v>
      </c>
      <c r="J1358" s="346">
        <f>K1358-$O$1418</f>
        <v>-5.0000000000000001E-3</v>
      </c>
      <c r="K1358" s="361">
        <f>ROUND(($S$926*1000)/5,0)*0.005</f>
        <v>0</v>
      </c>
      <c r="L1358" s="346">
        <f>K1358+$O$1418</f>
        <v>5.0000000000000001E-3</v>
      </c>
      <c r="M1358" s="346">
        <f>L1358+$O$1418</f>
        <v>0.01</v>
      </c>
      <c r="N1358" s="346">
        <f>M1358+$O$1418</f>
        <v>1.4999999999999999E-2</v>
      </c>
      <c r="O1358" s="198"/>
      <c r="P1358" s="198"/>
      <c r="Q1358" s="198"/>
      <c r="R1358" s="198"/>
      <c r="S1358" s="199"/>
      <c r="T1358" s="294"/>
    </row>
    <row r="1359" spans="1:20" hidden="1" outlineLevel="1" x14ac:dyDescent="0.25">
      <c r="A1359" s="302"/>
      <c r="C1359" s="294"/>
      <c r="G1359" s="340">
        <f>G1360-step</f>
        <v>4.5</v>
      </c>
      <c r="H1359" s="103">
        <f t="shared" ref="H1359:N1363" ca="1" si="540">($N$1339-$N$1332)+((term_eq+(term_cf*($G1359-mult)))*H$1358)</f>
        <v>-22.628980486556607</v>
      </c>
      <c r="I1359" s="103">
        <f t="shared" ca="1" si="540"/>
        <v>-15.085986991037739</v>
      </c>
      <c r="J1359" s="103">
        <f t="shared" ca="1" si="540"/>
        <v>-7.5429934955188696</v>
      </c>
      <c r="K1359" s="103">
        <f t="shared" ca="1" si="540"/>
        <v>0</v>
      </c>
      <c r="L1359" s="103">
        <f t="shared" ca="1" si="540"/>
        <v>7.5429934955188696</v>
      </c>
      <c r="M1359" s="103">
        <f t="shared" ca="1" si="540"/>
        <v>15.085986991037739</v>
      </c>
      <c r="N1359" s="103">
        <f t="shared" ca="1" si="540"/>
        <v>22.628980486556607</v>
      </c>
      <c r="O1359" s="198"/>
      <c r="P1359" s="198"/>
      <c r="Q1359" s="198"/>
      <c r="R1359" s="198"/>
      <c r="S1359" s="199"/>
      <c r="T1359" s="294"/>
    </row>
    <row r="1360" spans="1:20" hidden="1" outlineLevel="1" x14ac:dyDescent="0.25">
      <c r="A1360" s="302"/>
      <c r="C1360" s="294"/>
      <c r="F1360" s="711" t="s">
        <v>412</v>
      </c>
      <c r="G1360" s="340">
        <f>G1361-step</f>
        <v>5</v>
      </c>
      <c r="H1360" s="103">
        <f t="shared" ca="1" si="540"/>
        <v>-24.393946418587856</v>
      </c>
      <c r="I1360" s="103">
        <f t="shared" ca="1" si="540"/>
        <v>-16.262630945725238</v>
      </c>
      <c r="J1360" s="103">
        <f t="shared" ca="1" si="540"/>
        <v>-8.1313154728626191</v>
      </c>
      <c r="K1360" s="103">
        <f t="shared" ca="1" si="540"/>
        <v>0</v>
      </c>
      <c r="L1360" s="103">
        <f t="shared" ca="1" si="540"/>
        <v>8.1313154728626191</v>
      </c>
      <c r="M1360" s="103">
        <f t="shared" ca="1" si="540"/>
        <v>16.262630945725238</v>
      </c>
      <c r="N1360" s="103">
        <f t="shared" ca="1" si="540"/>
        <v>24.393946418587856</v>
      </c>
      <c r="O1360" s="198"/>
      <c r="P1360" s="198"/>
      <c r="Q1360" s="198"/>
      <c r="R1360" s="198"/>
      <c r="S1360" s="199"/>
      <c r="T1360" s="294"/>
    </row>
    <row r="1361" spans="1:20" hidden="1" outlineLevel="1" x14ac:dyDescent="0.25">
      <c r="A1361" s="302"/>
      <c r="C1361" s="294"/>
      <c r="F1361" s="711" t="s">
        <v>61</v>
      </c>
      <c r="G1361" s="444">
        <f>mult</f>
        <v>5.5</v>
      </c>
      <c r="H1361" s="103">
        <f t="shared" ca="1" si="540"/>
        <v>-26.158912350619108</v>
      </c>
      <c r="I1361" s="103">
        <f t="shared" ca="1" si="540"/>
        <v>-17.439274900412737</v>
      </c>
      <c r="J1361" s="103">
        <f t="shared" ca="1" si="540"/>
        <v>-8.7196374502063687</v>
      </c>
      <c r="K1361" s="103">
        <f t="shared" ca="1" si="540"/>
        <v>0</v>
      </c>
      <c r="L1361" s="103">
        <f t="shared" ca="1" si="540"/>
        <v>8.7196374502063687</v>
      </c>
      <c r="M1361" s="103">
        <f t="shared" ca="1" si="540"/>
        <v>17.439274900412737</v>
      </c>
      <c r="N1361" s="103">
        <f t="shared" ca="1" si="540"/>
        <v>26.158912350619108</v>
      </c>
      <c r="O1361" s="198"/>
      <c r="P1361" s="198"/>
      <c r="Q1361" s="198"/>
      <c r="R1361" s="198"/>
      <c r="S1361" s="199"/>
      <c r="T1361" s="294"/>
    </row>
    <row r="1362" spans="1:20" hidden="1" outlineLevel="1" x14ac:dyDescent="0.25">
      <c r="A1362" s="302"/>
      <c r="C1362" s="294"/>
      <c r="F1362" s="711" t="s">
        <v>413</v>
      </c>
      <c r="G1362" s="340">
        <f>G1361+step</f>
        <v>6</v>
      </c>
      <c r="H1362" s="103">
        <f t="shared" ca="1" si="540"/>
        <v>-27.923878282650357</v>
      </c>
      <c r="I1362" s="103">
        <f t="shared" ca="1" si="540"/>
        <v>-18.615918855100237</v>
      </c>
      <c r="J1362" s="103">
        <f t="shared" ca="1" si="540"/>
        <v>-9.3079594275501183</v>
      </c>
      <c r="K1362" s="103">
        <f t="shared" ca="1" si="540"/>
        <v>0</v>
      </c>
      <c r="L1362" s="103">
        <f t="shared" ca="1" si="540"/>
        <v>9.3079594275501183</v>
      </c>
      <c r="M1362" s="103">
        <f t="shared" ca="1" si="540"/>
        <v>18.615918855100237</v>
      </c>
      <c r="N1362" s="103">
        <f t="shared" ca="1" si="540"/>
        <v>27.923878282650357</v>
      </c>
      <c r="O1362" s="1"/>
      <c r="S1362" s="41"/>
      <c r="T1362" s="294"/>
    </row>
    <row r="1363" spans="1:20" hidden="1" outlineLevel="1" x14ac:dyDescent="0.25">
      <c r="B1363"/>
      <c r="C1363" s="294"/>
      <c r="D1363"/>
      <c r="E1363"/>
      <c r="G1363" s="340">
        <f>G1362+step</f>
        <v>6.5</v>
      </c>
      <c r="H1363" s="443">
        <f t="shared" ca="1" si="540"/>
        <v>-29.688844214681605</v>
      </c>
      <c r="I1363" s="443">
        <f t="shared" ca="1" si="540"/>
        <v>-19.792562809787736</v>
      </c>
      <c r="J1363" s="443">
        <f t="shared" ca="1" si="540"/>
        <v>-9.8962814048938679</v>
      </c>
      <c r="K1363" s="443">
        <f t="shared" ca="1" si="540"/>
        <v>0</v>
      </c>
      <c r="L1363" s="443">
        <f t="shared" ca="1" si="540"/>
        <v>9.8962814048938679</v>
      </c>
      <c r="M1363" s="443">
        <f t="shared" ca="1" si="540"/>
        <v>19.792562809787736</v>
      </c>
      <c r="N1363" s="443">
        <f t="shared" ca="1" si="540"/>
        <v>29.688844214681605</v>
      </c>
      <c r="O1363" s="144"/>
      <c r="P1363" s="144"/>
      <c r="Q1363" s="144"/>
      <c r="R1363" s="144"/>
      <c r="S1363" s="523"/>
      <c r="T1363" s="294"/>
    </row>
    <row r="1364" spans="1:20" collapsed="1" x14ac:dyDescent="0.25">
      <c r="A1364" s="716" t="s">
        <v>427</v>
      </c>
      <c r="B1364" s="716" t="s">
        <v>427</v>
      </c>
      <c r="C1364" s="717" t="s">
        <v>427</v>
      </c>
      <c r="D1364" s="716" t="s">
        <v>427</v>
      </c>
      <c r="E1364" s="716" t="s">
        <v>427</v>
      </c>
      <c r="F1364" s="716" t="s">
        <v>427</v>
      </c>
      <c r="G1364" s="716" t="s">
        <v>427</v>
      </c>
      <c r="H1364" s="716" t="s">
        <v>427</v>
      </c>
      <c r="I1364" s="716" t="s">
        <v>427</v>
      </c>
      <c r="J1364" s="716" t="s">
        <v>427</v>
      </c>
      <c r="K1364" s="716" t="s">
        <v>427</v>
      </c>
      <c r="L1364" s="716" t="s">
        <v>427</v>
      </c>
      <c r="M1364" s="716" t="s">
        <v>427</v>
      </c>
      <c r="N1364" s="716" t="s">
        <v>427</v>
      </c>
      <c r="O1364" s="716" t="s">
        <v>427</v>
      </c>
      <c r="P1364" s="716" t="s">
        <v>427</v>
      </c>
      <c r="Q1364" s="716" t="s">
        <v>427</v>
      </c>
      <c r="R1364" s="716" t="s">
        <v>427</v>
      </c>
      <c r="S1364" s="718" t="s">
        <v>427</v>
      </c>
      <c r="T1364" s="294"/>
    </row>
    <row r="1365" spans="1:20" ht="17.399999999999999" x14ac:dyDescent="0.3">
      <c r="A1365" s="305"/>
      <c r="B1365" s="79"/>
      <c r="C1365" s="294"/>
      <c r="D1365" s="731" t="s">
        <v>428</v>
      </c>
      <c r="E1365" s="47"/>
      <c r="F1365" s="48"/>
      <c r="G1365" s="47"/>
      <c r="H1365" s="47"/>
      <c r="I1365" s="47"/>
      <c r="J1365" s="47"/>
      <c r="K1365" s="49"/>
      <c r="L1365" s="69"/>
      <c r="M1365" s="49"/>
      <c r="N1365" s="49"/>
      <c r="O1365" s="49"/>
      <c r="P1365" s="49"/>
      <c r="Q1365" s="49"/>
      <c r="R1365" s="49"/>
      <c r="S1365" s="50"/>
      <c r="T1365" s="294"/>
    </row>
    <row r="1366" spans="1:20" x14ac:dyDescent="0.25">
      <c r="A1366" s="305"/>
      <c r="B1366" s="719" t="s">
        <v>429</v>
      </c>
      <c r="C1366" s="414"/>
      <c r="D1366" s="732" t="s">
        <v>430</v>
      </c>
      <c r="E1366" s="80"/>
      <c r="F1366" s="80"/>
      <c r="G1366" s="145"/>
      <c r="H1366" s="722" t="s">
        <v>431</v>
      </c>
      <c r="I1366" s="117"/>
      <c r="J1366" s="83"/>
      <c r="K1366" s="83"/>
      <c r="L1366" s="83"/>
      <c r="M1366" s="83"/>
      <c r="N1366" s="83"/>
      <c r="O1366" s="83"/>
      <c r="P1366" s="83"/>
      <c r="Q1366" s="83"/>
      <c r="R1366" s="83"/>
      <c r="S1366" s="82"/>
      <c r="T1366" s="294"/>
    </row>
    <row r="1367" spans="1:20" x14ac:dyDescent="0.25">
      <c r="A1367" s="305"/>
      <c r="B1367" s="720" t="s">
        <v>432</v>
      </c>
      <c r="C1367" s="409"/>
      <c r="D1367" s="733" t="s">
        <v>433</v>
      </c>
      <c r="E1367" s="115"/>
      <c r="F1367" s="286"/>
      <c r="G1367" s="145"/>
      <c r="H1367" s="722" t="s">
        <v>434</v>
      </c>
      <c r="I1367" s="116"/>
      <c r="J1367" s="83"/>
      <c r="K1367" s="83"/>
      <c r="L1367" s="83"/>
      <c r="M1367" s="83"/>
      <c r="N1367" s="83"/>
      <c r="O1367" s="83"/>
      <c r="P1367" s="83"/>
      <c r="Q1367" s="83"/>
      <c r="R1367" s="83"/>
      <c r="S1367" s="82"/>
      <c r="T1367" s="294"/>
    </row>
    <row r="1368" spans="1:20" x14ac:dyDescent="0.25">
      <c r="A1368" s="305"/>
      <c r="B1368" s="720" t="s">
        <v>435</v>
      </c>
      <c r="C1368" s="409"/>
      <c r="D1368" s="732" t="s">
        <v>436</v>
      </c>
      <c r="E1368" s="80"/>
      <c r="F1368" s="80"/>
      <c r="G1368" s="145"/>
      <c r="H1368" s="722" t="s">
        <v>437</v>
      </c>
      <c r="I1368" s="117"/>
      <c r="J1368" s="83"/>
      <c r="K1368" s="83"/>
      <c r="L1368" s="83"/>
      <c r="M1368" s="83"/>
      <c r="N1368" s="83"/>
      <c r="O1368" s="83"/>
      <c r="P1368" s="83"/>
      <c r="Q1368" s="83"/>
      <c r="R1368" s="83"/>
      <c r="S1368" s="82"/>
      <c r="T1368" s="294"/>
    </row>
    <row r="1369" spans="1:20" x14ac:dyDescent="0.25">
      <c r="A1369" s="305"/>
      <c r="B1369" s="427"/>
      <c r="C1369" s="415"/>
      <c r="D1369" s="557" t="s">
        <v>438</v>
      </c>
      <c r="E1369" s="80"/>
      <c r="F1369" s="80"/>
      <c r="G1369" s="145"/>
      <c r="H1369" s="723">
        <v>7162</v>
      </c>
      <c r="I1369" s="116"/>
      <c r="J1369" s="83"/>
      <c r="K1369" s="83"/>
      <c r="L1369" s="83"/>
      <c r="M1369" s="83"/>
      <c r="N1369" s="83"/>
      <c r="O1369" s="83"/>
      <c r="P1369" s="83"/>
      <c r="Q1369" s="83"/>
      <c r="R1369" s="83"/>
      <c r="S1369" s="82"/>
      <c r="T1369" s="294"/>
    </row>
    <row r="1370" spans="1:20" x14ac:dyDescent="0.25">
      <c r="A1370" s="305"/>
      <c r="B1370" s="721" t="s">
        <v>439</v>
      </c>
      <c r="C1370" s="424"/>
      <c r="D1370" s="563" t="s">
        <v>440</v>
      </c>
      <c r="E1370" s="80"/>
      <c r="F1370" s="80"/>
      <c r="G1370" s="145"/>
      <c r="H1370" s="723" t="s">
        <v>441</v>
      </c>
      <c r="I1370" s="116"/>
      <c r="J1370" s="83"/>
      <c r="K1370" s="83"/>
      <c r="L1370" s="83"/>
      <c r="M1370" s="83"/>
      <c r="N1370" s="83"/>
      <c r="O1370" s="83"/>
      <c r="P1370" s="83"/>
      <c r="Q1370" s="83"/>
      <c r="R1370" s="83"/>
      <c r="S1370" s="82"/>
      <c r="T1370" s="294"/>
    </row>
    <row r="1371" spans="1:20" x14ac:dyDescent="0.25">
      <c r="A1371" s="305"/>
      <c r="B1371" s="79"/>
      <c r="C1371" s="294"/>
      <c r="D1371" s="556" t="s">
        <v>442</v>
      </c>
      <c r="E1371" s="80"/>
      <c r="F1371" s="80"/>
      <c r="G1371" s="145"/>
      <c r="H1371" s="724">
        <v>1998</v>
      </c>
      <c r="I1371" s="83"/>
      <c r="J1371" s="83"/>
      <c r="K1371" s="83"/>
      <c r="L1371" s="83"/>
      <c r="M1371" s="83"/>
      <c r="N1371" s="83"/>
      <c r="O1371" s="83"/>
      <c r="P1371" s="83"/>
      <c r="Q1371" s="83"/>
      <c r="R1371" s="83"/>
      <c r="S1371" s="82"/>
      <c r="T1371" s="294"/>
    </row>
    <row r="1372" spans="1:20" x14ac:dyDescent="0.25">
      <c r="A1372" s="305"/>
      <c r="B1372" s="79"/>
      <c r="C1372" s="294"/>
      <c r="D1372" s="557" t="s">
        <v>443</v>
      </c>
      <c r="E1372" s="80"/>
      <c r="F1372" s="80"/>
      <c r="G1372" s="145"/>
      <c r="H1372" s="724" t="s">
        <v>444</v>
      </c>
      <c r="I1372" s="83"/>
      <c r="J1372" s="83"/>
      <c r="K1372" s="83"/>
      <c r="L1372" s="83"/>
      <c r="M1372" s="83"/>
      <c r="N1372" s="83"/>
      <c r="O1372" s="83"/>
      <c r="P1372" s="83"/>
      <c r="Q1372" s="83"/>
      <c r="R1372" s="83"/>
      <c r="S1372" s="82"/>
      <c r="T1372" s="294"/>
    </row>
    <row r="1373" spans="1:20" x14ac:dyDescent="0.25">
      <c r="A1373" s="305"/>
      <c r="B1373" s="79"/>
      <c r="C1373" s="294"/>
      <c r="D1373" s="556" t="s">
        <v>445</v>
      </c>
      <c r="E1373" s="81"/>
      <c r="F1373" s="81"/>
      <c r="G1373" s="146"/>
      <c r="H1373" s="56">
        <f>DATE(H1371-1,12,31)</f>
        <v>35795</v>
      </c>
      <c r="I1373" s="830" t="s">
        <v>139</v>
      </c>
      <c r="J1373" s="83"/>
      <c r="K1373" s="83"/>
      <c r="L1373" s="83"/>
      <c r="M1373" s="83"/>
      <c r="N1373" s="83"/>
      <c r="O1373" s="83"/>
      <c r="P1373" s="83"/>
      <c r="Q1373" s="83"/>
      <c r="R1373" s="83"/>
      <c r="S1373" s="82"/>
      <c r="T1373" s="294"/>
    </row>
    <row r="1374" spans="1:20" x14ac:dyDescent="0.25">
      <c r="A1374" s="305"/>
      <c r="B1374" s="79"/>
      <c r="C1374" s="294"/>
      <c r="D1374" s="557" t="s">
        <v>446</v>
      </c>
      <c r="E1374" s="81"/>
      <c r="F1374" s="81"/>
      <c r="G1374" s="146"/>
      <c r="H1374" s="725">
        <v>12</v>
      </c>
      <c r="I1374" s="83"/>
      <c r="J1374" s="83"/>
      <c r="K1374" s="83"/>
      <c r="L1374" s="83"/>
      <c r="M1374" s="83"/>
      <c r="N1374" s="83"/>
      <c r="O1374" s="83"/>
      <c r="P1374" s="83"/>
      <c r="Q1374" s="83"/>
      <c r="R1374" s="83"/>
      <c r="S1374" s="82"/>
      <c r="T1374" s="294"/>
    </row>
    <row r="1375" spans="1:20" x14ac:dyDescent="0.25">
      <c r="A1375" s="305"/>
      <c r="B1375" s="79"/>
      <c r="C1375" s="294"/>
      <c r="D1375" s="563" t="s">
        <v>447</v>
      </c>
      <c r="E1375" s="81"/>
      <c r="F1375" s="81"/>
      <c r="G1375" s="146"/>
      <c r="H1375" s="726">
        <v>5.5</v>
      </c>
      <c r="I1375" s="83"/>
      <c r="J1375" s="83"/>
      <c r="K1375" s="83"/>
      <c r="L1375" s="83"/>
      <c r="M1375" s="83"/>
      <c r="N1375" s="83"/>
      <c r="O1375" s="83"/>
      <c r="P1375" s="83"/>
      <c r="Q1375" s="83"/>
      <c r="R1375" s="83"/>
      <c r="S1375" s="83"/>
      <c r="T1375" s="294"/>
    </row>
    <row r="1376" spans="1:20" x14ac:dyDescent="0.25">
      <c r="A1376" s="305"/>
      <c r="B1376" s="79"/>
      <c r="C1376" s="294"/>
      <c r="D1376" s="557" t="s">
        <v>448</v>
      </c>
      <c r="E1376" s="81"/>
      <c r="F1376" s="81"/>
      <c r="G1376" s="146"/>
      <c r="H1376" s="727">
        <v>0.5</v>
      </c>
      <c r="I1376" s="83"/>
      <c r="J1376" s="83"/>
      <c r="K1376" s="83"/>
      <c r="L1376" s="83"/>
      <c r="M1376" s="83"/>
      <c r="N1376" s="83"/>
      <c r="O1376" s="83"/>
      <c r="P1376" s="83"/>
      <c r="Q1376" s="83"/>
      <c r="R1376" s="83"/>
      <c r="S1376" s="83"/>
      <c r="T1376" s="294"/>
    </row>
    <row r="1377" spans="1:20" x14ac:dyDescent="0.25">
      <c r="A1377" s="305"/>
      <c r="B1377" s="79"/>
      <c r="C1377" s="294"/>
      <c r="D1377" s="563" t="s">
        <v>449</v>
      </c>
      <c r="E1377" s="81"/>
      <c r="F1377" s="81"/>
      <c r="G1377" s="146"/>
      <c r="H1377" s="840">
        <v>0.05</v>
      </c>
      <c r="I1377" s="83"/>
      <c r="J1377" s="83"/>
      <c r="K1377" s="83"/>
      <c r="L1377" s="83"/>
      <c r="M1377" s="83"/>
      <c r="N1377" s="83"/>
      <c r="O1377" s="83"/>
      <c r="P1377" s="83"/>
      <c r="Q1377" s="83"/>
      <c r="R1377" s="83"/>
      <c r="S1377" s="83"/>
      <c r="T1377" s="294"/>
    </row>
    <row r="1378" spans="1:20" x14ac:dyDescent="0.25">
      <c r="A1378" s="305"/>
      <c r="B1378" s="79"/>
      <c r="C1378" s="294"/>
      <c r="D1378" s="557" t="s">
        <v>450</v>
      </c>
      <c r="E1378" s="81"/>
      <c r="F1378" s="81"/>
      <c r="G1378" s="146"/>
      <c r="H1378" s="725">
        <v>40</v>
      </c>
      <c r="I1378" s="83"/>
      <c r="J1378" s="83"/>
      <c r="K1378" s="83"/>
      <c r="L1378" s="83"/>
      <c r="M1378" s="83"/>
      <c r="N1378" s="83"/>
      <c r="O1378" s="83"/>
      <c r="P1378" s="83"/>
      <c r="Q1378" s="83"/>
      <c r="R1378" s="83"/>
      <c r="S1378" s="83"/>
      <c r="T1378" s="294"/>
    </row>
    <row r="1379" spans="1:20" x14ac:dyDescent="0.25">
      <c r="A1379" s="305"/>
      <c r="B1379" s="79"/>
      <c r="C1379" s="294"/>
      <c r="D1379" s="557" t="s">
        <v>451</v>
      </c>
      <c r="E1379" s="81"/>
      <c r="F1379" s="81"/>
      <c r="G1379" s="146"/>
      <c r="H1379" s="725">
        <v>7</v>
      </c>
      <c r="I1379" s="83"/>
      <c r="J1379" s="83"/>
      <c r="K1379" s="83"/>
      <c r="L1379" s="83"/>
      <c r="M1379" s="83"/>
      <c r="N1379" s="83"/>
      <c r="O1379" s="83"/>
      <c r="P1379" s="83"/>
      <c r="Q1379" s="83"/>
      <c r="R1379" s="83"/>
      <c r="S1379" s="83"/>
      <c r="T1379" s="294"/>
    </row>
    <row r="1380" spans="1:20" x14ac:dyDescent="0.25">
      <c r="A1380" s="305"/>
      <c r="B1380" s="79"/>
      <c r="C1380" s="294"/>
      <c r="D1380" s="563" t="s">
        <v>452</v>
      </c>
      <c r="E1380" s="81"/>
      <c r="F1380" s="81"/>
      <c r="G1380" s="146"/>
      <c r="H1380" s="728">
        <v>1</v>
      </c>
      <c r="I1380" s="83"/>
      <c r="J1380" s="83"/>
      <c r="K1380" s="83"/>
      <c r="L1380" s="83"/>
      <c r="M1380" s="83"/>
      <c r="N1380" s="83"/>
      <c r="O1380" s="83"/>
      <c r="P1380" s="83"/>
      <c r="Q1380" s="83"/>
      <c r="R1380" s="83"/>
      <c r="S1380" s="83"/>
      <c r="T1380" s="294"/>
    </row>
    <row r="1381" spans="1:20" ht="17.399999999999999" x14ac:dyDescent="0.3">
      <c r="A1381" s="305"/>
      <c r="B1381" s="79"/>
      <c r="C1381" s="294"/>
      <c r="D1381" s="731" t="s">
        <v>453</v>
      </c>
      <c r="E1381" s="113"/>
      <c r="F1381" s="114"/>
      <c r="G1381" s="113"/>
      <c r="H1381" s="113"/>
      <c r="I1381" s="47"/>
      <c r="J1381" s="47"/>
      <c r="K1381" s="49"/>
      <c r="L1381" s="49"/>
      <c r="M1381" s="49"/>
      <c r="N1381" s="49"/>
      <c r="O1381" s="49"/>
      <c r="P1381" s="49"/>
      <c r="Q1381" s="49"/>
      <c r="R1381" s="49"/>
      <c r="S1381" s="50"/>
      <c r="T1381" s="294"/>
    </row>
    <row r="1382" spans="1:20" ht="12.75" customHeight="1" x14ac:dyDescent="0.25">
      <c r="A1382" s="305"/>
      <c r="B1382" s="79"/>
      <c r="C1382" s="294"/>
      <c r="D1382" s="557" t="s">
        <v>454</v>
      </c>
      <c r="E1382" s="80"/>
      <c r="F1382" s="145"/>
      <c r="G1382" s="725">
        <v>1</v>
      </c>
      <c r="H1382" s="83"/>
      <c r="I1382" s="83"/>
      <c r="J1382" s="83"/>
      <c r="K1382" s="83"/>
      <c r="L1382" s="83"/>
      <c r="M1382" s="83"/>
      <c r="N1382" s="83"/>
      <c r="O1382" s="83"/>
      <c r="P1382" s="83"/>
      <c r="Q1382" s="83"/>
      <c r="R1382" s="83"/>
      <c r="S1382" s="82"/>
      <c r="T1382" s="294"/>
    </row>
    <row r="1383" spans="1:20" ht="12.75" customHeight="1" x14ac:dyDescent="0.25">
      <c r="A1383" s="305"/>
      <c r="B1383" s="79"/>
      <c r="C1383" s="294"/>
      <c r="D1383" s="557" t="s">
        <v>455</v>
      </c>
      <c r="E1383" s="80"/>
      <c r="F1383" s="146"/>
      <c r="G1383" s="725">
        <v>1</v>
      </c>
      <c r="H1383" s="83"/>
      <c r="I1383" s="83"/>
      <c r="J1383" s="83"/>
      <c r="K1383" s="83"/>
      <c r="L1383" s="83"/>
      <c r="M1383" s="83"/>
      <c r="N1383" s="83"/>
      <c r="O1383" s="83"/>
      <c r="P1383" s="83"/>
      <c r="Q1383" s="83"/>
      <c r="R1383" s="83"/>
      <c r="S1383" s="82"/>
      <c r="T1383" s="294"/>
    </row>
    <row r="1384" spans="1:20" ht="12.75" customHeight="1" x14ac:dyDescent="0.25">
      <c r="A1384" s="305"/>
      <c r="B1384" s="79"/>
      <c r="C1384" s="294"/>
      <c r="D1384" s="147" t="str">
        <f t="shared" ref="D1384:E1388" si="541">S1529</f>
        <v>Trigger: 1</v>
      </c>
      <c r="E1384" s="908">
        <f t="shared" si="541"/>
        <v>0</v>
      </c>
      <c r="F1384" s="145"/>
      <c r="G1384" s="907">
        <f ca="1">U1529</f>
        <v>0</v>
      </c>
      <c r="H1384" s="83"/>
      <c r="I1384" s="83"/>
      <c r="J1384" s="83"/>
      <c r="K1384" s="83"/>
      <c r="L1384" s="83"/>
      <c r="M1384" s="83"/>
      <c r="N1384" s="83"/>
      <c r="O1384" s="83"/>
      <c r="P1384" s="83"/>
      <c r="Q1384" s="83"/>
      <c r="R1384" s="83"/>
      <c r="S1384" s="82"/>
      <c r="T1384" s="294"/>
    </row>
    <row r="1385" spans="1:20" ht="12.75" customHeight="1" x14ac:dyDescent="0.25">
      <c r="A1385" s="305"/>
      <c r="B1385" s="79"/>
      <c r="C1385" s="294"/>
      <c r="D1385" s="147" t="str">
        <f t="shared" si="541"/>
        <v>Trigger: 2</v>
      </c>
      <c r="E1385" s="908">
        <f t="shared" si="541"/>
        <v>0</v>
      </c>
      <c r="F1385" s="146"/>
      <c r="G1385" s="907">
        <f ca="1">U1530</f>
        <v>0</v>
      </c>
      <c r="H1385" s="83"/>
      <c r="I1385" s="83"/>
      <c r="J1385" s="83"/>
      <c r="K1385" s="83"/>
      <c r="L1385" s="83"/>
      <c r="M1385" s="83"/>
      <c r="N1385" s="83"/>
      <c r="O1385" s="83"/>
      <c r="P1385" s="83"/>
      <c r="Q1385" s="83"/>
      <c r="R1385" s="83"/>
      <c r="S1385" s="82"/>
      <c r="T1385" s="294"/>
    </row>
    <row r="1386" spans="1:20" ht="12.75" customHeight="1" x14ac:dyDescent="0.25">
      <c r="A1386" s="305"/>
      <c r="B1386" s="79"/>
      <c r="C1386" s="294"/>
      <c r="D1386" s="147" t="str">
        <f t="shared" si="541"/>
        <v>Trigger: 3</v>
      </c>
      <c r="E1386" s="908">
        <f t="shared" si="541"/>
        <v>0</v>
      </c>
      <c r="F1386" s="146"/>
      <c r="G1386" s="907">
        <f ca="1">U1531</f>
        <v>0</v>
      </c>
      <c r="H1386" s="83"/>
      <c r="I1386" s="83"/>
      <c r="J1386" s="83"/>
      <c r="K1386" s="83"/>
      <c r="L1386" s="83"/>
      <c r="M1386" s="83"/>
      <c r="N1386" s="83"/>
      <c r="O1386" s="83"/>
      <c r="P1386" s="83"/>
      <c r="Q1386" s="83"/>
      <c r="R1386" s="83"/>
      <c r="S1386" s="82"/>
      <c r="T1386" s="294"/>
    </row>
    <row r="1387" spans="1:20" ht="12.75" customHeight="1" x14ac:dyDescent="0.25">
      <c r="A1387" s="305"/>
      <c r="B1387" s="79"/>
      <c r="C1387" s="294"/>
      <c r="D1387" s="147" t="str">
        <f t="shared" si="541"/>
        <v>Trigger: 4</v>
      </c>
      <c r="E1387" s="908">
        <f t="shared" si="541"/>
        <v>0</v>
      </c>
      <c r="F1387" s="146"/>
      <c r="G1387" s="907">
        <f ca="1">U1532</f>
        <v>0</v>
      </c>
      <c r="H1387" s="83"/>
      <c r="I1387" s="83"/>
      <c r="J1387" s="83"/>
      <c r="K1387" s="83"/>
      <c r="L1387" s="83"/>
      <c r="M1387" s="83"/>
      <c r="N1387" s="83"/>
      <c r="O1387" s="83"/>
      <c r="P1387" s="83"/>
      <c r="Q1387" s="83"/>
      <c r="R1387" s="83"/>
      <c r="S1387" s="82"/>
      <c r="T1387" s="294"/>
    </row>
    <row r="1388" spans="1:20" ht="12.75" customHeight="1" x14ac:dyDescent="0.25">
      <c r="A1388" s="305"/>
      <c r="B1388" s="79"/>
      <c r="C1388" s="294"/>
      <c r="D1388" s="147" t="str">
        <f t="shared" si="541"/>
        <v>Trigger: 5</v>
      </c>
      <c r="E1388" s="908">
        <f t="shared" si="541"/>
        <v>0</v>
      </c>
      <c r="F1388" s="146"/>
      <c r="G1388" s="907">
        <f ca="1">U1533</f>
        <v>0</v>
      </c>
      <c r="H1388" s="83"/>
      <c r="I1388" s="83"/>
      <c r="J1388" s="83"/>
      <c r="K1388" s="83"/>
      <c r="L1388" s="83"/>
      <c r="M1388" s="83"/>
      <c r="N1388" s="83"/>
      <c r="O1388" s="83"/>
      <c r="P1388" s="83"/>
      <c r="Q1388" s="83"/>
      <c r="R1388" s="83"/>
      <c r="S1388" s="82"/>
      <c r="T1388" s="294"/>
    </row>
    <row r="1389" spans="1:20" ht="12.75" customHeight="1" x14ac:dyDescent="0.25">
      <c r="A1389" s="305"/>
      <c r="B1389" s="721" t="s">
        <v>456</v>
      </c>
      <c r="C1389" s="413"/>
      <c r="D1389" s="556" t="s">
        <v>457</v>
      </c>
      <c r="E1389" s="80"/>
      <c r="F1389" s="146"/>
      <c r="G1389" s="735">
        <v>0</v>
      </c>
      <c r="H1389" s="557" t="s">
        <v>458</v>
      </c>
      <c r="I1389" s="80"/>
      <c r="J1389" s="80"/>
      <c r="K1389" s="80"/>
      <c r="L1389" s="80"/>
      <c r="M1389" s="80"/>
      <c r="N1389" s="145"/>
      <c r="O1389" s="83"/>
      <c r="P1389" s="83"/>
      <c r="Q1389" s="83"/>
      <c r="R1389" s="83"/>
      <c r="S1389" s="82"/>
      <c r="T1389" s="294"/>
    </row>
    <row r="1390" spans="1:20" ht="12.75" customHeight="1" x14ac:dyDescent="0.25">
      <c r="A1390" s="305"/>
      <c r="B1390" s="528"/>
      <c r="C1390" s="327"/>
      <c r="D1390" s="854" t="s">
        <v>459</v>
      </c>
      <c r="E1390" s="80"/>
      <c r="F1390" s="81"/>
      <c r="G1390" s="853">
        <v>1</v>
      </c>
      <c r="H1390" s="527"/>
      <c r="I1390" s="83"/>
      <c r="J1390" s="93">
        <f>+J1420</f>
        <v>1998</v>
      </c>
      <c r="K1390" s="93">
        <f t="shared" ref="K1390:S1390" si="542">J1390+1</f>
        <v>1999</v>
      </c>
      <c r="L1390" s="93">
        <f t="shared" si="542"/>
        <v>2000</v>
      </c>
      <c r="M1390" s="93">
        <f t="shared" si="542"/>
        <v>2001</v>
      </c>
      <c r="N1390" s="93">
        <f t="shared" si="542"/>
        <v>2002</v>
      </c>
      <c r="O1390" s="93">
        <f t="shared" si="542"/>
        <v>2003</v>
      </c>
      <c r="P1390" s="93">
        <f t="shared" si="542"/>
        <v>2004</v>
      </c>
      <c r="Q1390" s="93">
        <f t="shared" si="542"/>
        <v>2005</v>
      </c>
      <c r="R1390" s="93">
        <f t="shared" si="542"/>
        <v>2006</v>
      </c>
      <c r="S1390" s="93">
        <f t="shared" si="542"/>
        <v>2007</v>
      </c>
      <c r="T1390" s="294"/>
    </row>
    <row r="1391" spans="1:20" ht="12.75" customHeight="1" x14ac:dyDescent="0.25">
      <c r="A1391" s="305"/>
      <c r="B1391" s="526"/>
      <c r="C1391" s="335"/>
      <c r="D1391" s="556" t="s">
        <v>460</v>
      </c>
      <c r="E1391" s="80"/>
      <c r="F1391" s="81"/>
      <c r="G1391" s="735">
        <v>1</v>
      </c>
      <c r="H1391" s="830" t="s">
        <v>139</v>
      </c>
      <c r="I1391" s="83"/>
      <c r="J1391" s="736">
        <v>25</v>
      </c>
      <c r="K1391" s="736">
        <v>25</v>
      </c>
      <c r="L1391" s="736">
        <v>25</v>
      </c>
      <c r="M1391" s="736">
        <v>25</v>
      </c>
      <c r="N1391" s="736">
        <v>25</v>
      </c>
      <c r="O1391" s="736">
        <v>25</v>
      </c>
      <c r="P1391" s="736">
        <v>25</v>
      </c>
      <c r="Q1391" s="736">
        <v>25</v>
      </c>
      <c r="R1391" s="736">
        <v>25</v>
      </c>
      <c r="S1391" s="736">
        <v>25</v>
      </c>
      <c r="T1391" s="294"/>
    </row>
    <row r="1392" spans="1:20" ht="12.75" customHeight="1" x14ac:dyDescent="0.25">
      <c r="A1392" s="305"/>
      <c r="B1392" s="79"/>
      <c r="C1392" s="294"/>
      <c r="D1392" s="557" t="s">
        <v>461</v>
      </c>
      <c r="E1392" s="81"/>
      <c r="F1392" s="81"/>
      <c r="G1392" s="735">
        <v>1</v>
      </c>
      <c r="H1392" s="83"/>
      <c r="I1392" s="83"/>
      <c r="J1392" s="83"/>
      <c r="K1392" s="83"/>
      <c r="L1392" s="83"/>
      <c r="M1392" s="83"/>
      <c r="N1392" s="83"/>
      <c r="O1392" s="83"/>
      <c r="P1392" s="83"/>
      <c r="Q1392" s="83"/>
      <c r="R1392" s="83"/>
      <c r="S1392" s="83"/>
      <c r="T1392" s="294"/>
    </row>
    <row r="1393" spans="1:20" ht="18.75" customHeight="1" x14ac:dyDescent="0.3">
      <c r="A1393" s="305"/>
      <c r="B1393" s="79"/>
      <c r="C1393" s="294"/>
      <c r="D1393" s="731" t="s">
        <v>462</v>
      </c>
      <c r="E1393" s="113"/>
      <c r="F1393" s="114"/>
      <c r="G1393" s="113"/>
      <c r="H1393" s="113"/>
      <c r="I1393" s="47"/>
      <c r="J1393" s="47"/>
      <c r="K1393" s="49"/>
      <c r="L1393" s="49"/>
      <c r="M1393" s="49"/>
      <c r="N1393" s="49"/>
      <c r="O1393" s="49"/>
      <c r="P1393" s="49"/>
      <c r="Q1393" s="49"/>
      <c r="R1393" s="49"/>
      <c r="S1393" s="50"/>
      <c r="T1393" s="294"/>
    </row>
    <row r="1394" spans="1:20" ht="12.75" customHeight="1" x14ac:dyDescent="0.25">
      <c r="A1394" s="305"/>
      <c r="B1394" s="79"/>
      <c r="C1394" s="294"/>
      <c r="D1394" s="320"/>
      <c r="E1394" s="321"/>
      <c r="F1394" s="321"/>
      <c r="G1394" s="737" t="s">
        <v>381</v>
      </c>
      <c r="H1394" s="737" t="s">
        <v>381</v>
      </c>
      <c r="I1394" s="737" t="s">
        <v>382</v>
      </c>
      <c r="J1394" s="737" t="s">
        <v>384</v>
      </c>
      <c r="K1394" s="737" t="s">
        <v>378</v>
      </c>
      <c r="L1394" s="83"/>
      <c r="M1394" s="83"/>
      <c r="N1394" s="83"/>
      <c r="O1394" s="83"/>
      <c r="P1394" s="83"/>
      <c r="Q1394" s="83"/>
      <c r="R1394" s="83"/>
      <c r="S1394" s="83"/>
      <c r="T1394" s="294"/>
    </row>
    <row r="1395" spans="1:20" ht="12.75" customHeight="1" x14ac:dyDescent="0.25">
      <c r="A1395" s="305"/>
      <c r="B1395" s="79"/>
      <c r="C1395" s="294"/>
      <c r="D1395" s="322"/>
      <c r="E1395" s="323"/>
      <c r="F1395" s="323"/>
      <c r="G1395" s="738" t="s">
        <v>377</v>
      </c>
      <c r="H1395" s="738" t="s">
        <v>386</v>
      </c>
      <c r="I1395" s="738" t="s">
        <v>386</v>
      </c>
      <c r="J1395" s="738" t="s">
        <v>377</v>
      </c>
      <c r="K1395" s="738" t="s">
        <v>377</v>
      </c>
      <c r="L1395" s="83"/>
      <c r="M1395" s="83"/>
      <c r="N1395" s="83"/>
      <c r="O1395" s="83"/>
      <c r="P1395" s="83"/>
      <c r="Q1395" s="83"/>
      <c r="R1395" s="83"/>
      <c r="S1395" s="83"/>
      <c r="T1395" s="294"/>
    </row>
    <row r="1396" spans="1:20" ht="12.75" customHeight="1" x14ac:dyDescent="0.25">
      <c r="A1396" s="305"/>
      <c r="B1396" s="79"/>
      <c r="C1396" s="294"/>
      <c r="D1396" s="322"/>
      <c r="E1396" s="323"/>
      <c r="F1396" s="323"/>
      <c r="G1396" s="739" t="s">
        <v>463</v>
      </c>
      <c r="H1396" s="739" t="s">
        <v>463</v>
      </c>
      <c r="I1396" s="739" t="s">
        <v>463</v>
      </c>
      <c r="J1396" s="739" t="s">
        <v>463</v>
      </c>
      <c r="K1396" s="739" t="s">
        <v>463</v>
      </c>
      <c r="L1396" s="83"/>
      <c r="M1396" s="83"/>
      <c r="N1396" s="83"/>
      <c r="O1396" s="83"/>
      <c r="P1396" s="83"/>
      <c r="Q1396" s="83"/>
      <c r="R1396" s="83"/>
      <c r="S1396" s="83"/>
      <c r="T1396" s="294"/>
    </row>
    <row r="1397" spans="1:20" ht="12.75" customHeight="1" x14ac:dyDescent="0.25">
      <c r="A1397" s="305"/>
      <c r="B1397" s="79"/>
      <c r="C1397" s="294"/>
      <c r="D1397" s="556" t="str">
        <f>sponsor&amp;" Invesmtent:"</f>
        <v>Sponsor Invesmtent:</v>
      </c>
      <c r="E1397" s="80"/>
      <c r="F1397" s="145"/>
      <c r="G1397" s="740">
        <v>1</v>
      </c>
      <c r="H1397" s="740">
        <v>0</v>
      </c>
      <c r="I1397" s="740">
        <v>0</v>
      </c>
      <c r="J1397" s="740">
        <v>0</v>
      </c>
      <c r="K1397" s="470">
        <f>S916</f>
        <v>1</v>
      </c>
      <c r="L1397" s="83"/>
      <c r="M1397" s="83"/>
      <c r="N1397" s="83"/>
      <c r="O1397" s="83"/>
      <c r="P1397" s="83"/>
      <c r="Q1397" s="83"/>
      <c r="R1397" s="83"/>
      <c r="S1397" s="83"/>
      <c r="T1397" s="294"/>
    </row>
    <row r="1398" spans="1:20" ht="12.75" customHeight="1" x14ac:dyDescent="0.25">
      <c r="A1398" s="305"/>
      <c r="B1398" s="79"/>
      <c r="C1398" s="294"/>
      <c r="D1398" s="556" t="s">
        <v>464</v>
      </c>
      <c r="E1398" s="80"/>
      <c r="F1398" s="145"/>
      <c r="G1398" s="740">
        <v>0</v>
      </c>
      <c r="H1398" s="740">
        <v>0</v>
      </c>
      <c r="I1398" s="740">
        <v>0</v>
      </c>
      <c r="J1398" s="740">
        <v>0</v>
      </c>
      <c r="K1398" s="470">
        <f>S917</f>
        <v>0</v>
      </c>
      <c r="L1398" s="83"/>
      <c r="M1398" s="83"/>
      <c r="N1398" s="83"/>
      <c r="O1398" s="83"/>
      <c r="P1398" s="83"/>
      <c r="Q1398" s="83"/>
      <c r="R1398" s="83"/>
      <c r="S1398" s="83"/>
      <c r="T1398" s="294"/>
    </row>
    <row r="1399" spans="1:20" ht="12.75" customHeight="1" x14ac:dyDescent="0.25">
      <c r="A1399" s="305"/>
      <c r="B1399" s="79"/>
      <c r="C1399" s="294"/>
      <c r="D1399" s="556" t="s">
        <v>465</v>
      </c>
      <c r="E1399" s="80"/>
      <c r="F1399" s="145"/>
      <c r="G1399" s="740">
        <v>0</v>
      </c>
      <c r="H1399" s="740">
        <v>0</v>
      </c>
      <c r="I1399" s="740">
        <v>0</v>
      </c>
      <c r="J1399" s="740">
        <v>0</v>
      </c>
      <c r="K1399" s="470">
        <f>S918</f>
        <v>0</v>
      </c>
      <c r="L1399" s="83"/>
      <c r="M1399" s="83"/>
      <c r="N1399" s="83"/>
      <c r="O1399" s="83"/>
      <c r="P1399" s="83"/>
      <c r="Q1399" s="83"/>
      <c r="R1399" s="83"/>
      <c r="S1399" s="83"/>
      <c r="T1399" s="294"/>
    </row>
    <row r="1400" spans="1:20" ht="12.75" customHeight="1" x14ac:dyDescent="0.25">
      <c r="A1400" s="305"/>
      <c r="B1400" s="79"/>
      <c r="C1400" s="294"/>
      <c r="D1400" s="556" t="s">
        <v>466</v>
      </c>
      <c r="E1400" s="80"/>
      <c r="F1400" s="145"/>
      <c r="G1400" s="470">
        <f>SUM(K1412:K1418)</f>
        <v>0</v>
      </c>
      <c r="H1400" s="470">
        <f>SUM(L1412:L1418)</f>
        <v>0</v>
      </c>
      <c r="I1400" s="470">
        <f>SUM(M1412:M1418)</f>
        <v>0</v>
      </c>
      <c r="J1400" s="741">
        <v>0</v>
      </c>
      <c r="K1400" s="470">
        <f>SUM(N1412:N1418)</f>
        <v>0</v>
      </c>
      <c r="L1400" s="83"/>
      <c r="M1400" s="83"/>
      <c r="N1400" s="83"/>
      <c r="O1400" s="83"/>
      <c r="P1400" s="83"/>
      <c r="Q1400" s="83"/>
      <c r="R1400" s="83"/>
      <c r="S1400" s="83"/>
      <c r="T1400" s="294"/>
    </row>
    <row r="1401" spans="1:20" ht="12.75" customHeight="1" x14ac:dyDescent="0.25">
      <c r="A1401" s="305"/>
      <c r="B1401" s="79"/>
      <c r="C1401" s="294"/>
      <c r="D1401" s="557" t="s">
        <v>467</v>
      </c>
      <c r="E1401" s="80"/>
      <c r="F1401" s="145"/>
      <c r="G1401" s="470">
        <f>SUM(G1397:G1400)</f>
        <v>1</v>
      </c>
      <c r="H1401" s="470">
        <f>SUM(H1397:H1400)</f>
        <v>0</v>
      </c>
      <c r="I1401" s="470">
        <f>SUM(I1397:I1400)</f>
        <v>0</v>
      </c>
      <c r="J1401" s="470">
        <f>SUM(J1397:J1400)</f>
        <v>0</v>
      </c>
      <c r="K1401" s="470">
        <f>SUM(K1397:K1400)</f>
        <v>1</v>
      </c>
      <c r="L1401" s="83"/>
      <c r="M1401" s="83"/>
      <c r="N1401" s="83"/>
      <c r="O1401" s="83"/>
      <c r="P1401" s="83"/>
      <c r="Q1401" s="83"/>
      <c r="R1401" s="83"/>
      <c r="S1401" s="83"/>
      <c r="T1401" s="294"/>
    </row>
    <row r="1402" spans="1:20" ht="17.399999999999999" x14ac:dyDescent="0.3">
      <c r="A1402" s="305"/>
      <c r="B1402" s="79"/>
      <c r="C1402" s="294"/>
      <c r="D1402" s="731" t="s">
        <v>468</v>
      </c>
      <c r="E1402" s="113"/>
      <c r="F1402" s="114"/>
      <c r="G1402" s="113"/>
      <c r="H1402" s="113"/>
      <c r="I1402" s="47"/>
      <c r="J1402" s="47"/>
      <c r="K1402" s="49"/>
      <c r="L1402" s="49"/>
      <c r="M1402" s="49"/>
      <c r="N1402" s="49"/>
      <c r="O1402" s="49"/>
      <c r="P1402" s="49"/>
      <c r="Q1402" s="49"/>
      <c r="R1402" s="49"/>
      <c r="S1402" s="50"/>
      <c r="T1402" s="294"/>
    </row>
    <row r="1403" spans="1:20" ht="12.75" customHeight="1" x14ac:dyDescent="0.25">
      <c r="A1403" s="305"/>
      <c r="B1403" s="79"/>
      <c r="C1403" s="294"/>
      <c r="D1403" s="57"/>
      <c r="E1403" s="111"/>
      <c r="F1403" s="111"/>
      <c r="G1403" s="737" t="s">
        <v>469</v>
      </c>
      <c r="H1403" s="737" t="s">
        <v>470</v>
      </c>
      <c r="I1403" s="737" t="s">
        <v>471</v>
      </c>
      <c r="J1403" s="451"/>
      <c r="K1403" s="451"/>
      <c r="L1403" s="451"/>
      <c r="M1403" s="451"/>
      <c r="N1403" s="451"/>
      <c r="O1403" s="451"/>
      <c r="P1403" s="451"/>
      <c r="Q1403" s="283"/>
      <c r="R1403" s="83"/>
      <c r="S1403" s="82"/>
      <c r="T1403" s="294"/>
    </row>
    <row r="1404" spans="1:20" ht="12.75" customHeight="1" x14ac:dyDescent="0.25">
      <c r="A1404" s="305"/>
      <c r="B1404" s="79"/>
      <c r="C1404" s="294"/>
      <c r="D1404" s="58"/>
      <c r="E1404" s="738" t="s">
        <v>472</v>
      </c>
      <c r="F1404" s="738" t="s">
        <v>472</v>
      </c>
      <c r="G1404" s="738" t="s">
        <v>473</v>
      </c>
      <c r="H1404" s="738" t="s">
        <v>65</v>
      </c>
      <c r="I1404" s="746" t="s">
        <v>474</v>
      </c>
      <c r="J1404" s="451" t="s">
        <v>475</v>
      </c>
      <c r="K1404" s="802">
        <f>ROW(J654)-ROW(J646)</f>
        <v>8</v>
      </c>
      <c r="L1404" s="451"/>
      <c r="M1404" s="451"/>
      <c r="N1404" s="451"/>
      <c r="O1404" s="451"/>
      <c r="P1404" s="451"/>
      <c r="Q1404" s="283"/>
      <c r="R1404" s="83"/>
      <c r="S1404" s="82"/>
      <c r="T1404" s="294"/>
    </row>
    <row r="1405" spans="1:20" ht="12.75" customHeight="1" x14ac:dyDescent="0.25">
      <c r="A1405" s="305"/>
      <c r="B1405" s="79"/>
      <c r="C1405" s="419"/>
      <c r="D1405" s="759" t="s">
        <v>476</v>
      </c>
      <c r="E1405" s="739" t="s">
        <v>477</v>
      </c>
      <c r="F1405" s="739" t="s">
        <v>478</v>
      </c>
      <c r="G1405" s="743" t="s">
        <v>479</v>
      </c>
      <c r="H1405" s="743" t="s">
        <v>479</v>
      </c>
      <c r="I1405" s="743" t="s">
        <v>479</v>
      </c>
      <c r="J1405" s="451" t="s">
        <v>480</v>
      </c>
      <c r="K1405" s="802">
        <f>-ROW(J661)+ROW(J668)</f>
        <v>7</v>
      </c>
      <c r="L1405" s="451"/>
      <c r="M1405" s="451"/>
      <c r="N1405" s="451"/>
      <c r="O1405" s="451"/>
      <c r="P1405" s="451"/>
      <c r="Q1405" s="283"/>
      <c r="R1405" s="83"/>
      <c r="S1405" s="82"/>
      <c r="T1405" s="294"/>
    </row>
    <row r="1406" spans="1:20" ht="12.75" customHeight="1" x14ac:dyDescent="0.25">
      <c r="A1406" s="305"/>
      <c r="C1406" s="801"/>
      <c r="D1406" s="559" t="s">
        <v>481</v>
      </c>
      <c r="E1406" s="742">
        <v>-2.5000000000000001E-2</v>
      </c>
      <c r="F1406" s="742">
        <v>2.2499999999999999E-2</v>
      </c>
      <c r="G1406" s="466"/>
      <c r="H1406" s="466"/>
      <c r="I1406" s="466"/>
      <c r="J1406" s="451"/>
      <c r="K1406" s="451"/>
      <c r="L1406" s="451"/>
      <c r="M1406" s="451"/>
      <c r="N1406" s="451"/>
      <c r="O1406" s="451"/>
      <c r="P1406" s="451"/>
      <c r="Q1406" s="283"/>
      <c r="R1406" s="83"/>
      <c r="S1406" s="82"/>
      <c r="T1406" s="294"/>
    </row>
    <row r="1407" spans="1:20" ht="12.75" customHeight="1" x14ac:dyDescent="0.25">
      <c r="A1407" s="305"/>
      <c r="B1407" s="752" t="s">
        <v>482</v>
      </c>
      <c r="C1407" s="420">
        <f t="shared" ref="C1407:C1416" si="543">IF(I1407=0,0,1)</f>
        <v>1</v>
      </c>
      <c r="D1407" s="558" t="s">
        <v>483</v>
      </c>
      <c r="E1407" s="742">
        <v>1.4999999999999999E-2</v>
      </c>
      <c r="F1407" s="742">
        <v>1.2500000000000001E-2</v>
      </c>
      <c r="G1407" s="745">
        <v>0</v>
      </c>
      <c r="H1407" s="744">
        <v>0</v>
      </c>
      <c r="I1407" s="744">
        <v>1</v>
      </c>
      <c r="J1407" s="451"/>
      <c r="K1407" s="451"/>
      <c r="L1407" s="451"/>
      <c r="M1407" s="451"/>
      <c r="N1407" s="451"/>
      <c r="O1407" s="451"/>
      <c r="P1407" s="451"/>
      <c r="Q1407" s="451"/>
      <c r="R1407" s="83"/>
      <c r="S1407" s="82"/>
      <c r="T1407" s="294"/>
    </row>
    <row r="1408" spans="1:20" ht="12.75" customHeight="1" x14ac:dyDescent="0.25">
      <c r="A1408" s="305"/>
      <c r="B1408" s="753" t="s">
        <v>484</v>
      </c>
      <c r="C1408" s="421">
        <f t="shared" si="543"/>
        <v>1</v>
      </c>
      <c r="D1408" s="558" t="s">
        <v>485</v>
      </c>
      <c r="E1408" s="84"/>
      <c r="F1408" s="84"/>
      <c r="G1408" s="745">
        <v>0</v>
      </c>
      <c r="H1408" s="744">
        <v>0</v>
      </c>
      <c r="I1408" s="744">
        <v>1</v>
      </c>
      <c r="J1408" s="451"/>
      <c r="K1408" s="451"/>
      <c r="L1408" s="451"/>
      <c r="M1408" s="451"/>
      <c r="N1408" s="451"/>
      <c r="O1408" s="451"/>
      <c r="P1408" s="451"/>
      <c r="Q1408" s="451"/>
      <c r="R1408" s="83"/>
      <c r="S1408" s="82"/>
      <c r="T1408" s="294"/>
    </row>
    <row r="1409" spans="1:20" ht="12.75" customHeight="1" x14ac:dyDescent="0.25">
      <c r="A1409" s="305"/>
      <c r="B1409" s="753" t="s">
        <v>486</v>
      </c>
      <c r="C1409" s="421">
        <f t="shared" si="543"/>
        <v>1</v>
      </c>
      <c r="D1409" s="558" t="s">
        <v>487</v>
      </c>
      <c r="E1409" s="742">
        <v>1.4999999999999999E-2</v>
      </c>
      <c r="F1409" s="742">
        <v>1.2500000000000001E-2</v>
      </c>
      <c r="G1409" s="745">
        <v>1</v>
      </c>
      <c r="H1409" s="465"/>
      <c r="I1409" s="744">
        <v>1</v>
      </c>
      <c r="J1409" s="737" t="s">
        <v>488</v>
      </c>
      <c r="K1409" s="737" t="s">
        <v>381</v>
      </c>
      <c r="L1409" s="737" t="s">
        <v>381</v>
      </c>
      <c r="M1409" s="737" t="s">
        <v>382</v>
      </c>
      <c r="N1409" s="751" t="s">
        <v>379</v>
      </c>
      <c r="O1409" s="747" t="s">
        <v>377</v>
      </c>
      <c r="P1409" s="737" t="s">
        <v>489</v>
      </c>
      <c r="Q1409" s="747" t="s">
        <v>489</v>
      </c>
      <c r="R1409" s="84"/>
      <c r="S1409" s="85"/>
      <c r="T1409" s="294"/>
    </row>
    <row r="1410" spans="1:20" x14ac:dyDescent="0.25">
      <c r="A1410" s="305"/>
      <c r="B1410" s="753" t="s">
        <v>490</v>
      </c>
      <c r="C1410" s="421">
        <f t="shared" si="543"/>
        <v>1</v>
      </c>
      <c r="D1410" s="558" t="s">
        <v>491</v>
      </c>
      <c r="E1410" s="742">
        <v>1.4999999999999999E-2</v>
      </c>
      <c r="F1410" s="742">
        <v>1.2500000000000001E-2</v>
      </c>
      <c r="G1410" s="745">
        <v>1</v>
      </c>
      <c r="H1410" s="744">
        <v>1</v>
      </c>
      <c r="I1410" s="744">
        <v>1</v>
      </c>
      <c r="J1410" s="738" t="s">
        <v>492</v>
      </c>
      <c r="K1410" s="738" t="s">
        <v>377</v>
      </c>
      <c r="L1410" s="738" t="s">
        <v>386</v>
      </c>
      <c r="M1410" s="738" t="s">
        <v>386</v>
      </c>
      <c r="N1410" s="738" t="s">
        <v>385</v>
      </c>
      <c r="O1410" s="738" t="s">
        <v>493</v>
      </c>
      <c r="P1410" s="743" t="s">
        <v>494</v>
      </c>
      <c r="Q1410" s="748" t="s">
        <v>495</v>
      </c>
      <c r="R1410" s="84"/>
      <c r="S1410" s="85"/>
      <c r="T1410" s="294"/>
    </row>
    <row r="1411" spans="1:20" x14ac:dyDescent="0.25">
      <c r="A1411" s="305"/>
      <c r="B1411" s="753" t="s">
        <v>496</v>
      </c>
      <c r="C1411" s="421">
        <f t="shared" si="543"/>
        <v>1</v>
      </c>
      <c r="D1411" s="559" t="s">
        <v>497</v>
      </c>
      <c r="E1411" s="742">
        <v>1.4999999999999999E-2</v>
      </c>
      <c r="F1411" s="742">
        <v>1.2500000000000001E-2</v>
      </c>
      <c r="G1411" s="745">
        <v>1</v>
      </c>
      <c r="H1411" s="744">
        <v>0</v>
      </c>
      <c r="I1411" s="744">
        <v>1</v>
      </c>
      <c r="J1411" s="739" t="s">
        <v>498</v>
      </c>
      <c r="K1411" s="739" t="s">
        <v>463</v>
      </c>
      <c r="L1411" s="739" t="s">
        <v>463</v>
      </c>
      <c r="M1411" s="739" t="s">
        <v>463</v>
      </c>
      <c r="N1411" s="739" t="s">
        <v>377</v>
      </c>
      <c r="O1411" s="739" t="s">
        <v>499</v>
      </c>
      <c r="P1411" s="749">
        <v>0</v>
      </c>
      <c r="Q1411" s="750">
        <v>0</v>
      </c>
      <c r="R1411" s="84"/>
      <c r="S1411" s="85"/>
      <c r="T1411" s="294"/>
    </row>
    <row r="1412" spans="1:20" x14ac:dyDescent="0.25">
      <c r="A1412" s="305"/>
      <c r="B1412" s="469" t="str">
        <f>"(see Row ("&amp;ROW(B441)&amp;")"</f>
        <v>(see Row (441)</v>
      </c>
      <c r="C1412" s="421">
        <f t="shared" si="543"/>
        <v>0</v>
      </c>
      <c r="D1412" s="560" t="s">
        <v>500</v>
      </c>
      <c r="E1412" s="755"/>
      <c r="F1412" s="755"/>
      <c r="G1412" s="745">
        <v>1</v>
      </c>
      <c r="H1412" s="745">
        <v>0</v>
      </c>
      <c r="I1412" s="745">
        <v>0</v>
      </c>
      <c r="J1412" s="674">
        <v>0</v>
      </c>
      <c r="K1412" s="749">
        <v>0</v>
      </c>
      <c r="L1412" s="749">
        <v>0</v>
      </c>
      <c r="M1412" s="749">
        <v>0</v>
      </c>
      <c r="N1412" s="127">
        <f t="shared" ref="N1412:N1418" si="544">S920</f>
        <v>0</v>
      </c>
      <c r="O1412" s="756">
        <v>5.0000000000000001E-3</v>
      </c>
      <c r="P1412" s="84"/>
      <c r="Q1412" s="84"/>
      <c r="R1412" s="84"/>
      <c r="S1412" s="85"/>
      <c r="T1412" s="294"/>
    </row>
    <row r="1413" spans="1:20" x14ac:dyDescent="0.25">
      <c r="A1413" s="305"/>
      <c r="B1413" s="754" t="s">
        <v>501</v>
      </c>
      <c r="C1413" s="421">
        <f t="shared" si="543"/>
        <v>0</v>
      </c>
      <c r="D1413" s="560" t="s">
        <v>502</v>
      </c>
      <c r="E1413" s="746"/>
      <c r="F1413" s="746"/>
      <c r="G1413" s="745">
        <f>G1412</f>
        <v>1</v>
      </c>
      <c r="H1413" s="745">
        <v>0</v>
      </c>
      <c r="I1413" s="745">
        <v>0</v>
      </c>
      <c r="J1413" s="674">
        <v>0</v>
      </c>
      <c r="K1413" s="749">
        <v>0</v>
      </c>
      <c r="L1413" s="749">
        <v>0</v>
      </c>
      <c r="M1413" s="749">
        <v>0</v>
      </c>
      <c r="N1413" s="127">
        <f t="shared" si="544"/>
        <v>0</v>
      </c>
      <c r="O1413" s="756">
        <v>5.0000000000000001E-3</v>
      </c>
      <c r="P1413" s="84"/>
      <c r="Q1413" s="84"/>
      <c r="R1413" s="84"/>
      <c r="S1413" s="85"/>
      <c r="T1413" s="294"/>
    </row>
    <row r="1414" spans="1:20" x14ac:dyDescent="0.25">
      <c r="A1414" s="305"/>
      <c r="B1414" s="753" t="s">
        <v>503</v>
      </c>
      <c r="C1414" s="421">
        <f t="shared" si="543"/>
        <v>0</v>
      </c>
      <c r="D1414" s="560" t="s">
        <v>504</v>
      </c>
      <c r="E1414" s="738"/>
      <c r="F1414" s="738"/>
      <c r="G1414" s="745">
        <f>G1413</f>
        <v>1</v>
      </c>
      <c r="H1414" s="745">
        <v>0</v>
      </c>
      <c r="I1414" s="745">
        <v>0</v>
      </c>
      <c r="J1414" s="674">
        <v>0</v>
      </c>
      <c r="K1414" s="749">
        <v>0</v>
      </c>
      <c r="L1414" s="749">
        <v>0</v>
      </c>
      <c r="M1414" s="749">
        <v>0</v>
      </c>
      <c r="N1414" s="127">
        <f t="shared" si="544"/>
        <v>0</v>
      </c>
      <c r="O1414" s="756">
        <v>5.0000000000000001E-3</v>
      </c>
      <c r="P1414" s="84"/>
      <c r="Q1414" s="84"/>
      <c r="R1414" s="84"/>
      <c r="S1414" s="85"/>
      <c r="T1414" s="294"/>
    </row>
    <row r="1415" spans="1:20" x14ac:dyDescent="0.25">
      <c r="A1415" s="305"/>
      <c r="B1415" s="468"/>
      <c r="C1415" s="421">
        <f t="shared" si="543"/>
        <v>0</v>
      </c>
      <c r="D1415" s="561" t="s">
        <v>505</v>
      </c>
      <c r="E1415" s="746"/>
      <c r="F1415" s="746"/>
      <c r="G1415" s="745">
        <f>G1414</f>
        <v>1</v>
      </c>
      <c r="H1415" s="745">
        <v>0</v>
      </c>
      <c r="I1415" s="745">
        <v>0</v>
      </c>
      <c r="J1415" s="674">
        <v>0</v>
      </c>
      <c r="K1415" s="749">
        <v>0</v>
      </c>
      <c r="L1415" s="749">
        <v>0</v>
      </c>
      <c r="M1415" s="749">
        <v>0</v>
      </c>
      <c r="N1415" s="127">
        <f t="shared" si="544"/>
        <v>0</v>
      </c>
      <c r="O1415" s="756">
        <v>5.0000000000000001E-3</v>
      </c>
      <c r="P1415" s="84"/>
      <c r="Q1415" s="84"/>
      <c r="R1415" s="84"/>
      <c r="S1415" s="85"/>
      <c r="T1415" s="294"/>
    </row>
    <row r="1416" spans="1:20" x14ac:dyDescent="0.25">
      <c r="A1416" s="305"/>
      <c r="B1416" s="468"/>
      <c r="C1416" s="422">
        <f t="shared" si="543"/>
        <v>0</v>
      </c>
      <c r="D1416" s="561" t="s">
        <v>506</v>
      </c>
      <c r="E1416" s="743"/>
      <c r="F1416" s="743"/>
      <c r="G1416" s="745">
        <f>G1415</f>
        <v>1</v>
      </c>
      <c r="H1416" s="745">
        <v>0</v>
      </c>
      <c r="I1416" s="745">
        <v>0</v>
      </c>
      <c r="J1416" s="674">
        <v>0</v>
      </c>
      <c r="K1416" s="749">
        <v>0</v>
      </c>
      <c r="L1416" s="749">
        <v>0</v>
      </c>
      <c r="M1416" s="749">
        <v>0</v>
      </c>
      <c r="N1416" s="127">
        <f t="shared" si="544"/>
        <v>0</v>
      </c>
      <c r="O1416" s="756">
        <v>5.0000000000000001E-3</v>
      </c>
      <c r="P1416" s="84"/>
      <c r="Q1416" s="84"/>
      <c r="R1416" s="84"/>
      <c r="S1416" s="85"/>
      <c r="T1416" s="294"/>
    </row>
    <row r="1417" spans="1:20" x14ac:dyDescent="0.25">
      <c r="A1417" s="305"/>
      <c r="B1417" s="418"/>
      <c r="C1417" s="294"/>
      <c r="D1417" s="562" t="s">
        <v>507</v>
      </c>
      <c r="E1417" s="84"/>
      <c r="F1417" s="84"/>
      <c r="G1417" s="84"/>
      <c r="H1417" s="84"/>
      <c r="I1417" s="84"/>
      <c r="J1417" s="674">
        <v>0</v>
      </c>
      <c r="K1417" s="749">
        <v>0</v>
      </c>
      <c r="L1417" s="749">
        <v>0</v>
      </c>
      <c r="M1417" s="749">
        <v>0</v>
      </c>
      <c r="N1417" s="127">
        <f t="shared" si="544"/>
        <v>0</v>
      </c>
      <c r="O1417" s="756">
        <v>5.0000000000000001E-3</v>
      </c>
      <c r="P1417" s="84"/>
      <c r="Q1417" s="84"/>
      <c r="R1417" s="84"/>
      <c r="S1417" s="85"/>
      <c r="T1417" s="294"/>
    </row>
    <row r="1418" spans="1:20" x14ac:dyDescent="0.25">
      <c r="A1418" s="305"/>
      <c r="B1418" s="79"/>
      <c r="C1418" s="294"/>
      <c r="D1418" s="561" t="s">
        <v>508</v>
      </c>
      <c r="E1418" s="84"/>
      <c r="F1418" s="84"/>
      <c r="G1418" s="84"/>
      <c r="H1418" s="84"/>
      <c r="I1418" s="84"/>
      <c r="J1418" s="674">
        <v>0</v>
      </c>
      <c r="K1418" s="749">
        <v>0</v>
      </c>
      <c r="L1418" s="749">
        <v>0</v>
      </c>
      <c r="M1418" s="749">
        <v>0</v>
      </c>
      <c r="N1418" s="127">
        <f t="shared" si="544"/>
        <v>0</v>
      </c>
      <c r="O1418" s="756">
        <v>5.0000000000000001E-3</v>
      </c>
      <c r="P1418" s="84"/>
      <c r="Q1418" s="84"/>
      <c r="R1418" s="84"/>
      <c r="S1418" s="85"/>
      <c r="T1418" s="294"/>
    </row>
    <row r="1419" spans="1:20" ht="17.399999999999999" x14ac:dyDescent="0.3">
      <c r="A1419" s="305"/>
      <c r="B1419" s="79"/>
      <c r="C1419" s="294"/>
      <c r="D1419" s="731" t="s">
        <v>509</v>
      </c>
      <c r="E1419" s="113"/>
      <c r="F1419" s="114"/>
      <c r="G1419" s="113"/>
      <c r="H1419" s="113"/>
      <c r="I1419" s="47"/>
      <c r="J1419" s="53" t="str">
        <f>D1419</f>
        <v>Rate Assumptions</v>
      </c>
      <c r="K1419" s="47"/>
      <c r="L1419" s="47"/>
      <c r="M1419" s="47"/>
      <c r="N1419" s="47"/>
      <c r="O1419" s="47"/>
      <c r="P1419" s="47"/>
      <c r="Q1419" s="47"/>
      <c r="R1419" s="47"/>
      <c r="S1419" s="54"/>
      <c r="T1419" s="294"/>
    </row>
    <row r="1420" spans="1:20" x14ac:dyDescent="0.25">
      <c r="A1420" s="305"/>
      <c r="B1420" s="79"/>
      <c r="C1420" s="294"/>
      <c r="D1420" s="760" t="s">
        <v>510</v>
      </c>
      <c r="E1420" s="106"/>
      <c r="F1420" s="106"/>
      <c r="G1420" s="757" t="s">
        <v>511</v>
      </c>
      <c r="H1420" s="130"/>
      <c r="I1420" s="87"/>
      <c r="J1420" s="91">
        <f>H1371</f>
        <v>1998</v>
      </c>
      <c r="K1420" s="91">
        <f t="shared" ref="K1420:S1420" si="545">J1420+1</f>
        <v>1999</v>
      </c>
      <c r="L1420" s="91">
        <f t="shared" si="545"/>
        <v>2000</v>
      </c>
      <c r="M1420" s="91">
        <f t="shared" si="545"/>
        <v>2001</v>
      </c>
      <c r="N1420" s="91">
        <f t="shared" si="545"/>
        <v>2002</v>
      </c>
      <c r="O1420" s="91">
        <f t="shared" si="545"/>
        <v>2003</v>
      </c>
      <c r="P1420" s="91">
        <f t="shared" si="545"/>
        <v>2004</v>
      </c>
      <c r="Q1420" s="91">
        <f t="shared" si="545"/>
        <v>2005</v>
      </c>
      <c r="R1420" s="91">
        <f t="shared" si="545"/>
        <v>2006</v>
      </c>
      <c r="S1420" s="91">
        <f t="shared" si="545"/>
        <v>2007</v>
      </c>
      <c r="T1420" s="294"/>
    </row>
    <row r="1421" spans="1:20" x14ac:dyDescent="0.25">
      <c r="A1421" s="305"/>
      <c r="B1421" s="79"/>
      <c r="C1421" s="294"/>
      <c r="D1421" s="563" t="s">
        <v>477</v>
      </c>
      <c r="E1421" s="89"/>
      <c r="F1421" s="89"/>
      <c r="G1421" s="758">
        <v>8.2500000000000004E-2</v>
      </c>
      <c r="H1421" s="131"/>
      <c r="I1421" s="89"/>
      <c r="J1421" s="52">
        <f>G1421</f>
        <v>8.2500000000000004E-2</v>
      </c>
      <c r="K1421" s="52">
        <f t="shared" ref="K1421:S1421" si="546">J1421</f>
        <v>8.2500000000000004E-2</v>
      </c>
      <c r="L1421" s="52">
        <f t="shared" si="546"/>
        <v>8.2500000000000004E-2</v>
      </c>
      <c r="M1421" s="52">
        <f t="shared" si="546"/>
        <v>8.2500000000000004E-2</v>
      </c>
      <c r="N1421" s="52">
        <f t="shared" si="546"/>
        <v>8.2500000000000004E-2</v>
      </c>
      <c r="O1421" s="52">
        <f t="shared" si="546"/>
        <v>8.2500000000000004E-2</v>
      </c>
      <c r="P1421" s="52">
        <f t="shared" si="546"/>
        <v>8.2500000000000004E-2</v>
      </c>
      <c r="Q1421" s="52">
        <f t="shared" si="546"/>
        <v>8.2500000000000004E-2</v>
      </c>
      <c r="R1421" s="52">
        <f t="shared" si="546"/>
        <v>8.2500000000000004E-2</v>
      </c>
      <c r="S1421" s="52">
        <f t="shared" si="546"/>
        <v>8.2500000000000004E-2</v>
      </c>
      <c r="T1421" s="294"/>
    </row>
    <row r="1422" spans="1:20" x14ac:dyDescent="0.25">
      <c r="A1422" s="305"/>
      <c r="B1422" s="79"/>
      <c r="C1422" s="517"/>
      <c r="D1422" s="563" t="s">
        <v>478</v>
      </c>
      <c r="E1422" s="89"/>
      <c r="F1422" s="89"/>
      <c r="G1422" s="836">
        <v>5.5E-2</v>
      </c>
      <c r="H1422" s="131"/>
      <c r="I1422" s="89"/>
      <c r="J1422" s="52">
        <f>G1422</f>
        <v>5.5E-2</v>
      </c>
      <c r="K1422" s="52">
        <f t="shared" ref="K1422:S1422" si="547">J1422</f>
        <v>5.5E-2</v>
      </c>
      <c r="L1422" s="52">
        <f t="shared" si="547"/>
        <v>5.5E-2</v>
      </c>
      <c r="M1422" s="52">
        <f t="shared" si="547"/>
        <v>5.5E-2</v>
      </c>
      <c r="N1422" s="52">
        <f t="shared" si="547"/>
        <v>5.5E-2</v>
      </c>
      <c r="O1422" s="52">
        <f t="shared" si="547"/>
        <v>5.5E-2</v>
      </c>
      <c r="P1422" s="52">
        <f t="shared" si="547"/>
        <v>5.5E-2</v>
      </c>
      <c r="Q1422" s="52">
        <f t="shared" si="547"/>
        <v>5.5E-2</v>
      </c>
      <c r="R1422" s="52">
        <f t="shared" si="547"/>
        <v>5.5E-2</v>
      </c>
      <c r="S1422" s="52">
        <f t="shared" si="547"/>
        <v>5.5E-2</v>
      </c>
      <c r="T1422" s="294"/>
    </row>
    <row r="1423" spans="1:20" x14ac:dyDescent="0.25">
      <c r="A1423" s="305"/>
      <c r="B1423" s="719" t="s">
        <v>512</v>
      </c>
      <c r="C1423" s="420"/>
      <c r="D1423" s="563" t="s">
        <v>483</v>
      </c>
      <c r="E1423" s="89"/>
      <c r="F1423" s="89"/>
      <c r="G1423" s="836">
        <v>0.1</v>
      </c>
      <c r="H1423" s="131"/>
      <c r="I1423" s="89"/>
      <c r="J1423" s="52">
        <f>+G1423</f>
        <v>0.1</v>
      </c>
      <c r="K1423" s="52">
        <f>+J1423</f>
        <v>0.1</v>
      </c>
      <c r="L1423" s="52">
        <f t="shared" ref="L1423:S1423" si="548">+K1423</f>
        <v>0.1</v>
      </c>
      <c r="M1423" s="52">
        <f t="shared" si="548"/>
        <v>0.1</v>
      </c>
      <c r="N1423" s="52">
        <f t="shared" si="548"/>
        <v>0.1</v>
      </c>
      <c r="O1423" s="52">
        <f t="shared" si="548"/>
        <v>0.1</v>
      </c>
      <c r="P1423" s="52">
        <f t="shared" si="548"/>
        <v>0.1</v>
      </c>
      <c r="Q1423" s="52">
        <f t="shared" si="548"/>
        <v>0.1</v>
      </c>
      <c r="R1423" s="52">
        <f t="shared" si="548"/>
        <v>0.1</v>
      </c>
      <c r="S1423" s="52">
        <f t="shared" si="548"/>
        <v>0.1</v>
      </c>
      <c r="T1423" s="294"/>
    </row>
    <row r="1424" spans="1:20" x14ac:dyDescent="0.25">
      <c r="A1424" s="305"/>
      <c r="B1424" s="761" t="s">
        <v>513</v>
      </c>
      <c r="C1424" s="421"/>
      <c r="D1424" s="563" t="s">
        <v>485</v>
      </c>
      <c r="E1424" s="89"/>
      <c r="F1424" s="89"/>
      <c r="G1424" s="836">
        <v>0.1</v>
      </c>
      <c r="H1424" s="131"/>
      <c r="I1424" s="89"/>
      <c r="J1424" s="52">
        <f>G1424</f>
        <v>0.1</v>
      </c>
      <c r="K1424" s="52">
        <f t="shared" ref="K1424:S1424" si="549">J1424</f>
        <v>0.1</v>
      </c>
      <c r="L1424" s="52">
        <f t="shared" si="549"/>
        <v>0.1</v>
      </c>
      <c r="M1424" s="52">
        <f t="shared" si="549"/>
        <v>0.1</v>
      </c>
      <c r="N1424" s="52">
        <f t="shared" si="549"/>
        <v>0.1</v>
      </c>
      <c r="O1424" s="52">
        <f t="shared" si="549"/>
        <v>0.1</v>
      </c>
      <c r="P1424" s="52">
        <f t="shared" si="549"/>
        <v>0.1</v>
      </c>
      <c r="Q1424" s="52">
        <f t="shared" si="549"/>
        <v>0.1</v>
      </c>
      <c r="R1424" s="52">
        <f t="shared" si="549"/>
        <v>0.1</v>
      </c>
      <c r="S1424" s="52">
        <f t="shared" si="549"/>
        <v>0.1</v>
      </c>
      <c r="T1424" s="294"/>
    </row>
    <row r="1425" spans="1:20" x14ac:dyDescent="0.25">
      <c r="A1425" s="305"/>
      <c r="B1425" s="761" t="s">
        <v>514</v>
      </c>
      <c r="C1425" s="421"/>
      <c r="D1425" s="88" t="str">
        <f t="shared" ref="D1425:D1434" si="550">D1409</f>
        <v>Revolver</v>
      </c>
      <c r="E1425" s="89"/>
      <c r="F1425" s="89"/>
      <c r="G1425" s="836">
        <v>0.09</v>
      </c>
      <c r="H1425" s="131"/>
      <c r="I1425" s="89"/>
      <c r="J1425" s="52">
        <f>+G1425</f>
        <v>0.09</v>
      </c>
      <c r="K1425" s="52">
        <f>+J1425</f>
        <v>0.09</v>
      </c>
      <c r="L1425" s="52">
        <f t="shared" ref="L1425:S1426" si="551">+K1425</f>
        <v>0.09</v>
      </c>
      <c r="M1425" s="52">
        <f t="shared" si="551"/>
        <v>0.09</v>
      </c>
      <c r="N1425" s="52">
        <f t="shared" si="551"/>
        <v>0.09</v>
      </c>
      <c r="O1425" s="52">
        <f t="shared" si="551"/>
        <v>0.09</v>
      </c>
      <c r="P1425" s="52">
        <f t="shared" si="551"/>
        <v>0.09</v>
      </c>
      <c r="Q1425" s="52">
        <f t="shared" si="551"/>
        <v>0.09</v>
      </c>
      <c r="R1425" s="52">
        <f t="shared" si="551"/>
        <v>0.09</v>
      </c>
      <c r="S1425" s="52">
        <f t="shared" si="551"/>
        <v>0.09</v>
      </c>
      <c r="T1425" s="294"/>
    </row>
    <row r="1426" spans="1:20" x14ac:dyDescent="0.25">
      <c r="A1426" s="305"/>
      <c r="B1426" s="762" t="s">
        <v>515</v>
      </c>
      <c r="C1426" s="422"/>
      <c r="D1426" s="88" t="str">
        <f t="shared" si="550"/>
        <v>Term Loan</v>
      </c>
      <c r="E1426" s="89"/>
      <c r="F1426" s="89"/>
      <c r="G1426" s="836">
        <v>0.09</v>
      </c>
      <c r="H1426" s="131"/>
      <c r="I1426" s="89"/>
      <c r="J1426" s="52">
        <f>+G1426</f>
        <v>0.09</v>
      </c>
      <c r="K1426" s="52">
        <f>+J1426</f>
        <v>0.09</v>
      </c>
      <c r="L1426" s="52">
        <f t="shared" si="551"/>
        <v>0.09</v>
      </c>
      <c r="M1426" s="52">
        <f t="shared" si="551"/>
        <v>0.09</v>
      </c>
      <c r="N1426" s="52">
        <f t="shared" si="551"/>
        <v>0.09</v>
      </c>
      <c r="O1426" s="52">
        <f t="shared" si="551"/>
        <v>0.09</v>
      </c>
      <c r="P1426" s="52">
        <f t="shared" si="551"/>
        <v>0.09</v>
      </c>
      <c r="Q1426" s="52">
        <f t="shared" si="551"/>
        <v>0.09</v>
      </c>
      <c r="R1426" s="52">
        <f t="shared" si="551"/>
        <v>0.09</v>
      </c>
      <c r="S1426" s="52">
        <f t="shared" si="551"/>
        <v>0.09</v>
      </c>
      <c r="T1426" s="294"/>
    </row>
    <row r="1427" spans="1:20" x14ac:dyDescent="0.25">
      <c r="A1427" s="305"/>
      <c r="B1427" s="79"/>
      <c r="C1427" s="294"/>
      <c r="D1427" s="88" t="str">
        <f t="shared" si="550"/>
        <v>Evergreen Revolver</v>
      </c>
      <c r="E1427" s="89"/>
      <c r="F1427" s="89"/>
      <c r="G1427" s="836">
        <f>G1421+E1411</f>
        <v>9.7500000000000003E-2</v>
      </c>
      <c r="H1427" s="131"/>
      <c r="I1427" s="89"/>
      <c r="J1427" s="52">
        <f t="shared" ref="J1427:S1427" si="552">$E$1411+J$1421</f>
        <v>9.7500000000000003E-2</v>
      </c>
      <c r="K1427" s="52">
        <f t="shared" si="552"/>
        <v>9.7500000000000003E-2</v>
      </c>
      <c r="L1427" s="52">
        <f t="shared" si="552"/>
        <v>9.7500000000000003E-2</v>
      </c>
      <c r="M1427" s="52">
        <f t="shared" si="552"/>
        <v>9.7500000000000003E-2</v>
      </c>
      <c r="N1427" s="52">
        <f t="shared" si="552"/>
        <v>9.7500000000000003E-2</v>
      </c>
      <c r="O1427" s="52">
        <f t="shared" si="552"/>
        <v>9.7500000000000003E-2</v>
      </c>
      <c r="P1427" s="52">
        <f t="shared" si="552"/>
        <v>9.7500000000000003E-2</v>
      </c>
      <c r="Q1427" s="52">
        <f t="shared" si="552"/>
        <v>9.7500000000000003E-2</v>
      </c>
      <c r="R1427" s="52">
        <f t="shared" si="552"/>
        <v>9.7500000000000003E-2</v>
      </c>
      <c r="S1427" s="52">
        <f t="shared" si="552"/>
        <v>9.7500000000000003E-2</v>
      </c>
      <c r="T1427" s="294"/>
    </row>
    <row r="1428" spans="1:20" x14ac:dyDescent="0.25">
      <c r="A1428" s="305"/>
      <c r="B1428" s="79"/>
      <c r="C1428" s="294"/>
      <c r="D1428" s="88" t="str">
        <f t="shared" si="550"/>
        <v>Debt 1</v>
      </c>
      <c r="E1428" s="89"/>
      <c r="F1428" s="89"/>
      <c r="G1428" s="758">
        <v>0.11</v>
      </c>
      <c r="H1428" s="131"/>
      <c r="I1428" s="89"/>
      <c r="J1428" s="52">
        <f t="shared" ref="J1428:J1434" si="553">G1428</f>
        <v>0.11</v>
      </c>
      <c r="K1428" s="52">
        <f t="shared" ref="K1428:S1428" si="554">J1428</f>
        <v>0.11</v>
      </c>
      <c r="L1428" s="52">
        <f t="shared" si="554"/>
        <v>0.11</v>
      </c>
      <c r="M1428" s="52">
        <f t="shared" si="554"/>
        <v>0.11</v>
      </c>
      <c r="N1428" s="52">
        <f t="shared" si="554"/>
        <v>0.11</v>
      </c>
      <c r="O1428" s="52">
        <f t="shared" si="554"/>
        <v>0.11</v>
      </c>
      <c r="P1428" s="52">
        <f t="shared" si="554"/>
        <v>0.11</v>
      </c>
      <c r="Q1428" s="52">
        <f t="shared" si="554"/>
        <v>0.11</v>
      </c>
      <c r="R1428" s="52">
        <f t="shared" si="554"/>
        <v>0.11</v>
      </c>
      <c r="S1428" s="52">
        <f t="shared" si="554"/>
        <v>0.11</v>
      </c>
      <c r="T1428" s="294"/>
    </row>
    <row r="1429" spans="1:20" x14ac:dyDescent="0.25">
      <c r="A1429" s="305"/>
      <c r="B1429" s="79"/>
      <c r="C1429" s="294"/>
      <c r="D1429" s="88" t="str">
        <f t="shared" si="550"/>
        <v>Debt 2</v>
      </c>
      <c r="E1429" s="89"/>
      <c r="F1429" s="89"/>
      <c r="G1429" s="758">
        <v>0.11</v>
      </c>
      <c r="H1429" s="131"/>
      <c r="I1429" s="89"/>
      <c r="J1429" s="52">
        <f t="shared" si="553"/>
        <v>0.11</v>
      </c>
      <c r="K1429" s="52">
        <f t="shared" ref="K1429:S1429" si="555">J1429</f>
        <v>0.11</v>
      </c>
      <c r="L1429" s="52">
        <f t="shared" si="555"/>
        <v>0.11</v>
      </c>
      <c r="M1429" s="52">
        <f t="shared" si="555"/>
        <v>0.11</v>
      </c>
      <c r="N1429" s="52">
        <f t="shared" si="555"/>
        <v>0.11</v>
      </c>
      <c r="O1429" s="52">
        <f t="shared" si="555"/>
        <v>0.11</v>
      </c>
      <c r="P1429" s="52">
        <f t="shared" si="555"/>
        <v>0.11</v>
      </c>
      <c r="Q1429" s="52">
        <f t="shared" si="555"/>
        <v>0.11</v>
      </c>
      <c r="R1429" s="52">
        <f t="shared" si="555"/>
        <v>0.11</v>
      </c>
      <c r="S1429" s="52">
        <f t="shared" si="555"/>
        <v>0.11</v>
      </c>
      <c r="T1429" s="294"/>
    </row>
    <row r="1430" spans="1:20" x14ac:dyDescent="0.25">
      <c r="A1430" s="305"/>
      <c r="B1430" s="79"/>
      <c r="C1430" s="294"/>
      <c r="D1430" s="88" t="str">
        <f t="shared" si="550"/>
        <v>Debt 3</v>
      </c>
      <c r="E1430" s="89"/>
      <c r="F1430" s="89"/>
      <c r="G1430" s="758">
        <v>0.11</v>
      </c>
      <c r="H1430" s="131"/>
      <c r="I1430" s="89"/>
      <c r="J1430" s="52">
        <f t="shared" si="553"/>
        <v>0.11</v>
      </c>
      <c r="K1430" s="52">
        <f t="shared" ref="K1430:S1430" si="556">J1430</f>
        <v>0.11</v>
      </c>
      <c r="L1430" s="52">
        <f t="shared" si="556"/>
        <v>0.11</v>
      </c>
      <c r="M1430" s="52">
        <f t="shared" si="556"/>
        <v>0.11</v>
      </c>
      <c r="N1430" s="52">
        <f t="shared" si="556"/>
        <v>0.11</v>
      </c>
      <c r="O1430" s="52">
        <f t="shared" si="556"/>
        <v>0.11</v>
      </c>
      <c r="P1430" s="52">
        <f t="shared" si="556"/>
        <v>0.11</v>
      </c>
      <c r="Q1430" s="52">
        <f t="shared" si="556"/>
        <v>0.11</v>
      </c>
      <c r="R1430" s="52">
        <f t="shared" si="556"/>
        <v>0.11</v>
      </c>
      <c r="S1430" s="52">
        <f t="shared" si="556"/>
        <v>0.11</v>
      </c>
      <c r="T1430" s="294"/>
    </row>
    <row r="1431" spans="1:20" x14ac:dyDescent="0.25">
      <c r="A1431" s="305"/>
      <c r="B1431" s="79"/>
      <c r="C1431" s="294"/>
      <c r="D1431" s="88" t="str">
        <f t="shared" si="550"/>
        <v>Debt 4</v>
      </c>
      <c r="E1431" s="89"/>
      <c r="F1431" s="89"/>
      <c r="G1431" s="758">
        <v>0.11</v>
      </c>
      <c r="H1431" s="131"/>
      <c r="I1431" s="89"/>
      <c r="J1431" s="52">
        <f t="shared" si="553"/>
        <v>0.11</v>
      </c>
      <c r="K1431" s="52">
        <f t="shared" ref="K1431:S1431" si="557">J1431</f>
        <v>0.11</v>
      </c>
      <c r="L1431" s="52">
        <f t="shared" si="557"/>
        <v>0.11</v>
      </c>
      <c r="M1431" s="52">
        <f t="shared" si="557"/>
        <v>0.11</v>
      </c>
      <c r="N1431" s="52">
        <f t="shared" si="557"/>
        <v>0.11</v>
      </c>
      <c r="O1431" s="52">
        <f t="shared" si="557"/>
        <v>0.11</v>
      </c>
      <c r="P1431" s="52">
        <f t="shared" si="557"/>
        <v>0.11</v>
      </c>
      <c r="Q1431" s="52">
        <f t="shared" si="557"/>
        <v>0.11</v>
      </c>
      <c r="R1431" s="52">
        <f t="shared" si="557"/>
        <v>0.11</v>
      </c>
      <c r="S1431" s="52">
        <f t="shared" si="557"/>
        <v>0.11</v>
      </c>
      <c r="T1431" s="294"/>
    </row>
    <row r="1432" spans="1:20" x14ac:dyDescent="0.25">
      <c r="A1432" s="305"/>
      <c r="B1432" s="79"/>
      <c r="C1432" s="294"/>
      <c r="D1432" s="88" t="str">
        <f t="shared" si="550"/>
        <v>Debt 5</v>
      </c>
      <c r="E1432" s="89"/>
      <c r="F1432" s="89"/>
      <c r="G1432" s="758">
        <v>0.11</v>
      </c>
      <c r="H1432" s="131"/>
      <c r="I1432" s="89"/>
      <c r="J1432" s="52">
        <f t="shared" si="553"/>
        <v>0.11</v>
      </c>
      <c r="K1432" s="52">
        <f t="shared" ref="K1432:S1432" si="558">J1432</f>
        <v>0.11</v>
      </c>
      <c r="L1432" s="52">
        <f t="shared" si="558"/>
        <v>0.11</v>
      </c>
      <c r="M1432" s="52">
        <f t="shared" si="558"/>
        <v>0.11</v>
      </c>
      <c r="N1432" s="52">
        <f t="shared" si="558"/>
        <v>0.11</v>
      </c>
      <c r="O1432" s="52">
        <f t="shared" si="558"/>
        <v>0.11</v>
      </c>
      <c r="P1432" s="52">
        <f t="shared" si="558"/>
        <v>0.11</v>
      </c>
      <c r="Q1432" s="52">
        <f t="shared" si="558"/>
        <v>0.11</v>
      </c>
      <c r="R1432" s="52">
        <f t="shared" si="558"/>
        <v>0.11</v>
      </c>
      <c r="S1432" s="52">
        <f t="shared" si="558"/>
        <v>0.11</v>
      </c>
      <c r="T1432" s="294"/>
    </row>
    <row r="1433" spans="1:20" x14ac:dyDescent="0.25">
      <c r="A1433" s="305"/>
      <c r="B1433" s="79"/>
      <c r="C1433" s="294"/>
      <c r="D1433" s="88" t="str">
        <f t="shared" si="550"/>
        <v>Preferred 1</v>
      </c>
      <c r="E1433" s="89"/>
      <c r="F1433" s="89"/>
      <c r="G1433" s="758">
        <v>0.1</v>
      </c>
      <c r="H1433" s="131"/>
      <c r="I1433" s="89"/>
      <c r="J1433" s="52">
        <f t="shared" si="553"/>
        <v>0.1</v>
      </c>
      <c r="K1433" s="52">
        <f t="shared" ref="K1433:S1433" si="559">J1433</f>
        <v>0.1</v>
      </c>
      <c r="L1433" s="52">
        <f t="shared" si="559"/>
        <v>0.1</v>
      </c>
      <c r="M1433" s="52">
        <f t="shared" si="559"/>
        <v>0.1</v>
      </c>
      <c r="N1433" s="52">
        <f t="shared" si="559"/>
        <v>0.1</v>
      </c>
      <c r="O1433" s="52">
        <f t="shared" si="559"/>
        <v>0.1</v>
      </c>
      <c r="P1433" s="52">
        <f t="shared" si="559"/>
        <v>0.1</v>
      </c>
      <c r="Q1433" s="52">
        <f t="shared" si="559"/>
        <v>0.1</v>
      </c>
      <c r="R1433" s="52">
        <f t="shared" si="559"/>
        <v>0.1</v>
      </c>
      <c r="S1433" s="52">
        <f t="shared" si="559"/>
        <v>0.1</v>
      </c>
      <c r="T1433" s="294"/>
    </row>
    <row r="1434" spans="1:20" x14ac:dyDescent="0.25">
      <c r="A1434" s="305"/>
      <c r="B1434" s="79"/>
      <c r="C1434" s="294"/>
      <c r="D1434" s="88" t="str">
        <f t="shared" si="550"/>
        <v>Preferred 2</v>
      </c>
      <c r="E1434" s="90"/>
      <c r="F1434" s="90"/>
      <c r="G1434" s="758">
        <v>0.1</v>
      </c>
      <c r="H1434" s="132"/>
      <c r="I1434" s="90"/>
      <c r="J1434" s="52">
        <f t="shared" si="553"/>
        <v>0.1</v>
      </c>
      <c r="K1434" s="52">
        <f t="shared" ref="K1434:S1434" si="560">J1434</f>
        <v>0.1</v>
      </c>
      <c r="L1434" s="52">
        <f t="shared" si="560"/>
        <v>0.1</v>
      </c>
      <c r="M1434" s="52">
        <f t="shared" si="560"/>
        <v>0.1</v>
      </c>
      <c r="N1434" s="52">
        <f t="shared" si="560"/>
        <v>0.1</v>
      </c>
      <c r="O1434" s="52">
        <f t="shared" si="560"/>
        <v>0.1</v>
      </c>
      <c r="P1434" s="52">
        <f t="shared" si="560"/>
        <v>0.1</v>
      </c>
      <c r="Q1434" s="52">
        <f t="shared" si="560"/>
        <v>0.1</v>
      </c>
      <c r="R1434" s="52">
        <f t="shared" si="560"/>
        <v>0.1</v>
      </c>
      <c r="S1434" s="52">
        <f t="shared" si="560"/>
        <v>0.1</v>
      </c>
      <c r="T1434" s="294"/>
    </row>
    <row r="1435" spans="1:20" x14ac:dyDescent="0.25">
      <c r="A1435" s="305"/>
      <c r="B1435" s="79"/>
      <c r="C1435" s="294"/>
      <c r="D1435" s="88" t="str">
        <f>D1406</f>
        <v>Int. on Cash Bal.</v>
      </c>
      <c r="E1435" s="90"/>
      <c r="F1435" s="90"/>
      <c r="G1435" s="758">
        <v>0.05</v>
      </c>
      <c r="H1435" s="132"/>
      <c r="I1435" s="90"/>
      <c r="J1435" s="52">
        <f>+G1435</f>
        <v>0.05</v>
      </c>
      <c r="K1435" s="52">
        <f>+J1435</f>
        <v>0.05</v>
      </c>
      <c r="L1435" s="52">
        <f t="shared" ref="L1435:S1435" si="561">+K1435</f>
        <v>0.05</v>
      </c>
      <c r="M1435" s="52">
        <f t="shared" si="561"/>
        <v>0.05</v>
      </c>
      <c r="N1435" s="52">
        <f t="shared" si="561"/>
        <v>0.05</v>
      </c>
      <c r="O1435" s="52">
        <f t="shared" si="561"/>
        <v>0.05</v>
      </c>
      <c r="P1435" s="52">
        <f t="shared" si="561"/>
        <v>0.05</v>
      </c>
      <c r="Q1435" s="52">
        <f t="shared" si="561"/>
        <v>0.05</v>
      </c>
      <c r="R1435" s="52">
        <f t="shared" si="561"/>
        <v>0.05</v>
      </c>
      <c r="S1435" s="52">
        <f t="shared" si="561"/>
        <v>0.05</v>
      </c>
      <c r="T1435" s="294"/>
    </row>
    <row r="1436" spans="1:20" x14ac:dyDescent="0.25">
      <c r="A1436" s="305"/>
      <c r="B1436" s="79"/>
      <c r="C1436" s="294"/>
      <c r="D1436" s="563" t="s">
        <v>516</v>
      </c>
      <c r="E1436" s="89"/>
      <c r="F1436" s="89"/>
      <c r="G1436" s="758">
        <v>0.35</v>
      </c>
      <c r="H1436" s="131"/>
      <c r="I1436" s="89"/>
      <c r="J1436" s="52">
        <f>G1436</f>
        <v>0.35</v>
      </c>
      <c r="K1436" s="52">
        <f t="shared" ref="K1436:S1436" si="562">J1436</f>
        <v>0.35</v>
      </c>
      <c r="L1436" s="52">
        <f t="shared" si="562"/>
        <v>0.35</v>
      </c>
      <c r="M1436" s="52">
        <f t="shared" si="562"/>
        <v>0.35</v>
      </c>
      <c r="N1436" s="52">
        <f t="shared" si="562"/>
        <v>0.35</v>
      </c>
      <c r="O1436" s="52">
        <f t="shared" si="562"/>
        <v>0.35</v>
      </c>
      <c r="P1436" s="52">
        <f t="shared" si="562"/>
        <v>0.35</v>
      </c>
      <c r="Q1436" s="52">
        <f t="shared" si="562"/>
        <v>0.35</v>
      </c>
      <c r="R1436" s="52">
        <f t="shared" si="562"/>
        <v>0.35</v>
      </c>
      <c r="S1436" s="52">
        <f t="shared" si="562"/>
        <v>0.35</v>
      </c>
      <c r="T1436" s="294"/>
    </row>
    <row r="1437" spans="1:20" x14ac:dyDescent="0.25">
      <c r="A1437" s="305"/>
      <c r="B1437" s="79"/>
      <c r="C1437" s="294"/>
      <c r="D1437" s="563" t="s">
        <v>517</v>
      </c>
      <c r="E1437" s="89"/>
      <c r="F1437" s="89"/>
      <c r="G1437" s="758">
        <v>0</v>
      </c>
      <c r="H1437" s="131"/>
      <c r="I1437" s="89"/>
      <c r="J1437" s="52">
        <f>G1437</f>
        <v>0</v>
      </c>
      <c r="K1437" s="52">
        <f t="shared" ref="K1437:S1437" si="563">J1437</f>
        <v>0</v>
      </c>
      <c r="L1437" s="52">
        <f t="shared" si="563"/>
        <v>0</v>
      </c>
      <c r="M1437" s="52">
        <f t="shared" si="563"/>
        <v>0</v>
      </c>
      <c r="N1437" s="52">
        <f t="shared" si="563"/>
        <v>0</v>
      </c>
      <c r="O1437" s="52">
        <f t="shared" si="563"/>
        <v>0</v>
      </c>
      <c r="P1437" s="52">
        <f t="shared" si="563"/>
        <v>0</v>
      </c>
      <c r="Q1437" s="52">
        <f t="shared" si="563"/>
        <v>0</v>
      </c>
      <c r="R1437" s="52">
        <f t="shared" si="563"/>
        <v>0</v>
      </c>
      <c r="S1437" s="52">
        <f t="shared" si="563"/>
        <v>0</v>
      </c>
      <c r="T1437" s="294"/>
    </row>
    <row r="1438" spans="1:20" x14ac:dyDescent="0.25">
      <c r="A1438" s="305"/>
      <c r="B1438" s="79"/>
      <c r="C1438" s="294"/>
      <c r="D1438" s="563" t="s">
        <v>518</v>
      </c>
      <c r="E1438" s="89"/>
      <c r="F1438" s="89"/>
      <c r="G1438" s="758">
        <v>3.5000000000000003E-2</v>
      </c>
      <c r="H1438" s="131"/>
      <c r="I1438" s="89"/>
      <c r="J1438" s="52">
        <f>G1438</f>
        <v>3.5000000000000003E-2</v>
      </c>
      <c r="K1438" s="52">
        <f t="shared" ref="K1438:S1438" si="564">J1438</f>
        <v>3.5000000000000003E-2</v>
      </c>
      <c r="L1438" s="52">
        <f t="shared" si="564"/>
        <v>3.5000000000000003E-2</v>
      </c>
      <c r="M1438" s="52">
        <f t="shared" si="564"/>
        <v>3.5000000000000003E-2</v>
      </c>
      <c r="N1438" s="52">
        <f t="shared" si="564"/>
        <v>3.5000000000000003E-2</v>
      </c>
      <c r="O1438" s="52">
        <f t="shared" si="564"/>
        <v>3.5000000000000003E-2</v>
      </c>
      <c r="P1438" s="52">
        <f t="shared" si="564"/>
        <v>3.5000000000000003E-2</v>
      </c>
      <c r="Q1438" s="52">
        <f t="shared" si="564"/>
        <v>3.5000000000000003E-2</v>
      </c>
      <c r="R1438" s="52">
        <f t="shared" si="564"/>
        <v>3.5000000000000003E-2</v>
      </c>
      <c r="S1438" s="52">
        <f t="shared" si="564"/>
        <v>3.5000000000000003E-2</v>
      </c>
      <c r="T1438" s="294"/>
    </row>
    <row r="1439" spans="1:20" ht="18.149999999999999" customHeight="1" x14ac:dyDescent="0.25">
      <c r="A1439" s="305"/>
      <c r="B1439" s="79"/>
      <c r="C1439" s="294"/>
      <c r="D1439" s="764" t="s">
        <v>519</v>
      </c>
      <c r="E1439" s="47"/>
      <c r="F1439" s="47"/>
      <c r="G1439" s="47"/>
      <c r="H1439" s="47"/>
      <c r="I1439" s="47"/>
      <c r="J1439" s="763">
        <v>1</v>
      </c>
      <c r="K1439" s="307">
        <f t="shared" ref="K1439:S1439" si="565">1+J1439</f>
        <v>2</v>
      </c>
      <c r="L1439" s="307">
        <f t="shared" si="565"/>
        <v>3</v>
      </c>
      <c r="M1439" s="307">
        <f t="shared" si="565"/>
        <v>4</v>
      </c>
      <c r="N1439" s="307">
        <f t="shared" si="565"/>
        <v>5</v>
      </c>
      <c r="O1439" s="307">
        <f t="shared" si="565"/>
        <v>6</v>
      </c>
      <c r="P1439" s="307">
        <f t="shared" si="565"/>
        <v>7</v>
      </c>
      <c r="Q1439" s="307">
        <f t="shared" si="565"/>
        <v>8</v>
      </c>
      <c r="R1439" s="307">
        <f t="shared" si="565"/>
        <v>9</v>
      </c>
      <c r="S1439" s="307">
        <f t="shared" si="565"/>
        <v>10</v>
      </c>
      <c r="T1439" s="294"/>
    </row>
    <row r="1440" spans="1:20" x14ac:dyDescent="0.25">
      <c r="A1440" s="305"/>
      <c r="B1440" s="79"/>
      <c r="C1440" s="294"/>
      <c r="D1440" s="760" t="s">
        <v>510</v>
      </c>
      <c r="E1440" s="106"/>
      <c r="F1440" s="106"/>
      <c r="G1440" s="106"/>
      <c r="H1440" s="106"/>
      <c r="I1440" s="866" t="s">
        <v>520</v>
      </c>
      <c r="J1440" s="91">
        <f>J1420</f>
        <v>1998</v>
      </c>
      <c r="K1440" s="91">
        <f t="shared" ref="K1440:S1440" si="566">J1440+1</f>
        <v>1999</v>
      </c>
      <c r="L1440" s="91">
        <f t="shared" si="566"/>
        <v>2000</v>
      </c>
      <c r="M1440" s="91">
        <f t="shared" si="566"/>
        <v>2001</v>
      </c>
      <c r="N1440" s="91">
        <f t="shared" si="566"/>
        <v>2002</v>
      </c>
      <c r="O1440" s="91">
        <f t="shared" si="566"/>
        <v>2003</v>
      </c>
      <c r="P1440" s="91">
        <f t="shared" si="566"/>
        <v>2004</v>
      </c>
      <c r="Q1440" s="91">
        <f t="shared" si="566"/>
        <v>2005</v>
      </c>
      <c r="R1440" s="91">
        <f t="shared" si="566"/>
        <v>2006</v>
      </c>
      <c r="S1440" s="91">
        <f t="shared" si="566"/>
        <v>2007</v>
      </c>
      <c r="T1440" s="294"/>
    </row>
    <row r="1441" spans="1:20" x14ac:dyDescent="0.25">
      <c r="A1441" s="305"/>
      <c r="B1441" s="766" t="s">
        <v>521</v>
      </c>
      <c r="C1441" s="420"/>
      <c r="D1441" s="88" t="str">
        <f>D1426</f>
        <v>Term Loan</v>
      </c>
      <c r="E1441" s="108"/>
      <c r="F1441" s="108"/>
      <c r="G1441" s="108"/>
      <c r="H1441" s="108"/>
      <c r="I1441" s="868">
        <v>0</v>
      </c>
      <c r="J1441" s="867">
        <f t="shared" ref="J1441:J1446" si="567">IF($I1441=0,0,1/$I1441)</f>
        <v>0</v>
      </c>
      <c r="K1441" s="867">
        <f>IF($I1441=0,0,IF(SUM($J1441:J1441)+1/$I1441&gt;1,1-SUM($J1441:J1441),1/$I1441))</f>
        <v>0</v>
      </c>
      <c r="L1441" s="867">
        <f>IF($I1441=0,0,IF(SUM($J1441:K1441)+1/$I1441&gt;1,1-SUM($J1441:K1441),1/$I1441))</f>
        <v>0</v>
      </c>
      <c r="M1441" s="867">
        <f>IF($I1441=0,0,IF(SUM($J1441:L1441)+1/$I1441&gt;1,1-SUM($J1441:L1441),1/$I1441))</f>
        <v>0</v>
      </c>
      <c r="N1441" s="867">
        <f>IF($I1441=0,0,IF(SUM($J1441:M1441)+1/$I1441&gt;1,1-SUM($J1441:M1441),1/$I1441))</f>
        <v>0</v>
      </c>
      <c r="O1441" s="867">
        <f>IF($I1441=0,0,IF(SUM($J1441:N1441)+1/$I1441&gt;1,1-SUM($J1441:N1441),1/$I1441))</f>
        <v>0</v>
      </c>
      <c r="P1441" s="867">
        <f>IF($I1441=0,0,IF(SUM($J1441:O1441)+1/$I1441&gt;1,1-SUM($J1441:O1441),1/$I1441))</f>
        <v>0</v>
      </c>
      <c r="Q1441" s="867">
        <f>IF($I1441=0,0,IF(SUM($J1441:P1441)+1/$I1441&gt;1,1-SUM($J1441:P1441),1/$I1441))</f>
        <v>0</v>
      </c>
      <c r="R1441" s="867">
        <f>IF($I1441=0,0,IF(SUM($J1441:Q1441)+1/$I1441&gt;1,1-SUM($J1441:Q1441),1/$I1441))</f>
        <v>0</v>
      </c>
      <c r="S1441" s="867">
        <f>IF($I1441=0,0,IF(SUM($J1441:R1441)+1/$I1441&gt;1,1-SUM($J1441:R1441),1/$I1441))</f>
        <v>0</v>
      </c>
      <c r="T1441" s="294"/>
    </row>
    <row r="1442" spans="1:20" x14ac:dyDescent="0.25">
      <c r="A1442" s="305"/>
      <c r="B1442" s="720" t="s">
        <v>522</v>
      </c>
      <c r="C1442" s="421"/>
      <c r="D1442" s="88" t="str">
        <f>D1428</f>
        <v>Debt 1</v>
      </c>
      <c r="E1442" s="108"/>
      <c r="F1442" s="108"/>
      <c r="G1442" s="108"/>
      <c r="H1442" s="108"/>
      <c r="I1442" s="868">
        <v>0</v>
      </c>
      <c r="J1442" s="867">
        <f t="shared" si="567"/>
        <v>0</v>
      </c>
      <c r="K1442" s="867">
        <f>IF($I1442=0,0,IF(SUM($J1442:J1442)+1/$I1442&gt;1,1-SUM($J1442:J1442),1/$I1442))</f>
        <v>0</v>
      </c>
      <c r="L1442" s="867">
        <f>IF($I1442=0,0,IF(SUM($J1442:K1442)+1/$I1442&gt;1,1-SUM($J1442:K1442),1/$I1442))</f>
        <v>0</v>
      </c>
      <c r="M1442" s="867">
        <f>IF($I1442=0,0,IF(SUM($J1442:L1442)+1/$I1442&gt;1,1-SUM($J1442:L1442),1/$I1442))</f>
        <v>0</v>
      </c>
      <c r="N1442" s="867">
        <f>IF($I1442=0,0,IF(SUM($J1442:M1442)+1/$I1442&gt;1,1-SUM($J1442:M1442),1/$I1442))</f>
        <v>0</v>
      </c>
      <c r="O1442" s="867">
        <f>IF($I1442=0,0,IF(SUM($J1442:N1442)+1/$I1442&gt;1,1-SUM($J1442:N1442),1/$I1442))</f>
        <v>0</v>
      </c>
      <c r="P1442" s="867">
        <f>IF($I1442=0,0,IF(SUM($J1442:O1442)+1/$I1442&gt;1,1-SUM($J1442:O1442),1/$I1442))</f>
        <v>0</v>
      </c>
      <c r="Q1442" s="867">
        <f>IF($I1442=0,0,IF(SUM($J1442:P1442)+1/$I1442&gt;1,1-SUM($J1442:P1442),1/$I1442))</f>
        <v>0</v>
      </c>
      <c r="R1442" s="867">
        <f>IF($I1442=0,0,IF(SUM($J1442:Q1442)+1/$I1442&gt;1,1-SUM($J1442:Q1442),1/$I1442))</f>
        <v>0</v>
      </c>
      <c r="S1442" s="867">
        <f>IF($I1442=0,0,IF(SUM($J1442:R1442)+1/$I1442&gt;1,1-SUM($J1442:R1442),1/$I1442))</f>
        <v>0</v>
      </c>
      <c r="T1442" s="294"/>
    </row>
    <row r="1443" spans="1:20" x14ac:dyDescent="0.25">
      <c r="A1443" s="305"/>
      <c r="B1443" s="761" t="s">
        <v>523</v>
      </c>
      <c r="C1443" s="421"/>
      <c r="D1443" s="88" t="str">
        <f>D1429</f>
        <v>Debt 2</v>
      </c>
      <c r="E1443" s="108"/>
      <c r="F1443" s="108"/>
      <c r="G1443" s="108"/>
      <c r="H1443" s="108"/>
      <c r="I1443" s="868">
        <v>0</v>
      </c>
      <c r="J1443" s="867">
        <f t="shared" si="567"/>
        <v>0</v>
      </c>
      <c r="K1443" s="867">
        <f>IF($I1443=0,0,IF(SUM($J1443:J1443)+1/$I1443&gt;1,1-SUM($J1443:J1443),1/$I1443))</f>
        <v>0</v>
      </c>
      <c r="L1443" s="867">
        <f>IF($I1443=0,0,IF(SUM($J1443:K1443)+1/$I1443&gt;1,1-SUM($J1443:K1443),1/$I1443))</f>
        <v>0</v>
      </c>
      <c r="M1443" s="867">
        <f>IF($I1443=0,0,IF(SUM($J1443:L1443)+1/$I1443&gt;1,1-SUM($J1443:L1443),1/$I1443))</f>
        <v>0</v>
      </c>
      <c r="N1443" s="867">
        <f>IF($I1443=0,0,IF(SUM($J1443:M1443)+1/$I1443&gt;1,1-SUM($J1443:M1443),1/$I1443))</f>
        <v>0</v>
      </c>
      <c r="O1443" s="867">
        <f>IF($I1443=0,0,IF(SUM($J1443:N1443)+1/$I1443&gt;1,1-SUM($J1443:N1443),1/$I1443))</f>
        <v>0</v>
      </c>
      <c r="P1443" s="867">
        <f>IF($I1443=0,0,IF(SUM($J1443:O1443)+1/$I1443&gt;1,1-SUM($J1443:O1443),1/$I1443))</f>
        <v>0</v>
      </c>
      <c r="Q1443" s="867">
        <f>IF($I1443=0,0,IF(SUM($J1443:P1443)+1/$I1443&gt;1,1-SUM($J1443:P1443),1/$I1443))</f>
        <v>0</v>
      </c>
      <c r="R1443" s="867">
        <f>IF($I1443=0,0,IF(SUM($J1443:Q1443)+1/$I1443&gt;1,1-SUM($J1443:Q1443),1/$I1443))</f>
        <v>0</v>
      </c>
      <c r="S1443" s="867">
        <f>IF($I1443=0,0,IF(SUM($J1443:R1443)+1/$I1443&gt;1,1-SUM($J1443:R1443),1/$I1443))</f>
        <v>0</v>
      </c>
      <c r="T1443" s="294"/>
    </row>
    <row r="1444" spans="1:20" x14ac:dyDescent="0.25">
      <c r="A1444" s="305"/>
      <c r="B1444" s="416"/>
      <c r="C1444" s="421"/>
      <c r="D1444" s="88" t="str">
        <f>D1430</f>
        <v>Debt 3</v>
      </c>
      <c r="E1444" s="108"/>
      <c r="F1444" s="108"/>
      <c r="G1444" s="108"/>
      <c r="H1444" s="108"/>
      <c r="I1444" s="868">
        <v>0</v>
      </c>
      <c r="J1444" s="867">
        <f t="shared" si="567"/>
        <v>0</v>
      </c>
      <c r="K1444" s="867">
        <f>IF($I1444=0,0,IF(SUM($J1444:J1444)+1/$I1444&gt;1,1-SUM($J1444:J1444),1/$I1444))</f>
        <v>0</v>
      </c>
      <c r="L1444" s="867">
        <f>IF($I1444=0,0,IF(SUM($J1444:K1444)+1/$I1444&gt;1,1-SUM($J1444:K1444),1/$I1444))</f>
        <v>0</v>
      </c>
      <c r="M1444" s="867">
        <f>IF($I1444=0,0,IF(SUM($J1444:L1444)+1/$I1444&gt;1,1-SUM($J1444:L1444),1/$I1444))</f>
        <v>0</v>
      </c>
      <c r="N1444" s="867">
        <f>IF($I1444=0,0,IF(SUM($J1444:M1444)+1/$I1444&gt;1,1-SUM($J1444:M1444),1/$I1444))</f>
        <v>0</v>
      </c>
      <c r="O1444" s="867">
        <f>IF($I1444=0,0,IF(SUM($J1444:N1444)+1/$I1444&gt;1,1-SUM($J1444:N1444),1/$I1444))</f>
        <v>0</v>
      </c>
      <c r="P1444" s="867">
        <f>IF($I1444=0,0,IF(SUM($J1444:O1444)+1/$I1444&gt;1,1-SUM($J1444:O1444),1/$I1444))</f>
        <v>0</v>
      </c>
      <c r="Q1444" s="867">
        <f>IF($I1444=0,0,IF(SUM($J1444:P1444)+1/$I1444&gt;1,1-SUM($J1444:P1444),1/$I1444))</f>
        <v>0</v>
      </c>
      <c r="R1444" s="867">
        <f>IF($I1444=0,0,IF(SUM($J1444:Q1444)+1/$I1444&gt;1,1-SUM($J1444:Q1444),1/$I1444))</f>
        <v>0</v>
      </c>
      <c r="S1444" s="867">
        <f>IF($I1444=0,0,IF(SUM($J1444:R1444)+1/$I1444&gt;1,1-SUM($J1444:R1444),1/$I1444))</f>
        <v>0</v>
      </c>
      <c r="T1444" s="294"/>
    </row>
    <row r="1445" spans="1:20" x14ac:dyDescent="0.25">
      <c r="A1445" s="305"/>
      <c r="B1445" s="416"/>
      <c r="C1445" s="421"/>
      <c r="D1445" s="88" t="str">
        <f>D1431</f>
        <v>Debt 4</v>
      </c>
      <c r="E1445" s="767" t="s">
        <v>524</v>
      </c>
      <c r="F1445" s="108"/>
      <c r="G1445" s="108"/>
      <c r="H1445" s="108"/>
      <c r="I1445" s="868">
        <v>0</v>
      </c>
      <c r="J1445" s="867">
        <f t="shared" si="567"/>
        <v>0</v>
      </c>
      <c r="K1445" s="867">
        <f>IF($I1445=0,0,IF(SUM($J1445:J1445)+1/$I1445&gt;1,1-SUM($J1445:J1445),1/$I1445))</f>
        <v>0</v>
      </c>
      <c r="L1445" s="867">
        <f>IF($I1445=0,0,IF(SUM($J1445:K1445)+1/$I1445&gt;1,1-SUM($J1445:K1445),1/$I1445))</f>
        <v>0</v>
      </c>
      <c r="M1445" s="867">
        <f>IF($I1445=0,0,IF(SUM($J1445:L1445)+1/$I1445&gt;1,1-SUM($J1445:L1445),1/$I1445))</f>
        <v>0</v>
      </c>
      <c r="N1445" s="867">
        <f>IF($I1445=0,0,IF(SUM($J1445:M1445)+1/$I1445&gt;1,1-SUM($J1445:M1445),1/$I1445))</f>
        <v>0</v>
      </c>
      <c r="O1445" s="867">
        <f>IF($I1445=0,0,IF(SUM($J1445:N1445)+1/$I1445&gt;1,1-SUM($J1445:N1445),1/$I1445))</f>
        <v>0</v>
      </c>
      <c r="P1445" s="867">
        <f>IF($I1445=0,0,IF(SUM($J1445:O1445)+1/$I1445&gt;1,1-SUM($J1445:O1445),1/$I1445))</f>
        <v>0</v>
      </c>
      <c r="Q1445" s="867">
        <f>IF($I1445=0,0,IF(SUM($J1445:P1445)+1/$I1445&gt;1,1-SUM($J1445:P1445),1/$I1445))</f>
        <v>0</v>
      </c>
      <c r="R1445" s="867">
        <f>IF($I1445=0,0,IF(SUM($J1445:Q1445)+1/$I1445&gt;1,1-SUM($J1445:Q1445),1/$I1445))</f>
        <v>0</v>
      </c>
      <c r="S1445" s="867">
        <f>IF($I1445=0,0,IF(SUM($J1445:R1445)+1/$I1445&gt;1,1-SUM($J1445:R1445),1/$I1445))</f>
        <v>0</v>
      </c>
      <c r="T1445" s="294"/>
    </row>
    <row r="1446" spans="1:20" x14ac:dyDescent="0.25">
      <c r="A1446" s="305"/>
      <c r="B1446" s="416"/>
      <c r="C1446" s="421"/>
      <c r="D1446" s="88" t="str">
        <f>D1416</f>
        <v>Debt 5</v>
      </c>
      <c r="E1446" s="108"/>
      <c r="F1446" s="108"/>
      <c r="G1446" s="108"/>
      <c r="H1446" s="108"/>
      <c r="I1446" s="868">
        <v>0</v>
      </c>
      <c r="J1446" s="867">
        <f t="shared" si="567"/>
        <v>0</v>
      </c>
      <c r="K1446" s="867">
        <f>IF($I1446=0,0,IF(SUM($J1446:J1446)+1/$I1446&gt;1,1-SUM($J1446:J1446),1/$I1446))</f>
        <v>0</v>
      </c>
      <c r="L1446" s="867">
        <f>IF($I1446=0,0,IF(SUM($J1446:K1446)+1/$I1446&gt;1,1-SUM($J1446:K1446),1/$I1446))</f>
        <v>0</v>
      </c>
      <c r="M1446" s="867">
        <f>IF($I1446=0,0,IF(SUM($J1446:L1446)+1/$I1446&gt;1,1-SUM($J1446:L1446),1/$I1446))</f>
        <v>0</v>
      </c>
      <c r="N1446" s="867">
        <f>IF($I1446=0,0,IF(SUM($J1446:M1446)+1/$I1446&gt;1,1-SUM($J1446:M1446),1/$I1446))</f>
        <v>0</v>
      </c>
      <c r="O1446" s="867">
        <f>IF($I1446=0,0,IF(SUM($J1446:N1446)+1/$I1446&gt;1,1-SUM($J1446:N1446),1/$I1446))</f>
        <v>0</v>
      </c>
      <c r="P1446" s="867">
        <f>IF($I1446=0,0,IF(SUM($J1446:O1446)+1/$I1446&gt;1,1-SUM($J1446:O1446),1/$I1446))</f>
        <v>0</v>
      </c>
      <c r="Q1446" s="867">
        <f>IF($I1446=0,0,IF(SUM($J1446:P1446)+1/$I1446&gt;1,1-SUM($J1446:P1446),1/$I1446))</f>
        <v>0</v>
      </c>
      <c r="R1446" s="867">
        <f>IF($I1446=0,0,IF(SUM($J1446:Q1446)+1/$I1446&gt;1,1-SUM($J1446:Q1446),1/$I1446))</f>
        <v>0</v>
      </c>
      <c r="S1446" s="867">
        <f>IF($I1446=0,0,IF(SUM($J1446:R1446)+1/$I1446&gt;1,1-SUM($J1446:R1446),1/$I1446))</f>
        <v>0</v>
      </c>
      <c r="T1446" s="294"/>
    </row>
    <row r="1447" spans="1:20" x14ac:dyDescent="0.25">
      <c r="A1447" s="305"/>
      <c r="B1447" s="416"/>
      <c r="C1447" s="421"/>
      <c r="D1447" s="88" t="str">
        <f>D1433</f>
        <v>Preferred 1</v>
      </c>
      <c r="E1447" s="108"/>
      <c r="F1447" s="108"/>
      <c r="G1447" s="108"/>
      <c r="H1447" s="108"/>
      <c r="I1447" s="108"/>
      <c r="J1447" s="765">
        <v>0</v>
      </c>
      <c r="K1447" s="765">
        <v>0</v>
      </c>
      <c r="L1447" s="765">
        <v>0</v>
      </c>
      <c r="M1447" s="765">
        <v>0</v>
      </c>
      <c r="N1447" s="765">
        <v>0</v>
      </c>
      <c r="O1447" s="765">
        <v>0</v>
      </c>
      <c r="P1447" s="765">
        <v>0</v>
      </c>
      <c r="Q1447" s="765">
        <v>0</v>
      </c>
      <c r="R1447" s="765">
        <v>0</v>
      </c>
      <c r="S1447" s="765">
        <v>0</v>
      </c>
      <c r="T1447" s="294"/>
    </row>
    <row r="1448" spans="1:20" x14ac:dyDescent="0.25">
      <c r="A1448" s="305"/>
      <c r="B1448" s="428"/>
      <c r="C1448" s="422"/>
      <c r="D1448" s="88" t="str">
        <f>D1418</f>
        <v>Preferred 2</v>
      </c>
      <c r="E1448" s="108"/>
      <c r="F1448" s="108"/>
      <c r="G1448" s="108"/>
      <c r="H1448" s="108"/>
      <c r="I1448" s="108"/>
      <c r="J1448" s="765">
        <v>0</v>
      </c>
      <c r="K1448" s="765">
        <v>0</v>
      </c>
      <c r="L1448" s="765">
        <v>0</v>
      </c>
      <c r="M1448" s="765">
        <v>0</v>
      </c>
      <c r="N1448" s="765">
        <v>0</v>
      </c>
      <c r="O1448" s="765">
        <v>0</v>
      </c>
      <c r="P1448" s="765">
        <v>0</v>
      </c>
      <c r="Q1448" s="765">
        <v>0</v>
      </c>
      <c r="R1448" s="765">
        <v>0</v>
      </c>
      <c r="S1448" s="765">
        <v>0</v>
      </c>
      <c r="T1448" s="294"/>
    </row>
    <row r="1449" spans="1:20" ht="17.399999999999999" x14ac:dyDescent="0.3">
      <c r="A1449" s="305"/>
      <c r="B1449" s="79"/>
      <c r="C1449" s="294"/>
      <c r="D1449" s="772" t="s">
        <v>525</v>
      </c>
      <c r="E1449" s="47"/>
      <c r="F1449" s="114"/>
      <c r="G1449" s="113"/>
      <c r="H1449" s="113"/>
      <c r="I1449" s="113"/>
      <c r="J1449" s="112" t="str">
        <f>D1449</f>
        <v>Look-up Tables - Operating Assumptions</v>
      </c>
      <c r="K1449" s="113"/>
      <c r="L1449" s="113"/>
      <c r="M1449" s="113"/>
      <c r="N1449" s="113"/>
      <c r="O1449" s="113"/>
      <c r="P1449" s="113"/>
      <c r="Q1449" s="113"/>
      <c r="R1449" s="113"/>
      <c r="S1449" s="113"/>
      <c r="T1449" s="294"/>
    </row>
    <row r="1450" spans="1:20" x14ac:dyDescent="0.25">
      <c r="A1450" s="305"/>
      <c r="B1450" s="79"/>
      <c r="C1450" s="294"/>
      <c r="D1450" s="773" t="s">
        <v>526</v>
      </c>
      <c r="E1450" s="105"/>
      <c r="F1450" s="120"/>
      <c r="G1450" s="120"/>
      <c r="H1450" s="120"/>
      <c r="I1450" s="121"/>
      <c r="J1450" s="119" t="str">
        <f>D1450</f>
        <v>Revenues</v>
      </c>
      <c r="K1450" s="122"/>
      <c r="L1450" s="122"/>
      <c r="M1450" s="122"/>
      <c r="N1450" s="122"/>
      <c r="O1450" s="122"/>
      <c r="P1450" s="122"/>
      <c r="Q1450" s="122"/>
      <c r="R1450" s="122"/>
      <c r="S1450" s="122"/>
      <c r="T1450" s="294"/>
    </row>
    <row r="1451" spans="1:20" x14ac:dyDescent="0.25">
      <c r="A1451" s="305"/>
      <c r="B1451" s="79"/>
      <c r="C1451" s="294"/>
      <c r="D1451" s="774" t="s">
        <v>527</v>
      </c>
      <c r="E1451" s="768" t="s">
        <v>528</v>
      </c>
      <c r="F1451" s="124"/>
      <c r="G1451" s="124"/>
      <c r="H1451" s="124"/>
      <c r="I1451" s="769" t="s">
        <v>529</v>
      </c>
      <c r="J1451" s="92">
        <f>$H$1371</f>
        <v>1998</v>
      </c>
      <c r="K1451" s="92">
        <f t="shared" ref="K1451:S1451" si="568">J1451+1</f>
        <v>1999</v>
      </c>
      <c r="L1451" s="92">
        <f t="shared" si="568"/>
        <v>2000</v>
      </c>
      <c r="M1451" s="92">
        <f t="shared" si="568"/>
        <v>2001</v>
      </c>
      <c r="N1451" s="92">
        <f t="shared" si="568"/>
        <v>2002</v>
      </c>
      <c r="O1451" s="92">
        <f t="shared" si="568"/>
        <v>2003</v>
      </c>
      <c r="P1451" s="92">
        <f t="shared" si="568"/>
        <v>2004</v>
      </c>
      <c r="Q1451" s="92">
        <f t="shared" si="568"/>
        <v>2005</v>
      </c>
      <c r="R1451" s="92">
        <f t="shared" si="568"/>
        <v>2006</v>
      </c>
      <c r="S1451" s="92">
        <f t="shared" si="568"/>
        <v>2007</v>
      </c>
      <c r="T1451" s="294"/>
    </row>
    <row r="1452" spans="1:20" x14ac:dyDescent="0.25">
      <c r="A1452" s="305"/>
      <c r="B1452" s="79"/>
      <c r="C1452" s="294"/>
      <c r="D1452" s="775" t="s">
        <v>530</v>
      </c>
      <c r="E1452" s="429" t="s">
        <v>531</v>
      </c>
      <c r="F1452" s="45"/>
      <c r="G1452" s="45"/>
      <c r="H1452" s="45"/>
      <c r="I1452" s="770">
        <v>1</v>
      </c>
      <c r="J1452" s="771">
        <v>0.15</v>
      </c>
      <c r="K1452" s="771">
        <v>0.15</v>
      </c>
      <c r="L1452" s="771">
        <v>0.15</v>
      </c>
      <c r="M1452" s="771">
        <v>0.15</v>
      </c>
      <c r="N1452" s="771">
        <v>0.15</v>
      </c>
      <c r="O1452" s="771">
        <v>0.15</v>
      </c>
      <c r="P1452" s="771">
        <v>0.15</v>
      </c>
      <c r="Q1452" s="771">
        <v>0.15</v>
      </c>
      <c r="R1452" s="771">
        <v>0.15</v>
      </c>
      <c r="S1452" s="771">
        <v>0.15</v>
      </c>
      <c r="T1452" s="294"/>
    </row>
    <row r="1453" spans="1:20" x14ac:dyDescent="0.25">
      <c r="A1453" s="305"/>
      <c r="B1453" s="79"/>
      <c r="C1453" s="294"/>
      <c r="D1453" s="776" t="s">
        <v>532</v>
      </c>
      <c r="E1453" s="429"/>
      <c r="F1453" s="45"/>
      <c r="G1453" s="45"/>
      <c r="H1453" s="45"/>
      <c r="I1453" s="770">
        <f t="shared" ref="I1453:I1461" si="569">I1452+1</f>
        <v>2</v>
      </c>
      <c r="J1453" s="771">
        <v>0.15</v>
      </c>
      <c r="K1453" s="771">
        <v>0.15</v>
      </c>
      <c r="L1453" s="771">
        <v>0.15</v>
      </c>
      <c r="M1453" s="771">
        <v>0.15</v>
      </c>
      <c r="N1453" s="771">
        <v>0.15</v>
      </c>
      <c r="O1453" s="771">
        <v>0.15</v>
      </c>
      <c r="P1453" s="771">
        <v>0.15</v>
      </c>
      <c r="Q1453" s="771">
        <v>0.15</v>
      </c>
      <c r="R1453" s="771">
        <v>0.15</v>
      </c>
      <c r="S1453" s="771">
        <v>0.15</v>
      </c>
      <c r="T1453" s="294"/>
    </row>
    <row r="1454" spans="1:20" x14ac:dyDescent="0.25">
      <c r="A1454" s="305"/>
      <c r="B1454" s="79"/>
      <c r="C1454" s="294"/>
      <c r="D1454" s="776" t="s">
        <v>533</v>
      </c>
      <c r="E1454" s="429"/>
      <c r="F1454" s="45"/>
      <c r="G1454" s="45"/>
      <c r="H1454" s="45"/>
      <c r="I1454" s="770">
        <f t="shared" si="569"/>
        <v>3</v>
      </c>
      <c r="J1454" s="771">
        <v>0.15</v>
      </c>
      <c r="K1454" s="771">
        <v>0.15</v>
      </c>
      <c r="L1454" s="771">
        <v>0.15</v>
      </c>
      <c r="M1454" s="771">
        <v>0.15</v>
      </c>
      <c r="N1454" s="771">
        <v>0.15</v>
      </c>
      <c r="O1454" s="771">
        <v>0.15</v>
      </c>
      <c r="P1454" s="771">
        <v>0.15</v>
      </c>
      <c r="Q1454" s="771">
        <v>0.15</v>
      </c>
      <c r="R1454" s="771">
        <v>0.15</v>
      </c>
      <c r="S1454" s="771">
        <v>0.15</v>
      </c>
      <c r="T1454" s="294"/>
    </row>
    <row r="1455" spans="1:20" x14ac:dyDescent="0.25">
      <c r="A1455" s="305"/>
      <c r="B1455" s="79"/>
      <c r="C1455" s="294"/>
      <c r="D1455" s="776" t="s">
        <v>534</v>
      </c>
      <c r="E1455" s="429"/>
      <c r="F1455" s="45"/>
      <c r="G1455" s="45"/>
      <c r="H1455" s="45"/>
      <c r="I1455" s="770">
        <f t="shared" si="569"/>
        <v>4</v>
      </c>
      <c r="J1455" s="771">
        <v>0.15</v>
      </c>
      <c r="K1455" s="771">
        <v>0.15</v>
      </c>
      <c r="L1455" s="771">
        <v>0.15</v>
      </c>
      <c r="M1455" s="771">
        <v>0.15</v>
      </c>
      <c r="N1455" s="771">
        <v>0.15</v>
      </c>
      <c r="O1455" s="771">
        <v>0.15</v>
      </c>
      <c r="P1455" s="771">
        <v>0.15</v>
      </c>
      <c r="Q1455" s="771">
        <v>0.15</v>
      </c>
      <c r="R1455" s="771">
        <v>0.15</v>
      </c>
      <c r="S1455" s="771">
        <v>0.15</v>
      </c>
      <c r="T1455" s="294"/>
    </row>
    <row r="1456" spans="1:20" x14ac:dyDescent="0.25">
      <c r="A1456" s="305"/>
      <c r="B1456" s="79"/>
      <c r="C1456" s="294"/>
      <c r="D1456" s="776" t="s">
        <v>535</v>
      </c>
      <c r="E1456" s="429"/>
      <c r="F1456" s="45"/>
      <c r="G1456" s="45"/>
      <c r="H1456" s="45"/>
      <c r="I1456" s="770">
        <f t="shared" si="569"/>
        <v>5</v>
      </c>
      <c r="J1456" s="771">
        <v>0.15</v>
      </c>
      <c r="K1456" s="771">
        <v>0.15</v>
      </c>
      <c r="L1456" s="771">
        <v>0.15</v>
      </c>
      <c r="M1456" s="771">
        <v>0.15</v>
      </c>
      <c r="N1456" s="771">
        <v>0.15</v>
      </c>
      <c r="O1456" s="771">
        <v>0.15</v>
      </c>
      <c r="P1456" s="771">
        <v>0.15</v>
      </c>
      <c r="Q1456" s="771">
        <v>0.15</v>
      </c>
      <c r="R1456" s="771">
        <v>0.15</v>
      </c>
      <c r="S1456" s="771">
        <v>0.15</v>
      </c>
      <c r="T1456" s="294"/>
    </row>
    <row r="1457" spans="1:20" x14ac:dyDescent="0.25">
      <c r="A1457" s="305"/>
      <c r="B1457" s="79"/>
      <c r="C1457" s="294"/>
      <c r="D1457" s="776" t="s">
        <v>536</v>
      </c>
      <c r="E1457" s="429"/>
      <c r="F1457" s="45"/>
      <c r="G1457" s="45"/>
      <c r="H1457" s="45"/>
      <c r="I1457" s="770">
        <f t="shared" si="569"/>
        <v>6</v>
      </c>
      <c r="J1457" s="771">
        <v>0.15</v>
      </c>
      <c r="K1457" s="771">
        <v>0.15</v>
      </c>
      <c r="L1457" s="771">
        <v>0.15</v>
      </c>
      <c r="M1457" s="771">
        <v>0.15</v>
      </c>
      <c r="N1457" s="771">
        <v>0.15</v>
      </c>
      <c r="O1457" s="771">
        <v>0.15</v>
      </c>
      <c r="P1457" s="771">
        <v>0.15</v>
      </c>
      <c r="Q1457" s="771">
        <v>0.15</v>
      </c>
      <c r="R1457" s="771">
        <v>0.15</v>
      </c>
      <c r="S1457" s="771">
        <v>0.15</v>
      </c>
      <c r="T1457" s="294"/>
    </row>
    <row r="1458" spans="1:20" x14ac:dyDescent="0.25">
      <c r="A1458" s="305"/>
      <c r="B1458" s="79"/>
      <c r="C1458" s="294"/>
      <c r="D1458" s="776" t="s">
        <v>537</v>
      </c>
      <c r="E1458" s="429"/>
      <c r="F1458" s="45"/>
      <c r="G1458" s="45"/>
      <c r="H1458" s="45"/>
      <c r="I1458" s="770">
        <f t="shared" si="569"/>
        <v>7</v>
      </c>
      <c r="J1458" s="771">
        <v>0.15</v>
      </c>
      <c r="K1458" s="771">
        <v>0.15</v>
      </c>
      <c r="L1458" s="771">
        <v>0.15</v>
      </c>
      <c r="M1458" s="771">
        <v>0.15</v>
      </c>
      <c r="N1458" s="771">
        <v>0.15</v>
      </c>
      <c r="O1458" s="771">
        <v>0.15</v>
      </c>
      <c r="P1458" s="771">
        <v>0.15</v>
      </c>
      <c r="Q1458" s="771">
        <v>0.15</v>
      </c>
      <c r="R1458" s="771">
        <v>0.15</v>
      </c>
      <c r="S1458" s="771">
        <v>0.15</v>
      </c>
      <c r="T1458" s="294"/>
    </row>
    <row r="1459" spans="1:20" x14ac:dyDescent="0.25">
      <c r="A1459" s="305"/>
      <c r="B1459" s="79"/>
      <c r="C1459" s="294"/>
      <c r="D1459" s="776" t="s">
        <v>538</v>
      </c>
      <c r="E1459" s="429"/>
      <c r="F1459" s="45"/>
      <c r="G1459" s="45"/>
      <c r="H1459" s="45"/>
      <c r="I1459" s="770">
        <f t="shared" si="569"/>
        <v>8</v>
      </c>
      <c r="J1459" s="771">
        <v>0.15</v>
      </c>
      <c r="K1459" s="771">
        <v>0.15</v>
      </c>
      <c r="L1459" s="771">
        <v>0.15</v>
      </c>
      <c r="M1459" s="771">
        <v>0.15</v>
      </c>
      <c r="N1459" s="771">
        <v>0.15</v>
      </c>
      <c r="O1459" s="771">
        <v>0.15</v>
      </c>
      <c r="P1459" s="771">
        <v>0.15</v>
      </c>
      <c r="Q1459" s="771">
        <v>0.15</v>
      </c>
      <c r="R1459" s="771">
        <v>0.15</v>
      </c>
      <c r="S1459" s="771">
        <v>0.15</v>
      </c>
      <c r="T1459" s="294"/>
    </row>
    <row r="1460" spans="1:20" x14ac:dyDescent="0.25">
      <c r="A1460" s="305"/>
      <c r="B1460" s="79"/>
      <c r="C1460" s="294"/>
      <c r="D1460" s="776" t="s">
        <v>539</v>
      </c>
      <c r="E1460" s="429"/>
      <c r="F1460" s="45"/>
      <c r="G1460" s="45"/>
      <c r="H1460" s="45"/>
      <c r="I1460" s="770">
        <f t="shared" si="569"/>
        <v>9</v>
      </c>
      <c r="J1460" s="771">
        <v>0.15</v>
      </c>
      <c r="K1460" s="771">
        <v>0.15</v>
      </c>
      <c r="L1460" s="771">
        <v>0.15</v>
      </c>
      <c r="M1460" s="771">
        <v>0.15</v>
      </c>
      <c r="N1460" s="771">
        <v>0.15</v>
      </c>
      <c r="O1460" s="771">
        <v>0.15</v>
      </c>
      <c r="P1460" s="771">
        <v>0.15</v>
      </c>
      <c r="Q1460" s="771">
        <v>0.15</v>
      </c>
      <c r="R1460" s="771">
        <v>0.15</v>
      </c>
      <c r="S1460" s="771">
        <v>0.15</v>
      </c>
      <c r="T1460" s="294"/>
    </row>
    <row r="1461" spans="1:20" x14ac:dyDescent="0.25">
      <c r="A1461" s="305"/>
      <c r="B1461" s="79"/>
      <c r="C1461" s="294"/>
      <c r="D1461" s="776" t="s">
        <v>540</v>
      </c>
      <c r="E1461" s="429"/>
      <c r="F1461" s="45"/>
      <c r="G1461" s="45"/>
      <c r="H1461" s="45"/>
      <c r="I1461" s="770">
        <f t="shared" si="569"/>
        <v>10</v>
      </c>
      <c r="J1461" s="771">
        <v>0.15</v>
      </c>
      <c r="K1461" s="771">
        <v>0.15</v>
      </c>
      <c r="L1461" s="771">
        <v>0.15</v>
      </c>
      <c r="M1461" s="771">
        <v>0.15</v>
      </c>
      <c r="N1461" s="771">
        <v>0.15</v>
      </c>
      <c r="O1461" s="771">
        <v>0.15</v>
      </c>
      <c r="P1461" s="771">
        <v>0.15</v>
      </c>
      <c r="Q1461" s="771">
        <v>0.15</v>
      </c>
      <c r="R1461" s="771">
        <v>0.15</v>
      </c>
      <c r="S1461" s="771">
        <v>0.15</v>
      </c>
      <c r="T1461" s="294"/>
    </row>
    <row r="1462" spans="1:20" s="184" customFormat="1" x14ac:dyDescent="0.25">
      <c r="A1462" s="872"/>
      <c r="B1462" s="873"/>
      <c r="C1462" s="419"/>
      <c r="D1462" s="775" t="s">
        <v>541</v>
      </c>
      <c r="E1462" s="429" t="str">
        <f ca="1">OFFSET(E1451,casenumber,0)</f>
        <v>Base Case</v>
      </c>
      <c r="F1462" s="430"/>
      <c r="G1462" s="430"/>
      <c r="H1462" s="430"/>
      <c r="I1462" s="875">
        <f ca="1">OFFSET(I1451,casenumber,0)</f>
        <v>1</v>
      </c>
      <c r="J1462" s="874">
        <f ca="1">OFFSET(J1451,casenumber,0)</f>
        <v>0.15</v>
      </c>
      <c r="K1462" s="874">
        <f t="shared" ref="K1462:S1462" ca="1" si="570">OFFSET(K1451,casenumber,0)</f>
        <v>0.15</v>
      </c>
      <c r="L1462" s="874">
        <f t="shared" ca="1" si="570"/>
        <v>0.15</v>
      </c>
      <c r="M1462" s="874">
        <f t="shared" ca="1" si="570"/>
        <v>0.15</v>
      </c>
      <c r="N1462" s="874">
        <f t="shared" ca="1" si="570"/>
        <v>0.15</v>
      </c>
      <c r="O1462" s="874">
        <f t="shared" ca="1" si="570"/>
        <v>0.15</v>
      </c>
      <c r="P1462" s="874">
        <f t="shared" ca="1" si="570"/>
        <v>0.15</v>
      </c>
      <c r="Q1462" s="874">
        <f t="shared" ca="1" si="570"/>
        <v>0.15</v>
      </c>
      <c r="R1462" s="874">
        <f t="shared" ca="1" si="570"/>
        <v>0.15</v>
      </c>
      <c r="S1462" s="874">
        <f t="shared" ca="1" si="570"/>
        <v>0.15</v>
      </c>
      <c r="T1462" s="419"/>
    </row>
    <row r="1463" spans="1:20" x14ac:dyDescent="0.25">
      <c r="A1463" s="305"/>
      <c r="B1463" s="79"/>
      <c r="C1463" s="294"/>
      <c r="D1463" s="777" t="s">
        <v>542</v>
      </c>
      <c r="E1463" s="120"/>
      <c r="F1463" s="120"/>
      <c r="G1463" s="120"/>
      <c r="H1463" s="120"/>
      <c r="I1463" s="121"/>
      <c r="J1463" s="119" t="str">
        <f>D1463</f>
        <v>COGS</v>
      </c>
      <c r="K1463" s="122"/>
      <c r="L1463" s="122"/>
      <c r="M1463" s="122"/>
      <c r="N1463" s="122"/>
      <c r="O1463" s="122"/>
      <c r="P1463" s="122"/>
      <c r="Q1463" s="122"/>
      <c r="R1463" s="122"/>
      <c r="S1463" s="122"/>
      <c r="T1463" s="294"/>
    </row>
    <row r="1464" spans="1:20" x14ac:dyDescent="0.25">
      <c r="A1464" s="305"/>
      <c r="B1464" s="79"/>
      <c r="C1464" s="294"/>
      <c r="D1464" s="774" t="s">
        <v>527</v>
      </c>
      <c r="E1464" s="125" t="s">
        <v>528</v>
      </c>
      <c r="F1464" s="125"/>
      <c r="G1464" s="125"/>
      <c r="H1464" s="123"/>
      <c r="I1464" s="55" t="str">
        <f>I1451</f>
        <v>Case Number</v>
      </c>
      <c r="J1464" s="92">
        <f>$H$1371</f>
        <v>1998</v>
      </c>
      <c r="K1464" s="93">
        <f t="shared" ref="K1464:S1464" si="571">J1464+1</f>
        <v>1999</v>
      </c>
      <c r="L1464" s="93">
        <f t="shared" si="571"/>
        <v>2000</v>
      </c>
      <c r="M1464" s="93">
        <f t="shared" si="571"/>
        <v>2001</v>
      </c>
      <c r="N1464" s="93">
        <f t="shared" si="571"/>
        <v>2002</v>
      </c>
      <c r="O1464" s="93">
        <f t="shared" si="571"/>
        <v>2003</v>
      </c>
      <c r="P1464" s="93">
        <f t="shared" si="571"/>
        <v>2004</v>
      </c>
      <c r="Q1464" s="93">
        <f t="shared" si="571"/>
        <v>2005</v>
      </c>
      <c r="R1464" s="93">
        <f t="shared" si="571"/>
        <v>2006</v>
      </c>
      <c r="S1464" s="93">
        <f t="shared" si="571"/>
        <v>2007</v>
      </c>
      <c r="T1464" s="294"/>
    </row>
    <row r="1465" spans="1:20" x14ac:dyDescent="0.25">
      <c r="A1465" s="305"/>
      <c r="B1465" s="79"/>
      <c r="C1465" s="294"/>
      <c r="D1465" s="126" t="str">
        <f t="shared" ref="D1465:D1475" si="572">D1452</f>
        <v>Case 1</v>
      </c>
      <c r="E1465" s="133" t="str">
        <f>IF(ISTEXT(E1452),E1452,"  ")</f>
        <v>Base Case</v>
      </c>
      <c r="F1465" s="81"/>
      <c r="G1465" s="81"/>
      <c r="H1465" s="81"/>
      <c r="I1465" s="770">
        <v>1</v>
      </c>
      <c r="J1465" s="771">
        <v>0.46</v>
      </c>
      <c r="K1465" s="771">
        <v>0.46</v>
      </c>
      <c r="L1465" s="771">
        <v>0.46</v>
      </c>
      <c r="M1465" s="771">
        <v>0.46</v>
      </c>
      <c r="N1465" s="771">
        <v>0.46</v>
      </c>
      <c r="O1465" s="771">
        <v>0.46</v>
      </c>
      <c r="P1465" s="771">
        <v>0.46</v>
      </c>
      <c r="Q1465" s="771">
        <v>0.46</v>
      </c>
      <c r="R1465" s="771">
        <v>0.46</v>
      </c>
      <c r="S1465" s="771">
        <v>0.46</v>
      </c>
      <c r="T1465" s="294"/>
    </row>
    <row r="1466" spans="1:20" x14ac:dyDescent="0.25">
      <c r="A1466" s="305"/>
      <c r="B1466" s="79"/>
      <c r="C1466" s="294"/>
      <c r="D1466" s="126" t="str">
        <f t="shared" si="572"/>
        <v>Case 2</v>
      </c>
      <c r="E1466" s="133" t="str">
        <f>IF(ISTEXT(E1453),E1453,"  ")</f>
        <v xml:space="preserve">  </v>
      </c>
      <c r="F1466" s="81"/>
      <c r="G1466" s="81"/>
      <c r="H1466" s="81"/>
      <c r="I1466" s="770">
        <f t="shared" ref="I1466:I1474" si="573">I1465+1</f>
        <v>2</v>
      </c>
      <c r="J1466" s="771">
        <v>0.46</v>
      </c>
      <c r="K1466" s="771">
        <v>0.46</v>
      </c>
      <c r="L1466" s="771">
        <v>0.46</v>
      </c>
      <c r="M1466" s="771">
        <v>0.46</v>
      </c>
      <c r="N1466" s="771">
        <v>0.46</v>
      </c>
      <c r="O1466" s="771">
        <v>0.46</v>
      </c>
      <c r="P1466" s="771">
        <v>0.46</v>
      </c>
      <c r="Q1466" s="771">
        <v>0.46</v>
      </c>
      <c r="R1466" s="771">
        <v>0.46</v>
      </c>
      <c r="S1466" s="771">
        <v>0.46</v>
      </c>
      <c r="T1466" s="294"/>
    </row>
    <row r="1467" spans="1:20" x14ac:dyDescent="0.25">
      <c r="A1467" s="305"/>
      <c r="B1467" s="79"/>
      <c r="C1467" s="294"/>
      <c r="D1467" s="126" t="str">
        <f t="shared" si="572"/>
        <v>Case 3</v>
      </c>
      <c r="E1467" s="133" t="str">
        <f>IF(ISTEXT(E1454),E1454,"  ")</f>
        <v xml:space="preserve">  </v>
      </c>
      <c r="F1467" s="81"/>
      <c r="G1467" s="81"/>
      <c r="H1467" s="81"/>
      <c r="I1467" s="770">
        <f t="shared" si="573"/>
        <v>3</v>
      </c>
      <c r="J1467" s="771">
        <v>0.4</v>
      </c>
      <c r="K1467" s="771">
        <v>0.4</v>
      </c>
      <c r="L1467" s="771">
        <v>0.4</v>
      </c>
      <c r="M1467" s="771">
        <v>0.4</v>
      </c>
      <c r="N1467" s="771">
        <v>0.4</v>
      </c>
      <c r="O1467" s="771">
        <v>0.4</v>
      </c>
      <c r="P1467" s="771">
        <v>0.4</v>
      </c>
      <c r="Q1467" s="771">
        <v>0.4</v>
      </c>
      <c r="R1467" s="771">
        <v>0.4</v>
      </c>
      <c r="S1467" s="771">
        <v>0.4</v>
      </c>
      <c r="T1467" s="294"/>
    </row>
    <row r="1468" spans="1:20" x14ac:dyDescent="0.25">
      <c r="A1468" s="305"/>
      <c r="B1468" s="79"/>
      <c r="C1468" s="294"/>
      <c r="D1468" s="126" t="str">
        <f t="shared" si="572"/>
        <v>Case 4</v>
      </c>
      <c r="E1468" s="133" t="str">
        <f>IF(ISTEXT(E1455),E1455,"  ")</f>
        <v xml:space="preserve">  </v>
      </c>
      <c r="F1468" s="81"/>
      <c r="G1468" s="81"/>
      <c r="H1468" s="81"/>
      <c r="I1468" s="770">
        <f t="shared" si="573"/>
        <v>4</v>
      </c>
      <c r="J1468" s="771">
        <v>0.4</v>
      </c>
      <c r="K1468" s="771">
        <v>0.4</v>
      </c>
      <c r="L1468" s="771">
        <v>0.4</v>
      </c>
      <c r="M1468" s="771">
        <v>0.4</v>
      </c>
      <c r="N1468" s="771">
        <v>0.4</v>
      </c>
      <c r="O1468" s="771">
        <v>0.4</v>
      </c>
      <c r="P1468" s="771">
        <v>0.4</v>
      </c>
      <c r="Q1468" s="771">
        <v>0.4</v>
      </c>
      <c r="R1468" s="771">
        <v>0.4</v>
      </c>
      <c r="S1468" s="771">
        <v>0.4</v>
      </c>
      <c r="T1468" s="294"/>
    </row>
    <row r="1469" spans="1:20" x14ac:dyDescent="0.25">
      <c r="A1469" s="305"/>
      <c r="B1469" s="79"/>
      <c r="C1469" s="294"/>
      <c r="D1469" s="126" t="str">
        <f t="shared" si="572"/>
        <v>Case 5</v>
      </c>
      <c r="E1469" s="133" t="str">
        <f>IF(ISTEXT(E1456),E1456,"  ")</f>
        <v xml:space="preserve">  </v>
      </c>
      <c r="F1469" s="81"/>
      <c r="G1469" s="81"/>
      <c r="H1469" s="81"/>
      <c r="I1469" s="770">
        <f t="shared" si="573"/>
        <v>5</v>
      </c>
      <c r="J1469" s="771">
        <v>0.4</v>
      </c>
      <c r="K1469" s="771">
        <v>0.4</v>
      </c>
      <c r="L1469" s="771">
        <v>0.4</v>
      </c>
      <c r="M1469" s="771">
        <v>0.4</v>
      </c>
      <c r="N1469" s="771">
        <v>0.4</v>
      </c>
      <c r="O1469" s="771">
        <v>0.4</v>
      </c>
      <c r="P1469" s="771">
        <v>0.4</v>
      </c>
      <c r="Q1469" s="771">
        <v>0.4</v>
      </c>
      <c r="R1469" s="771">
        <v>0.4</v>
      </c>
      <c r="S1469" s="771">
        <v>0.4</v>
      </c>
      <c r="T1469" s="294"/>
    </row>
    <row r="1470" spans="1:20" x14ac:dyDescent="0.25">
      <c r="A1470" s="305"/>
      <c r="B1470" s="79"/>
      <c r="C1470" s="294"/>
      <c r="D1470" s="126" t="str">
        <f t="shared" si="572"/>
        <v>Case 6</v>
      </c>
      <c r="E1470" s="133"/>
      <c r="F1470" s="81"/>
      <c r="G1470" s="81"/>
      <c r="H1470" s="81"/>
      <c r="I1470" s="770">
        <f t="shared" si="573"/>
        <v>6</v>
      </c>
      <c r="J1470" s="771">
        <v>0.4</v>
      </c>
      <c r="K1470" s="771">
        <v>0.4</v>
      </c>
      <c r="L1470" s="771">
        <v>0.4</v>
      </c>
      <c r="M1470" s="771">
        <v>0.4</v>
      </c>
      <c r="N1470" s="771">
        <v>0.4</v>
      </c>
      <c r="O1470" s="771">
        <v>0.4</v>
      </c>
      <c r="P1470" s="771">
        <v>0.4</v>
      </c>
      <c r="Q1470" s="771">
        <v>0.4</v>
      </c>
      <c r="R1470" s="771">
        <v>0.4</v>
      </c>
      <c r="S1470" s="771">
        <v>0.4</v>
      </c>
      <c r="T1470" s="294"/>
    </row>
    <row r="1471" spans="1:20" x14ac:dyDescent="0.25">
      <c r="A1471" s="305"/>
      <c r="B1471" s="79"/>
      <c r="C1471" s="294"/>
      <c r="D1471" s="126" t="str">
        <f t="shared" si="572"/>
        <v>Case 7</v>
      </c>
      <c r="E1471" s="133"/>
      <c r="F1471" s="81"/>
      <c r="G1471" s="81"/>
      <c r="H1471" s="81"/>
      <c r="I1471" s="770">
        <f t="shared" si="573"/>
        <v>7</v>
      </c>
      <c r="J1471" s="771">
        <v>0.4</v>
      </c>
      <c r="K1471" s="771">
        <v>0.4</v>
      </c>
      <c r="L1471" s="771">
        <v>0.4</v>
      </c>
      <c r="M1471" s="771">
        <v>0.4</v>
      </c>
      <c r="N1471" s="771">
        <v>0.4</v>
      </c>
      <c r="O1471" s="771">
        <v>0.4</v>
      </c>
      <c r="P1471" s="771">
        <v>0.4</v>
      </c>
      <c r="Q1471" s="771">
        <v>0.4</v>
      </c>
      <c r="R1471" s="771">
        <v>0.4</v>
      </c>
      <c r="S1471" s="771">
        <v>0.4</v>
      </c>
      <c r="T1471" s="294"/>
    </row>
    <row r="1472" spans="1:20" x14ac:dyDescent="0.25">
      <c r="A1472" s="305"/>
      <c r="B1472" s="79"/>
      <c r="C1472" s="294"/>
      <c r="D1472" s="126" t="str">
        <f t="shared" si="572"/>
        <v>Case 8</v>
      </c>
      <c r="E1472" s="133"/>
      <c r="F1472" s="81"/>
      <c r="G1472" s="81"/>
      <c r="H1472" s="81"/>
      <c r="I1472" s="770">
        <f t="shared" si="573"/>
        <v>8</v>
      </c>
      <c r="J1472" s="771">
        <v>0.4</v>
      </c>
      <c r="K1472" s="771">
        <v>0.4</v>
      </c>
      <c r="L1472" s="771">
        <v>0.4</v>
      </c>
      <c r="M1472" s="771">
        <v>0.4</v>
      </c>
      <c r="N1472" s="771">
        <v>0.4</v>
      </c>
      <c r="O1472" s="771">
        <v>0.4</v>
      </c>
      <c r="P1472" s="771">
        <v>0.4</v>
      </c>
      <c r="Q1472" s="771">
        <v>0.4</v>
      </c>
      <c r="R1472" s="771">
        <v>0.4</v>
      </c>
      <c r="S1472" s="771">
        <v>0.4</v>
      </c>
      <c r="T1472" s="294"/>
    </row>
    <row r="1473" spans="1:20" x14ac:dyDescent="0.25">
      <c r="A1473" s="305"/>
      <c r="B1473" s="79"/>
      <c r="C1473" s="294"/>
      <c r="D1473" s="126" t="str">
        <f t="shared" si="572"/>
        <v>Case 9</v>
      </c>
      <c r="E1473" s="133"/>
      <c r="F1473" s="81"/>
      <c r="G1473" s="81"/>
      <c r="H1473" s="81"/>
      <c r="I1473" s="770">
        <f t="shared" si="573"/>
        <v>9</v>
      </c>
      <c r="J1473" s="771">
        <v>0.4</v>
      </c>
      <c r="K1473" s="771">
        <v>0.4</v>
      </c>
      <c r="L1473" s="771">
        <v>0.4</v>
      </c>
      <c r="M1473" s="771">
        <v>0.4</v>
      </c>
      <c r="N1473" s="771">
        <v>0.4</v>
      </c>
      <c r="O1473" s="771">
        <v>0.4</v>
      </c>
      <c r="P1473" s="771">
        <v>0.4</v>
      </c>
      <c r="Q1473" s="771">
        <v>0.4</v>
      </c>
      <c r="R1473" s="771">
        <v>0.4</v>
      </c>
      <c r="S1473" s="771">
        <v>0.4</v>
      </c>
      <c r="T1473" s="294"/>
    </row>
    <row r="1474" spans="1:20" x14ac:dyDescent="0.25">
      <c r="A1474" s="305"/>
      <c r="B1474" s="79"/>
      <c r="C1474" s="294"/>
      <c r="D1474" s="126" t="str">
        <f t="shared" si="572"/>
        <v>Case 10</v>
      </c>
      <c r="E1474" s="133"/>
      <c r="F1474" s="81"/>
      <c r="G1474" s="81"/>
      <c r="H1474" s="81"/>
      <c r="I1474" s="770">
        <f t="shared" si="573"/>
        <v>10</v>
      </c>
      <c r="J1474" s="771">
        <v>0.4</v>
      </c>
      <c r="K1474" s="771">
        <v>0.4</v>
      </c>
      <c r="L1474" s="771">
        <v>0.4</v>
      </c>
      <c r="M1474" s="771">
        <v>0.4</v>
      </c>
      <c r="N1474" s="771">
        <v>0.4</v>
      </c>
      <c r="O1474" s="771">
        <v>0.4</v>
      </c>
      <c r="P1474" s="771">
        <v>0.4</v>
      </c>
      <c r="Q1474" s="771">
        <v>0.4</v>
      </c>
      <c r="R1474" s="771">
        <v>0.4</v>
      </c>
      <c r="S1474" s="771">
        <v>0.4</v>
      </c>
      <c r="T1474" s="294"/>
    </row>
    <row r="1475" spans="1:20" x14ac:dyDescent="0.25">
      <c r="A1475" s="305"/>
      <c r="B1475" s="79"/>
      <c r="C1475" s="294"/>
      <c r="D1475" s="126" t="str">
        <f t="shared" si="572"/>
        <v>CURRENT CASE</v>
      </c>
      <c r="E1475" s="133" t="str">
        <f ca="1">OFFSET(E1464,casenumber,0)</f>
        <v>Base Case</v>
      </c>
      <c r="F1475" s="81"/>
      <c r="G1475" s="81"/>
      <c r="H1475" s="81"/>
      <c r="I1475" s="875">
        <f ca="1">OFFSET(I1464,casenumber,0)</f>
        <v>1</v>
      </c>
      <c r="J1475" s="874">
        <f ca="1">OFFSET(J1464,casenumber,0)</f>
        <v>0.46</v>
      </c>
      <c r="K1475" s="874">
        <f t="shared" ref="K1475:S1475" ca="1" si="574">OFFSET(K1464,casenumber,0)</f>
        <v>0.46</v>
      </c>
      <c r="L1475" s="874">
        <f t="shared" ca="1" si="574"/>
        <v>0.46</v>
      </c>
      <c r="M1475" s="874">
        <f t="shared" ca="1" si="574"/>
        <v>0.46</v>
      </c>
      <c r="N1475" s="874">
        <f t="shared" ca="1" si="574"/>
        <v>0.46</v>
      </c>
      <c r="O1475" s="874">
        <f t="shared" ca="1" si="574"/>
        <v>0.46</v>
      </c>
      <c r="P1475" s="874">
        <f t="shared" ca="1" si="574"/>
        <v>0.46</v>
      </c>
      <c r="Q1475" s="874">
        <f t="shared" ca="1" si="574"/>
        <v>0.46</v>
      </c>
      <c r="R1475" s="874">
        <f t="shared" ca="1" si="574"/>
        <v>0.46</v>
      </c>
      <c r="S1475" s="874">
        <f t="shared" ca="1" si="574"/>
        <v>0.46</v>
      </c>
      <c r="T1475" s="294"/>
    </row>
    <row r="1476" spans="1:20" ht="13.5" customHeight="1" x14ac:dyDescent="0.25">
      <c r="A1476" s="305"/>
      <c r="B1476" s="79"/>
      <c r="C1476" s="294"/>
      <c r="D1476" s="777" t="s">
        <v>543</v>
      </c>
      <c r="E1476" s="120"/>
      <c r="F1476" s="120"/>
      <c r="G1476" s="120"/>
      <c r="H1476" s="120"/>
      <c r="I1476" s="121"/>
      <c r="J1476" s="119" t="str">
        <f>D1476</f>
        <v>SG&amp;A</v>
      </c>
      <c r="K1476" s="122"/>
      <c r="L1476" s="122"/>
      <c r="M1476" s="122"/>
      <c r="N1476" s="122"/>
      <c r="O1476" s="122"/>
      <c r="P1476" s="122"/>
      <c r="Q1476" s="122"/>
      <c r="R1476" s="122"/>
      <c r="S1476" s="122"/>
      <c r="T1476" s="294"/>
    </row>
    <row r="1477" spans="1:20" x14ac:dyDescent="0.25">
      <c r="A1477" s="305"/>
      <c r="B1477" s="79"/>
      <c r="C1477" s="294"/>
      <c r="D1477" s="774" t="s">
        <v>527</v>
      </c>
      <c r="E1477" s="125" t="s">
        <v>528</v>
      </c>
      <c r="F1477" s="125"/>
      <c r="G1477" s="125"/>
      <c r="H1477" s="123"/>
      <c r="I1477" s="55" t="str">
        <f>I1464</f>
        <v>Case Number</v>
      </c>
      <c r="J1477" s="92">
        <f>$H$1371</f>
        <v>1998</v>
      </c>
      <c r="K1477" s="93">
        <f t="shared" ref="K1477:S1477" si="575">J1477+1</f>
        <v>1999</v>
      </c>
      <c r="L1477" s="93">
        <f t="shared" si="575"/>
        <v>2000</v>
      </c>
      <c r="M1477" s="93">
        <f t="shared" si="575"/>
        <v>2001</v>
      </c>
      <c r="N1477" s="93">
        <f t="shared" si="575"/>
        <v>2002</v>
      </c>
      <c r="O1477" s="93">
        <f t="shared" si="575"/>
        <v>2003</v>
      </c>
      <c r="P1477" s="93">
        <f t="shared" si="575"/>
        <v>2004</v>
      </c>
      <c r="Q1477" s="93">
        <f t="shared" si="575"/>
        <v>2005</v>
      </c>
      <c r="R1477" s="93">
        <f t="shared" si="575"/>
        <v>2006</v>
      </c>
      <c r="S1477" s="93">
        <f t="shared" si="575"/>
        <v>2007</v>
      </c>
      <c r="T1477" s="294"/>
    </row>
    <row r="1478" spans="1:20" x14ac:dyDescent="0.25">
      <c r="A1478" s="305"/>
      <c r="B1478" s="79"/>
      <c r="C1478" s="294"/>
      <c r="D1478" s="126" t="str">
        <f t="shared" ref="D1478:D1488" si="576">D1465</f>
        <v>Case 1</v>
      </c>
      <c r="E1478" s="133" t="str">
        <f>IF(ISTEXT(E1465),E1465,"  ")</f>
        <v>Base Case</v>
      </c>
      <c r="F1478" s="94"/>
      <c r="G1478" s="94"/>
      <c r="H1478" s="94"/>
      <c r="I1478" s="95">
        <f>I1465</f>
        <v>1</v>
      </c>
      <c r="J1478" s="771">
        <v>7.1999999999999995E-2</v>
      </c>
      <c r="K1478" s="771">
        <v>7.1999999999999995E-2</v>
      </c>
      <c r="L1478" s="771">
        <v>7.1999999999999995E-2</v>
      </c>
      <c r="M1478" s="771">
        <v>7.1999999999999995E-2</v>
      </c>
      <c r="N1478" s="771">
        <v>7.1999999999999995E-2</v>
      </c>
      <c r="O1478" s="771">
        <v>7.1999999999999995E-2</v>
      </c>
      <c r="P1478" s="771">
        <v>7.1999999999999995E-2</v>
      </c>
      <c r="Q1478" s="771">
        <v>7.1999999999999995E-2</v>
      </c>
      <c r="R1478" s="771">
        <v>7.1999999999999995E-2</v>
      </c>
      <c r="S1478" s="771">
        <v>7.1999999999999995E-2</v>
      </c>
      <c r="T1478" s="294"/>
    </row>
    <row r="1479" spans="1:20" x14ac:dyDescent="0.25">
      <c r="A1479" s="305"/>
      <c r="B1479" s="79"/>
      <c r="C1479" s="294"/>
      <c r="D1479" s="126" t="str">
        <f t="shared" si="576"/>
        <v>Case 2</v>
      </c>
      <c r="E1479" s="133" t="str">
        <f>IF(ISTEXT(E1466),E1466,"  ")</f>
        <v xml:space="preserve">  </v>
      </c>
      <c r="F1479" s="81"/>
      <c r="G1479" s="81"/>
      <c r="H1479" s="81"/>
      <c r="I1479" s="770">
        <f t="shared" ref="I1479:I1487" si="577">I1478+1</f>
        <v>2</v>
      </c>
      <c r="J1479" s="771">
        <v>7.1999999999999995E-2</v>
      </c>
      <c r="K1479" s="771">
        <v>7.1999999999999995E-2</v>
      </c>
      <c r="L1479" s="771">
        <v>7.1999999999999995E-2</v>
      </c>
      <c r="M1479" s="771">
        <v>7.1999999999999995E-2</v>
      </c>
      <c r="N1479" s="771">
        <v>7.1999999999999995E-2</v>
      </c>
      <c r="O1479" s="771">
        <v>7.1999999999999995E-2</v>
      </c>
      <c r="P1479" s="771">
        <v>7.1999999999999995E-2</v>
      </c>
      <c r="Q1479" s="771">
        <v>7.1999999999999995E-2</v>
      </c>
      <c r="R1479" s="771">
        <v>7.1999999999999995E-2</v>
      </c>
      <c r="S1479" s="771">
        <v>7.1999999999999995E-2</v>
      </c>
      <c r="T1479" s="294"/>
    </row>
    <row r="1480" spans="1:20" x14ac:dyDescent="0.25">
      <c r="A1480" s="305"/>
      <c r="B1480" s="79"/>
      <c r="C1480" s="294"/>
      <c r="D1480" s="126" t="str">
        <f t="shared" si="576"/>
        <v>Case 3</v>
      </c>
      <c r="E1480" s="133" t="str">
        <f>IF(ISTEXT(E1467),E1467,"  ")</f>
        <v xml:space="preserve">  </v>
      </c>
      <c r="F1480" s="81"/>
      <c r="G1480" s="81"/>
      <c r="H1480" s="81"/>
      <c r="I1480" s="770">
        <f t="shared" si="577"/>
        <v>3</v>
      </c>
      <c r="J1480" s="771">
        <v>0.12</v>
      </c>
      <c r="K1480" s="771">
        <v>0.12</v>
      </c>
      <c r="L1480" s="771">
        <v>0.12</v>
      </c>
      <c r="M1480" s="771">
        <v>0.12</v>
      </c>
      <c r="N1480" s="771">
        <v>0.12</v>
      </c>
      <c r="O1480" s="771">
        <v>0.12</v>
      </c>
      <c r="P1480" s="771">
        <v>0.12</v>
      </c>
      <c r="Q1480" s="771">
        <v>0.12</v>
      </c>
      <c r="R1480" s="771">
        <v>0.12</v>
      </c>
      <c r="S1480" s="771">
        <v>0.12</v>
      </c>
      <c r="T1480" s="294"/>
    </row>
    <row r="1481" spans="1:20" x14ac:dyDescent="0.25">
      <c r="A1481" s="305"/>
      <c r="B1481" s="79"/>
      <c r="C1481" s="294"/>
      <c r="D1481" s="126" t="str">
        <f t="shared" si="576"/>
        <v>Case 4</v>
      </c>
      <c r="E1481" s="133" t="str">
        <f>IF(ISTEXT(E1468),E1468,"  ")</f>
        <v xml:space="preserve">  </v>
      </c>
      <c r="F1481" s="81"/>
      <c r="G1481" s="81"/>
      <c r="H1481" s="81"/>
      <c r="I1481" s="770">
        <f t="shared" si="577"/>
        <v>4</v>
      </c>
      <c r="J1481" s="771">
        <v>0.12</v>
      </c>
      <c r="K1481" s="771">
        <v>0.12</v>
      </c>
      <c r="L1481" s="771">
        <v>0.12</v>
      </c>
      <c r="M1481" s="771">
        <v>0.12</v>
      </c>
      <c r="N1481" s="771">
        <v>0.12</v>
      </c>
      <c r="O1481" s="771">
        <v>0.12</v>
      </c>
      <c r="P1481" s="771">
        <v>0.12</v>
      </c>
      <c r="Q1481" s="771">
        <v>0.12</v>
      </c>
      <c r="R1481" s="771">
        <v>0.12</v>
      </c>
      <c r="S1481" s="771">
        <v>0.12</v>
      </c>
      <c r="T1481" s="294"/>
    </row>
    <row r="1482" spans="1:20" x14ac:dyDescent="0.25">
      <c r="A1482" s="305"/>
      <c r="B1482" s="79"/>
      <c r="C1482" s="294"/>
      <c r="D1482" s="126" t="str">
        <f t="shared" si="576"/>
        <v>Case 5</v>
      </c>
      <c r="E1482" s="133" t="str">
        <f>IF(ISTEXT(E1469),E1469,"  ")</f>
        <v xml:space="preserve">  </v>
      </c>
      <c r="F1482" s="81"/>
      <c r="G1482" s="81"/>
      <c r="H1482" s="81"/>
      <c r="I1482" s="770">
        <f t="shared" si="577"/>
        <v>5</v>
      </c>
      <c r="J1482" s="771">
        <v>0.12</v>
      </c>
      <c r="K1482" s="771">
        <v>0.12</v>
      </c>
      <c r="L1482" s="771">
        <v>0.12</v>
      </c>
      <c r="M1482" s="771">
        <v>0.12</v>
      </c>
      <c r="N1482" s="771">
        <v>0.12</v>
      </c>
      <c r="O1482" s="771">
        <v>0.12</v>
      </c>
      <c r="P1482" s="771">
        <v>0.12</v>
      </c>
      <c r="Q1482" s="771">
        <v>0.12</v>
      </c>
      <c r="R1482" s="771">
        <v>0.12</v>
      </c>
      <c r="S1482" s="771">
        <v>0.12</v>
      </c>
      <c r="T1482" s="294"/>
    </row>
    <row r="1483" spans="1:20" x14ac:dyDescent="0.25">
      <c r="A1483" s="305"/>
      <c r="B1483" s="79"/>
      <c r="C1483" s="294"/>
      <c r="D1483" s="126" t="str">
        <f t="shared" si="576"/>
        <v>Case 6</v>
      </c>
      <c r="E1483" s="133"/>
      <c r="F1483" s="81"/>
      <c r="G1483" s="81"/>
      <c r="H1483" s="81"/>
      <c r="I1483" s="770">
        <f t="shared" si="577"/>
        <v>6</v>
      </c>
      <c r="J1483" s="771">
        <v>0.12</v>
      </c>
      <c r="K1483" s="771">
        <v>0.12</v>
      </c>
      <c r="L1483" s="771">
        <v>0.12</v>
      </c>
      <c r="M1483" s="771">
        <v>0.12</v>
      </c>
      <c r="N1483" s="771">
        <v>0.12</v>
      </c>
      <c r="O1483" s="771">
        <v>0.12</v>
      </c>
      <c r="P1483" s="771">
        <v>0.12</v>
      </c>
      <c r="Q1483" s="771">
        <v>0.12</v>
      </c>
      <c r="R1483" s="771">
        <v>0.12</v>
      </c>
      <c r="S1483" s="771">
        <v>0.12</v>
      </c>
      <c r="T1483" s="294"/>
    </row>
    <row r="1484" spans="1:20" x14ac:dyDescent="0.25">
      <c r="A1484" s="305"/>
      <c r="B1484" s="79"/>
      <c r="C1484" s="294"/>
      <c r="D1484" s="126" t="str">
        <f t="shared" si="576"/>
        <v>Case 7</v>
      </c>
      <c r="E1484" s="133"/>
      <c r="F1484" s="81"/>
      <c r="G1484" s="81"/>
      <c r="H1484" s="81"/>
      <c r="I1484" s="770">
        <f t="shared" si="577"/>
        <v>7</v>
      </c>
      <c r="J1484" s="771">
        <v>0.12</v>
      </c>
      <c r="K1484" s="771">
        <v>0.12</v>
      </c>
      <c r="L1484" s="771">
        <v>0.12</v>
      </c>
      <c r="M1484" s="771">
        <v>0.12</v>
      </c>
      <c r="N1484" s="771">
        <v>0.12</v>
      </c>
      <c r="O1484" s="771">
        <v>0.12</v>
      </c>
      <c r="P1484" s="771">
        <v>0.12</v>
      </c>
      <c r="Q1484" s="771">
        <v>0.12</v>
      </c>
      <c r="R1484" s="771">
        <v>0.12</v>
      </c>
      <c r="S1484" s="771">
        <v>0.12</v>
      </c>
      <c r="T1484" s="294"/>
    </row>
    <row r="1485" spans="1:20" x14ac:dyDescent="0.25">
      <c r="A1485" s="305"/>
      <c r="B1485" s="79"/>
      <c r="C1485" s="294"/>
      <c r="D1485" s="126" t="str">
        <f t="shared" si="576"/>
        <v>Case 8</v>
      </c>
      <c r="E1485" s="133"/>
      <c r="F1485" s="81"/>
      <c r="G1485" s="81"/>
      <c r="H1485" s="81"/>
      <c r="I1485" s="770">
        <f t="shared" si="577"/>
        <v>8</v>
      </c>
      <c r="J1485" s="771">
        <v>0.12</v>
      </c>
      <c r="K1485" s="771">
        <v>0.12</v>
      </c>
      <c r="L1485" s="771">
        <v>0.12</v>
      </c>
      <c r="M1485" s="771">
        <v>0.12</v>
      </c>
      <c r="N1485" s="771">
        <v>0.12</v>
      </c>
      <c r="O1485" s="771">
        <v>0.12</v>
      </c>
      <c r="P1485" s="771">
        <v>0.12</v>
      </c>
      <c r="Q1485" s="771">
        <v>0.12</v>
      </c>
      <c r="R1485" s="771">
        <v>0.12</v>
      </c>
      <c r="S1485" s="771">
        <v>0.12</v>
      </c>
      <c r="T1485" s="294"/>
    </row>
    <row r="1486" spans="1:20" x14ac:dyDescent="0.25">
      <c r="A1486" s="305"/>
      <c r="B1486" s="79"/>
      <c r="C1486" s="294"/>
      <c r="D1486" s="126" t="str">
        <f t="shared" si="576"/>
        <v>Case 9</v>
      </c>
      <c r="E1486" s="133"/>
      <c r="F1486" s="81"/>
      <c r="G1486" s="81"/>
      <c r="H1486" s="81"/>
      <c r="I1486" s="770">
        <f t="shared" si="577"/>
        <v>9</v>
      </c>
      <c r="J1486" s="771">
        <v>0.12</v>
      </c>
      <c r="K1486" s="771">
        <v>0.12</v>
      </c>
      <c r="L1486" s="771">
        <v>0.12</v>
      </c>
      <c r="M1486" s="771">
        <v>0.12</v>
      </c>
      <c r="N1486" s="771">
        <v>0.12</v>
      </c>
      <c r="O1486" s="771">
        <v>0.12</v>
      </c>
      <c r="P1486" s="771">
        <v>0.12</v>
      </c>
      <c r="Q1486" s="771">
        <v>0.12</v>
      </c>
      <c r="R1486" s="771">
        <v>0.12</v>
      </c>
      <c r="S1486" s="771">
        <v>0.12</v>
      </c>
      <c r="T1486" s="294"/>
    </row>
    <row r="1487" spans="1:20" x14ac:dyDescent="0.25">
      <c r="A1487" s="305"/>
      <c r="B1487" s="79"/>
      <c r="C1487" s="294"/>
      <c r="D1487" s="126" t="str">
        <f t="shared" si="576"/>
        <v>Case 10</v>
      </c>
      <c r="E1487" s="133"/>
      <c r="F1487" s="81"/>
      <c r="G1487" s="81"/>
      <c r="H1487" s="81"/>
      <c r="I1487" s="770">
        <f t="shared" si="577"/>
        <v>10</v>
      </c>
      <c r="J1487" s="771">
        <v>0.12</v>
      </c>
      <c r="K1487" s="771">
        <v>0.12</v>
      </c>
      <c r="L1487" s="771">
        <v>0.12</v>
      </c>
      <c r="M1487" s="771">
        <v>0.12</v>
      </c>
      <c r="N1487" s="771">
        <v>0.12</v>
      </c>
      <c r="O1487" s="771">
        <v>0.12</v>
      </c>
      <c r="P1487" s="771">
        <v>0.12</v>
      </c>
      <c r="Q1487" s="771">
        <v>0.12</v>
      </c>
      <c r="R1487" s="771">
        <v>0.12</v>
      </c>
      <c r="S1487" s="771">
        <v>0.12</v>
      </c>
      <c r="T1487" s="294"/>
    </row>
    <row r="1488" spans="1:20" x14ac:dyDescent="0.25">
      <c r="A1488" s="305"/>
      <c r="B1488" s="79"/>
      <c r="C1488" s="294"/>
      <c r="D1488" s="126" t="str">
        <f t="shared" si="576"/>
        <v>CURRENT CASE</v>
      </c>
      <c r="E1488" s="133" t="str">
        <f ca="1">OFFSET(E1477,casenumber,0)</f>
        <v>Base Case</v>
      </c>
      <c r="F1488" s="81"/>
      <c r="G1488" s="81"/>
      <c r="H1488" s="81"/>
      <c r="I1488" s="875">
        <f ca="1">OFFSET(I1477,casenumber,0)</f>
        <v>1</v>
      </c>
      <c r="J1488" s="874">
        <f ca="1">OFFSET(J1477,casenumber,0)</f>
        <v>7.1999999999999995E-2</v>
      </c>
      <c r="K1488" s="874">
        <f t="shared" ref="K1488:S1488" ca="1" si="578">OFFSET(K1477,casenumber,0)</f>
        <v>7.1999999999999995E-2</v>
      </c>
      <c r="L1488" s="874">
        <f t="shared" ca="1" si="578"/>
        <v>7.1999999999999995E-2</v>
      </c>
      <c r="M1488" s="874">
        <f t="shared" ca="1" si="578"/>
        <v>7.1999999999999995E-2</v>
      </c>
      <c r="N1488" s="874">
        <f t="shared" ca="1" si="578"/>
        <v>7.1999999999999995E-2</v>
      </c>
      <c r="O1488" s="874">
        <f t="shared" ca="1" si="578"/>
        <v>7.1999999999999995E-2</v>
      </c>
      <c r="P1488" s="874">
        <f t="shared" ca="1" si="578"/>
        <v>7.1999999999999995E-2</v>
      </c>
      <c r="Q1488" s="874">
        <f t="shared" ca="1" si="578"/>
        <v>7.1999999999999995E-2</v>
      </c>
      <c r="R1488" s="874">
        <f t="shared" ca="1" si="578"/>
        <v>7.1999999999999995E-2</v>
      </c>
      <c r="S1488" s="874">
        <f t="shared" ca="1" si="578"/>
        <v>7.1999999999999995E-2</v>
      </c>
      <c r="T1488" s="294"/>
    </row>
    <row r="1489" spans="1:21" ht="18.75" customHeight="1" x14ac:dyDescent="0.3">
      <c r="A1489" s="305"/>
      <c r="B1489" s="79"/>
      <c r="C1489" s="294"/>
      <c r="D1489" s="731" t="s">
        <v>544</v>
      </c>
      <c r="E1489" s="113"/>
      <c r="F1489" s="114"/>
      <c r="G1489" s="113"/>
      <c r="H1489" s="113"/>
      <c r="I1489" s="113"/>
      <c r="J1489" s="47"/>
      <c r="K1489" s="49"/>
      <c r="L1489" s="49"/>
      <c r="M1489" s="49"/>
      <c r="N1489" s="49"/>
      <c r="O1489" s="49"/>
      <c r="P1489" s="49"/>
      <c r="Q1489" s="49"/>
      <c r="R1489" s="49"/>
      <c r="S1489" s="50"/>
      <c r="T1489" s="294"/>
    </row>
    <row r="1490" spans="1:21" ht="12.75" customHeight="1" x14ac:dyDescent="0.25">
      <c r="A1490" s="305"/>
      <c r="B1490" s="79"/>
      <c r="C1490" s="294"/>
      <c r="D1490" s="730" t="s">
        <v>529</v>
      </c>
      <c r="E1490" s="730" t="s">
        <v>527</v>
      </c>
      <c r="F1490" s="729" t="s">
        <v>528</v>
      </c>
      <c r="G1490" s="118"/>
      <c r="H1490" s="118"/>
      <c r="I1490" s="118"/>
      <c r="J1490" s="83"/>
      <c r="K1490" s="83"/>
      <c r="L1490" s="83"/>
      <c r="M1490" s="83"/>
      <c r="N1490" s="83"/>
      <c r="O1490" s="83"/>
      <c r="P1490" s="83"/>
      <c r="Q1490" s="83"/>
      <c r="R1490" s="83"/>
      <c r="S1490" s="82"/>
      <c r="T1490" s="294"/>
    </row>
    <row r="1491" spans="1:21" ht="12.75" customHeight="1" x14ac:dyDescent="0.25">
      <c r="A1491" s="305"/>
      <c r="B1491" s="79"/>
      <c r="C1491" s="294"/>
      <c r="D1491" s="734">
        <v>1</v>
      </c>
      <c r="E1491" s="775" t="s">
        <v>530</v>
      </c>
      <c r="F1491" s="429" t="s">
        <v>545</v>
      </c>
      <c r="G1491" s="45"/>
      <c r="H1491" s="45"/>
      <c r="I1491" s="46"/>
      <c r="J1491" s="83"/>
      <c r="K1491" s="83"/>
      <c r="L1491" s="83"/>
      <c r="M1491" s="83"/>
      <c r="N1491" s="83"/>
      <c r="O1491" s="83"/>
      <c r="P1491" s="83"/>
      <c r="Q1491" s="83"/>
      <c r="R1491" s="83"/>
      <c r="S1491" s="82"/>
      <c r="T1491" s="294"/>
    </row>
    <row r="1492" spans="1:21" ht="12.75" customHeight="1" x14ac:dyDescent="0.25">
      <c r="A1492" s="305"/>
      <c r="B1492" s="79"/>
      <c r="C1492" s="294"/>
      <c r="D1492" s="734">
        <v>2</v>
      </c>
      <c r="E1492" s="776" t="s">
        <v>532</v>
      </c>
      <c r="F1492" s="430" t="s">
        <v>531</v>
      </c>
      <c r="G1492" s="45"/>
      <c r="H1492" s="45"/>
      <c r="I1492" s="46"/>
      <c r="J1492" s="83"/>
      <c r="K1492" s="83"/>
      <c r="L1492" s="83"/>
      <c r="M1492" s="83"/>
      <c r="N1492" s="83"/>
      <c r="O1492" s="83"/>
      <c r="P1492" s="83"/>
      <c r="Q1492" s="83"/>
      <c r="R1492" s="83"/>
      <c r="S1492" s="82"/>
      <c r="T1492" s="294"/>
    </row>
    <row r="1493" spans="1:21" ht="12.75" customHeight="1" x14ac:dyDescent="0.25">
      <c r="A1493" s="305"/>
      <c r="B1493" s="79"/>
      <c r="C1493" s="294"/>
      <c r="D1493" s="734">
        <v>3</v>
      </c>
      <c r="E1493" s="776" t="s">
        <v>533</v>
      </c>
      <c r="F1493" s="430"/>
      <c r="G1493" s="45"/>
      <c r="H1493" s="45"/>
      <c r="I1493" s="46"/>
      <c r="J1493" s="83"/>
      <c r="K1493" s="83"/>
      <c r="L1493" s="83"/>
      <c r="M1493" s="83"/>
      <c r="N1493" s="83"/>
      <c r="O1493" s="83"/>
      <c r="P1493" s="83"/>
      <c r="Q1493" s="83"/>
      <c r="R1493" s="83"/>
      <c r="S1493" s="82"/>
      <c r="T1493" s="294"/>
    </row>
    <row r="1494" spans="1:21" ht="12.75" customHeight="1" x14ac:dyDescent="0.25">
      <c r="A1494" s="305"/>
      <c r="B1494" s="79"/>
      <c r="C1494" s="294"/>
      <c r="D1494" s="734">
        <v>4</v>
      </c>
      <c r="E1494" s="776" t="s">
        <v>534</v>
      </c>
      <c r="F1494" s="430"/>
      <c r="G1494" s="45"/>
      <c r="H1494" s="45"/>
      <c r="I1494" s="46"/>
      <c r="J1494" s="83"/>
      <c r="K1494" s="83"/>
      <c r="L1494" s="83"/>
      <c r="M1494" s="83"/>
      <c r="N1494" s="83"/>
      <c r="O1494" s="83"/>
      <c r="P1494" s="83"/>
      <c r="Q1494" s="83"/>
      <c r="R1494" s="83"/>
      <c r="S1494" s="82"/>
      <c r="T1494" s="294"/>
    </row>
    <row r="1495" spans="1:21" ht="12.75" customHeight="1" x14ac:dyDescent="0.25">
      <c r="A1495" s="305"/>
      <c r="B1495" s="79"/>
      <c r="C1495" s="294"/>
      <c r="D1495" s="734">
        <v>5</v>
      </c>
      <c r="E1495" s="776" t="s">
        <v>535</v>
      </c>
      <c r="F1495" s="430"/>
      <c r="G1495" s="45"/>
      <c r="H1495" s="45"/>
      <c r="I1495" s="46"/>
      <c r="J1495" s="83"/>
      <c r="K1495" s="83"/>
      <c r="L1495" s="83"/>
      <c r="M1495" s="83"/>
      <c r="N1495" s="83"/>
      <c r="O1495" s="83"/>
      <c r="P1495" s="83"/>
      <c r="Q1495" s="83"/>
      <c r="R1495" s="83"/>
      <c r="S1495" s="82"/>
      <c r="T1495" s="294"/>
    </row>
    <row r="1496" spans="1:21" ht="12.75" customHeight="1" x14ac:dyDescent="0.25">
      <c r="A1496" s="305"/>
      <c r="B1496" s="79"/>
      <c r="C1496" s="294"/>
      <c r="D1496" s="734">
        <v>6</v>
      </c>
      <c r="E1496" s="776" t="s">
        <v>536</v>
      </c>
      <c r="F1496" s="430"/>
      <c r="G1496" s="45"/>
      <c r="H1496" s="45"/>
      <c r="I1496" s="46"/>
      <c r="J1496" s="83"/>
      <c r="K1496" s="83"/>
      <c r="L1496" s="83"/>
      <c r="M1496" s="83"/>
      <c r="N1496" s="83"/>
      <c r="O1496" s="83"/>
      <c r="P1496" s="83"/>
      <c r="Q1496" s="83"/>
      <c r="R1496" s="83"/>
      <c r="S1496" s="82"/>
      <c r="T1496" s="294"/>
    </row>
    <row r="1497" spans="1:21" ht="12.75" customHeight="1" x14ac:dyDescent="0.25">
      <c r="A1497" s="305"/>
      <c r="B1497" s="79"/>
      <c r="C1497" s="294"/>
      <c r="D1497" s="734">
        <v>7</v>
      </c>
      <c r="E1497" s="776" t="s">
        <v>537</v>
      </c>
      <c r="F1497" s="430"/>
      <c r="G1497" s="45"/>
      <c r="H1497" s="45"/>
      <c r="I1497" s="46"/>
      <c r="J1497" s="83"/>
      <c r="K1497" s="83"/>
      <c r="L1497" s="83"/>
      <c r="M1497" s="83"/>
      <c r="N1497" s="83"/>
      <c r="O1497" s="83"/>
      <c r="P1497" s="83"/>
      <c r="Q1497" s="83"/>
      <c r="R1497" s="83"/>
      <c r="S1497" s="82"/>
      <c r="T1497" s="294"/>
    </row>
    <row r="1498" spans="1:21" ht="12.75" customHeight="1" x14ac:dyDescent="0.25">
      <c r="A1498" s="305"/>
      <c r="B1498" s="79"/>
      <c r="C1498" s="294"/>
      <c r="D1498" s="734">
        <v>8</v>
      </c>
      <c r="E1498" s="776" t="s">
        <v>538</v>
      </c>
      <c r="F1498" s="430"/>
      <c r="G1498" s="45"/>
      <c r="H1498" s="45"/>
      <c r="I1498" s="46"/>
      <c r="J1498" s="83"/>
      <c r="K1498" s="83"/>
      <c r="L1498" s="83"/>
      <c r="M1498" s="83"/>
      <c r="N1498" s="83"/>
      <c r="O1498" s="83"/>
      <c r="P1498" s="83"/>
      <c r="Q1498" s="83"/>
      <c r="R1498" s="83"/>
      <c r="S1498" s="82"/>
      <c r="T1498" s="294"/>
    </row>
    <row r="1499" spans="1:21" ht="12.75" customHeight="1" x14ac:dyDescent="0.25">
      <c r="A1499" s="305"/>
      <c r="B1499" s="79"/>
      <c r="C1499" s="294"/>
      <c r="D1499" s="734">
        <v>9</v>
      </c>
      <c r="E1499" s="776" t="s">
        <v>539</v>
      </c>
      <c r="F1499" s="430"/>
      <c r="G1499" s="45"/>
      <c r="H1499" s="45"/>
      <c r="I1499" s="46"/>
      <c r="J1499" s="83"/>
      <c r="K1499" s="83"/>
      <c r="L1499" s="83"/>
      <c r="M1499" s="83"/>
      <c r="N1499" s="83"/>
      <c r="O1499" s="83"/>
      <c r="P1499" s="83"/>
      <c r="Q1499" s="83"/>
      <c r="R1499" s="83"/>
      <c r="S1499" s="82"/>
      <c r="T1499" s="294"/>
    </row>
    <row r="1500" spans="1:21" ht="12.75" customHeight="1" x14ac:dyDescent="0.25">
      <c r="A1500" s="305"/>
      <c r="B1500" s="79"/>
      <c r="C1500" s="294"/>
      <c r="D1500" s="734">
        <v>10</v>
      </c>
      <c r="E1500" s="776" t="s">
        <v>540</v>
      </c>
      <c r="F1500" s="430"/>
      <c r="G1500" s="45"/>
      <c r="H1500" s="45"/>
      <c r="I1500" s="46"/>
      <c r="J1500" s="83"/>
      <c r="K1500" s="83"/>
      <c r="L1500" s="83"/>
      <c r="M1500" s="83"/>
      <c r="N1500" s="83"/>
      <c r="O1500" s="83"/>
      <c r="P1500" s="83"/>
      <c r="Q1500" s="83"/>
      <c r="R1500" s="83"/>
      <c r="S1500" s="82"/>
      <c r="T1500" s="294"/>
    </row>
    <row r="1501" spans="1:21" ht="12.75" customHeight="1" x14ac:dyDescent="0.25">
      <c r="A1501" s="305"/>
      <c r="B1501" s="79"/>
      <c r="C1501" s="294"/>
      <c r="D1501" s="880" t="s">
        <v>541</v>
      </c>
      <c r="E1501" s="876" t="str">
        <f ca="1">OFFSET(E1490,capnumber,0)</f>
        <v>Case 1</v>
      </c>
      <c r="F1501" s="877" t="str">
        <f ca="1">OFFSET(F1490,capnumber,0)</f>
        <v>No Transaction</v>
      </c>
      <c r="G1501" s="878"/>
      <c r="H1501" s="878"/>
      <c r="I1501" s="879"/>
      <c r="J1501" s="83"/>
      <c r="K1501" s="83"/>
      <c r="L1501" s="83"/>
      <c r="M1501" s="83"/>
      <c r="N1501" s="83"/>
      <c r="O1501" s="83"/>
      <c r="P1501" s="83"/>
      <c r="Q1501" s="83"/>
      <c r="R1501" s="83"/>
      <c r="S1501" s="82"/>
      <c r="T1501" s="294"/>
    </row>
    <row r="1502" spans="1:21" ht="18.75" customHeight="1" x14ac:dyDescent="0.3">
      <c r="A1502" s="305"/>
      <c r="B1502" s="79"/>
      <c r="C1502" s="294"/>
      <c r="D1502" s="731" t="s">
        <v>546</v>
      </c>
      <c r="E1502" s="47"/>
      <c r="F1502" s="48"/>
      <c r="G1502" s="47"/>
      <c r="H1502" s="47"/>
      <c r="I1502" s="47"/>
      <c r="J1502" s="53" t="str">
        <f>D1502</f>
        <v>Look-up Tables - Capital Structure</v>
      </c>
      <c r="K1502" s="113"/>
      <c r="L1502" s="113"/>
      <c r="M1502" s="113"/>
      <c r="N1502" s="113"/>
      <c r="O1502" s="113"/>
      <c r="P1502" s="113"/>
      <c r="Q1502" s="113"/>
      <c r="R1502" s="83"/>
      <c r="S1502" s="83"/>
      <c r="T1502" s="294"/>
      <c r="U1502" s="881" t="s">
        <v>541</v>
      </c>
    </row>
    <row r="1503" spans="1:21" ht="12.75" customHeight="1" x14ac:dyDescent="0.25">
      <c r="A1503" s="305"/>
      <c r="B1503" s="79"/>
      <c r="C1503" s="294"/>
      <c r="D1503" s="779" t="s">
        <v>54</v>
      </c>
      <c r="E1503" s="203"/>
      <c r="F1503" s="778">
        <v>1</v>
      </c>
      <c r="G1503" s="882">
        <f t="shared" ref="G1503:Q1503" si="579">F1503+1</f>
        <v>2</v>
      </c>
      <c r="H1503" s="882">
        <f t="shared" si="579"/>
        <v>3</v>
      </c>
      <c r="I1503" s="882">
        <f t="shared" si="579"/>
        <v>4</v>
      </c>
      <c r="J1503" s="882">
        <f t="shared" si="579"/>
        <v>5</v>
      </c>
      <c r="K1503" s="882">
        <f t="shared" si="579"/>
        <v>6</v>
      </c>
      <c r="L1503" s="882">
        <f t="shared" si="579"/>
        <v>7</v>
      </c>
      <c r="M1503" s="882">
        <f t="shared" si="579"/>
        <v>8</v>
      </c>
      <c r="N1503" s="882">
        <f t="shared" si="579"/>
        <v>9</v>
      </c>
      <c r="O1503" s="882">
        <f t="shared" si="579"/>
        <v>10</v>
      </c>
      <c r="P1503" s="882">
        <f t="shared" si="579"/>
        <v>11</v>
      </c>
      <c r="Q1503" s="882">
        <f t="shared" si="579"/>
        <v>12</v>
      </c>
      <c r="R1503" s="83"/>
      <c r="S1503" s="900" t="str">
        <f t="shared" ref="S1503:S1527" si="580">D1503</f>
        <v>Sources</v>
      </c>
      <c r="T1503" s="203"/>
      <c r="U1503" s="882">
        <f ca="1">OFFSET(E1503,0,capnumber)</f>
        <v>1</v>
      </c>
    </row>
    <row r="1504" spans="1:21" ht="12.75" customHeight="1" x14ac:dyDescent="0.25">
      <c r="A1504" s="305"/>
      <c r="B1504" s="79"/>
      <c r="C1504" s="294"/>
      <c r="D1504" s="556" t="s">
        <v>547</v>
      </c>
      <c r="E1504" s="780">
        <v>1</v>
      </c>
      <c r="F1504" s="781">
        <v>0</v>
      </c>
      <c r="G1504" s="883">
        <f t="shared" ref="G1504:Q1504" si="581">$F$182</f>
        <v>125</v>
      </c>
      <c r="H1504" s="883">
        <f t="shared" si="581"/>
        <v>125</v>
      </c>
      <c r="I1504" s="883">
        <f t="shared" si="581"/>
        <v>125</v>
      </c>
      <c r="J1504" s="883">
        <f t="shared" si="581"/>
        <v>125</v>
      </c>
      <c r="K1504" s="883">
        <f t="shared" si="581"/>
        <v>125</v>
      </c>
      <c r="L1504" s="883">
        <f t="shared" si="581"/>
        <v>125</v>
      </c>
      <c r="M1504" s="883">
        <f t="shared" si="581"/>
        <v>125</v>
      </c>
      <c r="N1504" s="883">
        <f t="shared" si="581"/>
        <v>125</v>
      </c>
      <c r="O1504" s="883">
        <f t="shared" si="581"/>
        <v>125</v>
      </c>
      <c r="P1504" s="883">
        <f t="shared" si="581"/>
        <v>125</v>
      </c>
      <c r="Q1504" s="883">
        <f t="shared" si="581"/>
        <v>125</v>
      </c>
      <c r="R1504" s="83"/>
      <c r="S1504" s="901" t="str">
        <f t="shared" si="580"/>
        <v>Excess Cash</v>
      </c>
      <c r="T1504" s="780"/>
      <c r="U1504" s="883">
        <f t="shared" ref="U1504:U1519" ca="1" si="582">OFFSET(E1504,0,capnumber)</f>
        <v>0</v>
      </c>
    </row>
    <row r="1505" spans="1:21" x14ac:dyDescent="0.25">
      <c r="A1505" s="305"/>
      <c r="B1505" s="79"/>
      <c r="C1505" s="294"/>
      <c r="D1505" s="147" t="str">
        <f t="shared" ref="D1505:D1514" si="583">D1409</f>
        <v>Revolver</v>
      </c>
      <c r="E1505" s="780">
        <v>2</v>
      </c>
      <c r="F1505" s="883">
        <f>F1526-SUM(F1504,F1506:F1515)</f>
        <v>0</v>
      </c>
      <c r="G1505" s="883">
        <f t="shared" ref="G1505:Q1505" si="584">G1526-SUM(G1504,G1506:G1515)</f>
        <v>25</v>
      </c>
      <c r="H1505" s="883">
        <f t="shared" si="584"/>
        <v>25</v>
      </c>
      <c r="I1505" s="883">
        <f t="shared" si="584"/>
        <v>25</v>
      </c>
      <c r="J1505" s="883">
        <f t="shared" si="584"/>
        <v>25</v>
      </c>
      <c r="K1505" s="883">
        <f t="shared" si="584"/>
        <v>25</v>
      </c>
      <c r="L1505" s="883">
        <f t="shared" si="584"/>
        <v>25</v>
      </c>
      <c r="M1505" s="883">
        <f t="shared" si="584"/>
        <v>25</v>
      </c>
      <c r="N1505" s="883">
        <f t="shared" si="584"/>
        <v>25</v>
      </c>
      <c r="O1505" s="883">
        <f t="shared" si="584"/>
        <v>25</v>
      </c>
      <c r="P1505" s="883">
        <f t="shared" si="584"/>
        <v>25</v>
      </c>
      <c r="Q1505" s="883">
        <f t="shared" si="584"/>
        <v>25</v>
      </c>
      <c r="R1505" s="83"/>
      <c r="S1505" s="901" t="str">
        <f t="shared" si="580"/>
        <v>Revolver</v>
      </c>
      <c r="T1505" s="780"/>
      <c r="U1505" s="865">
        <f t="shared" ca="1" si="582"/>
        <v>0</v>
      </c>
    </row>
    <row r="1506" spans="1:21" x14ac:dyDescent="0.25">
      <c r="A1506" s="305"/>
      <c r="B1506" s="782" t="s">
        <v>139</v>
      </c>
      <c r="C1506" s="294"/>
      <c r="D1506" s="147" t="str">
        <f t="shared" si="583"/>
        <v>Term Loan</v>
      </c>
      <c r="E1506" s="780">
        <v>3</v>
      </c>
      <c r="F1506" s="781">
        <v>0</v>
      </c>
      <c r="G1506" s="781">
        <v>0</v>
      </c>
      <c r="H1506" s="781">
        <v>0</v>
      </c>
      <c r="I1506" s="781">
        <v>0</v>
      </c>
      <c r="J1506" s="781">
        <v>0</v>
      </c>
      <c r="K1506" s="781">
        <v>0</v>
      </c>
      <c r="L1506" s="781">
        <v>0</v>
      </c>
      <c r="M1506" s="781">
        <v>0</v>
      </c>
      <c r="N1506" s="781">
        <v>0</v>
      </c>
      <c r="O1506" s="781">
        <v>0</v>
      </c>
      <c r="P1506" s="781">
        <v>0</v>
      </c>
      <c r="Q1506" s="781">
        <v>0</v>
      </c>
      <c r="R1506" s="83"/>
      <c r="S1506" s="901" t="str">
        <f t="shared" si="580"/>
        <v>Term Loan</v>
      </c>
      <c r="T1506" s="780"/>
      <c r="U1506" s="865">
        <f t="shared" ca="1" si="582"/>
        <v>0</v>
      </c>
    </row>
    <row r="1507" spans="1:21" x14ac:dyDescent="0.25">
      <c r="A1507" s="305"/>
      <c r="B1507" s="79"/>
      <c r="C1507" s="294"/>
      <c r="D1507" s="147" t="str">
        <f t="shared" si="583"/>
        <v>Evergreen Revolver</v>
      </c>
      <c r="E1507" s="780">
        <v>4</v>
      </c>
      <c r="F1507" s="781">
        <v>0</v>
      </c>
      <c r="G1507" s="781">
        <v>0</v>
      </c>
      <c r="H1507" s="781">
        <v>0</v>
      </c>
      <c r="I1507" s="781">
        <v>0</v>
      </c>
      <c r="J1507" s="781">
        <v>0</v>
      </c>
      <c r="K1507" s="781">
        <v>0</v>
      </c>
      <c r="L1507" s="781">
        <v>0</v>
      </c>
      <c r="M1507" s="781">
        <v>0</v>
      </c>
      <c r="N1507" s="781">
        <v>0</v>
      </c>
      <c r="O1507" s="781">
        <v>0</v>
      </c>
      <c r="P1507" s="781">
        <v>0</v>
      </c>
      <c r="Q1507" s="781">
        <v>0</v>
      </c>
      <c r="R1507" s="83"/>
      <c r="S1507" s="901" t="str">
        <f t="shared" si="580"/>
        <v>Evergreen Revolver</v>
      </c>
      <c r="T1507" s="780"/>
      <c r="U1507" s="865">
        <f t="shared" ca="1" si="582"/>
        <v>0</v>
      </c>
    </row>
    <row r="1508" spans="1:21" x14ac:dyDescent="0.25">
      <c r="A1508" s="305"/>
      <c r="B1508" s="79"/>
      <c r="C1508" s="294"/>
      <c r="D1508" s="147" t="str">
        <f t="shared" si="583"/>
        <v>Debt 1</v>
      </c>
      <c r="E1508" s="780">
        <v>5</v>
      </c>
      <c r="F1508" s="781">
        <v>0</v>
      </c>
      <c r="G1508" s="781">
        <v>0</v>
      </c>
      <c r="H1508" s="781">
        <v>0</v>
      </c>
      <c r="I1508" s="781">
        <v>0</v>
      </c>
      <c r="J1508" s="781">
        <v>0</v>
      </c>
      <c r="K1508" s="781">
        <v>0</v>
      </c>
      <c r="L1508" s="781">
        <v>0</v>
      </c>
      <c r="M1508" s="781">
        <v>0</v>
      </c>
      <c r="N1508" s="781">
        <v>0</v>
      </c>
      <c r="O1508" s="781">
        <v>0</v>
      </c>
      <c r="P1508" s="781">
        <v>0</v>
      </c>
      <c r="Q1508" s="781">
        <v>0</v>
      </c>
      <c r="R1508" s="83"/>
      <c r="S1508" s="901" t="str">
        <f t="shared" si="580"/>
        <v>Debt 1</v>
      </c>
      <c r="T1508" s="780"/>
      <c r="U1508" s="865">
        <f t="shared" ca="1" si="582"/>
        <v>0</v>
      </c>
    </row>
    <row r="1509" spans="1:21" x14ac:dyDescent="0.25">
      <c r="A1509" s="305"/>
      <c r="B1509" s="79"/>
      <c r="C1509" s="294"/>
      <c r="D1509" s="147" t="str">
        <f t="shared" si="583"/>
        <v>Debt 2</v>
      </c>
      <c r="E1509" s="780">
        <v>6</v>
      </c>
      <c r="F1509" s="781">
        <v>0</v>
      </c>
      <c r="G1509" s="781">
        <v>0</v>
      </c>
      <c r="H1509" s="781">
        <v>0</v>
      </c>
      <c r="I1509" s="781">
        <v>0</v>
      </c>
      <c r="J1509" s="781">
        <v>0</v>
      </c>
      <c r="K1509" s="781">
        <v>0</v>
      </c>
      <c r="L1509" s="781">
        <v>0</v>
      </c>
      <c r="M1509" s="781">
        <v>0</v>
      </c>
      <c r="N1509" s="781">
        <v>0</v>
      </c>
      <c r="O1509" s="781">
        <v>0</v>
      </c>
      <c r="P1509" s="781">
        <v>0</v>
      </c>
      <c r="Q1509" s="781">
        <v>0</v>
      </c>
      <c r="R1509" s="83"/>
      <c r="S1509" s="901" t="str">
        <f t="shared" si="580"/>
        <v>Debt 2</v>
      </c>
      <c r="T1509" s="780"/>
      <c r="U1509" s="865">
        <f t="shared" ca="1" si="582"/>
        <v>0</v>
      </c>
    </row>
    <row r="1510" spans="1:21" x14ac:dyDescent="0.25">
      <c r="A1510" s="305"/>
      <c r="B1510" s="79"/>
      <c r="C1510" s="294"/>
      <c r="D1510" s="147" t="str">
        <f t="shared" si="583"/>
        <v>Debt 3</v>
      </c>
      <c r="E1510" s="780">
        <v>7</v>
      </c>
      <c r="F1510" s="781">
        <v>0</v>
      </c>
      <c r="G1510" s="781">
        <v>0</v>
      </c>
      <c r="H1510" s="781">
        <v>0</v>
      </c>
      <c r="I1510" s="781">
        <v>0</v>
      </c>
      <c r="J1510" s="781">
        <v>0</v>
      </c>
      <c r="K1510" s="781">
        <v>0</v>
      </c>
      <c r="L1510" s="781">
        <v>0</v>
      </c>
      <c r="M1510" s="781">
        <v>0</v>
      </c>
      <c r="N1510" s="781">
        <v>0</v>
      </c>
      <c r="O1510" s="781">
        <v>0</v>
      </c>
      <c r="P1510" s="781">
        <v>0</v>
      </c>
      <c r="Q1510" s="781">
        <v>0</v>
      </c>
      <c r="R1510" s="83"/>
      <c r="S1510" s="901" t="str">
        <f t="shared" si="580"/>
        <v>Debt 3</v>
      </c>
      <c r="T1510" s="780"/>
      <c r="U1510" s="865">
        <f t="shared" ca="1" si="582"/>
        <v>0</v>
      </c>
    </row>
    <row r="1511" spans="1:21" x14ac:dyDescent="0.25">
      <c r="A1511" s="305"/>
      <c r="B1511" s="79"/>
      <c r="C1511" s="294"/>
      <c r="D1511" s="147" t="str">
        <f t="shared" si="583"/>
        <v>Debt 4</v>
      </c>
      <c r="E1511" s="780">
        <v>8</v>
      </c>
      <c r="F1511" s="781">
        <v>0</v>
      </c>
      <c r="G1511" s="781">
        <v>0</v>
      </c>
      <c r="H1511" s="781">
        <v>0</v>
      </c>
      <c r="I1511" s="781">
        <v>0</v>
      </c>
      <c r="J1511" s="781">
        <v>0</v>
      </c>
      <c r="K1511" s="781">
        <v>0</v>
      </c>
      <c r="L1511" s="781">
        <v>0</v>
      </c>
      <c r="M1511" s="781">
        <v>0</v>
      </c>
      <c r="N1511" s="781">
        <v>0</v>
      </c>
      <c r="O1511" s="781">
        <v>0</v>
      </c>
      <c r="P1511" s="781">
        <v>0</v>
      </c>
      <c r="Q1511" s="781">
        <v>0</v>
      </c>
      <c r="R1511" s="83"/>
      <c r="S1511" s="901" t="str">
        <f t="shared" si="580"/>
        <v>Debt 4</v>
      </c>
      <c r="T1511" s="780"/>
      <c r="U1511" s="865">
        <f t="shared" ca="1" si="582"/>
        <v>0</v>
      </c>
    </row>
    <row r="1512" spans="1:21" x14ac:dyDescent="0.25">
      <c r="A1512" s="305"/>
      <c r="B1512" s="79"/>
      <c r="C1512" s="294"/>
      <c r="D1512" s="147" t="str">
        <f t="shared" si="583"/>
        <v>Debt 5</v>
      </c>
      <c r="E1512" s="780">
        <v>9</v>
      </c>
      <c r="F1512" s="781">
        <v>0</v>
      </c>
      <c r="G1512" s="781">
        <v>0</v>
      </c>
      <c r="H1512" s="781">
        <v>0</v>
      </c>
      <c r="I1512" s="781">
        <v>0</v>
      </c>
      <c r="J1512" s="781">
        <v>0</v>
      </c>
      <c r="K1512" s="781">
        <v>0</v>
      </c>
      <c r="L1512" s="781">
        <v>0</v>
      </c>
      <c r="M1512" s="781">
        <v>0</v>
      </c>
      <c r="N1512" s="781">
        <v>0</v>
      </c>
      <c r="O1512" s="781">
        <v>0</v>
      </c>
      <c r="P1512" s="781">
        <v>0</v>
      </c>
      <c r="Q1512" s="781">
        <v>0</v>
      </c>
      <c r="R1512" s="83"/>
      <c r="S1512" s="901" t="str">
        <f t="shared" si="580"/>
        <v>Debt 5</v>
      </c>
      <c r="T1512" s="780"/>
      <c r="U1512" s="865">
        <f t="shared" ca="1" si="582"/>
        <v>0</v>
      </c>
    </row>
    <row r="1513" spans="1:21" x14ac:dyDescent="0.25">
      <c r="A1513" s="305"/>
      <c r="B1513" s="79"/>
      <c r="C1513" s="294"/>
      <c r="D1513" s="147" t="str">
        <f t="shared" si="583"/>
        <v>Preferred 1</v>
      </c>
      <c r="E1513" s="780">
        <v>10</v>
      </c>
      <c r="F1513" s="781">
        <v>0</v>
      </c>
      <c r="G1513" s="781">
        <v>0</v>
      </c>
      <c r="H1513" s="781">
        <v>0</v>
      </c>
      <c r="I1513" s="781">
        <v>0</v>
      </c>
      <c r="J1513" s="781">
        <v>0</v>
      </c>
      <c r="K1513" s="781">
        <v>0</v>
      </c>
      <c r="L1513" s="781">
        <v>0</v>
      </c>
      <c r="M1513" s="781">
        <v>0</v>
      </c>
      <c r="N1513" s="781">
        <v>0</v>
      </c>
      <c r="O1513" s="781">
        <v>0</v>
      </c>
      <c r="P1513" s="781">
        <v>0</v>
      </c>
      <c r="Q1513" s="781">
        <v>0</v>
      </c>
      <c r="R1513" s="83"/>
      <c r="S1513" s="901" t="str">
        <f t="shared" si="580"/>
        <v>Preferred 1</v>
      </c>
      <c r="T1513" s="780"/>
      <c r="U1513" s="865">
        <f t="shared" ca="1" si="582"/>
        <v>0</v>
      </c>
    </row>
    <row r="1514" spans="1:21" x14ac:dyDescent="0.25">
      <c r="A1514" s="305"/>
      <c r="B1514" s="79"/>
      <c r="C1514" s="294"/>
      <c r="D1514" s="147" t="str">
        <f t="shared" si="583"/>
        <v>Preferred 2</v>
      </c>
      <c r="E1514" s="780">
        <v>11</v>
      </c>
      <c r="F1514" s="781">
        <v>0</v>
      </c>
      <c r="G1514" s="781">
        <v>0</v>
      </c>
      <c r="H1514" s="781">
        <v>0</v>
      </c>
      <c r="I1514" s="781">
        <v>0</v>
      </c>
      <c r="J1514" s="781">
        <v>0</v>
      </c>
      <c r="K1514" s="781">
        <v>0</v>
      </c>
      <c r="L1514" s="781">
        <v>0</v>
      </c>
      <c r="M1514" s="781">
        <v>0</v>
      </c>
      <c r="N1514" s="781">
        <v>0</v>
      </c>
      <c r="O1514" s="781">
        <v>0</v>
      </c>
      <c r="P1514" s="781">
        <v>0</v>
      </c>
      <c r="Q1514" s="781">
        <v>0</v>
      </c>
      <c r="R1514" s="83"/>
      <c r="S1514" s="901" t="str">
        <f t="shared" si="580"/>
        <v>Preferred 2</v>
      </c>
      <c r="T1514" s="780"/>
      <c r="U1514" s="865">
        <f t="shared" ca="1" si="582"/>
        <v>0</v>
      </c>
    </row>
    <row r="1515" spans="1:21" x14ac:dyDescent="0.25">
      <c r="A1515" s="305"/>
      <c r="B1515" s="79"/>
      <c r="C1515" s="294"/>
      <c r="D1515" s="556" t="s">
        <v>548</v>
      </c>
      <c r="E1515" s="780">
        <v>12</v>
      </c>
      <c r="F1515" s="781">
        <v>0</v>
      </c>
      <c r="G1515" s="781">
        <v>0</v>
      </c>
      <c r="H1515" s="781">
        <v>0</v>
      </c>
      <c r="I1515" s="781">
        <v>0</v>
      </c>
      <c r="J1515" s="781">
        <v>0</v>
      </c>
      <c r="K1515" s="781">
        <v>0</v>
      </c>
      <c r="L1515" s="781">
        <v>0</v>
      </c>
      <c r="M1515" s="781">
        <v>0</v>
      </c>
      <c r="N1515" s="781">
        <v>0</v>
      </c>
      <c r="O1515" s="781">
        <v>0</v>
      </c>
      <c r="P1515" s="781">
        <v>0</v>
      </c>
      <c r="Q1515" s="781">
        <v>0</v>
      </c>
      <c r="R1515" s="83"/>
      <c r="S1515" s="901" t="str">
        <f t="shared" si="580"/>
        <v>Common</v>
      </c>
      <c r="T1515" s="780"/>
      <c r="U1515" s="865">
        <f t="shared" ca="1" si="582"/>
        <v>0</v>
      </c>
    </row>
    <row r="1516" spans="1:21" x14ac:dyDescent="0.25">
      <c r="A1516" s="305"/>
      <c r="B1516" s="79"/>
      <c r="C1516" s="294"/>
      <c r="D1516" s="556" t="s">
        <v>549</v>
      </c>
      <c r="E1516" s="146"/>
      <c r="F1516" s="142">
        <f t="shared" ref="F1516:Q1516" si="585">SUM(F1504:F1515)</f>
        <v>0</v>
      </c>
      <c r="G1516" s="142">
        <f t="shared" si="585"/>
        <v>150</v>
      </c>
      <c r="H1516" s="142">
        <f t="shared" si="585"/>
        <v>150</v>
      </c>
      <c r="I1516" s="142">
        <f t="shared" si="585"/>
        <v>150</v>
      </c>
      <c r="J1516" s="142">
        <f t="shared" si="585"/>
        <v>150</v>
      </c>
      <c r="K1516" s="142">
        <f t="shared" si="585"/>
        <v>150</v>
      </c>
      <c r="L1516" s="142">
        <f t="shared" si="585"/>
        <v>150</v>
      </c>
      <c r="M1516" s="142">
        <f t="shared" si="585"/>
        <v>150</v>
      </c>
      <c r="N1516" s="142">
        <f t="shared" si="585"/>
        <v>150</v>
      </c>
      <c r="O1516" s="142">
        <f t="shared" si="585"/>
        <v>150</v>
      </c>
      <c r="P1516" s="142">
        <f t="shared" si="585"/>
        <v>150</v>
      </c>
      <c r="Q1516" s="142">
        <f t="shared" si="585"/>
        <v>150</v>
      </c>
      <c r="R1516" s="83"/>
      <c r="S1516" s="901" t="str">
        <f t="shared" si="580"/>
        <v xml:space="preserve">  Total Sources</v>
      </c>
      <c r="T1516" s="146"/>
      <c r="U1516" s="884">
        <f t="shared" ca="1" si="582"/>
        <v>0</v>
      </c>
    </row>
    <row r="1517" spans="1:21" x14ac:dyDescent="0.25">
      <c r="A1517" s="305"/>
      <c r="B1517" s="79"/>
      <c r="C1517" s="294"/>
      <c r="D1517" s="779" t="s">
        <v>550</v>
      </c>
      <c r="E1517" s="203"/>
      <c r="F1517" s="778">
        <v>1</v>
      </c>
      <c r="G1517" s="882">
        <f t="shared" ref="G1517:Q1517" si="586">F1517+1</f>
        <v>2</v>
      </c>
      <c r="H1517" s="882">
        <f t="shared" si="586"/>
        <v>3</v>
      </c>
      <c r="I1517" s="882">
        <f t="shared" si="586"/>
        <v>4</v>
      </c>
      <c r="J1517" s="882">
        <f t="shared" si="586"/>
        <v>5</v>
      </c>
      <c r="K1517" s="882">
        <f t="shared" si="586"/>
        <v>6</v>
      </c>
      <c r="L1517" s="882">
        <f t="shared" si="586"/>
        <v>7</v>
      </c>
      <c r="M1517" s="882">
        <f t="shared" si="586"/>
        <v>8</v>
      </c>
      <c r="N1517" s="882">
        <f t="shared" si="586"/>
        <v>9</v>
      </c>
      <c r="O1517" s="882">
        <f t="shared" si="586"/>
        <v>10</v>
      </c>
      <c r="P1517" s="882">
        <f t="shared" si="586"/>
        <v>11</v>
      </c>
      <c r="Q1517" s="882">
        <f t="shared" si="586"/>
        <v>12</v>
      </c>
      <c r="R1517" s="83"/>
      <c r="S1517" s="900" t="str">
        <f t="shared" si="580"/>
        <v>Uses</v>
      </c>
      <c r="T1517" s="203"/>
      <c r="U1517" s="882">
        <f t="shared" ca="1" si="582"/>
        <v>1</v>
      </c>
    </row>
    <row r="1518" spans="1:21" x14ac:dyDescent="0.25">
      <c r="A1518" s="305"/>
      <c r="B1518" s="79"/>
      <c r="C1518" s="294"/>
      <c r="D1518" s="784" t="s">
        <v>551</v>
      </c>
      <c r="E1518" s="783">
        <v>1</v>
      </c>
      <c r="F1518" s="781">
        <v>0</v>
      </c>
      <c r="G1518" s="781">
        <v>0</v>
      </c>
      <c r="H1518" s="781">
        <v>0</v>
      </c>
      <c r="I1518" s="781">
        <v>0</v>
      </c>
      <c r="J1518" s="781">
        <v>0</v>
      </c>
      <c r="K1518" s="781">
        <v>0</v>
      </c>
      <c r="L1518" s="781">
        <v>0</v>
      </c>
      <c r="M1518" s="781">
        <v>0</v>
      </c>
      <c r="N1518" s="781">
        <v>0</v>
      </c>
      <c r="O1518" s="781">
        <v>0</v>
      </c>
      <c r="P1518" s="781">
        <v>0</v>
      </c>
      <c r="Q1518" s="781">
        <v>0</v>
      </c>
      <c r="R1518" s="83"/>
      <c r="S1518" s="902" t="str">
        <f t="shared" si="580"/>
        <v>Purchase Price - Common</v>
      </c>
      <c r="T1518" s="783"/>
      <c r="U1518" s="885">
        <f t="shared" ca="1" si="582"/>
        <v>0</v>
      </c>
    </row>
    <row r="1519" spans="1:21" x14ac:dyDescent="0.25">
      <c r="A1519" s="305"/>
      <c r="B1519" s="79"/>
      <c r="C1519" s="294"/>
      <c r="D1519" s="785" t="s">
        <v>552</v>
      </c>
      <c r="E1519" s="783">
        <v>2</v>
      </c>
      <c r="F1519" s="781">
        <v>0</v>
      </c>
      <c r="G1519" s="781">
        <v>0</v>
      </c>
      <c r="H1519" s="781">
        <v>0</v>
      </c>
      <c r="I1519" s="781">
        <v>0</v>
      </c>
      <c r="J1519" s="781">
        <v>0</v>
      </c>
      <c r="K1519" s="781">
        <v>0</v>
      </c>
      <c r="L1519" s="781">
        <v>0</v>
      </c>
      <c r="M1519" s="781">
        <v>0</v>
      </c>
      <c r="N1519" s="781">
        <v>0</v>
      </c>
      <c r="O1519" s="781">
        <v>0</v>
      </c>
      <c r="P1519" s="781">
        <v>0</v>
      </c>
      <c r="Q1519" s="781">
        <v>0</v>
      </c>
      <c r="R1519" s="83"/>
      <c r="S1519" s="903" t="str">
        <f t="shared" si="580"/>
        <v>Transaction Expenses</v>
      </c>
      <c r="T1519" s="783"/>
      <c r="U1519" s="885">
        <f t="shared" ca="1" si="582"/>
        <v>0</v>
      </c>
    </row>
    <row r="1520" spans="1:21" x14ac:dyDescent="0.25">
      <c r="A1520" s="305"/>
      <c r="B1520" s="79"/>
      <c r="C1520" s="294"/>
      <c r="D1520" s="785" t="s">
        <v>553</v>
      </c>
      <c r="E1520" s="783">
        <v>3</v>
      </c>
      <c r="F1520" s="143">
        <f t="shared" ref="F1520:Q1520" si="587">SUM(F1518:F1519)</f>
        <v>0</v>
      </c>
      <c r="G1520" s="143">
        <f t="shared" si="587"/>
        <v>0</v>
      </c>
      <c r="H1520" s="143">
        <f t="shared" si="587"/>
        <v>0</v>
      </c>
      <c r="I1520" s="143">
        <f t="shared" si="587"/>
        <v>0</v>
      </c>
      <c r="J1520" s="143">
        <f t="shared" si="587"/>
        <v>0</v>
      </c>
      <c r="K1520" s="143">
        <f t="shared" si="587"/>
        <v>0</v>
      </c>
      <c r="L1520" s="143">
        <f t="shared" si="587"/>
        <v>0</v>
      </c>
      <c r="M1520" s="143">
        <f t="shared" si="587"/>
        <v>0</v>
      </c>
      <c r="N1520" s="143">
        <f t="shared" si="587"/>
        <v>0</v>
      </c>
      <c r="O1520" s="143">
        <f t="shared" si="587"/>
        <v>0</v>
      </c>
      <c r="P1520" s="143">
        <f t="shared" si="587"/>
        <v>0</v>
      </c>
      <c r="Q1520" s="143">
        <f t="shared" si="587"/>
        <v>0</v>
      </c>
      <c r="R1520" s="83"/>
      <c r="S1520" s="903" t="str">
        <f t="shared" si="580"/>
        <v xml:space="preserve">    Total Purchase Price</v>
      </c>
      <c r="T1520" s="783"/>
      <c r="U1520" s="886">
        <f t="shared" ref="U1520:U1533" ca="1" si="588">OFFSET(E1520,0,capnumber)</f>
        <v>0</v>
      </c>
    </row>
    <row r="1521" spans="1:22" x14ac:dyDescent="0.25">
      <c r="A1521" s="305"/>
      <c r="B1521" s="79"/>
      <c r="C1521" s="294"/>
      <c r="D1521" s="784" t="s">
        <v>554</v>
      </c>
      <c r="E1521" s="783">
        <v>4</v>
      </c>
      <c r="F1521" s="781">
        <v>0</v>
      </c>
      <c r="G1521" s="781">
        <v>0</v>
      </c>
      <c r="H1521" s="781">
        <v>0</v>
      </c>
      <c r="I1521" s="781">
        <v>0</v>
      </c>
      <c r="J1521" s="781">
        <v>0</v>
      </c>
      <c r="K1521" s="781">
        <v>0</v>
      </c>
      <c r="L1521" s="781">
        <v>0</v>
      </c>
      <c r="M1521" s="781">
        <v>0</v>
      </c>
      <c r="N1521" s="781">
        <v>0</v>
      </c>
      <c r="O1521" s="781">
        <v>0</v>
      </c>
      <c r="P1521" s="781">
        <v>0</v>
      </c>
      <c r="Q1521" s="781">
        <v>0</v>
      </c>
      <c r="R1521" s="83"/>
      <c r="S1521" s="902" t="str">
        <f t="shared" si="580"/>
        <v>Existing Preferred</v>
      </c>
      <c r="T1521" s="783"/>
      <c r="U1521" s="885">
        <f t="shared" ca="1" si="588"/>
        <v>0</v>
      </c>
    </row>
    <row r="1522" spans="1:22" x14ac:dyDescent="0.25">
      <c r="A1522" s="305"/>
      <c r="B1522" s="79"/>
      <c r="C1522" s="294"/>
      <c r="D1522" s="786" t="s">
        <v>555</v>
      </c>
      <c r="E1522" s="783">
        <v>5</v>
      </c>
      <c r="F1522" s="781">
        <v>0</v>
      </c>
      <c r="G1522" s="883">
        <f t="shared" ref="G1522:Q1522" si="589">$P$182</f>
        <v>0</v>
      </c>
      <c r="H1522" s="883">
        <f t="shared" si="589"/>
        <v>0</v>
      </c>
      <c r="I1522" s="883">
        <f t="shared" si="589"/>
        <v>0</v>
      </c>
      <c r="J1522" s="883">
        <f t="shared" si="589"/>
        <v>0</v>
      </c>
      <c r="K1522" s="883">
        <f t="shared" si="589"/>
        <v>0</v>
      </c>
      <c r="L1522" s="883">
        <f t="shared" si="589"/>
        <v>0</v>
      </c>
      <c r="M1522" s="883">
        <f t="shared" si="589"/>
        <v>0</v>
      </c>
      <c r="N1522" s="883">
        <f t="shared" si="589"/>
        <v>0</v>
      </c>
      <c r="O1522" s="883">
        <f t="shared" si="589"/>
        <v>0</v>
      </c>
      <c r="P1522" s="883">
        <f t="shared" si="589"/>
        <v>0</v>
      </c>
      <c r="Q1522" s="883">
        <f t="shared" si="589"/>
        <v>0</v>
      </c>
      <c r="R1522" s="83"/>
      <c r="S1522" s="904" t="str">
        <f t="shared" si="580"/>
        <v>Refinance STD</v>
      </c>
      <c r="T1522" s="783"/>
      <c r="U1522" s="885">
        <f t="shared" ca="1" si="588"/>
        <v>0</v>
      </c>
    </row>
    <row r="1523" spans="1:22" x14ac:dyDescent="0.25">
      <c r="A1523" s="305"/>
      <c r="B1523" s="79"/>
      <c r="C1523" s="294"/>
      <c r="D1523" s="786" t="s">
        <v>556</v>
      </c>
      <c r="E1523" s="783">
        <v>5</v>
      </c>
      <c r="F1523" s="781">
        <v>0</v>
      </c>
      <c r="G1523" s="883">
        <f t="shared" ref="G1523:Q1523" si="590">$P$192</f>
        <v>150</v>
      </c>
      <c r="H1523" s="883">
        <f t="shared" si="590"/>
        <v>150</v>
      </c>
      <c r="I1523" s="883">
        <f t="shared" si="590"/>
        <v>150</v>
      </c>
      <c r="J1523" s="883">
        <f t="shared" si="590"/>
        <v>150</v>
      </c>
      <c r="K1523" s="883">
        <f t="shared" si="590"/>
        <v>150</v>
      </c>
      <c r="L1523" s="883">
        <f t="shared" si="590"/>
        <v>150</v>
      </c>
      <c r="M1523" s="883">
        <f t="shared" si="590"/>
        <v>150</v>
      </c>
      <c r="N1523" s="883">
        <f t="shared" si="590"/>
        <v>150</v>
      </c>
      <c r="O1523" s="883">
        <f t="shared" si="590"/>
        <v>150</v>
      </c>
      <c r="P1523" s="883">
        <f t="shared" si="590"/>
        <v>150</v>
      </c>
      <c r="Q1523" s="883">
        <f t="shared" si="590"/>
        <v>150</v>
      </c>
      <c r="R1523" s="83"/>
      <c r="S1523" s="904" t="str">
        <f t="shared" si="580"/>
        <v>Refinance LTD</v>
      </c>
      <c r="T1523" s="783"/>
      <c r="U1523" s="885">
        <f t="shared" ca="1" si="588"/>
        <v>0</v>
      </c>
    </row>
    <row r="1524" spans="1:22" x14ac:dyDescent="0.25">
      <c r="A1524" s="305"/>
      <c r="B1524" s="79"/>
      <c r="C1524" s="294"/>
      <c r="D1524" s="786" t="s">
        <v>557</v>
      </c>
      <c r="E1524" s="783">
        <v>6</v>
      </c>
      <c r="F1524" s="781">
        <v>0</v>
      </c>
      <c r="G1524" s="781">
        <v>0</v>
      </c>
      <c r="H1524" s="781">
        <v>0</v>
      </c>
      <c r="I1524" s="781">
        <v>0</v>
      </c>
      <c r="J1524" s="781">
        <v>0</v>
      </c>
      <c r="K1524" s="781">
        <v>0</v>
      </c>
      <c r="L1524" s="781">
        <v>0</v>
      </c>
      <c r="M1524" s="781">
        <v>0</v>
      </c>
      <c r="N1524" s="781">
        <v>0</v>
      </c>
      <c r="O1524" s="781">
        <v>0</v>
      </c>
      <c r="P1524" s="781">
        <v>0</v>
      </c>
      <c r="Q1524" s="781">
        <v>0</v>
      </c>
      <c r="R1524" s="83"/>
      <c r="S1524" s="904" t="str">
        <f t="shared" si="580"/>
        <v>Prepayment Penalties</v>
      </c>
      <c r="T1524" s="783"/>
      <c r="U1524" s="885">
        <f t="shared" ca="1" si="588"/>
        <v>0</v>
      </c>
    </row>
    <row r="1525" spans="1:22" x14ac:dyDescent="0.25">
      <c r="A1525" s="305"/>
      <c r="B1525" s="79"/>
      <c r="C1525" s="294"/>
      <c r="D1525" s="785" t="s">
        <v>558</v>
      </c>
      <c r="E1525" s="783">
        <v>7</v>
      </c>
      <c r="F1525" s="781">
        <v>0</v>
      </c>
      <c r="G1525" s="781">
        <v>0</v>
      </c>
      <c r="H1525" s="781">
        <v>0</v>
      </c>
      <c r="I1525" s="781">
        <v>0</v>
      </c>
      <c r="J1525" s="781">
        <v>0</v>
      </c>
      <c r="K1525" s="781">
        <v>0</v>
      </c>
      <c r="L1525" s="781">
        <v>0</v>
      </c>
      <c r="M1525" s="781">
        <v>0</v>
      </c>
      <c r="N1525" s="781">
        <v>0</v>
      </c>
      <c r="O1525" s="781">
        <v>0</v>
      </c>
      <c r="P1525" s="781">
        <v>0</v>
      </c>
      <c r="Q1525" s="781">
        <v>0</v>
      </c>
      <c r="R1525" s="83"/>
      <c r="S1525" s="903" t="str">
        <f t="shared" si="580"/>
        <v>Excess Cash for W.C.</v>
      </c>
      <c r="T1525" s="783"/>
      <c r="U1525" s="885">
        <f t="shared" ca="1" si="588"/>
        <v>0</v>
      </c>
    </row>
    <row r="1526" spans="1:22" x14ac:dyDescent="0.25">
      <c r="A1526" s="305"/>
      <c r="B1526" s="79"/>
      <c r="C1526" s="294"/>
      <c r="D1526" s="785" t="s">
        <v>559</v>
      </c>
      <c r="E1526" s="783">
        <v>8</v>
      </c>
      <c r="F1526" s="143">
        <f t="shared" ref="F1526:Q1526" si="591">SUM(F1520:F1525)</f>
        <v>0</v>
      </c>
      <c r="G1526" s="143">
        <f t="shared" si="591"/>
        <v>150</v>
      </c>
      <c r="H1526" s="143">
        <f t="shared" si="591"/>
        <v>150</v>
      </c>
      <c r="I1526" s="143">
        <f t="shared" si="591"/>
        <v>150</v>
      </c>
      <c r="J1526" s="143">
        <f t="shared" si="591"/>
        <v>150</v>
      </c>
      <c r="K1526" s="143">
        <f t="shared" si="591"/>
        <v>150</v>
      </c>
      <c r="L1526" s="143">
        <f t="shared" si="591"/>
        <v>150</v>
      </c>
      <c r="M1526" s="143">
        <f t="shared" si="591"/>
        <v>150</v>
      </c>
      <c r="N1526" s="143">
        <f t="shared" si="591"/>
        <v>150</v>
      </c>
      <c r="O1526" s="143">
        <f t="shared" si="591"/>
        <v>150</v>
      </c>
      <c r="P1526" s="143">
        <f t="shared" si="591"/>
        <v>150</v>
      </c>
      <c r="Q1526" s="143">
        <f t="shared" si="591"/>
        <v>150</v>
      </c>
      <c r="R1526" s="83"/>
      <c r="S1526" s="903" t="str">
        <f t="shared" si="580"/>
        <v xml:space="preserve">    Total Uses</v>
      </c>
      <c r="T1526" s="783"/>
      <c r="U1526" s="886">
        <f t="shared" ca="1" si="588"/>
        <v>0</v>
      </c>
    </row>
    <row r="1527" spans="1:22" x14ac:dyDescent="0.25">
      <c r="A1527" s="305"/>
      <c r="B1527" s="79"/>
      <c r="C1527" s="294"/>
      <c r="D1527" s="786" t="s">
        <v>560</v>
      </c>
      <c r="E1527" s="204"/>
      <c r="F1527" s="107">
        <f t="shared" ref="F1527:Q1527" si="592">F1516-F1526</f>
        <v>0</v>
      </c>
      <c r="G1527" s="107">
        <f t="shared" si="592"/>
        <v>0</v>
      </c>
      <c r="H1527" s="107">
        <f t="shared" si="592"/>
        <v>0</v>
      </c>
      <c r="I1527" s="107">
        <f t="shared" si="592"/>
        <v>0</v>
      </c>
      <c r="J1527" s="107">
        <f t="shared" si="592"/>
        <v>0</v>
      </c>
      <c r="K1527" s="107">
        <f t="shared" si="592"/>
        <v>0</v>
      </c>
      <c r="L1527" s="107">
        <f t="shared" si="592"/>
        <v>0</v>
      </c>
      <c r="M1527" s="107">
        <f t="shared" si="592"/>
        <v>0</v>
      </c>
      <c r="N1527" s="107">
        <f t="shared" si="592"/>
        <v>0</v>
      </c>
      <c r="O1527" s="107">
        <f t="shared" si="592"/>
        <v>0</v>
      </c>
      <c r="P1527" s="107">
        <f t="shared" si="592"/>
        <v>0</v>
      </c>
      <c r="Q1527" s="107">
        <f t="shared" si="592"/>
        <v>0</v>
      </c>
      <c r="R1527" s="83"/>
      <c r="S1527" s="904" t="str">
        <f t="shared" si="580"/>
        <v>Balance Check</v>
      </c>
      <c r="T1527" s="204"/>
      <c r="U1527" s="887">
        <f t="shared" ca="1" si="588"/>
        <v>0</v>
      </c>
    </row>
    <row r="1528" spans="1:22" x14ac:dyDescent="0.25">
      <c r="A1528" s="305"/>
      <c r="B1528" s="79"/>
      <c r="C1528" s="294"/>
      <c r="D1528" s="786" t="s">
        <v>561</v>
      </c>
      <c r="E1528" s="204" t="s">
        <v>562</v>
      </c>
      <c r="F1528" s="778">
        <v>1</v>
      </c>
      <c r="G1528" s="882">
        <f t="shared" ref="G1528:Q1528" si="593">F1528+1</f>
        <v>2</v>
      </c>
      <c r="H1528" s="882">
        <f t="shared" si="593"/>
        <v>3</v>
      </c>
      <c r="I1528" s="882">
        <f t="shared" si="593"/>
        <v>4</v>
      </c>
      <c r="J1528" s="882">
        <f t="shared" si="593"/>
        <v>5</v>
      </c>
      <c r="K1528" s="882">
        <f t="shared" si="593"/>
        <v>6</v>
      </c>
      <c r="L1528" s="882">
        <f t="shared" si="593"/>
        <v>7</v>
      </c>
      <c r="M1528" s="882">
        <f t="shared" si="593"/>
        <v>8</v>
      </c>
      <c r="N1528" s="882">
        <f t="shared" si="593"/>
        <v>9</v>
      </c>
      <c r="O1528" s="882">
        <f t="shared" si="593"/>
        <v>10</v>
      </c>
      <c r="P1528" s="882">
        <f t="shared" si="593"/>
        <v>11</v>
      </c>
      <c r="Q1528" s="882">
        <f t="shared" si="593"/>
        <v>12</v>
      </c>
      <c r="R1528" s="83"/>
      <c r="S1528" s="903"/>
      <c r="T1528" s="783"/>
      <c r="U1528" s="882">
        <f t="shared" ca="1" si="588"/>
        <v>1</v>
      </c>
    </row>
    <row r="1529" spans="1:22" x14ac:dyDescent="0.25">
      <c r="A1529" s="305"/>
      <c r="B1529" s="79"/>
      <c r="C1529" s="906" t="s">
        <v>563</v>
      </c>
      <c r="D1529" s="786"/>
      <c r="E1529" s="905">
        <v>1</v>
      </c>
      <c r="F1529" s="781">
        <v>0</v>
      </c>
      <c r="G1529" s="781">
        <v>0</v>
      </c>
      <c r="H1529" s="781">
        <v>0</v>
      </c>
      <c r="I1529" s="781">
        <v>0</v>
      </c>
      <c r="J1529" s="781">
        <v>0</v>
      </c>
      <c r="K1529" s="781">
        <v>0</v>
      </c>
      <c r="L1529" s="781">
        <v>0</v>
      </c>
      <c r="M1529" s="781">
        <v>0</v>
      </c>
      <c r="N1529" s="781">
        <v>0</v>
      </c>
      <c r="O1529" s="781">
        <v>0</v>
      </c>
      <c r="P1529" s="781">
        <v>0</v>
      </c>
      <c r="Q1529" s="781">
        <v>0</v>
      </c>
      <c r="R1529" s="83"/>
      <c r="S1529" s="904" t="str">
        <f>"Trigger: "&amp;FIXED(E1529,0,0)</f>
        <v>Trigger: 1</v>
      </c>
      <c r="T1529" s="909">
        <f>D1529</f>
        <v>0</v>
      </c>
      <c r="U1529" s="885">
        <f t="shared" ca="1" si="588"/>
        <v>0</v>
      </c>
      <c r="V1529" s="1" t="str">
        <f>IF(ISTEXT(D1529),D1529,"")</f>
        <v/>
      </c>
    </row>
    <row r="1530" spans="1:22" x14ac:dyDescent="0.25">
      <c r="A1530" s="305"/>
      <c r="B1530" s="79"/>
      <c r="C1530" s="294"/>
      <c r="D1530" s="786"/>
      <c r="E1530" s="905">
        <v>2</v>
      </c>
      <c r="F1530" s="781">
        <v>0</v>
      </c>
      <c r="G1530" s="781">
        <v>0</v>
      </c>
      <c r="H1530" s="781">
        <v>0</v>
      </c>
      <c r="I1530" s="781">
        <v>0</v>
      </c>
      <c r="J1530" s="781">
        <v>0</v>
      </c>
      <c r="K1530" s="781">
        <v>0</v>
      </c>
      <c r="L1530" s="781">
        <v>0</v>
      </c>
      <c r="M1530" s="781">
        <v>0</v>
      </c>
      <c r="N1530" s="781">
        <v>0</v>
      </c>
      <c r="O1530" s="781">
        <v>0</v>
      </c>
      <c r="P1530" s="781">
        <v>0</v>
      </c>
      <c r="Q1530" s="781">
        <v>0</v>
      </c>
      <c r="R1530" s="83"/>
      <c r="S1530" s="904" t="str">
        <f>"Trigger: "&amp;FIXED(E1530,0,0)</f>
        <v>Trigger: 2</v>
      </c>
      <c r="T1530" s="909">
        <f>D1530</f>
        <v>0</v>
      </c>
      <c r="U1530" s="885">
        <f t="shared" ca="1" si="588"/>
        <v>0</v>
      </c>
      <c r="V1530" s="1" t="str">
        <f>IF(ISTEXT(D1530),D1530,"")</f>
        <v/>
      </c>
    </row>
    <row r="1531" spans="1:22" x14ac:dyDescent="0.25">
      <c r="A1531" s="305"/>
      <c r="B1531" s="79"/>
      <c r="C1531" s="294"/>
      <c r="D1531" s="786"/>
      <c r="E1531" s="905">
        <v>3</v>
      </c>
      <c r="F1531" s="781">
        <v>0</v>
      </c>
      <c r="G1531" s="781">
        <v>0</v>
      </c>
      <c r="H1531" s="781">
        <v>0</v>
      </c>
      <c r="I1531" s="781">
        <v>0</v>
      </c>
      <c r="J1531" s="781">
        <v>0</v>
      </c>
      <c r="K1531" s="781">
        <v>0</v>
      </c>
      <c r="L1531" s="781">
        <v>0</v>
      </c>
      <c r="M1531" s="781">
        <v>0</v>
      </c>
      <c r="N1531" s="781">
        <v>0</v>
      </c>
      <c r="O1531" s="781">
        <v>0</v>
      </c>
      <c r="P1531" s="781">
        <v>0</v>
      </c>
      <c r="Q1531" s="781">
        <v>0</v>
      </c>
      <c r="R1531" s="83"/>
      <c r="S1531" s="904" t="str">
        <f>"Trigger: "&amp;FIXED(E1531,0,0)</f>
        <v>Trigger: 3</v>
      </c>
      <c r="T1531" s="909">
        <f>D1531</f>
        <v>0</v>
      </c>
      <c r="U1531" s="885">
        <f t="shared" ca="1" si="588"/>
        <v>0</v>
      </c>
      <c r="V1531" s="1" t="str">
        <f>IF(ISTEXT(D1531),D1531,"")</f>
        <v/>
      </c>
    </row>
    <row r="1532" spans="1:22" x14ac:dyDescent="0.25">
      <c r="A1532" s="305"/>
      <c r="B1532" s="79"/>
      <c r="C1532" s="294"/>
      <c r="D1532" s="786"/>
      <c r="E1532" s="905">
        <v>4</v>
      </c>
      <c r="F1532" s="781">
        <v>0</v>
      </c>
      <c r="G1532" s="781">
        <v>0</v>
      </c>
      <c r="H1532" s="781">
        <v>0</v>
      </c>
      <c r="I1532" s="781">
        <v>0</v>
      </c>
      <c r="J1532" s="781">
        <v>0</v>
      </c>
      <c r="K1532" s="781">
        <v>0</v>
      </c>
      <c r="L1532" s="781">
        <v>0</v>
      </c>
      <c r="M1532" s="781">
        <v>0</v>
      </c>
      <c r="N1532" s="781">
        <v>0</v>
      </c>
      <c r="O1532" s="781">
        <v>0</v>
      </c>
      <c r="P1532" s="781">
        <v>0</v>
      </c>
      <c r="Q1532" s="781">
        <v>0</v>
      </c>
      <c r="R1532" s="83"/>
      <c r="S1532" s="904" t="str">
        <f>"Trigger: "&amp;FIXED(E1532,0,0)</f>
        <v>Trigger: 4</v>
      </c>
      <c r="T1532" s="909">
        <f>D1532</f>
        <v>0</v>
      </c>
      <c r="U1532" s="885">
        <f t="shared" ca="1" si="588"/>
        <v>0</v>
      </c>
      <c r="V1532" s="1" t="str">
        <f>IF(ISTEXT(D1532),D1532,"")</f>
        <v/>
      </c>
    </row>
    <row r="1533" spans="1:22" x14ac:dyDescent="0.25">
      <c r="A1533" s="305"/>
      <c r="B1533" s="79"/>
      <c r="C1533" s="294"/>
      <c r="D1533" s="786"/>
      <c r="E1533" s="905">
        <v>5</v>
      </c>
      <c r="F1533" s="781">
        <v>0</v>
      </c>
      <c r="G1533" s="781">
        <v>0</v>
      </c>
      <c r="H1533" s="781">
        <v>0</v>
      </c>
      <c r="I1533" s="781">
        <v>0</v>
      </c>
      <c r="J1533" s="781">
        <v>0</v>
      </c>
      <c r="K1533" s="781">
        <v>0</v>
      </c>
      <c r="L1533" s="781">
        <v>0</v>
      </c>
      <c r="M1533" s="781">
        <v>0</v>
      </c>
      <c r="N1533" s="781">
        <v>0</v>
      </c>
      <c r="O1533" s="781">
        <v>0</v>
      </c>
      <c r="P1533" s="781">
        <v>0</v>
      </c>
      <c r="Q1533" s="781">
        <v>0</v>
      </c>
      <c r="R1533" s="83"/>
      <c r="S1533" s="904" t="str">
        <f>"Trigger: "&amp;FIXED(E1533,0,0)</f>
        <v>Trigger: 5</v>
      </c>
      <c r="T1533" s="909">
        <f>D1533</f>
        <v>0</v>
      </c>
      <c r="U1533" s="885">
        <f t="shared" ca="1" si="588"/>
        <v>0</v>
      </c>
      <c r="V1533" s="1" t="str">
        <f>IF(ISTEXT(D1533),D1533,"")</f>
        <v/>
      </c>
    </row>
    <row r="1534" spans="1:22" ht="17.399999999999999" x14ac:dyDescent="0.3">
      <c r="A1534" s="305"/>
      <c r="B1534" s="79"/>
      <c r="C1534" s="294"/>
      <c r="D1534" s="731" t="s">
        <v>564</v>
      </c>
      <c r="E1534" s="113"/>
      <c r="F1534" s="114"/>
      <c r="G1534" s="47"/>
      <c r="H1534" s="47"/>
      <c r="I1534" s="47"/>
      <c r="J1534" s="53" t="str">
        <f>D1534</f>
        <v>Book Depreciation and Capital Expenditures</v>
      </c>
      <c r="K1534" s="113"/>
      <c r="L1534" s="47"/>
      <c r="M1534" s="47"/>
      <c r="N1534" s="47"/>
      <c r="O1534" s="47"/>
      <c r="P1534" s="47"/>
      <c r="Q1534" s="47"/>
      <c r="R1534" s="47"/>
      <c r="S1534" s="54"/>
      <c r="T1534" s="294"/>
    </row>
    <row r="1535" spans="1:22" ht="12.75" customHeight="1" x14ac:dyDescent="0.25">
      <c r="A1535" s="305"/>
      <c r="B1535" s="79"/>
      <c r="C1535" s="294"/>
      <c r="D1535" s="559" t="s">
        <v>565</v>
      </c>
      <c r="E1535" s="99">
        <f>$I$191</f>
        <v>250</v>
      </c>
      <c r="F1535" s="846" t="s">
        <v>566</v>
      </c>
      <c r="G1535" s="98"/>
      <c r="H1535" s="98"/>
      <c r="I1535" s="98"/>
      <c r="J1535" s="140">
        <f>H1371</f>
        <v>1998</v>
      </c>
      <c r="K1535" s="140">
        <f t="shared" ref="K1535:S1535" si="594">J1535+1</f>
        <v>1999</v>
      </c>
      <c r="L1535" s="140">
        <f t="shared" si="594"/>
        <v>2000</v>
      </c>
      <c r="M1535" s="140">
        <f t="shared" si="594"/>
        <v>2001</v>
      </c>
      <c r="N1535" s="140">
        <f t="shared" si="594"/>
        <v>2002</v>
      </c>
      <c r="O1535" s="140">
        <f t="shared" si="594"/>
        <v>2003</v>
      </c>
      <c r="P1535" s="140">
        <f t="shared" si="594"/>
        <v>2004</v>
      </c>
      <c r="Q1535" s="140">
        <f t="shared" si="594"/>
        <v>2005</v>
      </c>
      <c r="R1535" s="140">
        <f t="shared" si="594"/>
        <v>2006</v>
      </c>
      <c r="S1535" s="140">
        <f t="shared" si="594"/>
        <v>2007</v>
      </c>
      <c r="T1535" s="294"/>
    </row>
    <row r="1536" spans="1:22" ht="12.75" customHeight="1" x14ac:dyDescent="0.25">
      <c r="A1536" s="305"/>
      <c r="B1536" s="79"/>
      <c r="C1536" s="294"/>
      <c r="D1536" s="787" t="s">
        <v>567</v>
      </c>
      <c r="E1536" s="767" t="s">
        <v>524</v>
      </c>
      <c r="F1536" s="98"/>
      <c r="G1536" s="98"/>
      <c r="H1536" s="100"/>
      <c r="I1536" s="100"/>
      <c r="J1536" s="788">
        <v>30</v>
      </c>
      <c r="K1536" s="788">
        <v>30</v>
      </c>
      <c r="L1536" s="788">
        <v>30</v>
      </c>
      <c r="M1536" s="788">
        <v>30</v>
      </c>
      <c r="N1536" s="788">
        <v>30</v>
      </c>
      <c r="O1536" s="788">
        <v>30</v>
      </c>
      <c r="P1536" s="788">
        <v>30</v>
      </c>
      <c r="Q1536" s="788">
        <v>30</v>
      </c>
      <c r="R1536" s="788">
        <v>30</v>
      </c>
      <c r="S1536" s="788">
        <v>30</v>
      </c>
      <c r="T1536" s="294"/>
    </row>
    <row r="1537" spans="1:20" ht="12.75" customHeight="1" x14ac:dyDescent="0.25">
      <c r="A1537" s="305"/>
      <c r="B1537" s="79"/>
      <c r="C1537" s="294"/>
      <c r="D1537" s="134"/>
      <c r="E1537" s="98"/>
      <c r="F1537" s="98"/>
      <c r="G1537" s="135"/>
      <c r="H1537" s="135"/>
      <c r="I1537" s="135"/>
      <c r="J1537" s="135"/>
      <c r="K1537" s="135"/>
      <c r="L1537" s="135"/>
      <c r="M1537" s="135"/>
      <c r="N1537" s="135"/>
      <c r="O1537" s="135"/>
      <c r="P1537" s="135"/>
      <c r="Q1537" s="135"/>
      <c r="R1537" s="135"/>
      <c r="S1537" s="137"/>
      <c r="T1537" s="294"/>
    </row>
    <row r="1538" spans="1:20" x14ac:dyDescent="0.25">
      <c r="A1538" s="305"/>
      <c r="B1538" s="79"/>
      <c r="C1538" s="294"/>
      <c r="D1538" s="737" t="s">
        <v>568</v>
      </c>
      <c r="E1538" s="737" t="s">
        <v>569</v>
      </c>
      <c r="F1538" s="789" t="s">
        <v>570</v>
      </c>
      <c r="G1538" s="128"/>
      <c r="H1538" s="128"/>
      <c r="I1538" s="128"/>
      <c r="J1538" s="128"/>
      <c r="K1538" s="128"/>
      <c r="L1538" s="128"/>
      <c r="M1538" s="128"/>
      <c r="N1538" s="128"/>
      <c r="O1538" s="128"/>
      <c r="P1538" s="128"/>
      <c r="Q1538" s="128"/>
      <c r="R1538" s="128"/>
      <c r="S1538" s="139"/>
      <c r="T1538" s="294"/>
    </row>
    <row r="1539" spans="1:20" x14ac:dyDescent="0.25">
      <c r="A1539" s="305"/>
      <c r="B1539" s="79"/>
      <c r="C1539" s="294"/>
      <c r="D1539" s="743" t="s">
        <v>571</v>
      </c>
      <c r="E1539" s="739" t="s">
        <v>82</v>
      </c>
      <c r="F1539" s="748" t="s">
        <v>572</v>
      </c>
      <c r="G1539" s="129"/>
      <c r="H1539" s="129"/>
      <c r="I1539" s="790" t="s">
        <v>573</v>
      </c>
      <c r="J1539" s="140">
        <f t="shared" ref="J1539:S1539" si="595">J1535</f>
        <v>1998</v>
      </c>
      <c r="K1539" s="140">
        <f t="shared" si="595"/>
        <v>1999</v>
      </c>
      <c r="L1539" s="140">
        <f t="shared" si="595"/>
        <v>2000</v>
      </c>
      <c r="M1539" s="140">
        <f t="shared" si="595"/>
        <v>2001</v>
      </c>
      <c r="N1539" s="140">
        <f t="shared" si="595"/>
        <v>2002</v>
      </c>
      <c r="O1539" s="140">
        <f t="shared" si="595"/>
        <v>2003</v>
      </c>
      <c r="P1539" s="140">
        <f t="shared" si="595"/>
        <v>2004</v>
      </c>
      <c r="Q1539" s="140">
        <f t="shared" si="595"/>
        <v>2005</v>
      </c>
      <c r="R1539" s="140">
        <f t="shared" si="595"/>
        <v>2006</v>
      </c>
      <c r="S1539" s="140">
        <f t="shared" si="595"/>
        <v>2007</v>
      </c>
      <c r="T1539" s="294"/>
    </row>
    <row r="1540" spans="1:20" x14ac:dyDescent="0.25">
      <c r="A1540" s="305"/>
      <c r="B1540" s="79"/>
      <c r="C1540" s="294"/>
      <c r="D1540" s="791">
        <v>5</v>
      </c>
      <c r="E1540" s="756">
        <v>0.25</v>
      </c>
      <c r="F1540" s="127">
        <f>1/D1540</f>
        <v>0.2</v>
      </c>
      <c r="G1540" s="102"/>
      <c r="H1540" s="102"/>
      <c r="I1540" s="109" t="str">
        <f>IF(SUM(J1540:S1540)&gt;1,"Douchenbagen"," Fantastic then ")</f>
        <v xml:space="preserve"> Fantastic then </v>
      </c>
      <c r="J1540" s="263">
        <f t="shared" ref="J1540:S1540" si="596">IF(J$1544&gt;$D1540,0,1/$D$1540)</f>
        <v>0.2</v>
      </c>
      <c r="K1540" s="263">
        <f t="shared" si="596"/>
        <v>0.2</v>
      </c>
      <c r="L1540" s="263">
        <f t="shared" si="596"/>
        <v>0.2</v>
      </c>
      <c r="M1540" s="263">
        <f t="shared" si="596"/>
        <v>0.2</v>
      </c>
      <c r="N1540" s="263">
        <f t="shared" si="596"/>
        <v>0.2</v>
      </c>
      <c r="O1540" s="263">
        <f t="shared" si="596"/>
        <v>0</v>
      </c>
      <c r="P1540" s="263">
        <f t="shared" si="596"/>
        <v>0</v>
      </c>
      <c r="Q1540" s="263">
        <f t="shared" si="596"/>
        <v>0</v>
      </c>
      <c r="R1540" s="263">
        <f t="shared" si="596"/>
        <v>0</v>
      </c>
      <c r="S1540" s="263">
        <f t="shared" si="596"/>
        <v>0</v>
      </c>
      <c r="T1540" s="294"/>
    </row>
    <row r="1541" spans="1:20" x14ac:dyDescent="0.25">
      <c r="A1541" s="305"/>
      <c r="B1541" s="79"/>
      <c r="C1541" s="294"/>
      <c r="D1541" s="791">
        <v>7</v>
      </c>
      <c r="E1541" s="756">
        <v>0.25</v>
      </c>
      <c r="F1541" s="127">
        <f>1/D1541</f>
        <v>0.14285714285714285</v>
      </c>
      <c r="G1541" s="102"/>
      <c r="H1541" s="102"/>
      <c r="I1541" s="109" t="str">
        <f>IF(SUM(J1541:S1541)&gt;1,"Douchenbagen"," Fantastic then ")</f>
        <v xml:space="preserve"> Fantastic then </v>
      </c>
      <c r="J1541" s="263">
        <f t="shared" ref="J1541:S1541" si="597">IF(J$1544&gt;$D1541,0,1/$D$1541)</f>
        <v>0.14285714285714285</v>
      </c>
      <c r="K1541" s="263">
        <f t="shared" si="597"/>
        <v>0.14285714285714285</v>
      </c>
      <c r="L1541" s="263">
        <f t="shared" si="597"/>
        <v>0.14285714285714285</v>
      </c>
      <c r="M1541" s="263">
        <f t="shared" si="597"/>
        <v>0.14285714285714285</v>
      </c>
      <c r="N1541" s="263">
        <f t="shared" si="597"/>
        <v>0.14285714285714285</v>
      </c>
      <c r="O1541" s="263">
        <f t="shared" si="597"/>
        <v>0.14285714285714285</v>
      </c>
      <c r="P1541" s="263">
        <f t="shared" si="597"/>
        <v>0.14285714285714285</v>
      </c>
      <c r="Q1541" s="263">
        <f t="shared" si="597"/>
        <v>0</v>
      </c>
      <c r="R1541" s="263">
        <f t="shared" si="597"/>
        <v>0</v>
      </c>
      <c r="S1541" s="263">
        <f t="shared" si="597"/>
        <v>0</v>
      </c>
      <c r="T1541" s="294"/>
    </row>
    <row r="1542" spans="1:20" x14ac:dyDescent="0.25">
      <c r="A1542" s="305"/>
      <c r="B1542" s="79"/>
      <c r="C1542" s="294"/>
      <c r="D1542" s="791">
        <v>10</v>
      </c>
      <c r="E1542" s="756">
        <v>0.25</v>
      </c>
      <c r="F1542" s="127">
        <f>1/D1542</f>
        <v>0.1</v>
      </c>
      <c r="G1542" s="102"/>
      <c r="H1542" s="102"/>
      <c r="I1542" s="109" t="str">
        <f>IF(SUM(J1542:S1542)&gt;1,"Douchenbagen"," Fantastic then ")</f>
        <v xml:space="preserve"> Fantastic then </v>
      </c>
      <c r="J1542" s="263">
        <f t="shared" ref="J1542:S1542" si="598">IF(J$1544&gt;$D1542,0,1/$D$1542)</f>
        <v>0.1</v>
      </c>
      <c r="K1542" s="263">
        <f t="shared" si="598"/>
        <v>0.1</v>
      </c>
      <c r="L1542" s="263">
        <f t="shared" si="598"/>
        <v>0.1</v>
      </c>
      <c r="M1542" s="263">
        <f t="shared" si="598"/>
        <v>0.1</v>
      </c>
      <c r="N1542" s="263">
        <f t="shared" si="598"/>
        <v>0.1</v>
      </c>
      <c r="O1542" s="263">
        <f t="shared" si="598"/>
        <v>0.1</v>
      </c>
      <c r="P1542" s="263">
        <f t="shared" si="598"/>
        <v>0.1</v>
      </c>
      <c r="Q1542" s="263">
        <f t="shared" si="598"/>
        <v>0.1</v>
      </c>
      <c r="R1542" s="263">
        <f t="shared" si="598"/>
        <v>0.1</v>
      </c>
      <c r="S1542" s="263">
        <f t="shared" si="598"/>
        <v>0.1</v>
      </c>
      <c r="T1542" s="294"/>
    </row>
    <row r="1543" spans="1:20" x14ac:dyDescent="0.25">
      <c r="A1543" s="305"/>
      <c r="B1543" s="79"/>
      <c r="C1543" s="294"/>
      <c r="D1543" s="791">
        <v>31.5</v>
      </c>
      <c r="E1543" s="756">
        <v>0.25</v>
      </c>
      <c r="F1543" s="127">
        <f>1/D1543</f>
        <v>3.1746031746031744E-2</v>
      </c>
      <c r="G1543" s="102"/>
      <c r="H1543" s="102"/>
      <c r="I1543" s="110" t="str">
        <f>IF(SUM(J1543:S1543)&gt;1,"Douchenbagen"," Fantastic then ")</f>
        <v xml:space="preserve"> Fantastic then </v>
      </c>
      <c r="J1543" s="263">
        <f t="shared" ref="J1543:S1543" si="599">IF(J$1544&gt;$D1543,0,1/$D$1543)</f>
        <v>3.1746031746031744E-2</v>
      </c>
      <c r="K1543" s="263">
        <f t="shared" si="599"/>
        <v>3.1746031746031744E-2</v>
      </c>
      <c r="L1543" s="263">
        <f t="shared" si="599"/>
        <v>3.1746031746031744E-2</v>
      </c>
      <c r="M1543" s="263">
        <f t="shared" si="599"/>
        <v>3.1746031746031744E-2</v>
      </c>
      <c r="N1543" s="263">
        <f t="shared" si="599"/>
        <v>3.1746031746031744E-2</v>
      </c>
      <c r="O1543" s="263">
        <f t="shared" si="599"/>
        <v>3.1746031746031744E-2</v>
      </c>
      <c r="P1543" s="263">
        <f t="shared" si="599"/>
        <v>3.1746031746031744E-2</v>
      </c>
      <c r="Q1543" s="263">
        <f t="shared" si="599"/>
        <v>3.1746031746031744E-2</v>
      </c>
      <c r="R1543" s="263">
        <f t="shared" si="599"/>
        <v>3.1746031746031744E-2</v>
      </c>
      <c r="S1543" s="263">
        <f t="shared" si="599"/>
        <v>3.1746031746031744E-2</v>
      </c>
      <c r="T1543" s="294"/>
    </row>
    <row r="1544" spans="1:20" x14ac:dyDescent="0.25">
      <c r="A1544" s="305"/>
      <c r="B1544" s="79"/>
      <c r="C1544" s="294"/>
      <c r="D1544" s="792" t="s">
        <v>574</v>
      </c>
      <c r="E1544" s="493">
        <f>1-SUM(E1540:E1543)</f>
        <v>0</v>
      </c>
      <c r="F1544" s="83"/>
      <c r="G1544" s="83"/>
      <c r="H1544" s="83"/>
      <c r="I1544" s="83"/>
      <c r="J1544" s="793">
        <v>1</v>
      </c>
      <c r="K1544" s="793">
        <v>2</v>
      </c>
      <c r="L1544" s="793">
        <v>3</v>
      </c>
      <c r="M1544" s="793">
        <v>4</v>
      </c>
      <c r="N1544" s="793">
        <v>5</v>
      </c>
      <c r="O1544" s="793">
        <v>6</v>
      </c>
      <c r="P1544" s="793">
        <v>7</v>
      </c>
      <c r="Q1544" s="793">
        <v>8</v>
      </c>
      <c r="R1544" s="793">
        <v>9</v>
      </c>
      <c r="S1544" s="794">
        <v>10</v>
      </c>
      <c r="T1544" s="294"/>
    </row>
    <row r="1545" spans="1:20" x14ac:dyDescent="0.25">
      <c r="A1545" s="305"/>
      <c r="B1545" s="79"/>
      <c r="C1545" s="294"/>
      <c r="D1545" s="96"/>
      <c r="E1545" s="83"/>
      <c r="F1545" s="136"/>
      <c r="G1545" s="136"/>
      <c r="H1545" s="136"/>
      <c r="I1545" s="136"/>
      <c r="J1545" s="136"/>
      <c r="K1545" s="136"/>
      <c r="L1545" s="136"/>
      <c r="M1545" s="136"/>
      <c r="N1545" s="136"/>
      <c r="O1545" s="136"/>
      <c r="P1545" s="136"/>
      <c r="Q1545" s="136"/>
      <c r="R1545" s="136"/>
      <c r="S1545" s="138"/>
      <c r="T1545" s="294"/>
    </row>
    <row r="1546" spans="1:20" x14ac:dyDescent="0.25">
      <c r="A1546" s="305"/>
      <c r="B1546" s="79"/>
      <c r="C1546" s="294"/>
      <c r="D1546" s="737" t="s">
        <v>575</v>
      </c>
      <c r="E1546" s="737" t="s">
        <v>569</v>
      </c>
      <c r="F1546" s="128"/>
      <c r="G1546" s="128"/>
      <c r="H1546" s="128"/>
      <c r="I1546" s="128"/>
      <c r="J1546" s="128"/>
      <c r="K1546" s="128"/>
      <c r="L1546" s="128"/>
      <c r="M1546" s="128"/>
      <c r="N1546" s="128"/>
      <c r="O1546" s="128"/>
      <c r="P1546" s="128"/>
      <c r="Q1546" s="128"/>
      <c r="R1546" s="128"/>
      <c r="S1546" s="139"/>
      <c r="T1546" s="294"/>
    </row>
    <row r="1547" spans="1:20" x14ac:dyDescent="0.25">
      <c r="A1547" s="305"/>
      <c r="B1547" s="79"/>
      <c r="C1547" s="294"/>
      <c r="D1547" s="743" t="s">
        <v>571</v>
      </c>
      <c r="E1547" s="743" t="s">
        <v>576</v>
      </c>
      <c r="F1547" s="129"/>
      <c r="G1547" s="129"/>
      <c r="H1547" s="129"/>
      <c r="I1547" s="129"/>
      <c r="J1547" s="93">
        <f>H1371</f>
        <v>1998</v>
      </c>
      <c r="K1547" s="93">
        <f t="shared" ref="K1547:S1547" si="600">J1547+1</f>
        <v>1999</v>
      </c>
      <c r="L1547" s="93">
        <f t="shared" si="600"/>
        <v>2000</v>
      </c>
      <c r="M1547" s="93">
        <f t="shared" si="600"/>
        <v>2001</v>
      </c>
      <c r="N1547" s="93">
        <f t="shared" si="600"/>
        <v>2002</v>
      </c>
      <c r="O1547" s="93">
        <f t="shared" si="600"/>
        <v>2003</v>
      </c>
      <c r="P1547" s="93">
        <f t="shared" si="600"/>
        <v>2004</v>
      </c>
      <c r="Q1547" s="93">
        <f t="shared" si="600"/>
        <v>2005</v>
      </c>
      <c r="R1547" s="93">
        <f t="shared" si="600"/>
        <v>2006</v>
      </c>
      <c r="S1547" s="93">
        <f t="shared" si="600"/>
        <v>2007</v>
      </c>
      <c r="T1547" s="294"/>
    </row>
    <row r="1548" spans="1:20" x14ac:dyDescent="0.25">
      <c r="A1548" s="305"/>
      <c r="B1548" s="719" t="s">
        <v>577</v>
      </c>
      <c r="C1548" s="417"/>
      <c r="D1548" s="287">
        <f t="shared" ref="D1548:E1551" si="601">D1540</f>
        <v>5</v>
      </c>
      <c r="E1548" s="492">
        <f t="shared" si="601"/>
        <v>0.25</v>
      </c>
      <c r="F1548" s="87"/>
      <c r="G1548" s="87"/>
      <c r="H1548" s="87"/>
      <c r="I1548" s="87"/>
      <c r="J1548" s="52">
        <f>E1548</f>
        <v>0.25</v>
      </c>
      <c r="K1548" s="52">
        <f t="shared" ref="K1548:S1548" si="602">J1548</f>
        <v>0.25</v>
      </c>
      <c r="L1548" s="52">
        <f t="shared" si="602"/>
        <v>0.25</v>
      </c>
      <c r="M1548" s="52">
        <f t="shared" si="602"/>
        <v>0.25</v>
      </c>
      <c r="N1548" s="52">
        <f t="shared" si="602"/>
        <v>0.25</v>
      </c>
      <c r="O1548" s="52">
        <f t="shared" si="602"/>
        <v>0.25</v>
      </c>
      <c r="P1548" s="52">
        <f t="shared" si="602"/>
        <v>0.25</v>
      </c>
      <c r="Q1548" s="52">
        <f t="shared" si="602"/>
        <v>0.25</v>
      </c>
      <c r="R1548" s="52">
        <f t="shared" si="602"/>
        <v>0.25</v>
      </c>
      <c r="S1548" s="52">
        <f t="shared" si="602"/>
        <v>0.25</v>
      </c>
      <c r="T1548" s="294"/>
    </row>
    <row r="1549" spans="1:20" x14ac:dyDescent="0.25">
      <c r="A1549" s="305"/>
      <c r="B1549" s="720" t="s">
        <v>578</v>
      </c>
      <c r="C1549" s="327"/>
      <c r="D1549" s="287">
        <f t="shared" si="601"/>
        <v>7</v>
      </c>
      <c r="E1549" s="492">
        <f t="shared" si="601"/>
        <v>0.25</v>
      </c>
      <c r="F1549" s="87"/>
      <c r="G1549" s="87"/>
      <c r="H1549" s="87"/>
      <c r="I1549" s="87"/>
      <c r="J1549" s="52">
        <f>E1549</f>
        <v>0.25</v>
      </c>
      <c r="K1549" s="52">
        <f t="shared" ref="K1549:S1549" si="603">J1549</f>
        <v>0.25</v>
      </c>
      <c r="L1549" s="52">
        <f t="shared" si="603"/>
        <v>0.25</v>
      </c>
      <c r="M1549" s="52">
        <f t="shared" si="603"/>
        <v>0.25</v>
      </c>
      <c r="N1549" s="52">
        <f t="shared" si="603"/>
        <v>0.25</v>
      </c>
      <c r="O1549" s="52">
        <f t="shared" si="603"/>
        <v>0.25</v>
      </c>
      <c r="P1549" s="52">
        <f t="shared" si="603"/>
        <v>0.25</v>
      </c>
      <c r="Q1549" s="52">
        <f t="shared" si="603"/>
        <v>0.25</v>
      </c>
      <c r="R1549" s="52">
        <f t="shared" si="603"/>
        <v>0.25</v>
      </c>
      <c r="S1549" s="52">
        <f t="shared" si="603"/>
        <v>0.25</v>
      </c>
      <c r="T1549" s="294"/>
    </row>
    <row r="1550" spans="1:20" x14ac:dyDescent="0.25">
      <c r="A1550" s="305"/>
      <c r="B1550" s="720" t="s">
        <v>579</v>
      </c>
      <c r="C1550" s="327"/>
      <c r="D1550" s="287">
        <f t="shared" si="601"/>
        <v>10</v>
      </c>
      <c r="E1550" s="492">
        <f t="shared" si="601"/>
        <v>0.25</v>
      </c>
      <c r="F1550" s="87"/>
      <c r="G1550" s="87"/>
      <c r="H1550" s="87"/>
      <c r="I1550" s="87"/>
      <c r="J1550" s="52">
        <f>E1550</f>
        <v>0.25</v>
      </c>
      <c r="K1550" s="52">
        <f t="shared" ref="K1550:S1550" si="604">J1550</f>
        <v>0.25</v>
      </c>
      <c r="L1550" s="52">
        <f t="shared" si="604"/>
        <v>0.25</v>
      </c>
      <c r="M1550" s="52">
        <f t="shared" si="604"/>
        <v>0.25</v>
      </c>
      <c r="N1550" s="52">
        <f t="shared" si="604"/>
        <v>0.25</v>
      </c>
      <c r="O1550" s="52">
        <f t="shared" si="604"/>
        <v>0.25</v>
      </c>
      <c r="P1550" s="52">
        <f t="shared" si="604"/>
        <v>0.25</v>
      </c>
      <c r="Q1550" s="52">
        <f t="shared" si="604"/>
        <v>0.25</v>
      </c>
      <c r="R1550" s="52">
        <f t="shared" si="604"/>
        <v>0.25</v>
      </c>
      <c r="S1550" s="52">
        <f t="shared" si="604"/>
        <v>0.25</v>
      </c>
      <c r="T1550" s="294"/>
    </row>
    <row r="1551" spans="1:20" x14ac:dyDescent="0.25">
      <c r="A1551" s="305"/>
      <c r="B1551" s="720" t="s">
        <v>580</v>
      </c>
      <c r="C1551" s="327"/>
      <c r="D1551" s="287">
        <f t="shared" si="601"/>
        <v>31.5</v>
      </c>
      <c r="E1551" s="492">
        <f t="shared" si="601"/>
        <v>0.25</v>
      </c>
      <c r="F1551" s="87"/>
      <c r="G1551" s="87"/>
      <c r="H1551" s="87"/>
      <c r="I1551" s="87"/>
      <c r="J1551" s="52">
        <f>E1551</f>
        <v>0.25</v>
      </c>
      <c r="K1551" s="52">
        <f t="shared" ref="K1551:S1551" si="605">J1551</f>
        <v>0.25</v>
      </c>
      <c r="L1551" s="52">
        <f t="shared" si="605"/>
        <v>0.25</v>
      </c>
      <c r="M1551" s="52">
        <f t="shared" si="605"/>
        <v>0.25</v>
      </c>
      <c r="N1551" s="52">
        <f t="shared" si="605"/>
        <v>0.25</v>
      </c>
      <c r="O1551" s="52">
        <f t="shared" si="605"/>
        <v>0.25</v>
      </c>
      <c r="P1551" s="52">
        <f t="shared" si="605"/>
        <v>0.25</v>
      </c>
      <c r="Q1551" s="52">
        <f t="shared" si="605"/>
        <v>0.25</v>
      </c>
      <c r="R1551" s="52">
        <f t="shared" si="605"/>
        <v>0.25</v>
      </c>
      <c r="S1551" s="52">
        <f t="shared" si="605"/>
        <v>0.25</v>
      </c>
      <c r="T1551" s="294"/>
    </row>
    <row r="1552" spans="1:20" x14ac:dyDescent="0.25">
      <c r="A1552" s="305"/>
      <c r="B1552" s="427" t="str">
        <f ca="1">"in cells ("&amp;CELL("address",D1548)&amp;" : "&amp;CELL("Address",E1551)&amp;")"</f>
        <v>in cells ($D$1548 : $E$1551)</v>
      </c>
      <c r="C1552" s="418"/>
      <c r="D1552" s="792" t="s">
        <v>574</v>
      </c>
      <c r="E1552" s="493">
        <f>1-SUM(E1548:E1551)</f>
        <v>0</v>
      </c>
      <c r="F1552" s="87"/>
      <c r="G1552" s="83"/>
      <c r="H1552" s="83"/>
      <c r="I1552" s="83"/>
      <c r="J1552" s="83"/>
      <c r="K1552" s="83"/>
      <c r="L1552" s="83"/>
      <c r="M1552" s="83"/>
      <c r="N1552" s="83"/>
      <c r="O1552" s="83"/>
      <c r="P1552" s="83"/>
      <c r="Q1552" s="83"/>
      <c r="R1552" s="83"/>
      <c r="S1552" s="82"/>
      <c r="T1552" s="294"/>
    </row>
    <row r="1553" spans="1:20" x14ac:dyDescent="0.25">
      <c r="A1553" s="305"/>
      <c r="B1553" s="79"/>
      <c r="C1553" s="294"/>
      <c r="D1553" s="136"/>
      <c r="E1553" s="83"/>
      <c r="F1553" s="87"/>
      <c r="G1553" s="83"/>
      <c r="H1553" s="83"/>
      <c r="I1553" s="83"/>
      <c r="J1553" s="83"/>
      <c r="K1553" s="83"/>
      <c r="L1553" s="83"/>
      <c r="M1553" s="83"/>
      <c r="N1553" s="83"/>
      <c r="O1553" s="83"/>
      <c r="P1553" s="83"/>
      <c r="Q1553" s="83"/>
      <c r="R1553" s="83"/>
      <c r="S1553" s="82"/>
      <c r="T1553" s="294"/>
    </row>
    <row r="1554" spans="1:20" x14ac:dyDescent="0.25">
      <c r="A1554" s="305"/>
      <c r="B1554" s="79"/>
      <c r="C1554" s="294"/>
      <c r="D1554" s="746" t="s">
        <v>581</v>
      </c>
      <c r="E1554" s="128"/>
      <c r="F1554" s="128"/>
      <c r="G1554" s="128"/>
      <c r="H1554" s="128"/>
      <c r="I1554" s="139"/>
      <c r="J1554" s="83"/>
      <c r="K1554" s="83"/>
      <c r="L1554" s="83"/>
      <c r="M1554" s="83"/>
      <c r="N1554" s="83"/>
      <c r="O1554" s="83"/>
      <c r="P1554" s="83"/>
      <c r="Q1554" s="83"/>
      <c r="R1554" s="83"/>
      <c r="S1554" s="82"/>
      <c r="T1554" s="294"/>
    </row>
    <row r="1555" spans="1:20" x14ac:dyDescent="0.25">
      <c r="A1555" s="305"/>
      <c r="B1555" s="79"/>
      <c r="C1555" s="294"/>
      <c r="D1555" s="746" t="s">
        <v>582</v>
      </c>
      <c r="E1555" s="129"/>
      <c r="F1555" s="129"/>
      <c r="G1555" s="129"/>
      <c r="H1555" s="129"/>
      <c r="I1555" s="129"/>
      <c r="J1555" s="93">
        <f>H1371</f>
        <v>1998</v>
      </c>
      <c r="K1555" s="93">
        <f t="shared" ref="K1555:S1555" si="606">J1555+1</f>
        <v>1999</v>
      </c>
      <c r="L1555" s="93">
        <f t="shared" si="606"/>
        <v>2000</v>
      </c>
      <c r="M1555" s="93">
        <f t="shared" si="606"/>
        <v>2001</v>
      </c>
      <c r="N1555" s="93">
        <f t="shared" si="606"/>
        <v>2002</v>
      </c>
      <c r="O1555" s="93">
        <f t="shared" si="606"/>
        <v>2003</v>
      </c>
      <c r="P1555" s="93">
        <f t="shared" si="606"/>
        <v>2004</v>
      </c>
      <c r="Q1555" s="93">
        <f t="shared" si="606"/>
        <v>2005</v>
      </c>
      <c r="R1555" s="93">
        <f t="shared" si="606"/>
        <v>2006</v>
      </c>
      <c r="S1555" s="93">
        <f t="shared" si="606"/>
        <v>2007</v>
      </c>
      <c r="T1555" s="294"/>
    </row>
    <row r="1556" spans="1:20" x14ac:dyDescent="0.25">
      <c r="A1556" s="305"/>
      <c r="B1556" s="79"/>
      <c r="C1556" s="294"/>
      <c r="D1556" s="557" t="s">
        <v>583</v>
      </c>
      <c r="E1556" s="136"/>
      <c r="F1556" s="136"/>
      <c r="G1556" s="136"/>
      <c r="H1556" s="136"/>
      <c r="I1556" s="136"/>
      <c r="J1556" s="795">
        <v>0</v>
      </c>
      <c r="K1556" s="795">
        <v>0</v>
      </c>
      <c r="L1556" s="795">
        <v>0</v>
      </c>
      <c r="M1556" s="795">
        <v>0</v>
      </c>
      <c r="N1556" s="795">
        <v>0</v>
      </c>
      <c r="O1556" s="795">
        <v>0</v>
      </c>
      <c r="P1556" s="795">
        <v>0</v>
      </c>
      <c r="Q1556" s="795">
        <v>0</v>
      </c>
      <c r="R1556" s="795">
        <v>0</v>
      </c>
      <c r="S1556" s="795">
        <v>0</v>
      </c>
      <c r="T1556" s="294"/>
    </row>
    <row r="1557" spans="1:20" x14ac:dyDescent="0.25">
      <c r="A1557" s="305"/>
      <c r="B1557" s="79"/>
      <c r="C1557" s="294"/>
      <c r="D1557" s="557" t="s">
        <v>584</v>
      </c>
      <c r="E1557" s="136"/>
      <c r="F1557" s="136"/>
      <c r="G1557" s="136"/>
      <c r="H1557" s="136"/>
      <c r="I1557" s="136"/>
      <c r="J1557" s="796">
        <v>3</v>
      </c>
      <c r="K1557" s="796">
        <v>3</v>
      </c>
      <c r="L1557" s="796">
        <v>5</v>
      </c>
      <c r="M1557" s="796">
        <v>5</v>
      </c>
      <c r="N1557" s="796">
        <v>7</v>
      </c>
      <c r="O1557" s="796">
        <v>7</v>
      </c>
      <c r="P1557" s="796">
        <v>7</v>
      </c>
      <c r="Q1557" s="796">
        <v>10</v>
      </c>
      <c r="R1557" s="796">
        <v>10</v>
      </c>
      <c r="S1557" s="796">
        <v>15</v>
      </c>
      <c r="T1557" s="294"/>
    </row>
    <row r="1558" spans="1:20" x14ac:dyDescent="0.25">
      <c r="A1558" s="305"/>
      <c r="B1558" s="79"/>
      <c r="C1558" s="294"/>
      <c r="D1558" s="86"/>
      <c r="E1558" s="83"/>
      <c r="F1558" s="83"/>
      <c r="G1558" s="84"/>
      <c r="H1558" s="84"/>
      <c r="I1558" s="84"/>
      <c r="J1558" s="84"/>
      <c r="K1558" s="84"/>
      <c r="L1558" s="84"/>
      <c r="M1558" s="84"/>
      <c r="N1558" s="84"/>
      <c r="O1558" s="84"/>
      <c r="P1558" s="84"/>
      <c r="Q1558" s="84"/>
      <c r="R1558" s="84"/>
      <c r="S1558" s="85"/>
      <c r="T1558" s="294"/>
    </row>
    <row r="1559" spans="1:20" ht="17.399999999999999" x14ac:dyDescent="0.3">
      <c r="A1559" s="305"/>
      <c r="B1559" s="79"/>
      <c r="C1559" s="294"/>
      <c r="D1559" s="731" t="s">
        <v>585</v>
      </c>
      <c r="E1559" s="113"/>
      <c r="F1559" s="114"/>
      <c r="G1559" s="47"/>
      <c r="H1559" s="47"/>
      <c r="I1559" s="47"/>
      <c r="J1559" s="53" t="str">
        <f>D1559</f>
        <v>Tax Depreciation</v>
      </c>
      <c r="K1559" s="113"/>
      <c r="L1559" s="47"/>
      <c r="M1559" s="47"/>
      <c r="N1559" s="47"/>
      <c r="O1559" s="47"/>
      <c r="P1559" s="47"/>
      <c r="Q1559" s="47"/>
      <c r="R1559" s="47"/>
      <c r="S1559" s="54"/>
      <c r="T1559" s="294"/>
    </row>
    <row r="1560" spans="1:20" x14ac:dyDescent="0.25">
      <c r="A1560" s="305"/>
      <c r="B1560" s="79"/>
      <c r="C1560" s="294"/>
      <c r="D1560" s="559" t="s">
        <v>565</v>
      </c>
      <c r="E1560" s="99">
        <f>E1535</f>
        <v>250</v>
      </c>
      <c r="F1560" s="846" t="s">
        <v>566</v>
      </c>
      <c r="G1560" s="98"/>
      <c r="H1560" s="98"/>
      <c r="I1560" s="98"/>
      <c r="J1560" s="98"/>
      <c r="K1560" s="98"/>
      <c r="L1560" s="98"/>
      <c r="M1560" s="98"/>
      <c r="N1560" s="98"/>
      <c r="O1560" s="98"/>
      <c r="P1560" s="98"/>
      <c r="Q1560" s="98"/>
      <c r="R1560" s="98"/>
      <c r="S1560" s="235"/>
      <c r="T1560" s="294"/>
    </row>
    <row r="1561" spans="1:20" x14ac:dyDescent="0.25">
      <c r="A1561" s="305"/>
      <c r="B1561" s="79"/>
      <c r="C1561" s="294"/>
      <c r="D1561" s="737" t="s">
        <v>568</v>
      </c>
      <c r="E1561" s="737" t="s">
        <v>569</v>
      </c>
      <c r="F1561" s="128"/>
      <c r="G1561" s="128"/>
      <c r="H1561" s="128"/>
      <c r="I1561" s="128"/>
      <c r="J1561" s="140"/>
      <c r="K1561" s="140"/>
      <c r="L1561" s="140"/>
      <c r="M1561" s="140"/>
      <c r="N1561" s="140"/>
      <c r="O1561" s="140"/>
      <c r="P1561" s="140"/>
      <c r="Q1561" s="140"/>
      <c r="R1561" s="140"/>
      <c r="S1561" s="140"/>
      <c r="T1561" s="294"/>
    </row>
    <row r="1562" spans="1:20" x14ac:dyDescent="0.25">
      <c r="A1562" s="305"/>
      <c r="B1562" s="79"/>
      <c r="C1562" s="294"/>
      <c r="D1562" s="743" t="s">
        <v>571</v>
      </c>
      <c r="E1562" s="739" t="s">
        <v>82</v>
      </c>
      <c r="F1562" s="129"/>
      <c r="G1562" s="129"/>
      <c r="H1562" s="129"/>
      <c r="I1562" s="790" t="s">
        <v>573</v>
      </c>
      <c r="J1562" s="234">
        <f t="shared" ref="J1562:S1562" si="607">J1555</f>
        <v>1998</v>
      </c>
      <c r="K1562" s="234">
        <f t="shared" si="607"/>
        <v>1999</v>
      </c>
      <c r="L1562" s="234">
        <f t="shared" si="607"/>
        <v>2000</v>
      </c>
      <c r="M1562" s="234">
        <f t="shared" si="607"/>
        <v>2001</v>
      </c>
      <c r="N1562" s="234">
        <f t="shared" si="607"/>
        <v>2002</v>
      </c>
      <c r="O1562" s="234">
        <f t="shared" si="607"/>
        <v>2003</v>
      </c>
      <c r="P1562" s="234">
        <f t="shared" si="607"/>
        <v>2004</v>
      </c>
      <c r="Q1562" s="234">
        <f t="shared" si="607"/>
        <v>2005</v>
      </c>
      <c r="R1562" s="234">
        <f t="shared" si="607"/>
        <v>2006</v>
      </c>
      <c r="S1562" s="234">
        <f t="shared" si="607"/>
        <v>2007</v>
      </c>
      <c r="T1562" s="294"/>
    </row>
    <row r="1563" spans="1:20" x14ac:dyDescent="0.25">
      <c r="A1563" s="305"/>
      <c r="B1563" s="719" t="s">
        <v>577</v>
      </c>
      <c r="C1563" s="417"/>
      <c r="D1563" s="287">
        <f t="shared" ref="D1563:E1566" si="608">D1540</f>
        <v>5</v>
      </c>
      <c r="E1563" s="288">
        <f t="shared" si="608"/>
        <v>0.25</v>
      </c>
      <c r="F1563" s="87"/>
      <c r="G1563" s="87"/>
      <c r="H1563" s="87"/>
      <c r="I1563" s="109" t="str">
        <f>IF(SUM(J1563:S1563)&gt;1,"Douchenbagen"," Fantastic then ")</f>
        <v xml:space="preserve"> Fantastic then </v>
      </c>
      <c r="J1563" s="97">
        <v>0</v>
      </c>
      <c r="K1563" s="97">
        <v>0</v>
      </c>
      <c r="L1563" s="97">
        <v>0</v>
      </c>
      <c r="M1563" s="97">
        <v>0</v>
      </c>
      <c r="N1563" s="97">
        <v>0</v>
      </c>
      <c r="O1563" s="97">
        <v>0</v>
      </c>
      <c r="P1563" s="97">
        <v>0</v>
      </c>
      <c r="Q1563" s="97">
        <v>0</v>
      </c>
      <c r="R1563" s="97">
        <v>0</v>
      </c>
      <c r="S1563" s="97">
        <v>0</v>
      </c>
      <c r="T1563" s="294"/>
    </row>
    <row r="1564" spans="1:20" x14ac:dyDescent="0.25">
      <c r="A1564" s="305"/>
      <c r="B1564" s="720" t="s">
        <v>578</v>
      </c>
      <c r="C1564" s="327"/>
      <c r="D1564" s="287">
        <f t="shared" si="608"/>
        <v>7</v>
      </c>
      <c r="E1564" s="288">
        <f t="shared" si="608"/>
        <v>0.25</v>
      </c>
      <c r="F1564" s="87"/>
      <c r="G1564" s="87"/>
      <c r="H1564" s="87"/>
      <c r="I1564" s="109" t="str">
        <f>IF(SUM(J1564:S1564)&gt;1,"Douchenbagen"," Fantastic then ")</f>
        <v xml:space="preserve"> Fantastic then </v>
      </c>
      <c r="J1564" s="97">
        <v>0</v>
      </c>
      <c r="K1564" s="97">
        <v>0</v>
      </c>
      <c r="L1564" s="97">
        <v>0</v>
      </c>
      <c r="M1564" s="97">
        <v>0</v>
      </c>
      <c r="N1564" s="97">
        <v>0</v>
      </c>
      <c r="O1564" s="97">
        <v>0</v>
      </c>
      <c r="P1564" s="97">
        <v>0</v>
      </c>
      <c r="Q1564" s="97">
        <v>0</v>
      </c>
      <c r="R1564" s="97">
        <v>0</v>
      </c>
      <c r="S1564" s="97">
        <v>0</v>
      </c>
      <c r="T1564" s="294"/>
    </row>
    <row r="1565" spans="1:20" x14ac:dyDescent="0.25">
      <c r="A1565" s="305"/>
      <c r="B1565" s="720" t="s">
        <v>579</v>
      </c>
      <c r="C1565" s="327"/>
      <c r="D1565" s="287">
        <f t="shared" si="608"/>
        <v>10</v>
      </c>
      <c r="E1565" s="288">
        <f t="shared" si="608"/>
        <v>0.25</v>
      </c>
      <c r="F1565" s="87"/>
      <c r="G1565" s="87"/>
      <c r="H1565" s="87"/>
      <c r="I1565" s="109" t="str">
        <f>IF(SUM(J1565:S1565)&gt;1,"Douchenbagen"," Fantastic then ")</f>
        <v xml:space="preserve"> Fantastic then </v>
      </c>
      <c r="J1565" s="97">
        <v>0</v>
      </c>
      <c r="K1565" s="97">
        <v>0</v>
      </c>
      <c r="L1565" s="97">
        <v>0</v>
      </c>
      <c r="M1565" s="97">
        <v>0</v>
      </c>
      <c r="N1565" s="97">
        <v>0</v>
      </c>
      <c r="O1565" s="97">
        <v>0</v>
      </c>
      <c r="P1565" s="97">
        <v>0</v>
      </c>
      <c r="Q1565" s="97">
        <v>0</v>
      </c>
      <c r="R1565" s="97">
        <v>0</v>
      </c>
      <c r="S1565" s="97">
        <v>0</v>
      </c>
      <c r="T1565" s="294"/>
    </row>
    <row r="1566" spans="1:20" x14ac:dyDescent="0.25">
      <c r="A1566" s="305"/>
      <c r="B1566" s="720" t="s">
        <v>580</v>
      </c>
      <c r="C1566" s="327"/>
      <c r="D1566" s="287">
        <f t="shared" si="608"/>
        <v>31.5</v>
      </c>
      <c r="E1566" s="288">
        <f t="shared" si="608"/>
        <v>0.25</v>
      </c>
      <c r="F1566" s="87"/>
      <c r="G1566" s="87"/>
      <c r="H1566" s="87"/>
      <c r="I1566" s="110" t="str">
        <f>IF(SUM(J1566:S1566)&gt;1,"Douchenbagen"," Fantastic then ")</f>
        <v xml:space="preserve"> Fantastic then </v>
      </c>
      <c r="J1566" s="97">
        <v>0</v>
      </c>
      <c r="K1566" s="97">
        <v>0</v>
      </c>
      <c r="L1566" s="97">
        <v>0</v>
      </c>
      <c r="M1566" s="97">
        <v>0</v>
      </c>
      <c r="N1566" s="97">
        <v>0</v>
      </c>
      <c r="O1566" s="97">
        <v>0</v>
      </c>
      <c r="P1566" s="97">
        <v>0</v>
      </c>
      <c r="Q1566" s="97">
        <v>0</v>
      </c>
      <c r="R1566" s="97">
        <v>0</v>
      </c>
      <c r="S1566" s="97">
        <v>0</v>
      </c>
      <c r="T1566" s="294"/>
    </row>
    <row r="1567" spans="1:20" x14ac:dyDescent="0.25">
      <c r="A1567" s="305"/>
      <c r="B1567" s="427" t="str">
        <f ca="1">"in cells ("&amp;CELL("address",D1563)&amp;" : "&amp;CELL("Address",E1566)&amp;")"</f>
        <v>in cells ($D$1563 : $E$1566)</v>
      </c>
      <c r="C1567" s="418"/>
      <c r="D1567" s="792" t="s">
        <v>574</v>
      </c>
      <c r="E1567" s="493">
        <f>1-SUM(E1563:E1566)</f>
        <v>0</v>
      </c>
      <c r="F1567" s="83"/>
      <c r="G1567" s="83"/>
      <c r="H1567" s="83"/>
      <c r="I1567" s="83"/>
      <c r="J1567" s="83"/>
      <c r="K1567" s="83"/>
      <c r="L1567" s="83"/>
      <c r="M1567" s="83"/>
      <c r="N1567" s="83"/>
      <c r="O1567" s="83"/>
      <c r="P1567" s="83"/>
      <c r="Q1567" s="83"/>
      <c r="R1567" s="83"/>
      <c r="S1567" s="82"/>
      <c r="T1567" s="294"/>
    </row>
    <row r="1568" spans="1:20" x14ac:dyDescent="0.25">
      <c r="A1568" s="305"/>
      <c r="B1568" s="79"/>
      <c r="C1568" s="294"/>
      <c r="D1568" s="96"/>
      <c r="E1568" s="83"/>
      <c r="F1568" s="136"/>
      <c r="G1568" s="136"/>
      <c r="H1568" s="136"/>
      <c r="I1568" s="136"/>
      <c r="J1568" s="136"/>
      <c r="K1568" s="136"/>
      <c r="L1568" s="136"/>
      <c r="M1568" s="136"/>
      <c r="N1568" s="136"/>
      <c r="O1568" s="136"/>
      <c r="P1568" s="136"/>
      <c r="Q1568" s="136"/>
      <c r="R1568" s="136"/>
      <c r="S1568" s="138"/>
      <c r="T1568" s="294"/>
    </row>
    <row r="1569" spans="1:20" x14ac:dyDescent="0.25">
      <c r="A1569" s="305"/>
      <c r="B1569" s="79"/>
      <c r="C1569" s="294"/>
      <c r="D1569" s="737" t="s">
        <v>575</v>
      </c>
      <c r="E1569" s="737" t="s">
        <v>569</v>
      </c>
      <c r="F1569" s="128"/>
      <c r="G1569" s="128"/>
      <c r="H1569" s="128"/>
      <c r="I1569" s="128"/>
      <c r="J1569" s="128"/>
      <c r="K1569" s="128"/>
      <c r="L1569" s="128"/>
      <c r="M1569" s="128"/>
      <c r="N1569" s="128"/>
      <c r="O1569" s="128"/>
      <c r="P1569" s="128"/>
      <c r="Q1569" s="128"/>
      <c r="R1569" s="128"/>
      <c r="S1569" s="139"/>
      <c r="T1569" s="294"/>
    </row>
    <row r="1570" spans="1:20" x14ac:dyDescent="0.25">
      <c r="A1570" s="305"/>
      <c r="B1570" s="79"/>
      <c r="C1570" s="294"/>
      <c r="D1570" s="743" t="s">
        <v>571</v>
      </c>
      <c r="E1570" s="743" t="s">
        <v>576</v>
      </c>
      <c r="F1570" s="129"/>
      <c r="G1570" s="129"/>
      <c r="H1570" s="129"/>
      <c r="I1570" s="129"/>
      <c r="J1570" s="93">
        <f>H1371</f>
        <v>1998</v>
      </c>
      <c r="K1570" s="93">
        <f t="shared" ref="K1570:S1570" si="609">J1570+1</f>
        <v>1999</v>
      </c>
      <c r="L1570" s="93">
        <f t="shared" si="609"/>
        <v>2000</v>
      </c>
      <c r="M1570" s="93">
        <f t="shared" si="609"/>
        <v>2001</v>
      </c>
      <c r="N1570" s="93">
        <f t="shared" si="609"/>
        <v>2002</v>
      </c>
      <c r="O1570" s="93">
        <f t="shared" si="609"/>
        <v>2003</v>
      </c>
      <c r="P1570" s="93">
        <f t="shared" si="609"/>
        <v>2004</v>
      </c>
      <c r="Q1570" s="93">
        <f t="shared" si="609"/>
        <v>2005</v>
      </c>
      <c r="R1570" s="93">
        <f t="shared" si="609"/>
        <v>2006</v>
      </c>
      <c r="S1570" s="93">
        <f t="shared" si="609"/>
        <v>2007</v>
      </c>
      <c r="T1570" s="294"/>
    </row>
    <row r="1571" spans="1:20" x14ac:dyDescent="0.25">
      <c r="A1571" s="305"/>
      <c r="B1571" s="719" t="s">
        <v>577</v>
      </c>
      <c r="C1571" s="417"/>
      <c r="D1571" s="287">
        <f t="shared" ref="D1571:E1574" si="610">D1548</f>
        <v>5</v>
      </c>
      <c r="E1571" s="288">
        <f t="shared" si="610"/>
        <v>0.25</v>
      </c>
      <c r="F1571" s="87"/>
      <c r="G1571" s="87"/>
      <c r="H1571" s="87"/>
      <c r="I1571" s="87"/>
      <c r="J1571" s="52">
        <f>E1571</f>
        <v>0.25</v>
      </c>
      <c r="K1571" s="52">
        <f t="shared" ref="K1571:S1571" si="611">J1571</f>
        <v>0.25</v>
      </c>
      <c r="L1571" s="52">
        <f t="shared" si="611"/>
        <v>0.25</v>
      </c>
      <c r="M1571" s="52">
        <f t="shared" si="611"/>
        <v>0.25</v>
      </c>
      <c r="N1571" s="52">
        <f t="shared" si="611"/>
        <v>0.25</v>
      </c>
      <c r="O1571" s="52">
        <f t="shared" si="611"/>
        <v>0.25</v>
      </c>
      <c r="P1571" s="52">
        <f t="shared" si="611"/>
        <v>0.25</v>
      </c>
      <c r="Q1571" s="52">
        <f t="shared" si="611"/>
        <v>0.25</v>
      </c>
      <c r="R1571" s="52">
        <f t="shared" si="611"/>
        <v>0.25</v>
      </c>
      <c r="S1571" s="52">
        <f t="shared" si="611"/>
        <v>0.25</v>
      </c>
      <c r="T1571" s="294"/>
    </row>
    <row r="1572" spans="1:20" x14ac:dyDescent="0.25">
      <c r="A1572" s="305"/>
      <c r="B1572" s="720" t="s">
        <v>578</v>
      </c>
      <c r="C1572" s="327"/>
      <c r="D1572" s="287">
        <f t="shared" si="610"/>
        <v>7</v>
      </c>
      <c r="E1572" s="288">
        <f t="shared" si="610"/>
        <v>0.25</v>
      </c>
      <c r="F1572" s="87"/>
      <c r="G1572" s="87"/>
      <c r="H1572" s="87"/>
      <c r="I1572" s="87"/>
      <c r="J1572" s="52">
        <f>E1572</f>
        <v>0.25</v>
      </c>
      <c r="K1572" s="52">
        <f t="shared" ref="K1572:S1572" si="612">J1572</f>
        <v>0.25</v>
      </c>
      <c r="L1572" s="52">
        <f t="shared" si="612"/>
        <v>0.25</v>
      </c>
      <c r="M1572" s="52">
        <f t="shared" si="612"/>
        <v>0.25</v>
      </c>
      <c r="N1572" s="52">
        <f t="shared" si="612"/>
        <v>0.25</v>
      </c>
      <c r="O1572" s="52">
        <f t="shared" si="612"/>
        <v>0.25</v>
      </c>
      <c r="P1572" s="52">
        <f t="shared" si="612"/>
        <v>0.25</v>
      </c>
      <c r="Q1572" s="52">
        <f t="shared" si="612"/>
        <v>0.25</v>
      </c>
      <c r="R1572" s="52">
        <f t="shared" si="612"/>
        <v>0.25</v>
      </c>
      <c r="S1572" s="52">
        <f t="shared" si="612"/>
        <v>0.25</v>
      </c>
      <c r="T1572" s="294"/>
    </row>
    <row r="1573" spans="1:20" x14ac:dyDescent="0.25">
      <c r="A1573" s="305"/>
      <c r="B1573" s="720" t="s">
        <v>579</v>
      </c>
      <c r="C1573" s="327"/>
      <c r="D1573" s="287">
        <f t="shared" si="610"/>
        <v>10</v>
      </c>
      <c r="E1573" s="288">
        <f t="shared" si="610"/>
        <v>0.25</v>
      </c>
      <c r="F1573" s="87"/>
      <c r="G1573" s="87"/>
      <c r="H1573" s="87"/>
      <c r="I1573" s="87"/>
      <c r="J1573" s="52">
        <f>E1573</f>
        <v>0.25</v>
      </c>
      <c r="K1573" s="52">
        <f t="shared" ref="K1573:S1573" si="613">J1573</f>
        <v>0.25</v>
      </c>
      <c r="L1573" s="52">
        <f t="shared" si="613"/>
        <v>0.25</v>
      </c>
      <c r="M1573" s="52">
        <f t="shared" si="613"/>
        <v>0.25</v>
      </c>
      <c r="N1573" s="52">
        <f t="shared" si="613"/>
        <v>0.25</v>
      </c>
      <c r="O1573" s="52">
        <f t="shared" si="613"/>
        <v>0.25</v>
      </c>
      <c r="P1573" s="52">
        <f t="shared" si="613"/>
        <v>0.25</v>
      </c>
      <c r="Q1573" s="52">
        <f t="shared" si="613"/>
        <v>0.25</v>
      </c>
      <c r="R1573" s="52">
        <f t="shared" si="613"/>
        <v>0.25</v>
      </c>
      <c r="S1573" s="52">
        <f t="shared" si="613"/>
        <v>0.25</v>
      </c>
      <c r="T1573" s="294"/>
    </row>
    <row r="1574" spans="1:20" x14ac:dyDescent="0.25">
      <c r="A1574" s="305"/>
      <c r="B1574" s="720" t="s">
        <v>580</v>
      </c>
      <c r="C1574" s="327"/>
      <c r="D1574" s="287">
        <f t="shared" si="610"/>
        <v>31.5</v>
      </c>
      <c r="E1574" s="288">
        <f t="shared" si="610"/>
        <v>0.25</v>
      </c>
      <c r="F1574" s="87"/>
      <c r="G1574" s="87"/>
      <c r="H1574" s="87"/>
      <c r="I1574" s="87"/>
      <c r="J1574" s="52">
        <f>E1574</f>
        <v>0.25</v>
      </c>
      <c r="K1574" s="52">
        <f t="shared" ref="K1574:S1574" si="614">J1574</f>
        <v>0.25</v>
      </c>
      <c r="L1574" s="52">
        <f t="shared" si="614"/>
        <v>0.25</v>
      </c>
      <c r="M1574" s="52">
        <f t="shared" si="614"/>
        <v>0.25</v>
      </c>
      <c r="N1574" s="52">
        <f t="shared" si="614"/>
        <v>0.25</v>
      </c>
      <c r="O1574" s="52">
        <f t="shared" si="614"/>
        <v>0.25</v>
      </c>
      <c r="P1574" s="52">
        <f t="shared" si="614"/>
        <v>0.25</v>
      </c>
      <c r="Q1574" s="52">
        <f t="shared" si="614"/>
        <v>0.25</v>
      </c>
      <c r="R1574" s="52">
        <f t="shared" si="614"/>
        <v>0.25</v>
      </c>
      <c r="S1574" s="52">
        <f t="shared" si="614"/>
        <v>0.25</v>
      </c>
      <c r="T1574" s="294"/>
    </row>
    <row r="1575" spans="1:20" x14ac:dyDescent="0.25">
      <c r="A1575" s="305"/>
      <c r="B1575" s="427" t="str">
        <f ca="1">"in cells ("&amp;CELL("address",D1571)&amp;" : "&amp;CELL("Address",E1574)&amp;")"</f>
        <v>in cells ($D$1571 : $E$1574)</v>
      </c>
      <c r="C1575" s="418"/>
      <c r="D1575" s="792" t="s">
        <v>574</v>
      </c>
      <c r="E1575" s="493">
        <f>1-SUM(E1571:E1574)</f>
        <v>0</v>
      </c>
      <c r="F1575" s="87"/>
      <c r="G1575" s="83"/>
      <c r="H1575" s="83"/>
      <c r="I1575" s="83"/>
      <c r="J1575" s="83"/>
      <c r="K1575" s="83"/>
      <c r="L1575" s="83"/>
      <c r="M1575" s="83"/>
      <c r="N1575" s="83"/>
      <c r="O1575" s="83"/>
      <c r="P1575" s="83"/>
      <c r="Q1575" s="83"/>
      <c r="R1575" s="83"/>
      <c r="S1575" s="82"/>
      <c r="T1575" s="294"/>
    </row>
    <row r="1576" spans="1:20" x14ac:dyDescent="0.25">
      <c r="A1576" s="305"/>
      <c r="B1576" s="79"/>
      <c r="C1576" s="294"/>
      <c r="D1576" s="798" t="s">
        <v>581</v>
      </c>
      <c r="E1576" s="128"/>
      <c r="F1576" s="128"/>
      <c r="G1576" s="128"/>
      <c r="H1576" s="128"/>
      <c r="I1576" s="139"/>
      <c r="J1576" s="83"/>
      <c r="K1576" s="83"/>
      <c r="L1576" s="83"/>
      <c r="M1576" s="83"/>
      <c r="N1576" s="83"/>
      <c r="O1576" s="83"/>
      <c r="P1576" s="83"/>
      <c r="Q1576" s="83"/>
      <c r="R1576" s="83"/>
      <c r="S1576" s="82"/>
      <c r="T1576" s="294"/>
    </row>
    <row r="1577" spans="1:20" x14ac:dyDescent="0.25">
      <c r="A1577" s="305"/>
      <c r="B1577" s="79"/>
      <c r="C1577" s="294"/>
      <c r="D1577" s="798" t="s">
        <v>582</v>
      </c>
      <c r="E1577" s="129"/>
      <c r="F1577" s="129"/>
      <c r="G1577" s="129"/>
      <c r="H1577" s="129"/>
      <c r="I1577" s="129"/>
      <c r="J1577" s="93">
        <f>H1371</f>
        <v>1998</v>
      </c>
      <c r="K1577" s="93">
        <f t="shared" ref="K1577:S1577" si="615">J1577+1</f>
        <v>1999</v>
      </c>
      <c r="L1577" s="93">
        <f t="shared" si="615"/>
        <v>2000</v>
      </c>
      <c r="M1577" s="93">
        <f t="shared" si="615"/>
        <v>2001</v>
      </c>
      <c r="N1577" s="93">
        <f t="shared" si="615"/>
        <v>2002</v>
      </c>
      <c r="O1577" s="93">
        <f t="shared" si="615"/>
        <v>2003</v>
      </c>
      <c r="P1577" s="93">
        <f t="shared" si="615"/>
        <v>2004</v>
      </c>
      <c r="Q1577" s="93">
        <f t="shared" si="615"/>
        <v>2005</v>
      </c>
      <c r="R1577" s="93">
        <f t="shared" si="615"/>
        <v>2006</v>
      </c>
      <c r="S1577" s="93">
        <f t="shared" si="615"/>
        <v>2007</v>
      </c>
      <c r="T1577" s="294"/>
    </row>
    <row r="1578" spans="1:20" x14ac:dyDescent="0.25">
      <c r="A1578" s="305"/>
      <c r="B1578" s="797" t="s">
        <v>586</v>
      </c>
      <c r="C1578" s="491"/>
      <c r="D1578" s="557" t="s">
        <v>584</v>
      </c>
      <c r="E1578" s="136"/>
      <c r="F1578" s="136"/>
      <c r="G1578" s="136"/>
      <c r="H1578" s="136"/>
      <c r="I1578" s="136"/>
      <c r="J1578" s="490">
        <f t="shared" ref="J1578:S1578" si="616">J1557</f>
        <v>3</v>
      </c>
      <c r="K1578" s="490">
        <f t="shared" si="616"/>
        <v>3</v>
      </c>
      <c r="L1578" s="490">
        <f t="shared" si="616"/>
        <v>5</v>
      </c>
      <c r="M1578" s="490">
        <f t="shared" si="616"/>
        <v>5</v>
      </c>
      <c r="N1578" s="490">
        <f t="shared" si="616"/>
        <v>7</v>
      </c>
      <c r="O1578" s="490">
        <f t="shared" si="616"/>
        <v>7</v>
      </c>
      <c r="P1578" s="490">
        <f t="shared" si="616"/>
        <v>7</v>
      </c>
      <c r="Q1578" s="490">
        <f t="shared" si="616"/>
        <v>10</v>
      </c>
      <c r="R1578" s="490">
        <f t="shared" si="616"/>
        <v>10</v>
      </c>
      <c r="S1578" s="490">
        <f t="shared" si="616"/>
        <v>15</v>
      </c>
      <c r="T1578" s="294"/>
    </row>
    <row r="1579" spans="1:20" x14ac:dyDescent="0.25">
      <c r="A1579" s="305"/>
      <c r="B1579" s="79"/>
      <c r="C1579" s="294"/>
      <c r="D1579" s="86"/>
      <c r="E1579" s="83"/>
      <c r="F1579" s="83"/>
      <c r="G1579" s="84"/>
      <c r="H1579" s="84"/>
      <c r="I1579" s="84"/>
      <c r="J1579" s="84"/>
      <c r="K1579" s="84"/>
      <c r="L1579" s="84"/>
      <c r="M1579" s="84"/>
      <c r="N1579" s="84"/>
      <c r="O1579" s="84"/>
      <c r="P1579" s="84"/>
      <c r="Q1579" s="84"/>
      <c r="R1579" s="84"/>
      <c r="S1579" s="85"/>
      <c r="T1579" s="294"/>
    </row>
    <row r="1580" spans="1:20" x14ac:dyDescent="0.25">
      <c r="A1580" s="302"/>
      <c r="C1580" s="41"/>
      <c r="D1580" s="820" t="s">
        <v>587</v>
      </c>
      <c r="E1580" s="821"/>
      <c r="F1580" s="821"/>
      <c r="G1580" s="821"/>
      <c r="H1580" s="821"/>
      <c r="I1580" s="821"/>
      <c r="J1580" s="821"/>
      <c r="K1580" s="821"/>
      <c r="L1580" s="821"/>
      <c r="M1580" s="821"/>
      <c r="N1580" s="821"/>
      <c r="O1580" s="821"/>
      <c r="P1580" s="821"/>
      <c r="Q1580" s="821"/>
      <c r="R1580" s="821"/>
      <c r="S1580" s="822"/>
      <c r="T1580" s="335"/>
    </row>
    <row r="1581" spans="1:20" ht="52.95" customHeight="1" x14ac:dyDescent="0.25">
      <c r="A1581" s="302"/>
      <c r="B1581" s="823" t="s">
        <v>588</v>
      </c>
      <c r="C1581" s="823" t="s">
        <v>589</v>
      </c>
      <c r="D1581" s="823" t="s">
        <v>590</v>
      </c>
      <c r="E1581" s="823" t="s">
        <v>591</v>
      </c>
      <c r="F1581" s="823" t="s">
        <v>592</v>
      </c>
      <c r="G1581" s="818" t="s">
        <v>593</v>
      </c>
      <c r="H1581" s="818" t="s">
        <v>594</v>
      </c>
      <c r="I1581" s="818" t="s">
        <v>595</v>
      </c>
      <c r="J1581" s="818" t="s">
        <v>596</v>
      </c>
      <c r="K1581" s="818"/>
      <c r="L1581" s="818"/>
      <c r="M1581" s="818"/>
      <c r="N1581" s="818"/>
      <c r="O1581" s="818"/>
      <c r="P1581" s="818"/>
      <c r="Q1581" s="818"/>
      <c r="R1581" s="818"/>
      <c r="S1581" s="818"/>
      <c r="T1581" s="818"/>
    </row>
    <row r="1582" spans="1:20" x14ac:dyDescent="0.25">
      <c r="A1582" s="302"/>
      <c r="B1582" s="819"/>
      <c r="C1582" s="745">
        <v>0</v>
      </c>
      <c r="D1582" s="819"/>
      <c r="E1582" s="819"/>
      <c r="F1582" s="745">
        <v>0</v>
      </c>
      <c r="G1582" s="819"/>
      <c r="H1582" s="819"/>
      <c r="I1582" s="819"/>
      <c r="J1582" s="819"/>
      <c r="K1582" s="819"/>
      <c r="L1582" s="819"/>
      <c r="M1582" s="819"/>
      <c r="N1582" s="819"/>
      <c r="O1582" s="819"/>
      <c r="P1582" s="819"/>
      <c r="Q1582" s="819"/>
      <c r="R1582" s="819"/>
      <c r="S1582" s="819"/>
      <c r="T1582" s="819"/>
    </row>
    <row r="1583" spans="1:20" x14ac:dyDescent="0.25">
      <c r="A1583" s="302"/>
      <c r="B1583" s="819"/>
      <c r="C1583" s="745">
        <v>0</v>
      </c>
      <c r="D1583" s="819"/>
      <c r="E1583" s="819"/>
      <c r="F1583" s="745">
        <v>0</v>
      </c>
      <c r="G1583" s="819"/>
      <c r="H1583" s="819"/>
      <c r="I1583" s="819"/>
      <c r="J1583" s="819"/>
      <c r="K1583" s="819"/>
      <c r="L1583" s="819"/>
      <c r="M1583" s="819"/>
      <c r="N1583" s="819"/>
      <c r="O1583" s="819"/>
      <c r="P1583" s="819"/>
      <c r="Q1583" s="819"/>
      <c r="R1583" s="819"/>
      <c r="S1583" s="819"/>
      <c r="T1583" s="819"/>
    </row>
    <row r="1584" spans="1:20" x14ac:dyDescent="0.25">
      <c r="A1584" s="302"/>
      <c r="B1584" s="819"/>
      <c r="C1584" s="745">
        <v>0</v>
      </c>
      <c r="D1584" s="819"/>
      <c r="E1584" s="819"/>
      <c r="F1584" s="745">
        <v>0</v>
      </c>
      <c r="G1584" s="819"/>
      <c r="H1584" s="819"/>
      <c r="I1584" s="819"/>
      <c r="J1584" s="819"/>
      <c r="K1584" s="819"/>
      <c r="L1584" s="819"/>
      <c r="M1584" s="819"/>
      <c r="N1584" s="819"/>
      <c r="O1584" s="819"/>
      <c r="P1584" s="819"/>
      <c r="Q1584" s="819"/>
      <c r="R1584" s="819"/>
      <c r="S1584" s="819"/>
      <c r="T1584" s="819"/>
    </row>
    <row r="1585" spans="1:20" x14ac:dyDescent="0.25">
      <c r="A1585" s="302"/>
      <c r="B1585" s="819"/>
      <c r="C1585" s="745">
        <v>0</v>
      </c>
      <c r="D1585" s="819"/>
      <c r="E1585" s="819"/>
      <c r="F1585" s="745">
        <v>0</v>
      </c>
      <c r="G1585" s="819"/>
      <c r="H1585" s="819"/>
      <c r="I1585" s="819"/>
      <c r="J1585" s="819"/>
      <c r="K1585" s="819"/>
      <c r="L1585" s="819"/>
      <c r="M1585" s="819"/>
      <c r="N1585" s="819"/>
      <c r="O1585" s="819"/>
      <c r="P1585" s="819"/>
      <c r="Q1585" s="819"/>
      <c r="R1585" s="819"/>
      <c r="S1585" s="819"/>
      <c r="T1585" s="819"/>
    </row>
    <row r="1586" spans="1:20" x14ac:dyDescent="0.25">
      <c r="A1586" s="302"/>
      <c r="B1586" s="819"/>
      <c r="C1586" s="745">
        <v>0</v>
      </c>
      <c r="D1586" s="819"/>
      <c r="E1586" s="819"/>
      <c r="F1586" s="745">
        <v>0</v>
      </c>
      <c r="G1586" s="819"/>
      <c r="H1586" s="819"/>
      <c r="I1586" s="819"/>
      <c r="J1586" s="819"/>
      <c r="K1586" s="819"/>
      <c r="L1586" s="819"/>
      <c r="M1586" s="819"/>
      <c r="N1586" s="819"/>
      <c r="O1586" s="819"/>
      <c r="P1586" s="819"/>
      <c r="Q1586" s="819"/>
      <c r="R1586" s="819"/>
      <c r="S1586" s="819"/>
      <c r="T1586" s="819"/>
    </row>
    <row r="1587" spans="1:20" x14ac:dyDescent="0.25">
      <c r="A1587" s="302"/>
      <c r="B1587" s="819"/>
      <c r="C1587" s="745">
        <v>0</v>
      </c>
      <c r="D1587" s="819"/>
      <c r="E1587" s="819"/>
      <c r="F1587" s="745">
        <v>0</v>
      </c>
      <c r="G1587" s="819"/>
      <c r="H1587" s="819"/>
      <c r="I1587" s="819"/>
      <c r="J1587" s="819"/>
      <c r="K1587" s="819"/>
      <c r="L1587" s="819"/>
      <c r="M1587" s="819"/>
      <c r="N1587" s="819"/>
      <c r="O1587" s="819"/>
      <c r="P1587" s="819"/>
      <c r="Q1587" s="819"/>
      <c r="R1587" s="819"/>
      <c r="S1587" s="819"/>
      <c r="T1587" s="819"/>
    </row>
    <row r="1588" spans="1:20" x14ac:dyDescent="0.25">
      <c r="A1588" s="302"/>
      <c r="B1588" s="819"/>
      <c r="C1588" s="745">
        <v>0</v>
      </c>
      <c r="D1588" s="819"/>
      <c r="E1588" s="819"/>
      <c r="F1588" s="745">
        <v>0</v>
      </c>
      <c r="G1588" s="819"/>
      <c r="H1588" s="819"/>
      <c r="I1588" s="819"/>
      <c r="J1588" s="819"/>
      <c r="K1588" s="819"/>
      <c r="L1588" s="819"/>
      <c r="M1588" s="819"/>
      <c r="N1588" s="819"/>
      <c r="O1588" s="819"/>
      <c r="P1588" s="819"/>
      <c r="Q1588" s="819"/>
      <c r="R1588" s="819"/>
      <c r="S1588" s="819"/>
      <c r="T1588" s="819"/>
    </row>
    <row r="1589" spans="1:20" x14ac:dyDescent="0.25">
      <c r="A1589" s="302"/>
      <c r="B1589" s="819"/>
      <c r="C1589" s="745">
        <v>0</v>
      </c>
      <c r="D1589" s="819"/>
      <c r="E1589" s="819"/>
      <c r="F1589" s="745">
        <v>0</v>
      </c>
      <c r="G1589" s="819"/>
      <c r="H1589" s="819"/>
      <c r="I1589" s="819"/>
      <c r="J1589" s="819"/>
      <c r="K1589" s="819"/>
      <c r="L1589" s="819"/>
      <c r="M1589" s="819"/>
      <c r="N1589" s="819"/>
      <c r="O1589" s="819"/>
      <c r="P1589" s="819"/>
      <c r="Q1589" s="819"/>
      <c r="R1589" s="819"/>
      <c r="S1589" s="819"/>
      <c r="T1589" s="819"/>
    </row>
    <row r="1590" spans="1:20" x14ac:dyDescent="0.25">
      <c r="A1590" s="302"/>
      <c r="B1590" s="819"/>
      <c r="C1590" s="745">
        <v>0</v>
      </c>
      <c r="D1590" s="819"/>
      <c r="E1590" s="819"/>
      <c r="F1590" s="745">
        <v>0</v>
      </c>
      <c r="G1590" s="819"/>
      <c r="H1590" s="819"/>
      <c r="I1590" s="819"/>
      <c r="J1590" s="819"/>
      <c r="K1590" s="819"/>
      <c r="L1590" s="819"/>
      <c r="M1590" s="819"/>
      <c r="N1590" s="819"/>
      <c r="O1590" s="819"/>
      <c r="P1590" s="819"/>
      <c r="Q1590" s="819"/>
      <c r="R1590" s="819"/>
      <c r="S1590" s="819"/>
      <c r="T1590" s="819"/>
    </row>
    <row r="1591" spans="1:20" x14ac:dyDescent="0.25">
      <c r="A1591" s="302"/>
      <c r="B1591" s="819"/>
      <c r="C1591" s="745">
        <v>0</v>
      </c>
      <c r="D1591" s="819"/>
      <c r="E1591" s="819"/>
      <c r="F1591" s="745">
        <v>0</v>
      </c>
      <c r="G1591" s="819"/>
      <c r="H1591" s="819"/>
      <c r="I1591" s="819"/>
      <c r="J1591" s="819"/>
      <c r="K1591" s="819"/>
      <c r="L1591" s="819"/>
      <c r="M1591" s="819"/>
      <c r="N1591" s="819"/>
      <c r="O1591" s="819"/>
      <c r="P1591" s="819"/>
      <c r="Q1591" s="819"/>
      <c r="R1591" s="819"/>
      <c r="S1591" s="819"/>
      <c r="T1591" s="819"/>
    </row>
    <row r="1592" spans="1:20" x14ac:dyDescent="0.25">
      <c r="A1592" s="302"/>
      <c r="B1592" s="819"/>
      <c r="C1592" s="745">
        <v>0</v>
      </c>
      <c r="D1592" s="819"/>
      <c r="E1592" s="819"/>
      <c r="F1592" s="745">
        <v>0</v>
      </c>
      <c r="G1592" s="819"/>
      <c r="H1592" s="819"/>
      <c r="I1592" s="819"/>
      <c r="J1592" s="819"/>
      <c r="K1592" s="819"/>
      <c r="L1592" s="819"/>
      <c r="M1592" s="819"/>
      <c r="N1592" s="819"/>
      <c r="O1592" s="819"/>
      <c r="P1592" s="819"/>
      <c r="Q1592" s="819"/>
      <c r="R1592" s="819"/>
      <c r="S1592" s="819"/>
      <c r="T1592" s="819"/>
    </row>
    <row r="1593" spans="1:20" x14ac:dyDescent="0.25">
      <c r="A1593" s="302"/>
      <c r="B1593" s="819"/>
      <c r="C1593" s="745">
        <v>0</v>
      </c>
      <c r="D1593" s="819"/>
      <c r="E1593" s="819"/>
      <c r="F1593" s="745">
        <v>0</v>
      </c>
      <c r="G1593" s="819"/>
      <c r="H1593" s="819"/>
      <c r="I1593" s="819"/>
      <c r="J1593" s="819"/>
      <c r="K1593" s="819"/>
      <c r="L1593" s="819"/>
      <c r="M1593" s="819"/>
      <c r="N1593" s="819"/>
      <c r="O1593" s="819"/>
      <c r="P1593" s="819"/>
      <c r="Q1593" s="819"/>
      <c r="R1593" s="819"/>
      <c r="S1593" s="819"/>
      <c r="T1593" s="819"/>
    </row>
    <row r="1594" spans="1:20" x14ac:dyDescent="0.25">
      <c r="A1594" s="302"/>
      <c r="B1594" s="819"/>
      <c r="C1594" s="745">
        <v>0</v>
      </c>
      <c r="D1594" s="819"/>
      <c r="E1594" s="819"/>
      <c r="F1594" s="745">
        <v>0</v>
      </c>
      <c r="G1594" s="819"/>
      <c r="H1594" s="819"/>
      <c r="I1594" s="819"/>
      <c r="J1594" s="819"/>
      <c r="K1594" s="819"/>
      <c r="L1594" s="819"/>
      <c r="M1594" s="819"/>
      <c r="N1594" s="819"/>
      <c r="O1594" s="819"/>
      <c r="P1594" s="819"/>
      <c r="Q1594" s="819"/>
      <c r="R1594" s="819"/>
      <c r="S1594" s="819"/>
      <c r="T1594" s="819"/>
    </row>
    <row r="1595" spans="1:20" x14ac:dyDescent="0.25">
      <c r="A1595" s="302"/>
      <c r="B1595" s="819"/>
      <c r="C1595" s="745">
        <v>0</v>
      </c>
      <c r="D1595" s="819"/>
      <c r="E1595" s="819"/>
      <c r="F1595" s="745">
        <v>0</v>
      </c>
      <c r="G1595" s="819"/>
      <c r="H1595" s="819"/>
      <c r="I1595" s="819"/>
      <c r="J1595" s="819"/>
      <c r="K1595" s="819"/>
      <c r="L1595" s="819"/>
      <c r="M1595" s="819"/>
      <c r="N1595" s="819"/>
      <c r="O1595" s="819"/>
      <c r="P1595" s="819"/>
      <c r="Q1595" s="819"/>
      <c r="R1595" s="819"/>
      <c r="S1595" s="819"/>
      <c r="T1595" s="819"/>
    </row>
    <row r="1596" spans="1:20" x14ac:dyDescent="0.25">
      <c r="A1596" s="302"/>
      <c r="B1596" s="819"/>
      <c r="C1596" s="745">
        <v>0</v>
      </c>
      <c r="D1596" s="819"/>
      <c r="E1596" s="819"/>
      <c r="F1596" s="745">
        <v>0</v>
      </c>
      <c r="G1596" s="819"/>
      <c r="H1596" s="819"/>
      <c r="I1596" s="819"/>
      <c r="J1596" s="819"/>
      <c r="K1596" s="819"/>
      <c r="L1596" s="819"/>
      <c r="M1596" s="819"/>
      <c r="N1596" s="819"/>
      <c r="O1596" s="819"/>
      <c r="P1596" s="819"/>
      <c r="Q1596" s="819"/>
      <c r="R1596" s="819"/>
      <c r="S1596" s="819"/>
      <c r="T1596" s="819"/>
    </row>
    <row r="1597" spans="1:20" x14ac:dyDescent="0.25">
      <c r="A1597" s="302"/>
      <c r="B1597" s="819"/>
      <c r="C1597" s="745">
        <v>0</v>
      </c>
      <c r="D1597" s="819"/>
      <c r="E1597" s="819"/>
      <c r="F1597" s="745">
        <v>0</v>
      </c>
      <c r="G1597" s="819"/>
      <c r="H1597" s="819"/>
      <c r="I1597" s="819"/>
      <c r="J1597" s="819"/>
      <c r="K1597" s="819"/>
      <c r="L1597" s="819"/>
      <c r="M1597" s="819"/>
      <c r="N1597" s="819"/>
      <c r="O1597" s="819"/>
      <c r="P1597" s="819"/>
      <c r="Q1597" s="819"/>
      <c r="R1597" s="819"/>
      <c r="S1597" s="819"/>
      <c r="T1597" s="819"/>
    </row>
    <row r="1598" spans="1:20" x14ac:dyDescent="0.25">
      <c r="A1598" s="799" t="s">
        <v>427</v>
      </c>
      <c r="B1598" s="799" t="s">
        <v>427</v>
      </c>
      <c r="C1598" s="799" t="s">
        <v>427</v>
      </c>
      <c r="D1598" s="799" t="s">
        <v>427</v>
      </c>
      <c r="E1598" s="799" t="s">
        <v>427</v>
      </c>
      <c r="F1598" s="799" t="s">
        <v>427</v>
      </c>
      <c r="G1598" s="799" t="s">
        <v>427</v>
      </c>
      <c r="H1598" s="799" t="s">
        <v>427</v>
      </c>
      <c r="I1598" s="799" t="s">
        <v>427</v>
      </c>
      <c r="J1598" s="799" t="s">
        <v>427</v>
      </c>
      <c r="K1598" s="799" t="s">
        <v>427</v>
      </c>
      <c r="L1598" s="799" t="s">
        <v>427</v>
      </c>
      <c r="M1598" s="799" t="s">
        <v>427</v>
      </c>
      <c r="N1598" s="799" t="s">
        <v>427</v>
      </c>
      <c r="O1598" s="799" t="s">
        <v>427</v>
      </c>
      <c r="P1598" s="799" t="s">
        <v>427</v>
      </c>
      <c r="Q1598" s="799" t="s">
        <v>427</v>
      </c>
      <c r="R1598" s="799" t="s">
        <v>427</v>
      </c>
      <c r="S1598" s="799" t="s">
        <v>427</v>
      </c>
      <c r="T1598" s="799" t="s">
        <v>427</v>
      </c>
    </row>
    <row r="1599" spans="1:20" x14ac:dyDescent="0.25">
      <c r="E1599" s="233"/>
      <c r="K1599" s="41"/>
      <c r="L1599" s="41"/>
      <c r="M1599" s="44"/>
      <c r="N1599" s="41"/>
    </row>
    <row r="1600" spans="1:20" x14ac:dyDescent="0.25">
      <c r="K1600" s="41"/>
      <c r="L1600" s="41"/>
      <c r="M1600" s="260"/>
      <c r="N1600" s="41"/>
    </row>
    <row r="1601" spans="11:14" x14ac:dyDescent="0.25">
      <c r="K1601" s="41"/>
      <c r="L1601" s="41"/>
      <c r="M1601" s="260"/>
      <c r="N1601" s="41"/>
    </row>
    <row r="1602" spans="11:14" x14ac:dyDescent="0.25">
      <c r="K1602" s="41"/>
      <c r="L1602" s="41"/>
      <c r="M1602" s="260"/>
      <c r="N1602" s="41"/>
    </row>
    <row r="1603" spans="11:14" x14ac:dyDescent="0.25">
      <c r="K1603" s="41"/>
      <c r="L1603" s="41"/>
      <c r="M1603" s="260"/>
      <c r="N1603" s="41"/>
    </row>
    <row r="1604" spans="11:14" x14ac:dyDescent="0.25">
      <c r="K1604" s="41"/>
      <c r="L1604" s="41"/>
      <c r="M1604" s="260"/>
      <c r="N1604" s="41"/>
    </row>
    <row r="1605" spans="11:14" x14ac:dyDescent="0.25">
      <c r="K1605" s="41"/>
      <c r="L1605" s="41"/>
      <c r="M1605" s="260"/>
      <c r="N1605" s="41"/>
    </row>
    <row r="1606" spans="11:14" x14ac:dyDescent="0.25">
      <c r="K1606" s="41"/>
      <c r="L1606" s="41"/>
      <c r="M1606" s="260"/>
      <c r="N1606" s="41"/>
    </row>
    <row r="1607" spans="11:14" x14ac:dyDescent="0.25">
      <c r="K1607" s="41"/>
      <c r="L1607" s="41"/>
      <c r="M1607" s="260"/>
      <c r="N1607" s="41"/>
    </row>
    <row r="1608" spans="11:14" x14ac:dyDescent="0.25">
      <c r="K1608" s="41"/>
      <c r="L1608" s="41"/>
      <c r="M1608" s="260"/>
      <c r="N1608" s="41"/>
    </row>
    <row r="1609" spans="11:14" x14ac:dyDescent="0.25">
      <c r="K1609" s="41"/>
      <c r="L1609" s="41"/>
      <c r="M1609" s="260"/>
      <c r="N1609" s="41"/>
    </row>
    <row r="1610" spans="11:14" x14ac:dyDescent="0.25">
      <c r="K1610" s="41"/>
      <c r="L1610" s="41"/>
      <c r="M1610" s="260"/>
      <c r="N1610" s="41"/>
    </row>
    <row r="1611" spans="11:14" x14ac:dyDescent="0.25">
      <c r="K1611" s="41"/>
      <c r="L1611" s="41"/>
      <c r="M1611" s="260"/>
      <c r="N1611" s="41"/>
    </row>
    <row r="1612" spans="11:14" x14ac:dyDescent="0.25">
      <c r="K1612" s="41"/>
      <c r="L1612" s="41"/>
      <c r="M1612" s="260"/>
      <c r="N1612" s="41"/>
    </row>
    <row r="1613" spans="11:14" x14ac:dyDescent="0.25">
      <c r="K1613" s="41"/>
      <c r="L1613" s="41"/>
      <c r="M1613" s="260"/>
      <c r="N1613" s="41"/>
    </row>
    <row r="1614" spans="11:14" x14ac:dyDescent="0.25">
      <c r="K1614" s="41"/>
      <c r="L1614" s="41"/>
      <c r="M1614" s="260"/>
      <c r="N1614" s="41"/>
    </row>
    <row r="1615" spans="11:14" x14ac:dyDescent="0.25">
      <c r="K1615" s="41"/>
      <c r="L1615" s="41"/>
      <c r="M1615" s="41"/>
      <c r="N1615" s="41"/>
    </row>
  </sheetData>
  <printOptions horizontalCentered="1" gridLinesSet="0"/>
  <pageMargins left="0.74803149606299213" right="0.74803149606299213" top="0.98425196850393704" bottom="0.98425196850393704" header="0.51181102362204722" footer="0.51181102362204722"/>
  <pageSetup scale="65" fitToHeight="0" orientation="landscape" horizontalDpi="4294967292" verticalDpi="4294967292" r:id="rId1"/>
  <headerFooter alignWithMargins="0">
    <oddFooter>&amp;LDonaldson, Lufkin &amp;&amp; Jenrette&amp;CPage &amp;P&amp;R&amp;F / &amp;D / &amp;T</oddFooter>
  </headerFooter>
  <rowBreaks count="27" manualBreakCount="27">
    <brk id="27" max="65535" man="1"/>
    <brk id="91" max="65535" man="1"/>
    <brk id="137" max="65535" man="1"/>
    <brk id="176" max="65535" man="1"/>
    <brk id="221" max="65535" man="1"/>
    <brk id="267" max="65535" man="1"/>
    <brk id="329" max="65535" man="1"/>
    <brk id="396" max="65535" man="1"/>
    <brk id="444" max="65535" man="1"/>
    <brk id="519" max="65535" man="1"/>
    <brk id="571" max="65535" man="1"/>
    <brk id="627" max="65535" man="1"/>
    <brk id="676" max="65535" man="1"/>
    <brk id="733" max="65535" man="1"/>
    <brk id="783" max="65535" man="1"/>
    <brk id="837" max="65535" man="1"/>
    <brk id="874" max="65535" man="1"/>
    <brk id="909" max="65535" man="1"/>
    <brk id="937" max="65535" man="1"/>
    <brk id="994" max="65535" man="1"/>
    <brk id="1070" max="65535" man="1"/>
    <brk id="1418" max="65535" man="1"/>
    <brk id="1448" max="65535" man="1"/>
    <brk id="1488" max="65535" man="1"/>
    <brk id="1533" max="65535" man="1"/>
    <brk id="1558" max="65535" man="1"/>
    <brk id="1614" max="65535" man="1"/>
  </rowBreaks>
  <colBreaks count="2" manualBreakCount="2">
    <brk id="3" max="1048575" man="1"/>
    <brk id="1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138</vt:i4>
      </vt:variant>
    </vt:vector>
  </HeadingPairs>
  <TitlesOfParts>
    <vt:vector size="139" baseType="lpstr">
      <vt:lpstr>LBOSHELL</vt:lpstr>
      <vt:lpstr>A</vt:lpstr>
      <vt:lpstr>ACRS</vt:lpstr>
      <vt:lpstr>AFEE</vt:lpstr>
      <vt:lpstr>amort</vt:lpstr>
      <vt:lpstr>LBOSHELL!Área_de_impresión</vt:lpstr>
      <vt:lpstr>ass</vt:lpstr>
      <vt:lpstr>backup</vt:lpstr>
      <vt:lpstr>bdep</vt:lpstr>
      <vt:lpstr>BS</vt:lpstr>
      <vt:lpstr>Capex</vt:lpstr>
      <vt:lpstr>capnumber</vt:lpstr>
      <vt:lpstr>capx</vt:lpstr>
      <vt:lpstr>case</vt:lpstr>
      <vt:lpstr>casenumber</vt:lpstr>
      <vt:lpstr>CBS</vt:lpstr>
      <vt:lpstr>ccase</vt:lpstr>
      <vt:lpstr>CF</vt:lpstr>
      <vt:lpstr>CLOSBS</vt:lpstr>
      <vt:lpstr>CN</vt:lpstr>
      <vt:lpstr>cogs</vt:lpstr>
      <vt:lpstr>cov</vt:lpstr>
      <vt:lpstr>debt</vt:lpstr>
      <vt:lpstr>Debt_5..........................................................................................................................</vt:lpstr>
      <vt:lpstr>Debt_Space</vt:lpstr>
      <vt:lpstr>debtamort</vt:lpstr>
      <vt:lpstr>debtrig</vt:lpstr>
      <vt:lpstr>DEP</vt:lpstr>
      <vt:lpstr>depr</vt:lpstr>
      <vt:lpstr>depr._override</vt:lpstr>
      <vt:lpstr>ds</vt:lpstr>
      <vt:lpstr>dsched</vt:lpstr>
      <vt:lpstr>ebdait</vt:lpstr>
      <vt:lpstr>EQ_COM</vt:lpstr>
      <vt:lpstr>EQ_EX</vt:lpstr>
      <vt:lpstr>EQ_JSD</vt:lpstr>
      <vt:lpstr>EQ_PREF</vt:lpstr>
      <vt:lpstr>EQ_PRFD</vt:lpstr>
      <vt:lpstr>EQ_SSN</vt:lpstr>
      <vt:lpstr>eqb</vt:lpstr>
      <vt:lpstr>equity</vt:lpstr>
      <vt:lpstr>evergreen_ar</vt:lpstr>
      <vt:lpstr>evergreen_inv</vt:lpstr>
      <vt:lpstr>EXPP</vt:lpstr>
      <vt:lpstr>fedtax</vt:lpstr>
      <vt:lpstr>FEE</vt:lpstr>
      <vt:lpstr>fye</vt:lpstr>
      <vt:lpstr>G.Assumptions</vt:lpstr>
      <vt:lpstr>G.BalanceSheet</vt:lpstr>
      <vt:lpstr>G.BookDeprec</vt:lpstr>
      <vt:lpstr>G.CashFlow</vt:lpstr>
      <vt:lpstr>G.CloseBalSheet</vt:lpstr>
      <vt:lpstr>G.ControlPanel</vt:lpstr>
      <vt:lpstr>G.Debt</vt:lpstr>
      <vt:lpstr>G.DebtTables</vt:lpstr>
      <vt:lpstr>G.EquitySplit</vt:lpstr>
      <vt:lpstr>G.IncomeStmt</vt:lpstr>
      <vt:lpstr>G.Inputs</vt:lpstr>
      <vt:lpstr>G.IntRates</vt:lpstr>
      <vt:lpstr>G.TaxDeprec</vt:lpstr>
      <vt:lpstr>G.Triggers</vt:lpstr>
      <vt:lpstr>grossp</vt:lpstr>
      <vt:lpstr>gw</vt:lpstr>
      <vt:lpstr>INCOME</vt:lpstr>
      <vt:lpstr>int.switch</vt:lpstr>
      <vt:lpstr>irass</vt:lpstr>
      <vt:lpstr>is</vt:lpstr>
      <vt:lpstr>lastdebt</vt:lpstr>
      <vt:lpstr>lastpref</vt:lpstr>
      <vt:lpstr>look</vt:lpstr>
      <vt:lpstr>lookup</vt:lpstr>
      <vt:lpstr>mult</vt:lpstr>
      <vt:lpstr>notes</vt:lpstr>
      <vt:lpstr>ocase</vt:lpstr>
      <vt:lpstr>ON</vt:lpstr>
      <vt:lpstr>owner</vt:lpstr>
      <vt:lpstr>P.Assumptions</vt:lpstr>
      <vt:lpstr>P.Backup</vt:lpstr>
      <vt:lpstr>P.BalanceSheet</vt:lpstr>
      <vt:lpstr>P.Base</vt:lpstr>
      <vt:lpstr>P.CashFlow</vt:lpstr>
      <vt:lpstr>P.CloseBalSheet</vt:lpstr>
      <vt:lpstr>P.ControlPanel</vt:lpstr>
      <vt:lpstr>P.Cover</vt:lpstr>
      <vt:lpstr>P.Debt</vt:lpstr>
      <vt:lpstr>P.IncomeStmt</vt:lpstr>
      <vt:lpstr>P.Inputs</vt:lpstr>
      <vt:lpstr>P.IntRates</vt:lpstr>
      <vt:lpstr>p.ratio</vt:lpstr>
      <vt:lpstr>P.Returns</vt:lpstr>
      <vt:lpstr>paige</vt:lpstr>
      <vt:lpstr>part</vt:lpstr>
      <vt:lpstr>Pref_Space</vt:lpstr>
      <vt:lpstr>project</vt:lpstr>
      <vt:lpstr>PROMOTE</vt:lpstr>
      <vt:lpstr>rate</vt:lpstr>
      <vt:lpstr>rateinput</vt:lpstr>
      <vt:lpstr>Ratio</vt:lpstr>
      <vt:lpstr>REPAY</vt:lpstr>
      <vt:lpstr>RETDT</vt:lpstr>
      <vt:lpstr>RETURN</vt:lpstr>
      <vt:lpstr>RETURNS</vt:lpstr>
      <vt:lpstr>sales</vt:lpstr>
      <vt:lpstr>scenario.1</vt:lpstr>
      <vt:lpstr>scenario.2</vt:lpstr>
      <vt:lpstr>scenario.3</vt:lpstr>
      <vt:lpstr>scenario.4</vt:lpstr>
      <vt:lpstr>sga</vt:lpstr>
      <vt:lpstr>sponsor</vt:lpstr>
      <vt:lpstr>step</vt:lpstr>
      <vt:lpstr>step2</vt:lpstr>
      <vt:lpstr>stub</vt:lpstr>
      <vt:lpstr>su</vt:lpstr>
      <vt:lpstr>TAB1</vt:lpstr>
      <vt:lpstr>TAB2</vt:lpstr>
      <vt:lpstr>TAB3</vt:lpstr>
      <vt:lpstr>TAB4</vt:lpstr>
      <vt:lpstr>TAB5</vt:lpstr>
      <vt:lpstr>TABL_COM</vt:lpstr>
      <vt:lpstr>TABL_EX</vt:lpstr>
      <vt:lpstr>TABL_JSD</vt:lpstr>
      <vt:lpstr>TABL_PRFD</vt:lpstr>
      <vt:lpstr>TABL_SSN</vt:lpstr>
      <vt:lpstr>TAX</vt:lpstr>
      <vt:lpstr>taxdep</vt:lpstr>
      <vt:lpstr>tcase</vt:lpstr>
      <vt:lpstr>tdep</vt:lpstr>
      <vt:lpstr>term_cf</vt:lpstr>
      <vt:lpstr>term_eq</vt:lpstr>
      <vt:lpstr>top</vt:lpstr>
      <vt:lpstr>tp</vt:lpstr>
      <vt:lpstr>trig1</vt:lpstr>
      <vt:lpstr>trig2</vt:lpstr>
      <vt:lpstr>trig3</vt:lpstr>
      <vt:lpstr>trig4</vt:lpstr>
      <vt:lpstr>trig5</vt:lpstr>
      <vt:lpstr>ttcase</vt:lpstr>
      <vt:lpstr>wcint</vt:lpstr>
      <vt:lpstr>year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Inti</dc:creator>
  <cp:lastModifiedBy>Patricio Gonzalez Viescas</cp:lastModifiedBy>
  <cp:lastPrinted>2014-09-16T19:57:44Z</cp:lastPrinted>
  <dcterms:created xsi:type="dcterms:W3CDTF">1998-09-01T21:53:41Z</dcterms:created>
  <dcterms:modified xsi:type="dcterms:W3CDTF">2022-10-24T21:59:18Z</dcterms:modified>
</cp:coreProperties>
</file>