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50" firstSheet="2" activeTab="6"/>
  </bookViews>
  <sheets>
    <sheet name="Flujo" sheetId="1" r:id="rId1"/>
    <sheet name="Ganancias" sheetId="2" r:id="rId2"/>
    <sheet name="VAN-TIR" sheetId="3" r:id="rId3"/>
    <sheet name="Crédito Alemán" sheetId="4" r:id="rId4"/>
    <sheet name="Crédito Frances" sheetId="5" r:id="rId5"/>
    <sheet name="Crédito Americano" sheetId="6" r:id="rId6"/>
    <sheet name="Unidemensional" sheetId="7" r:id="rId7"/>
    <sheet name="Bidimensional" sheetId="8" r:id="rId8"/>
    <sheet name="Resumen del escenario" sheetId="9" r:id="rId9"/>
    <sheet name="Escenarios" sheetId="10" r:id="rId10"/>
  </sheets>
  <definedNames/>
  <calcPr fullCalcOnLoad="1"/>
</workbook>
</file>

<file path=xl/sharedStrings.xml><?xml version="1.0" encoding="utf-8"?>
<sst xmlns="http://schemas.openxmlformats.org/spreadsheetml/2006/main" count="465" uniqueCount="133">
  <si>
    <t>Concepto/Período</t>
  </si>
  <si>
    <t>Ingresos</t>
  </si>
  <si>
    <t>Inversión</t>
  </si>
  <si>
    <t>Flujo de Beneficios Netos</t>
  </si>
  <si>
    <t>Coeficiente de descuento</t>
  </si>
  <si>
    <t>Flujo Descontado</t>
  </si>
  <si>
    <t xml:space="preserve"> </t>
  </si>
  <si>
    <t>T.I.R.</t>
  </si>
  <si>
    <t>Tasa de Descuento</t>
  </si>
  <si>
    <t>Ventas</t>
  </si>
  <si>
    <t>Cantidad</t>
  </si>
  <si>
    <t>Precio</t>
  </si>
  <si>
    <t>Valor de Recupero</t>
  </si>
  <si>
    <t>T.I.R. MODIFICADA</t>
  </si>
  <si>
    <t>TABLERO DE REFERENCIAS</t>
  </si>
  <si>
    <t>Resultado Contable a/imp.</t>
  </si>
  <si>
    <t>Impuesto a las Ganancias</t>
  </si>
  <si>
    <t>Resultado Contable d/imp.</t>
  </si>
  <si>
    <t>Amortización maquinarias (-)</t>
  </si>
  <si>
    <t>Amortización maquinarias (+)</t>
  </si>
  <si>
    <t>Inversiones</t>
  </si>
  <si>
    <t>SALDO</t>
  </si>
  <si>
    <t>CAPITAL</t>
  </si>
  <si>
    <t>INTERES</t>
  </si>
  <si>
    <t>CUOTA</t>
  </si>
  <si>
    <t>Crédito Solicitado</t>
  </si>
  <si>
    <t>Capital</t>
  </si>
  <si>
    <t>Cantidad de Cuotas</t>
  </si>
  <si>
    <t>Tasa de Interés</t>
  </si>
  <si>
    <t>Sistema</t>
  </si>
  <si>
    <t>Alemán</t>
  </si>
  <si>
    <t>Ingreso del Crédito</t>
  </si>
  <si>
    <t>Pago de Cuotas (capital)</t>
  </si>
  <si>
    <t>CUOTA ANUAL</t>
  </si>
  <si>
    <t>Americano</t>
  </si>
  <si>
    <t>Francés</t>
  </si>
  <si>
    <t>Costos Variables</t>
  </si>
  <si>
    <t>Por unidad</t>
  </si>
  <si>
    <t>Costos Fijos</t>
  </si>
  <si>
    <t>Por año</t>
  </si>
  <si>
    <t>Capital de Trabajo</t>
  </si>
  <si>
    <t>Por única vez</t>
  </si>
  <si>
    <t>Equipo (dura 5 años)</t>
  </si>
  <si>
    <t>Inversión Equipos</t>
  </si>
  <si>
    <t>Inversión en Capital de Trab.</t>
  </si>
  <si>
    <t>Alícuota Imp.a las Gcias.</t>
  </si>
  <si>
    <t>Flujo: Instalar la fábrica de calculadoras escolares vs no hacerlo</t>
  </si>
  <si>
    <t>Intereses del Crédito</t>
  </si>
  <si>
    <t>Sumando Valores Netos</t>
  </si>
  <si>
    <t>Insertando Función Excel</t>
  </si>
  <si>
    <t>ESCUDO FISCAL</t>
  </si>
  <si>
    <t>Tasa</t>
  </si>
  <si>
    <t>Tasa Neta</t>
  </si>
  <si>
    <t>APALANCAMIENTO NEUTRO</t>
  </si>
  <si>
    <t>P.R.I. VALORES NOMINALES</t>
  </si>
  <si>
    <t>P.R.I. VALORES DESCONTADOS</t>
  </si>
  <si>
    <t>3 años + 9 meses aprox.</t>
  </si>
  <si>
    <t>4 años + 9 meses aprox.</t>
  </si>
  <si>
    <t>FLUJO DEL PROYECTO</t>
  </si>
  <si>
    <t>Ingresos operac.</t>
  </si>
  <si>
    <t>Costo variable</t>
  </si>
  <si>
    <t>Depreciación</t>
  </si>
  <si>
    <t>Utilidad</t>
  </si>
  <si>
    <t>Impuesto</t>
  </si>
  <si>
    <t>Utilidad Neta Contable</t>
  </si>
  <si>
    <t>Inversión Fija</t>
  </si>
  <si>
    <t>Capital de trabajo</t>
  </si>
  <si>
    <t>Flujo de Benficios Netos</t>
  </si>
  <si>
    <t>VAN (12%)</t>
  </si>
  <si>
    <t>TIR</t>
  </si>
  <si>
    <t>Cantidad Vendida</t>
  </si>
  <si>
    <t>Costo Variable</t>
  </si>
  <si>
    <t>Costo Fijo</t>
  </si>
  <si>
    <t>Valor de Desecho Inv.</t>
  </si>
  <si>
    <t xml:space="preserve">  </t>
  </si>
  <si>
    <t>Inversión en Cap.de Trab.</t>
  </si>
  <si>
    <t>% Amortiz. Anual</t>
  </si>
  <si>
    <t>% Impuesto a las Gcias.</t>
  </si>
  <si>
    <t>SENSIBILIZACION DE VARIABLES</t>
  </si>
  <si>
    <t>TABLA: Relación Precio-Cantidad</t>
  </si>
  <si>
    <t>Más-Menos 3</t>
  </si>
  <si>
    <t>HERRAMIENTA EXCEL</t>
  </si>
  <si>
    <t>Vértice Superior izquierdo VAN</t>
  </si>
  <si>
    <t>Más celda del VAN</t>
  </si>
  <si>
    <t xml:space="preserve"> PRIMERA FILA</t>
  </si>
  <si>
    <t>Primero Precio del Flujo</t>
  </si>
  <si>
    <t>En número (no referencia)</t>
  </si>
  <si>
    <t>Otros precios</t>
  </si>
  <si>
    <t>Sacar % del precio INICIAL</t>
  </si>
  <si>
    <t xml:space="preserve"> PRIMERA COLUMNA</t>
  </si>
  <si>
    <t>Primero Cantidad del Flujo</t>
  </si>
  <si>
    <t>Otras cantidades</t>
  </si>
  <si>
    <t>Sacar % de la cantidad INICIAL</t>
  </si>
  <si>
    <t>PINTAR TODO, DESDE EL VAN</t>
  </si>
  <si>
    <t>DATOS</t>
  </si>
  <si>
    <t>ANÁLISIS Y SI</t>
  </si>
  <si>
    <t>TABLA DE DATOS</t>
  </si>
  <si>
    <t>CELDA DE ENTRADA FILA</t>
  </si>
  <si>
    <t>Precio - "Del Tablero"</t>
  </si>
  <si>
    <t>CELDA DE ENTRADA COLUMNA</t>
  </si>
  <si>
    <t>Cantidad - "Del Tablero"</t>
  </si>
  <si>
    <t>TABLA: Relación Precio-Costo Variable</t>
  </si>
  <si>
    <t>ESCENARIO OPTIMISTA</t>
  </si>
  <si>
    <t>ESCENARIO MEJOR ESTIMADO</t>
  </si>
  <si>
    <t>ESCENARIO PESIMISTA</t>
  </si>
  <si>
    <t>EXCEL ANTERIOR</t>
  </si>
  <si>
    <t>HERRAMIENTAS</t>
  </si>
  <si>
    <t>ESCENARIOS</t>
  </si>
  <si>
    <t>AGREGAR</t>
  </si>
  <si>
    <t>COLOCO NOMBRE</t>
  </si>
  <si>
    <t>MARCO CELDAS COMBIANTES</t>
  </si>
  <si>
    <t>ENTER</t>
  </si>
  <si>
    <t>COLOCO LOS VALORES</t>
  </si>
  <si>
    <t>INTRODUZCO VALORES</t>
  </si>
  <si>
    <t>ACEPTAR</t>
  </si>
  <si>
    <t>MOSTRAR</t>
  </si>
  <si>
    <t xml:space="preserve">V.A.N. (12%)  </t>
  </si>
  <si>
    <t>$C$23</t>
  </si>
  <si>
    <t>$C$24</t>
  </si>
  <si>
    <t>$C$25</t>
  </si>
  <si>
    <t>$C$17</t>
  </si>
  <si>
    <t>$C$19</t>
  </si>
  <si>
    <t>Básico</t>
  </si>
  <si>
    <t>Creado por Molina Raúl el 4/5/2022</t>
  </si>
  <si>
    <t>Optimista</t>
  </si>
  <si>
    <t>Pesimista</t>
  </si>
  <si>
    <t>Resumen del escenario</t>
  </si>
  <si>
    <t>Celdas cambiantes:</t>
  </si>
  <si>
    <t>Valores actuales:</t>
  </si>
  <si>
    <t>Celdas de resultado:</t>
  </si>
  <si>
    <t>Notas: La columna de valores actuales representa los valores de las celdas cambiantes</t>
  </si>
  <si>
    <t>en el momento en que se creó el Informe resumen de escenario. Las celdas cambiantes de</t>
  </si>
  <si>
    <t>cada escenario se muestran en gris.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</si>
</sst>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_-* #,##0_-;\-* #,##0_-;_-* &quot;-&quot;??_-;_-@_-"/>
    <numFmt numFmtId="179" formatCode="_-* #,##0.000_-;\-* #,##0.000_-;_-* &quot;-&quot;??_-;_-@_-"/>
    <numFmt numFmtId="180" formatCode="0.0000%"/>
    <numFmt numFmtId="181" formatCode="_-* #,##0.0000_-;\-* #,##0.0000_-;_-* &quot;-&quot;??_-;_-@_-"/>
    <numFmt numFmtId="182" formatCode="_-* #,##0\ _€_-;\-* #,##0\ _€_-;_-* &quot;-&quot;??\ _€_-;_-@_-"/>
    <numFmt numFmtId="183" formatCode="0.000%"/>
    <numFmt numFmtId="184" formatCode="_-* #,##0.00\ _€_-;\-* #,##0.00\ _€_-;_-* &quot;-&quot;??\ _€_-;_-@_-"/>
    <numFmt numFmtId="185" formatCode="#,##0_ ;[Red]\-#,##0\ "/>
  </numFmts>
  <fonts count="68">
    <font>
      <sz val="10"/>
      <name val="Arial"/>
      <family val="0"/>
    </font>
    <font>
      <b/>
      <i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48"/>
      <name val="Arial"/>
      <family val="2"/>
    </font>
    <font>
      <b/>
      <sz val="12"/>
      <color indexed="57"/>
      <name val="Arial"/>
      <family val="2"/>
    </font>
    <font>
      <b/>
      <i/>
      <sz val="12"/>
      <color indexed="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30"/>
      <name val="Arial"/>
      <family val="2"/>
    </font>
    <font>
      <b/>
      <sz val="10"/>
      <color indexed="36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2"/>
      <color indexed="30"/>
      <name val="Arial"/>
      <family val="2"/>
    </font>
    <font>
      <b/>
      <i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57"/>
      <name val="Arial"/>
      <family val="2"/>
    </font>
    <font>
      <sz val="10"/>
      <color indexed="57"/>
      <name val="Arial"/>
      <family val="2"/>
    </font>
    <font>
      <i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6" tint="-0.24997000396251678"/>
      <name val="Arial"/>
      <family val="2"/>
    </font>
    <font>
      <sz val="10"/>
      <color theme="6" tint="-0.24997000396251678"/>
      <name val="Arial"/>
      <family val="2"/>
    </font>
    <font>
      <i/>
      <sz val="9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9" fillId="20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178" fontId="0" fillId="0" borderId="11" xfId="47" applyNumberFormat="1" applyFont="1" applyBorder="1" applyAlignment="1">
      <alignment/>
    </xf>
    <xf numFmtId="178" fontId="0" fillId="0" borderId="12" xfId="47" applyNumberFormat="1" applyFont="1" applyBorder="1" applyAlignment="1">
      <alignment/>
    </xf>
    <xf numFmtId="0" fontId="4" fillId="0" borderId="13" xfId="0" applyFont="1" applyBorder="1" applyAlignment="1">
      <alignment/>
    </xf>
    <xf numFmtId="178" fontId="0" fillId="0" borderId="14" xfId="47" applyNumberFormat="1" applyFont="1" applyBorder="1" applyAlignment="1">
      <alignment/>
    </xf>
    <xf numFmtId="178" fontId="0" fillId="0" borderId="15" xfId="47" applyNumberFormat="1" applyFont="1" applyBorder="1" applyAlignment="1">
      <alignment/>
    </xf>
    <xf numFmtId="178" fontId="0" fillId="0" borderId="0" xfId="0" applyNumberFormat="1" applyAlignment="1">
      <alignment/>
    </xf>
    <xf numFmtId="0" fontId="4" fillId="0" borderId="16" xfId="0" applyFont="1" applyBorder="1" applyAlignment="1">
      <alignment/>
    </xf>
    <xf numFmtId="178" fontId="0" fillId="0" borderId="0" xfId="47" applyNumberFormat="1" applyFont="1" applyAlignment="1">
      <alignment/>
    </xf>
    <xf numFmtId="0" fontId="7" fillId="0" borderId="0" xfId="0" applyFont="1" applyAlignment="1">
      <alignment/>
    </xf>
    <xf numFmtId="178" fontId="7" fillId="0" borderId="0" xfId="47" applyNumberFormat="1" applyFont="1" applyAlignment="1">
      <alignment/>
    </xf>
    <xf numFmtId="180" fontId="7" fillId="0" borderId="0" xfId="0" applyNumberFormat="1" applyFont="1" applyAlignment="1">
      <alignment/>
    </xf>
    <xf numFmtId="0" fontId="8" fillId="0" borderId="0" xfId="0" applyFont="1" applyAlignment="1">
      <alignment/>
    </xf>
    <xf numFmtId="10" fontId="9" fillId="0" borderId="0" xfId="0" applyNumberFormat="1" applyFont="1" applyAlignment="1">
      <alignment/>
    </xf>
    <xf numFmtId="0" fontId="9" fillId="0" borderId="0" xfId="0" applyFont="1" applyAlignment="1">
      <alignment/>
    </xf>
    <xf numFmtId="178" fontId="9" fillId="0" borderId="0" xfId="47" applyNumberFormat="1" applyFont="1" applyAlignment="1">
      <alignment/>
    </xf>
    <xf numFmtId="0" fontId="4" fillId="0" borderId="17" xfId="0" applyFont="1" applyBorder="1" applyAlignment="1">
      <alignment/>
    </xf>
    <xf numFmtId="178" fontId="0" fillId="0" borderId="18" xfId="47" applyNumberFormat="1" applyFont="1" applyBorder="1" applyAlignment="1">
      <alignment/>
    </xf>
    <xf numFmtId="178" fontId="0" fillId="0" borderId="19" xfId="47" applyNumberFormat="1" applyFont="1" applyBorder="1" applyAlignment="1">
      <alignment/>
    </xf>
    <xf numFmtId="0" fontId="10" fillId="0" borderId="0" xfId="0" applyFont="1" applyAlignment="1">
      <alignment/>
    </xf>
    <xf numFmtId="0" fontId="3" fillId="32" borderId="20" xfId="0" applyFont="1" applyFill="1" applyBorder="1" applyAlignment="1">
      <alignment horizontal="center"/>
    </xf>
    <xf numFmtId="178" fontId="3" fillId="32" borderId="21" xfId="47" applyNumberFormat="1" applyFont="1" applyFill="1" applyBorder="1" applyAlignment="1">
      <alignment/>
    </xf>
    <xf numFmtId="178" fontId="3" fillId="32" borderId="22" xfId="47" applyNumberFormat="1" applyFont="1" applyFill="1" applyBorder="1" applyAlignment="1">
      <alignment/>
    </xf>
    <xf numFmtId="0" fontId="5" fillId="0" borderId="23" xfId="0" applyFont="1" applyBorder="1" applyAlignment="1">
      <alignment/>
    </xf>
    <xf numFmtId="178" fontId="5" fillId="0" borderId="24" xfId="47" applyNumberFormat="1" applyFont="1" applyBorder="1" applyAlignment="1">
      <alignment/>
    </xf>
    <xf numFmtId="178" fontId="5" fillId="0" borderId="25" xfId="47" applyNumberFormat="1" applyFont="1" applyBorder="1" applyAlignment="1">
      <alignment/>
    </xf>
    <xf numFmtId="0" fontId="4" fillId="0" borderId="26" xfId="0" applyFont="1" applyBorder="1" applyAlignment="1">
      <alignment/>
    </xf>
    <xf numFmtId="43" fontId="6" fillId="0" borderId="27" xfId="47" applyFont="1" applyBorder="1" applyAlignment="1">
      <alignment/>
    </xf>
    <xf numFmtId="43" fontId="6" fillId="0" borderId="28" xfId="47" applyFont="1" applyBorder="1" applyAlignment="1">
      <alignment/>
    </xf>
    <xf numFmtId="178" fontId="0" fillId="0" borderId="18" xfId="47" applyNumberFormat="1" applyFont="1" applyBorder="1" applyAlignment="1">
      <alignment/>
    </xf>
    <xf numFmtId="0" fontId="0" fillId="0" borderId="0" xfId="0" applyFont="1" applyAlignment="1">
      <alignment/>
    </xf>
    <xf numFmtId="178" fontId="5" fillId="33" borderId="27" xfId="47" applyNumberFormat="1" applyFont="1" applyFill="1" applyBorder="1" applyAlignment="1">
      <alignment/>
    </xf>
    <xf numFmtId="178" fontId="0" fillId="0" borderId="29" xfId="47" applyNumberFormat="1" applyFont="1" applyBorder="1" applyAlignment="1">
      <alignment/>
    </xf>
    <xf numFmtId="178" fontId="0" fillId="0" borderId="30" xfId="47" applyNumberFormat="1" applyFont="1" applyBorder="1" applyAlignment="1">
      <alignment/>
    </xf>
    <xf numFmtId="0" fontId="5" fillId="33" borderId="26" xfId="0" applyFont="1" applyFill="1" applyBorder="1" applyAlignment="1">
      <alignment/>
    </xf>
    <xf numFmtId="0" fontId="4" fillId="34" borderId="26" xfId="0" applyFont="1" applyFill="1" applyBorder="1" applyAlignment="1">
      <alignment/>
    </xf>
    <xf numFmtId="178" fontId="0" fillId="34" borderId="27" xfId="47" applyNumberFormat="1" applyFont="1" applyFill="1" applyBorder="1" applyAlignment="1">
      <alignment/>
    </xf>
    <xf numFmtId="178" fontId="0" fillId="34" borderId="28" xfId="47" applyNumberFormat="1" applyFont="1" applyFill="1" applyBorder="1" applyAlignment="1">
      <alignment/>
    </xf>
    <xf numFmtId="0" fontId="4" fillId="7" borderId="26" xfId="0" applyFont="1" applyFill="1" applyBorder="1" applyAlignment="1">
      <alignment/>
    </xf>
    <xf numFmtId="178" fontId="0" fillId="7" borderId="27" xfId="47" applyNumberFormat="1" applyFont="1" applyFill="1" applyBorder="1" applyAlignment="1">
      <alignment/>
    </xf>
    <xf numFmtId="178" fontId="0" fillId="7" borderId="28" xfId="47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182" fontId="0" fillId="0" borderId="0" xfId="0" applyNumberFormat="1" applyAlignment="1">
      <alignment/>
    </xf>
    <xf numFmtId="0" fontId="65" fillId="0" borderId="17" xfId="0" applyFont="1" applyBorder="1" applyAlignment="1">
      <alignment/>
    </xf>
    <xf numFmtId="178" fontId="66" fillId="0" borderId="18" xfId="47" applyNumberFormat="1" applyFont="1" applyBorder="1" applyAlignment="1">
      <alignment/>
    </xf>
    <xf numFmtId="178" fontId="66" fillId="0" borderId="19" xfId="47" applyNumberFormat="1" applyFont="1" applyBorder="1" applyAlignment="1">
      <alignment/>
    </xf>
    <xf numFmtId="182" fontId="11" fillId="35" borderId="0" xfId="0" applyNumberFormat="1" applyFont="1" applyFill="1" applyAlignment="1">
      <alignment horizontal="center"/>
    </xf>
    <xf numFmtId="0" fontId="11" fillId="35" borderId="0" xfId="0" applyFont="1" applyFill="1" applyAlignment="1">
      <alignment horizontal="center"/>
    </xf>
    <xf numFmtId="18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5" fillId="11" borderId="26" xfId="0" applyFont="1" applyFill="1" applyBorder="1" applyAlignment="1">
      <alignment/>
    </xf>
    <xf numFmtId="178" fontId="5" fillId="11" borderId="27" xfId="47" applyNumberFormat="1" applyFont="1" applyFill="1" applyBorder="1" applyAlignment="1">
      <alignment/>
    </xf>
    <xf numFmtId="178" fontId="5" fillId="11" borderId="28" xfId="47" applyNumberFormat="1" applyFont="1" applyFill="1" applyBorder="1" applyAlignment="1">
      <alignment/>
    </xf>
    <xf numFmtId="178" fontId="67" fillId="0" borderId="0" xfId="47" applyNumberFormat="1" applyFont="1" applyAlignment="1">
      <alignment/>
    </xf>
    <xf numFmtId="0" fontId="4" fillId="13" borderId="26" xfId="0" applyFont="1" applyFill="1" applyBorder="1" applyAlignment="1">
      <alignment/>
    </xf>
    <xf numFmtId="178" fontId="0" fillId="13" borderId="27" xfId="47" applyNumberFormat="1" applyFont="1" applyFill="1" applyBorder="1" applyAlignment="1">
      <alignment/>
    </xf>
    <xf numFmtId="178" fontId="0" fillId="13" borderId="28" xfId="47" applyNumberFormat="1" applyFont="1" applyFill="1" applyBorder="1" applyAlignment="1">
      <alignment/>
    </xf>
    <xf numFmtId="0" fontId="4" fillId="36" borderId="26" xfId="0" applyFont="1" applyFill="1" applyBorder="1" applyAlignment="1">
      <alignment/>
    </xf>
    <xf numFmtId="178" fontId="0" fillId="36" borderId="27" xfId="47" applyNumberFormat="1" applyFont="1" applyFill="1" applyBorder="1" applyAlignment="1">
      <alignment/>
    </xf>
    <xf numFmtId="178" fontId="0" fillId="36" borderId="28" xfId="47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178" fontId="0" fillId="0" borderId="0" xfId="0" applyNumberFormat="1" applyFont="1" applyAlignment="1">
      <alignment/>
    </xf>
    <xf numFmtId="0" fontId="13" fillId="0" borderId="0" xfId="0" applyFont="1" applyAlignment="1">
      <alignment/>
    </xf>
    <xf numFmtId="182" fontId="0" fillId="0" borderId="0" xfId="47" applyNumberFormat="1" applyFont="1" applyAlignment="1">
      <alignment/>
    </xf>
    <xf numFmtId="182" fontId="7" fillId="0" borderId="0" xfId="47" applyNumberFormat="1" applyFont="1" applyAlignment="1">
      <alignment/>
    </xf>
    <xf numFmtId="0" fontId="10" fillId="0" borderId="31" xfId="0" applyFont="1" applyBorder="1" applyAlignment="1">
      <alignment/>
    </xf>
    <xf numFmtId="182" fontId="10" fillId="0" borderId="32" xfId="47" applyNumberFormat="1" applyFont="1" applyBorder="1" applyAlignment="1">
      <alignment/>
    </xf>
    <xf numFmtId="0" fontId="10" fillId="0" borderId="0" xfId="0" applyFont="1" applyBorder="1" applyAlignment="1">
      <alignment/>
    </xf>
    <xf numFmtId="182" fontId="10" fillId="0" borderId="0" xfId="47" applyNumberFormat="1" applyFont="1" applyBorder="1" applyAlignment="1">
      <alignment/>
    </xf>
    <xf numFmtId="10" fontId="10" fillId="0" borderId="32" xfId="47" applyNumberFormat="1" applyFont="1" applyBorder="1" applyAlignment="1">
      <alignment/>
    </xf>
    <xf numFmtId="0" fontId="14" fillId="0" borderId="0" xfId="0" applyFont="1" applyAlignment="1">
      <alignment/>
    </xf>
    <xf numFmtId="184" fontId="7" fillId="0" borderId="0" xfId="47" applyNumberFormat="1" applyFont="1" applyAlignment="1">
      <alignment/>
    </xf>
    <xf numFmtId="182" fontId="15" fillId="0" borderId="0" xfId="47" applyNumberFormat="1" applyFont="1" applyAlignment="1">
      <alignment/>
    </xf>
    <xf numFmtId="10" fontId="7" fillId="0" borderId="0" xfId="47" applyNumberFormat="1" applyFont="1" applyAlignment="1">
      <alignment/>
    </xf>
    <xf numFmtId="182" fontId="0" fillId="0" borderId="0" xfId="47" applyNumberFormat="1" applyFont="1" applyAlignment="1">
      <alignment/>
    </xf>
    <xf numFmtId="182" fontId="16" fillId="0" borderId="0" xfId="47" applyNumberFormat="1" applyFont="1" applyAlignment="1">
      <alignment/>
    </xf>
    <xf numFmtId="184" fontId="15" fillId="0" borderId="0" xfId="47" applyNumberFormat="1" applyFont="1" applyAlignment="1">
      <alignment/>
    </xf>
    <xf numFmtId="10" fontId="16" fillId="0" borderId="0" xfId="47" applyNumberFormat="1" applyFont="1" applyAlignment="1">
      <alignment/>
    </xf>
    <xf numFmtId="10" fontId="17" fillId="0" borderId="0" xfId="47" applyNumberFormat="1" applyFont="1" applyAlignment="1">
      <alignment/>
    </xf>
    <xf numFmtId="10" fontId="18" fillId="0" borderId="0" xfId="47" applyNumberFormat="1" applyFont="1" applyAlignment="1">
      <alignment/>
    </xf>
    <xf numFmtId="10" fontId="15" fillId="0" borderId="0" xfId="47" applyNumberFormat="1" applyFont="1" applyAlignment="1">
      <alignment/>
    </xf>
    <xf numFmtId="0" fontId="19" fillId="0" borderId="0" xfId="0" applyFont="1" applyAlignment="1">
      <alignment/>
    </xf>
    <xf numFmtId="9" fontId="12" fillId="0" borderId="0" xfId="0" applyNumberFormat="1" applyFont="1" applyAlignment="1">
      <alignment horizontal="center"/>
    </xf>
    <xf numFmtId="182" fontId="10" fillId="0" borderId="33" xfId="47" applyNumberFormat="1" applyFont="1" applyBorder="1" applyAlignment="1">
      <alignment/>
    </xf>
    <xf numFmtId="184" fontId="20" fillId="0" borderId="0" xfId="0" applyNumberFormat="1" applyFont="1" applyAlignment="1">
      <alignment/>
    </xf>
    <xf numFmtId="184" fontId="20" fillId="35" borderId="0" xfId="0" applyNumberFormat="1" applyFont="1" applyFill="1" applyAlignment="1">
      <alignment/>
    </xf>
    <xf numFmtId="182" fontId="20" fillId="0" borderId="0" xfId="0" applyNumberFormat="1" applyFont="1" applyAlignment="1">
      <alignment/>
    </xf>
    <xf numFmtId="185" fontId="7" fillId="0" borderId="0" xfId="47" applyNumberFormat="1" applyFont="1" applyFill="1" applyAlignment="1">
      <alignment/>
    </xf>
    <xf numFmtId="182" fontId="20" fillId="35" borderId="0" xfId="0" applyNumberFormat="1" applyFont="1" applyFill="1" applyAlignment="1">
      <alignment/>
    </xf>
    <xf numFmtId="185" fontId="7" fillId="4" borderId="0" xfId="47" applyNumberFormat="1" applyFont="1" applyFill="1" applyAlignment="1">
      <alignment/>
    </xf>
    <xf numFmtId="185" fontId="7" fillId="0" borderId="0" xfId="47" applyNumberFormat="1" applyFont="1" applyAlignment="1">
      <alignment/>
    </xf>
    <xf numFmtId="10" fontId="7" fillId="0" borderId="0" xfId="0" applyNumberFormat="1" applyFont="1" applyAlignment="1">
      <alignment/>
    </xf>
    <xf numFmtId="10" fontId="0" fillId="0" borderId="0" xfId="0" applyNumberFormat="1" applyAlignment="1">
      <alignment/>
    </xf>
    <xf numFmtId="182" fontId="21" fillId="0" borderId="32" xfId="47" applyNumberFormat="1" applyFont="1" applyBorder="1" applyAlignment="1">
      <alignment/>
    </xf>
    <xf numFmtId="0" fontId="22" fillId="0" borderId="31" xfId="0" applyFont="1" applyBorder="1" applyAlignment="1">
      <alignment/>
    </xf>
    <xf numFmtId="182" fontId="22" fillId="0" borderId="32" xfId="47" applyNumberFormat="1" applyFont="1" applyBorder="1" applyAlignment="1">
      <alignment/>
    </xf>
    <xf numFmtId="0" fontId="0" fillId="0" borderId="0" xfId="0" applyFill="1" applyBorder="1" applyAlignment="1">
      <alignment/>
    </xf>
    <xf numFmtId="184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10" fontId="0" fillId="0" borderId="34" xfId="0" applyNumberFormat="1" applyFill="1" applyBorder="1" applyAlignment="1">
      <alignment/>
    </xf>
    <xf numFmtId="0" fontId="23" fillId="38" borderId="35" xfId="0" applyFont="1" applyFill="1" applyBorder="1" applyAlignment="1">
      <alignment horizontal="left"/>
    </xf>
    <xf numFmtId="0" fontId="23" fillId="38" borderId="36" xfId="0" applyFont="1" applyFill="1" applyBorder="1" applyAlignment="1">
      <alignment horizontal="left"/>
    </xf>
    <xf numFmtId="0" fontId="0" fillId="0" borderId="37" xfId="0" applyFill="1" applyBorder="1" applyAlignment="1">
      <alignment/>
    </xf>
    <xf numFmtId="0" fontId="24" fillId="39" borderId="0" xfId="0" applyFont="1" applyFill="1" applyBorder="1" applyAlignment="1">
      <alignment horizontal="left"/>
    </xf>
    <xf numFmtId="0" fontId="25" fillId="39" borderId="37" xfId="0" applyFont="1" applyFill="1" applyBorder="1" applyAlignment="1">
      <alignment horizontal="left"/>
    </xf>
    <xf numFmtId="0" fontId="24" fillId="39" borderId="34" xfId="0" applyFont="1" applyFill="1" applyBorder="1" applyAlignment="1">
      <alignment horizontal="left"/>
    </xf>
    <xf numFmtId="0" fontId="26" fillId="38" borderId="36" xfId="0" applyFont="1" applyFill="1" applyBorder="1" applyAlignment="1">
      <alignment horizontal="right"/>
    </xf>
    <xf numFmtId="0" fontId="26" fillId="38" borderId="35" xfId="0" applyFont="1" applyFill="1" applyBorder="1" applyAlignment="1">
      <alignment horizontal="right"/>
    </xf>
    <xf numFmtId="184" fontId="0" fillId="40" borderId="0" xfId="0" applyNumberFormat="1" applyFill="1" applyBorder="1" applyAlignment="1">
      <alignment/>
    </xf>
    <xf numFmtId="0" fontId="27" fillId="0" borderId="0" xfId="0" applyFont="1" applyFill="1" applyBorder="1" applyAlignment="1">
      <alignment vertical="top" wrapText="1"/>
    </xf>
    <xf numFmtId="8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4"/>
  <sheetViews>
    <sheetView showGridLines="0" zoomScale="150" zoomScaleNormal="150" zoomScalePageLayoutView="0" workbookViewId="0" topLeftCell="A7">
      <selection activeCell="B7" sqref="B7"/>
    </sheetView>
  </sheetViews>
  <sheetFormatPr defaultColWidth="11.421875" defaultRowHeight="12.75"/>
  <cols>
    <col min="1" max="1" width="2.57421875" style="0" customWidth="1"/>
    <col min="2" max="2" width="27.8515625" style="0" customWidth="1"/>
    <col min="3" max="3" width="13.8515625" style="0" bestFit="1" customWidth="1"/>
    <col min="6" max="6" width="9.140625" style="0" bestFit="1" customWidth="1"/>
    <col min="7" max="7" width="10.421875" style="0" customWidth="1"/>
    <col min="8" max="8" width="9.140625" style="0" bestFit="1" customWidth="1"/>
    <col min="9" max="9" width="26.57421875" style="0" customWidth="1"/>
  </cols>
  <sheetData>
    <row r="2" spans="2:6" ht="15">
      <c r="B2" s="1" t="s">
        <v>46</v>
      </c>
      <c r="C2" s="2"/>
      <c r="D2" s="2"/>
      <c r="E2" s="2"/>
      <c r="F2" s="2"/>
    </row>
    <row r="3" ht="12.75" thickBot="1"/>
    <row r="4" spans="2:8" ht="14.25" thickBot="1">
      <c r="B4" s="23" t="s">
        <v>0</v>
      </c>
      <c r="C4" s="24">
        <v>0</v>
      </c>
      <c r="D4" s="24">
        <v>1</v>
      </c>
      <c r="E4" s="24">
        <v>2</v>
      </c>
      <c r="F4" s="24">
        <v>3</v>
      </c>
      <c r="G4" s="24">
        <v>4</v>
      </c>
      <c r="H4" s="25">
        <v>5</v>
      </c>
    </row>
    <row r="5" spans="2:8" ht="12.75">
      <c r="B5" s="3" t="s">
        <v>1</v>
      </c>
      <c r="C5" s="4" t="s">
        <v>6</v>
      </c>
      <c r="D5" s="4">
        <f>+$C$14*$C$15</f>
        <v>184000</v>
      </c>
      <c r="E5" s="4">
        <f>+$C$14*$C$15</f>
        <v>184000</v>
      </c>
      <c r="F5" s="4">
        <f>+$C$14*$C$15</f>
        <v>184000</v>
      </c>
      <c r="G5" s="4">
        <f>+$C$14*$C$15</f>
        <v>184000</v>
      </c>
      <c r="H5" s="5">
        <f>+$C$14*$C$15</f>
        <v>184000</v>
      </c>
    </row>
    <row r="6" spans="2:8" ht="12.75">
      <c r="B6" s="6" t="s">
        <v>38</v>
      </c>
      <c r="C6" s="7"/>
      <c r="D6" s="7">
        <f>-$C$17</f>
        <v>-35000</v>
      </c>
      <c r="E6" s="7">
        <f>-$C$17</f>
        <v>-35000</v>
      </c>
      <c r="F6" s="7">
        <f>-$C$17</f>
        <v>-35000</v>
      </c>
      <c r="G6" s="7">
        <f>-$C$17</f>
        <v>-35000</v>
      </c>
      <c r="H6" s="8">
        <f>-$C$17</f>
        <v>-35000</v>
      </c>
    </row>
    <row r="7" spans="2:8" ht="12.75">
      <c r="B7" s="6" t="s">
        <v>36</v>
      </c>
      <c r="C7" s="7"/>
      <c r="D7" s="7">
        <f>-$C$19*$C$14</f>
        <v>-54400</v>
      </c>
      <c r="E7" s="7">
        <f>-$C$19*$C$14</f>
        <v>-54400</v>
      </c>
      <c r="F7" s="7">
        <f>-$C$19*$C$14</f>
        <v>-54400</v>
      </c>
      <c r="G7" s="7">
        <f>-$C$19*$C$14</f>
        <v>-54400</v>
      </c>
      <c r="H7" s="8">
        <f>-$C$19*$C$14</f>
        <v>-54400</v>
      </c>
    </row>
    <row r="8" spans="2:8" ht="12.75">
      <c r="B8" s="19" t="s">
        <v>44</v>
      </c>
      <c r="C8" s="20">
        <f>-C21</f>
        <v>-55000</v>
      </c>
      <c r="D8" s="20"/>
      <c r="E8" s="20"/>
      <c r="F8" s="20"/>
      <c r="G8" s="20"/>
      <c r="H8" s="21">
        <f>-C8</f>
        <v>55000</v>
      </c>
    </row>
    <row r="9" spans="2:8" ht="13.5" thickBot="1">
      <c r="B9" s="19" t="s">
        <v>43</v>
      </c>
      <c r="C9" s="20">
        <f>-C23</f>
        <v>-260000</v>
      </c>
      <c r="D9" s="20"/>
      <c r="E9" s="20"/>
      <c r="F9" s="32" t="s">
        <v>6</v>
      </c>
      <c r="G9" s="20">
        <f>+D24</f>
        <v>0</v>
      </c>
      <c r="H9" s="21">
        <f>+C24</f>
        <v>0</v>
      </c>
    </row>
    <row r="10" spans="2:8" ht="13.5" thickBot="1">
      <c r="B10" s="53" t="s">
        <v>3</v>
      </c>
      <c r="C10" s="54">
        <f aca="true" t="shared" si="0" ref="C10:H10">SUM(C5:C9)</f>
        <v>-315000</v>
      </c>
      <c r="D10" s="54">
        <f t="shared" si="0"/>
        <v>94600</v>
      </c>
      <c r="E10" s="54">
        <f t="shared" si="0"/>
        <v>94600</v>
      </c>
      <c r="F10" s="54">
        <f t="shared" si="0"/>
        <v>94600</v>
      </c>
      <c r="G10" s="54">
        <f t="shared" si="0"/>
        <v>94600</v>
      </c>
      <c r="H10" s="55">
        <f t="shared" si="0"/>
        <v>149600</v>
      </c>
    </row>
    <row r="11" spans="3:7" ht="12">
      <c r="C11" s="11"/>
      <c r="D11" s="11"/>
      <c r="E11" s="11"/>
      <c r="F11" s="11"/>
      <c r="G11" s="9"/>
    </row>
    <row r="12" spans="2:3" ht="13.5">
      <c r="B12" s="15" t="s">
        <v>8</v>
      </c>
      <c r="C12" s="16">
        <v>0.12</v>
      </c>
    </row>
    <row r="13" spans="2:3" ht="13.5">
      <c r="B13" s="15" t="s">
        <v>9</v>
      </c>
      <c r="C13" s="17"/>
    </row>
    <row r="14" spans="2:3" ht="12.75">
      <c r="B14" t="s">
        <v>10</v>
      </c>
      <c r="C14" s="18">
        <v>1600</v>
      </c>
    </row>
    <row r="15" spans="2:3" ht="12.75">
      <c r="B15" t="s">
        <v>11</v>
      </c>
      <c r="C15" s="17">
        <v>115</v>
      </c>
    </row>
    <row r="16" spans="2:3" ht="13.5">
      <c r="B16" s="15" t="s">
        <v>38</v>
      </c>
      <c r="C16" s="17"/>
    </row>
    <row r="17" spans="2:3" ht="12.75">
      <c r="B17" s="33" t="s">
        <v>39</v>
      </c>
      <c r="C17" s="18">
        <v>35000</v>
      </c>
    </row>
    <row r="18" spans="2:3" ht="13.5">
      <c r="B18" s="15" t="s">
        <v>36</v>
      </c>
      <c r="C18" s="17"/>
    </row>
    <row r="19" spans="2:3" ht="12.75">
      <c r="B19" s="33" t="s">
        <v>37</v>
      </c>
      <c r="C19" s="17">
        <v>34</v>
      </c>
    </row>
    <row r="20" spans="2:3" ht="13.5">
      <c r="B20" s="15" t="s">
        <v>40</v>
      </c>
      <c r="C20" s="17"/>
    </row>
    <row r="21" spans="2:3" ht="12.75">
      <c r="B21" s="33" t="s">
        <v>41</v>
      </c>
      <c r="C21" s="18">
        <v>55000</v>
      </c>
    </row>
    <row r="22" spans="2:3" ht="13.5">
      <c r="B22" s="15" t="s">
        <v>2</v>
      </c>
      <c r="C22" s="17"/>
    </row>
    <row r="23" spans="2:3" ht="12.75">
      <c r="B23" s="33" t="s">
        <v>42</v>
      </c>
      <c r="C23" s="18">
        <v>260000</v>
      </c>
    </row>
    <row r="24" spans="2:3" ht="12.75">
      <c r="B24" t="s">
        <v>12</v>
      </c>
      <c r="C24" s="18">
        <v>0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69"/>
  <sheetViews>
    <sheetView zoomScalePageLayoutView="0" workbookViewId="0" topLeftCell="A17">
      <selection activeCell="C17" sqref="C17 C19"/>
    </sheetView>
  </sheetViews>
  <sheetFormatPr defaultColWidth="11.421875" defaultRowHeight="12.75"/>
  <cols>
    <col min="1" max="1" width="4.421875" style="0" customWidth="1"/>
    <col min="2" max="2" width="28.00390625" style="0" bestFit="1" customWidth="1"/>
    <col min="3" max="3" width="12.8515625" style="0" bestFit="1" customWidth="1"/>
  </cols>
  <sheetData>
    <row r="2" spans="2:8" ht="15">
      <c r="B2" s="67" t="s">
        <v>58</v>
      </c>
      <c r="D2" s="68"/>
      <c r="E2" s="68"/>
      <c r="F2" s="68"/>
      <c r="G2" s="68"/>
      <c r="H2" s="68"/>
    </row>
    <row r="3" spans="2:8" ht="15.75" thickBot="1">
      <c r="B3" s="67"/>
      <c r="D3" s="68"/>
      <c r="E3" s="68"/>
      <c r="F3" s="68"/>
      <c r="G3" s="68"/>
      <c r="H3" s="68"/>
    </row>
    <row r="4" spans="2:8" ht="14.25" thickBot="1">
      <c r="B4" s="23" t="s">
        <v>0</v>
      </c>
      <c r="C4" s="24">
        <v>0</v>
      </c>
      <c r="D4" s="24">
        <v>1</v>
      </c>
      <c r="E4" s="24">
        <v>2</v>
      </c>
      <c r="F4" s="24">
        <v>3</v>
      </c>
      <c r="G4" s="24">
        <v>4</v>
      </c>
      <c r="H4" s="25">
        <v>5</v>
      </c>
    </row>
    <row r="5" spans="2:8" ht="12.75">
      <c r="B5" s="3" t="s">
        <v>59</v>
      </c>
      <c r="C5" s="4"/>
      <c r="D5" s="4">
        <f>+C23*C24</f>
        <v>184000</v>
      </c>
      <c r="E5" s="4">
        <f aca="true" t="shared" si="0" ref="E5:H8">+D5</f>
        <v>184000</v>
      </c>
      <c r="F5" s="4">
        <f t="shared" si="0"/>
        <v>184000</v>
      </c>
      <c r="G5" s="4">
        <f t="shared" si="0"/>
        <v>184000</v>
      </c>
      <c r="H5" s="5">
        <f t="shared" si="0"/>
        <v>184000</v>
      </c>
    </row>
    <row r="6" spans="2:8" ht="12.75">
      <c r="B6" s="6" t="s">
        <v>60</v>
      </c>
      <c r="C6" s="7"/>
      <c r="D6" s="7">
        <f>-C23*C26</f>
        <v>-54400</v>
      </c>
      <c r="E6" s="7">
        <f t="shared" si="0"/>
        <v>-54400</v>
      </c>
      <c r="F6" s="7">
        <f t="shared" si="0"/>
        <v>-54400</v>
      </c>
      <c r="G6" s="7">
        <f t="shared" si="0"/>
        <v>-54400</v>
      </c>
      <c r="H6" s="8">
        <f t="shared" si="0"/>
        <v>-54400</v>
      </c>
    </row>
    <row r="7" spans="2:8" ht="12.75">
      <c r="B7" s="6" t="s">
        <v>38</v>
      </c>
      <c r="C7" s="7"/>
      <c r="D7" s="7">
        <f>-C27</f>
        <v>-35000</v>
      </c>
      <c r="E7" s="7">
        <f t="shared" si="0"/>
        <v>-35000</v>
      </c>
      <c r="F7" s="7">
        <f t="shared" si="0"/>
        <v>-35000</v>
      </c>
      <c r="G7" s="7">
        <f t="shared" si="0"/>
        <v>-35000</v>
      </c>
      <c r="H7" s="8">
        <f t="shared" si="0"/>
        <v>-35000</v>
      </c>
    </row>
    <row r="8" spans="2:8" ht="13.5" thickBot="1">
      <c r="B8" s="19" t="s">
        <v>61</v>
      </c>
      <c r="C8" s="20"/>
      <c r="D8" s="20">
        <f>-C25*C30</f>
        <v>-52000</v>
      </c>
      <c r="E8" s="20">
        <f t="shared" si="0"/>
        <v>-52000</v>
      </c>
      <c r="F8" s="20">
        <f t="shared" si="0"/>
        <v>-52000</v>
      </c>
      <c r="G8" s="20">
        <f t="shared" si="0"/>
        <v>-52000</v>
      </c>
      <c r="H8" s="21">
        <f t="shared" si="0"/>
        <v>-52000</v>
      </c>
    </row>
    <row r="9" spans="2:8" ht="13.5" thickBot="1">
      <c r="B9" s="57" t="s">
        <v>62</v>
      </c>
      <c r="C9" s="58"/>
      <c r="D9" s="58">
        <f>SUM(D5:D8)</f>
        <v>42600</v>
      </c>
      <c r="E9" s="58">
        <f>SUM(E5:E8)</f>
        <v>42600</v>
      </c>
      <c r="F9" s="58">
        <f>SUM(F5:F8)</f>
        <v>42600</v>
      </c>
      <c r="G9" s="58">
        <f>SUM(G5:G8)</f>
        <v>42600</v>
      </c>
      <c r="H9" s="59">
        <f>SUM(H5:H8)</f>
        <v>42600</v>
      </c>
    </row>
    <row r="10" spans="2:8" ht="13.5" thickBot="1">
      <c r="B10" s="10" t="s">
        <v>63</v>
      </c>
      <c r="C10" s="35"/>
      <c r="D10" s="35">
        <f>-D9*$C$31</f>
        <v>-10650</v>
      </c>
      <c r="E10" s="35">
        <f>-E9*$C$31</f>
        <v>-10650</v>
      </c>
      <c r="F10" s="35">
        <f>-F9*$C$31</f>
        <v>-10650</v>
      </c>
      <c r="G10" s="35">
        <f>-G9*$C$31</f>
        <v>-10650</v>
      </c>
      <c r="H10" s="36">
        <f>-H9*$C$31</f>
        <v>-10650</v>
      </c>
    </row>
    <row r="11" spans="2:8" ht="13.5" thickBot="1">
      <c r="B11" s="60" t="s">
        <v>64</v>
      </c>
      <c r="C11" s="61"/>
      <c r="D11" s="61">
        <f>+D9+D10</f>
        <v>31950</v>
      </c>
      <c r="E11" s="61">
        <f>+E9+E10</f>
        <v>31950</v>
      </c>
      <c r="F11" s="61">
        <f>+F9+F10</f>
        <v>31950</v>
      </c>
      <c r="G11" s="61">
        <f>+G9+G10</f>
        <v>31950</v>
      </c>
      <c r="H11" s="62">
        <f>+H9+H10</f>
        <v>31950</v>
      </c>
    </row>
    <row r="12" spans="2:8" ht="12.75">
      <c r="B12" s="19" t="s">
        <v>61</v>
      </c>
      <c r="C12" s="20"/>
      <c r="D12" s="20">
        <f>-D8</f>
        <v>52000</v>
      </c>
      <c r="E12" s="20">
        <f>-E8</f>
        <v>52000</v>
      </c>
      <c r="F12" s="20">
        <f>-F8</f>
        <v>52000</v>
      </c>
      <c r="G12" s="20">
        <f>-G8</f>
        <v>52000</v>
      </c>
      <c r="H12" s="21">
        <f>-H8</f>
        <v>52000</v>
      </c>
    </row>
    <row r="13" spans="2:8" ht="13.5">
      <c r="B13" s="44" t="s">
        <v>65</v>
      </c>
      <c r="C13" s="20">
        <f>-C25</f>
        <v>-260000</v>
      </c>
      <c r="D13" s="20"/>
      <c r="E13" s="20"/>
      <c r="F13" s="20"/>
      <c r="G13" s="20"/>
      <c r="H13" s="21">
        <f>+C28</f>
        <v>0</v>
      </c>
    </row>
    <row r="14" spans="2:8" ht="13.5" thickBot="1">
      <c r="B14" s="19" t="s">
        <v>66</v>
      </c>
      <c r="C14" s="20">
        <f>-C29</f>
        <v>-55000</v>
      </c>
      <c r="D14" s="20"/>
      <c r="E14" s="20"/>
      <c r="F14" s="20"/>
      <c r="G14" s="20"/>
      <c r="H14" s="21">
        <f>+C29</f>
        <v>55000</v>
      </c>
    </row>
    <row r="15" spans="2:8" ht="13.5" thickBot="1">
      <c r="B15" s="53" t="s">
        <v>67</v>
      </c>
      <c r="C15" s="54">
        <f aca="true" t="shared" si="1" ref="C15:H15">SUM(C11:C14)</f>
        <v>-315000</v>
      </c>
      <c r="D15" s="54">
        <f t="shared" si="1"/>
        <v>83950</v>
      </c>
      <c r="E15" s="54">
        <f t="shared" si="1"/>
        <v>83950</v>
      </c>
      <c r="F15" s="54">
        <f t="shared" si="1"/>
        <v>83950</v>
      </c>
      <c r="G15" s="54">
        <f t="shared" si="1"/>
        <v>83950</v>
      </c>
      <c r="H15" s="55">
        <f t="shared" si="1"/>
        <v>138950</v>
      </c>
    </row>
    <row r="16" spans="2:8" ht="13.5" thickBot="1">
      <c r="B16" s="12"/>
      <c r="C16" s="69"/>
      <c r="D16" s="69"/>
      <c r="E16" s="69"/>
      <c r="F16" s="69"/>
      <c r="G16" s="69"/>
      <c r="H16" s="69"/>
    </row>
    <row r="17" spans="2:8" ht="15.75" thickBot="1">
      <c r="B17" s="70" t="s">
        <v>68</v>
      </c>
      <c r="C17" s="71">
        <f>NPV(C32,D15:K15)+C15</f>
        <v>18829.439251386037</v>
      </c>
      <c r="D17" s="68"/>
      <c r="E17" s="68"/>
      <c r="F17" s="68"/>
      <c r="G17" s="68"/>
      <c r="H17" s="68"/>
    </row>
    <row r="18" spans="2:8" ht="15.75" thickBot="1">
      <c r="B18" s="72"/>
      <c r="C18" s="73"/>
      <c r="D18" s="68"/>
      <c r="E18" s="68"/>
      <c r="F18" s="68"/>
      <c r="G18" s="68"/>
      <c r="H18" s="68"/>
    </row>
    <row r="19" spans="2:8" ht="15.75" thickBot="1">
      <c r="B19" s="70" t="s">
        <v>69</v>
      </c>
      <c r="C19" s="74">
        <f>IRR(C15:H15)</f>
        <v>0.14217658523545218</v>
      </c>
      <c r="D19" s="68"/>
      <c r="E19" s="68"/>
      <c r="F19" s="68"/>
      <c r="G19" s="68"/>
      <c r="H19" s="68"/>
    </row>
    <row r="22" spans="2:4" ht="12.75">
      <c r="B22" s="75" t="s">
        <v>14</v>
      </c>
      <c r="C22" s="79"/>
      <c r="D22" s="79"/>
    </row>
    <row r="23" spans="2:4" ht="12.75">
      <c r="B23" s="12" t="s">
        <v>70</v>
      </c>
      <c r="C23" s="76">
        <v>1600</v>
      </c>
      <c r="D23" s="77"/>
    </row>
    <row r="24" spans="2:4" ht="12.75">
      <c r="B24" s="12" t="s">
        <v>11</v>
      </c>
      <c r="C24" s="76">
        <v>115</v>
      </c>
      <c r="D24" s="80"/>
    </row>
    <row r="25" spans="2:4" ht="12.75">
      <c r="B25" s="12" t="s">
        <v>65</v>
      </c>
      <c r="C25" s="76">
        <v>260000</v>
      </c>
      <c r="D25" s="80"/>
    </row>
    <row r="26" spans="2:4" ht="12.75">
      <c r="B26" s="12" t="s">
        <v>71</v>
      </c>
      <c r="C26" s="76">
        <v>34</v>
      </c>
      <c r="D26" s="80"/>
    </row>
    <row r="27" spans="2:4" ht="12.75">
      <c r="B27" s="12" t="s">
        <v>72</v>
      </c>
      <c r="C27" s="76">
        <v>35000</v>
      </c>
      <c r="D27" s="80"/>
    </row>
    <row r="28" spans="2:4" ht="12.75">
      <c r="B28" s="12" t="s">
        <v>73</v>
      </c>
      <c r="C28" s="76">
        <v>0</v>
      </c>
      <c r="D28" s="80"/>
    </row>
    <row r="29" spans="2:4" ht="12.75">
      <c r="B29" s="12" t="s">
        <v>75</v>
      </c>
      <c r="C29" s="76">
        <v>55000</v>
      </c>
      <c r="D29" s="80"/>
    </row>
    <row r="30" spans="2:4" ht="12.75">
      <c r="B30" s="12" t="s">
        <v>76</v>
      </c>
      <c r="C30" s="78">
        <v>0.2</v>
      </c>
      <c r="D30" s="82"/>
    </row>
    <row r="31" spans="2:4" ht="12.75">
      <c r="B31" s="12" t="s">
        <v>77</v>
      </c>
      <c r="C31" s="78">
        <v>0.25</v>
      </c>
      <c r="D31" s="82"/>
    </row>
    <row r="32" spans="2:4" ht="12.75">
      <c r="B32" s="12" t="s">
        <v>8</v>
      </c>
      <c r="C32" s="78">
        <v>0.12</v>
      </c>
      <c r="D32" s="82"/>
    </row>
    <row r="35" ht="12.75">
      <c r="B35" s="12" t="s">
        <v>102</v>
      </c>
    </row>
    <row r="37" spans="2:3" ht="12.75">
      <c r="B37" s="12" t="s">
        <v>70</v>
      </c>
      <c r="C37" s="76">
        <v>1700</v>
      </c>
    </row>
    <row r="38" spans="2:3" ht="13.5" thickBot="1">
      <c r="B38" s="12" t="s">
        <v>11</v>
      </c>
      <c r="C38" s="76">
        <v>117</v>
      </c>
    </row>
    <row r="39" spans="2:7" ht="15.75" thickBot="1">
      <c r="B39" s="12" t="s">
        <v>65</v>
      </c>
      <c r="C39" s="76">
        <v>240000</v>
      </c>
      <c r="D39" s="70" t="s">
        <v>68</v>
      </c>
      <c r="E39" s="71">
        <v>66316</v>
      </c>
      <c r="F39" t="s">
        <v>6</v>
      </c>
      <c r="G39" s="96">
        <v>0.15</v>
      </c>
    </row>
    <row r="40" ht="12.75">
      <c r="G40" s="96"/>
    </row>
    <row r="41" ht="12.75">
      <c r="G41" s="96"/>
    </row>
    <row r="42" spans="2:7" ht="12.75">
      <c r="B42" s="12" t="s">
        <v>103</v>
      </c>
      <c r="G42" s="97"/>
    </row>
    <row r="43" ht="12">
      <c r="G43" s="97"/>
    </row>
    <row r="44" spans="2:7" ht="12.75">
      <c r="B44" s="12" t="s">
        <v>70</v>
      </c>
      <c r="C44" s="76">
        <v>1600</v>
      </c>
      <c r="G44" s="97"/>
    </row>
    <row r="45" spans="2:7" ht="13.5" thickBot="1">
      <c r="B45" s="12" t="s">
        <v>11</v>
      </c>
      <c r="C45" s="76">
        <v>115</v>
      </c>
      <c r="G45" s="97"/>
    </row>
    <row r="46" spans="2:7" ht="15.75" thickBot="1">
      <c r="B46" s="12" t="s">
        <v>65</v>
      </c>
      <c r="C46" s="76">
        <v>260000</v>
      </c>
      <c r="D46" s="70" t="s">
        <v>68</v>
      </c>
      <c r="E46" s="71">
        <v>18829</v>
      </c>
      <c r="G46" s="96">
        <v>0.75</v>
      </c>
    </row>
    <row r="47" ht="12">
      <c r="G47" s="97"/>
    </row>
    <row r="48" ht="12">
      <c r="G48" s="97"/>
    </row>
    <row r="49" spans="2:7" ht="12.75">
      <c r="B49" s="12" t="s">
        <v>104</v>
      </c>
      <c r="G49" s="97"/>
    </row>
    <row r="50" ht="12">
      <c r="G50" s="97"/>
    </row>
    <row r="51" spans="2:7" ht="12.75">
      <c r="B51" s="12" t="s">
        <v>70</v>
      </c>
      <c r="C51" s="76">
        <v>1550</v>
      </c>
      <c r="G51" s="97"/>
    </row>
    <row r="52" spans="2:7" ht="13.5" thickBot="1">
      <c r="B52" s="12" t="s">
        <v>11</v>
      </c>
      <c r="C52" s="76">
        <v>114</v>
      </c>
      <c r="G52" s="97"/>
    </row>
    <row r="53" spans="2:7" ht="15.75" thickBot="1">
      <c r="B53" s="12" t="s">
        <v>65</v>
      </c>
      <c r="C53" s="76">
        <v>270000</v>
      </c>
      <c r="D53" s="70" t="s">
        <v>68</v>
      </c>
      <c r="E53" s="98">
        <v>-4508</v>
      </c>
      <c r="G53" s="96">
        <v>0.1</v>
      </c>
    </row>
    <row r="54" ht="12">
      <c r="G54" s="97" t="s">
        <v>6</v>
      </c>
    </row>
    <row r="55" ht="12.75" thickBot="1"/>
    <row r="56" spans="6:7" ht="15.75" thickBot="1">
      <c r="F56" s="99" t="s">
        <v>68</v>
      </c>
      <c r="G56" s="100">
        <f>+E39*G39+E46*G46+E53*G53</f>
        <v>23618.350000000002</v>
      </c>
    </row>
    <row r="57" ht="12">
      <c r="B57" t="s">
        <v>105</v>
      </c>
    </row>
    <row r="59" ht="12">
      <c r="B59" t="s">
        <v>106</v>
      </c>
    </row>
    <row r="60" ht="12">
      <c r="B60" t="s">
        <v>107</v>
      </c>
    </row>
    <row r="62" ht="12">
      <c r="B62" t="s">
        <v>108</v>
      </c>
    </row>
    <row r="63" ht="12">
      <c r="B63" t="s">
        <v>109</v>
      </c>
    </row>
    <row r="64" ht="12">
      <c r="B64" t="s">
        <v>110</v>
      </c>
    </row>
    <row r="65" ht="12">
      <c r="B65" t="s">
        <v>111</v>
      </c>
    </row>
    <row r="66" ht="12">
      <c r="B66" t="s">
        <v>112</v>
      </c>
    </row>
    <row r="67" ht="12">
      <c r="B67" t="s">
        <v>113</v>
      </c>
    </row>
    <row r="68" ht="12">
      <c r="B68" t="s">
        <v>114</v>
      </c>
    </row>
    <row r="69" ht="12">
      <c r="B69" t="s">
        <v>115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2"/>
  <sheetViews>
    <sheetView showGridLines="0" zoomScale="150" zoomScaleNormal="150" zoomScalePageLayoutView="0" workbookViewId="0" topLeftCell="A3">
      <selection activeCell="D18" sqref="D18"/>
    </sheetView>
  </sheetViews>
  <sheetFormatPr defaultColWidth="11.421875" defaultRowHeight="12.75"/>
  <cols>
    <col min="1" max="1" width="3.8515625" style="0" customWidth="1"/>
    <col min="2" max="2" width="26.421875" style="0" customWidth="1"/>
    <col min="3" max="3" width="11.7109375" style="0" customWidth="1"/>
    <col min="6" max="6" width="10.421875" style="0" bestFit="1" customWidth="1"/>
    <col min="7" max="7" width="10.421875" style="0" customWidth="1"/>
    <col min="8" max="8" width="9.140625" style="0" bestFit="1" customWidth="1"/>
    <col min="9" max="9" width="26.57421875" style="0" customWidth="1"/>
  </cols>
  <sheetData>
    <row r="2" spans="2:6" ht="15">
      <c r="B2" s="1" t="s">
        <v>46</v>
      </c>
      <c r="C2" s="2"/>
      <c r="D2" s="2"/>
      <c r="E2" s="2"/>
      <c r="F2" s="2"/>
    </row>
    <row r="3" ht="12.75" thickBot="1"/>
    <row r="4" spans="2:8" ht="14.25" thickBot="1">
      <c r="B4" s="23" t="s">
        <v>0</v>
      </c>
      <c r="C4" s="24">
        <v>0</v>
      </c>
      <c r="D4" s="24">
        <v>1</v>
      </c>
      <c r="E4" s="24">
        <v>2</v>
      </c>
      <c r="F4" s="24">
        <v>3</v>
      </c>
      <c r="G4" s="24">
        <v>4</v>
      </c>
      <c r="H4" s="25">
        <v>5</v>
      </c>
    </row>
    <row r="5" spans="2:8" ht="12.75">
      <c r="B5" s="3" t="s">
        <v>1</v>
      </c>
      <c r="C5" s="4" t="s">
        <v>6</v>
      </c>
      <c r="D5" s="4">
        <f>+$C$21*$C$22</f>
        <v>184000</v>
      </c>
      <c r="E5" s="4">
        <f>+$C$21*$C$22</f>
        <v>184000</v>
      </c>
      <c r="F5" s="4">
        <f>+$C$21*$C$22</f>
        <v>184000</v>
      </c>
      <c r="G5" s="4">
        <f>+$C$21*$C$22</f>
        <v>184000</v>
      </c>
      <c r="H5" s="5">
        <f>+$C$21*$C$22</f>
        <v>184000</v>
      </c>
    </row>
    <row r="6" spans="2:8" ht="12.75">
      <c r="B6" s="6" t="s">
        <v>38</v>
      </c>
      <c r="C6" s="7"/>
      <c r="D6" s="7">
        <f>-$C$24</f>
        <v>-35000</v>
      </c>
      <c r="E6" s="7">
        <f>-$C$24</f>
        <v>-35000</v>
      </c>
      <c r="F6" s="7">
        <f>-$C$24</f>
        <v>-35000</v>
      </c>
      <c r="G6" s="7">
        <f>-$C$24</f>
        <v>-35000</v>
      </c>
      <c r="H6" s="8">
        <f>-$C$24</f>
        <v>-35000</v>
      </c>
    </row>
    <row r="7" spans="2:8" ht="12.75">
      <c r="B7" s="6" t="s">
        <v>36</v>
      </c>
      <c r="C7" s="7"/>
      <c r="D7" s="7">
        <f>-$C$21*$C$26</f>
        <v>-54400</v>
      </c>
      <c r="E7" s="7">
        <f>-$C$21*$C$26</f>
        <v>-54400</v>
      </c>
      <c r="F7" s="7">
        <f>-$C$21*$C$26</f>
        <v>-54400</v>
      </c>
      <c r="G7" s="7">
        <f>-$C$21*$C$26</f>
        <v>-54400</v>
      </c>
      <c r="H7" s="8">
        <f>-$C$21*$C$26</f>
        <v>-54400</v>
      </c>
    </row>
    <row r="8" spans="2:8" ht="13.5" thickBot="1">
      <c r="B8" s="19" t="s">
        <v>18</v>
      </c>
      <c r="C8" s="20"/>
      <c r="D8" s="20">
        <f>-$C$30/5</f>
        <v>-52000</v>
      </c>
      <c r="E8" s="20">
        <f>-$C$30/5</f>
        <v>-52000</v>
      </c>
      <c r="F8" s="20">
        <f>-$C$30/5</f>
        <v>-52000</v>
      </c>
      <c r="G8" s="20">
        <f>-$C$30/5</f>
        <v>-52000</v>
      </c>
      <c r="H8" s="21">
        <f>-$C$30/5</f>
        <v>-52000</v>
      </c>
    </row>
    <row r="9" spans="2:8" ht="13.5" thickBot="1">
      <c r="B9" s="57" t="s">
        <v>15</v>
      </c>
      <c r="C9" s="58"/>
      <c r="D9" s="58">
        <f>SUM(D5:D8)</f>
        <v>42600</v>
      </c>
      <c r="E9" s="58">
        <f>SUM(E5:E8)</f>
        <v>42600</v>
      </c>
      <c r="F9" s="58">
        <f>SUM(F5:F8)</f>
        <v>42600</v>
      </c>
      <c r="G9" s="58">
        <f>SUM(G5:G8)</f>
        <v>42600</v>
      </c>
      <c r="H9" s="59">
        <f>SUM(H5:H8)</f>
        <v>42600</v>
      </c>
    </row>
    <row r="10" spans="2:8" ht="13.5" thickBot="1">
      <c r="B10" s="10" t="s">
        <v>16</v>
      </c>
      <c r="C10" s="35"/>
      <c r="D10" s="35">
        <f>-D9*$C$32</f>
        <v>-10650</v>
      </c>
      <c r="E10" s="35">
        <f>-E9*$C$32</f>
        <v>-10650</v>
      </c>
      <c r="F10" s="35">
        <f>-F9*$C$32</f>
        <v>-10650</v>
      </c>
      <c r="G10" s="35">
        <f>-G9*$C$32</f>
        <v>-10650</v>
      </c>
      <c r="H10" s="36">
        <f>-H9*$C$32</f>
        <v>-10650</v>
      </c>
    </row>
    <row r="11" spans="2:8" ht="13.5" thickBot="1">
      <c r="B11" s="60" t="s">
        <v>17</v>
      </c>
      <c r="C11" s="61"/>
      <c r="D11" s="61">
        <f>+D9+D10</f>
        <v>31950</v>
      </c>
      <c r="E11" s="61">
        <f>+E9+E10</f>
        <v>31950</v>
      </c>
      <c r="F11" s="61">
        <f>+F9+F10</f>
        <v>31950</v>
      </c>
      <c r="G11" s="61">
        <f>+G9+G10</f>
        <v>31950</v>
      </c>
      <c r="H11" s="62">
        <f>+H9+H10</f>
        <v>31950</v>
      </c>
    </row>
    <row r="12" spans="2:8" ht="12.75">
      <c r="B12" s="19" t="s">
        <v>19</v>
      </c>
      <c r="C12" s="20"/>
      <c r="D12" s="20">
        <f>-D8</f>
        <v>52000</v>
      </c>
      <c r="E12" s="20">
        <f>-E8</f>
        <v>52000</v>
      </c>
      <c r="F12" s="20">
        <f>-F8</f>
        <v>52000</v>
      </c>
      <c r="G12" s="20">
        <f>-G8</f>
        <v>52000</v>
      </c>
      <c r="H12" s="21">
        <f>-H8</f>
        <v>52000</v>
      </c>
    </row>
    <row r="13" spans="2:8" ht="13.5">
      <c r="B13" s="44" t="s">
        <v>20</v>
      </c>
      <c r="C13" s="20"/>
      <c r="D13" s="20"/>
      <c r="E13" s="20"/>
      <c r="F13" s="20"/>
      <c r="G13" s="20"/>
      <c r="H13" s="21"/>
    </row>
    <row r="14" spans="2:8" ht="12.75">
      <c r="B14" s="19" t="s">
        <v>44</v>
      </c>
      <c r="C14" s="20">
        <f>-C28</f>
        <v>-55000</v>
      </c>
      <c r="D14" s="20"/>
      <c r="E14" s="20"/>
      <c r="F14" s="20"/>
      <c r="G14" s="20"/>
      <c r="H14" s="21">
        <f>-C14</f>
        <v>55000</v>
      </c>
    </row>
    <row r="15" spans="2:8" ht="13.5" thickBot="1">
      <c r="B15" s="19" t="s">
        <v>43</v>
      </c>
      <c r="C15" s="20">
        <f>-C30</f>
        <v>-260000</v>
      </c>
      <c r="D15" s="20"/>
      <c r="E15" s="20"/>
      <c r="F15" s="20"/>
      <c r="G15" s="20"/>
      <c r="H15" s="21">
        <f>+C31</f>
        <v>0</v>
      </c>
    </row>
    <row r="16" spans="2:8" ht="13.5" thickBot="1">
      <c r="B16" s="53" t="s">
        <v>3</v>
      </c>
      <c r="C16" s="54">
        <f aca="true" t="shared" si="0" ref="C16:H16">SUM(C11:C15)</f>
        <v>-315000</v>
      </c>
      <c r="D16" s="54">
        <f t="shared" si="0"/>
        <v>83950</v>
      </c>
      <c r="E16" s="54">
        <f t="shared" si="0"/>
        <v>83950</v>
      </c>
      <c r="F16" s="54">
        <f t="shared" si="0"/>
        <v>83950</v>
      </c>
      <c r="G16" s="54">
        <f t="shared" si="0"/>
        <v>83950</v>
      </c>
      <c r="H16" s="55">
        <f t="shared" si="0"/>
        <v>138950</v>
      </c>
    </row>
    <row r="17" spans="3:7" ht="12">
      <c r="C17" s="11"/>
      <c r="D17" s="11"/>
      <c r="E17" s="11"/>
      <c r="F17" s="11"/>
      <c r="G17" s="9"/>
    </row>
    <row r="18" ht="15">
      <c r="B18" s="22" t="s">
        <v>14</v>
      </c>
    </row>
    <row r="19" spans="2:3" ht="13.5">
      <c r="B19" s="15" t="s">
        <v>8</v>
      </c>
      <c r="C19" s="16">
        <v>0.12</v>
      </c>
    </row>
    <row r="20" spans="2:3" ht="13.5">
      <c r="B20" s="15" t="s">
        <v>9</v>
      </c>
      <c r="C20" s="17"/>
    </row>
    <row r="21" spans="2:3" ht="12.75">
      <c r="B21" t="s">
        <v>10</v>
      </c>
      <c r="C21" s="18">
        <v>1600</v>
      </c>
    </row>
    <row r="22" spans="2:3" ht="12.75">
      <c r="B22" t="s">
        <v>11</v>
      </c>
      <c r="C22" s="17">
        <v>115</v>
      </c>
    </row>
    <row r="23" spans="2:3" ht="13.5">
      <c r="B23" s="15" t="s">
        <v>38</v>
      </c>
      <c r="C23" s="17"/>
    </row>
    <row r="24" spans="2:3" ht="12.75">
      <c r="B24" s="33" t="s">
        <v>39</v>
      </c>
      <c r="C24" s="18">
        <v>35000</v>
      </c>
    </row>
    <row r="25" spans="2:3" ht="13.5">
      <c r="B25" s="15" t="s">
        <v>36</v>
      </c>
      <c r="C25" s="17"/>
    </row>
    <row r="26" spans="2:3" ht="12.75">
      <c r="B26" s="33" t="s">
        <v>37</v>
      </c>
      <c r="C26" s="17">
        <v>34</v>
      </c>
    </row>
    <row r="27" spans="2:3" ht="13.5">
      <c r="B27" s="15" t="s">
        <v>40</v>
      </c>
      <c r="C27" s="17"/>
    </row>
    <row r="28" spans="2:3" ht="12.75">
      <c r="B28" s="33" t="s">
        <v>41</v>
      </c>
      <c r="C28" s="18">
        <v>55000</v>
      </c>
    </row>
    <row r="29" spans="2:3" ht="13.5">
      <c r="B29" s="15" t="s">
        <v>2</v>
      </c>
      <c r="C29" s="17"/>
    </row>
    <row r="30" spans="2:3" ht="12.75">
      <c r="B30" s="33" t="s">
        <v>42</v>
      </c>
      <c r="C30" s="18">
        <v>260000</v>
      </c>
    </row>
    <row r="31" spans="2:3" ht="12.75">
      <c r="B31" t="s">
        <v>12</v>
      </c>
      <c r="C31" s="18">
        <v>0</v>
      </c>
    </row>
    <row r="32" spans="2:3" ht="13.5">
      <c r="B32" s="15" t="s">
        <v>45</v>
      </c>
      <c r="C32" s="16">
        <v>0.25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1"/>
  <sheetViews>
    <sheetView showGridLines="0" zoomScale="130" zoomScaleNormal="130" zoomScalePageLayoutView="0" workbookViewId="0" topLeftCell="A21">
      <selection activeCell="B33" sqref="B33"/>
    </sheetView>
  </sheetViews>
  <sheetFormatPr defaultColWidth="11.421875" defaultRowHeight="12.75"/>
  <cols>
    <col min="1" max="1" width="3.8515625" style="0" customWidth="1"/>
    <col min="2" max="2" width="26.421875" style="0" customWidth="1"/>
    <col min="3" max="3" width="11.7109375" style="0" customWidth="1"/>
    <col min="6" max="6" width="10.421875" style="0" bestFit="1" customWidth="1"/>
    <col min="7" max="7" width="10.421875" style="0" customWidth="1"/>
    <col min="8" max="8" width="9.140625" style="0" bestFit="1" customWidth="1"/>
    <col min="9" max="9" width="26.57421875" style="0" customWidth="1"/>
    <col min="11" max="11" width="11.00390625" style="0" customWidth="1"/>
  </cols>
  <sheetData>
    <row r="2" spans="2:6" ht="15">
      <c r="B2" s="1" t="s">
        <v>46</v>
      </c>
      <c r="C2" s="2"/>
      <c r="D2" s="2"/>
      <c r="E2" s="2"/>
      <c r="F2" s="2"/>
    </row>
    <row r="3" ht="12.75" thickBot="1"/>
    <row r="4" spans="2:8" ht="14.25" thickBot="1">
      <c r="B4" s="23" t="s">
        <v>0</v>
      </c>
      <c r="C4" s="24">
        <v>0</v>
      </c>
      <c r="D4" s="24">
        <v>1</v>
      </c>
      <c r="E4" s="24">
        <v>2</v>
      </c>
      <c r="F4" s="24">
        <v>3</v>
      </c>
      <c r="G4" s="24">
        <v>4</v>
      </c>
      <c r="H4" s="25">
        <v>5</v>
      </c>
    </row>
    <row r="5" spans="2:8" ht="12.75">
      <c r="B5" s="3" t="s">
        <v>1</v>
      </c>
      <c r="C5" s="4" t="s">
        <v>6</v>
      </c>
      <c r="D5" s="4">
        <f>+$C$30*$C$31</f>
        <v>184000</v>
      </c>
      <c r="E5" s="4">
        <f>+$C$30*$C$31</f>
        <v>184000</v>
      </c>
      <c r="F5" s="4">
        <f>+$C$30*$C$31</f>
        <v>184000</v>
      </c>
      <c r="G5" s="4">
        <f>+$C$30*$C$31</f>
        <v>184000</v>
      </c>
      <c r="H5" s="5">
        <f>+$C$30*$C$31</f>
        <v>184000</v>
      </c>
    </row>
    <row r="6" spans="2:8" ht="12.75">
      <c r="B6" s="6" t="s">
        <v>38</v>
      </c>
      <c r="C6" s="7"/>
      <c r="D6" s="7">
        <f>-$C$33</f>
        <v>-35000</v>
      </c>
      <c r="E6" s="7">
        <f>-$C$33</f>
        <v>-35000</v>
      </c>
      <c r="F6" s="7">
        <f>-$C$33</f>
        <v>-35000</v>
      </c>
      <c r="G6" s="7">
        <f>-$C$33</f>
        <v>-35000</v>
      </c>
      <c r="H6" s="8">
        <f>-$C$33</f>
        <v>-35000</v>
      </c>
    </row>
    <row r="7" spans="2:8" ht="12.75">
      <c r="B7" s="6" t="s">
        <v>36</v>
      </c>
      <c r="C7" s="7"/>
      <c r="D7" s="7">
        <f>-$C$30*$C$35</f>
        <v>-54400</v>
      </c>
      <c r="E7" s="7">
        <f>-$C$30*$C$35</f>
        <v>-54400</v>
      </c>
      <c r="F7" s="7">
        <f>-$C$30*$C$35</f>
        <v>-54400</v>
      </c>
      <c r="G7" s="7">
        <f>-$C$30*$C$35</f>
        <v>-54400</v>
      </c>
      <c r="H7" s="8">
        <f>-$C$30*$C$35</f>
        <v>-54400</v>
      </c>
    </row>
    <row r="8" spans="2:8" ht="13.5" thickBot="1">
      <c r="B8" s="19" t="s">
        <v>18</v>
      </c>
      <c r="C8" s="20"/>
      <c r="D8" s="20">
        <f>-$C$39/5</f>
        <v>-52000</v>
      </c>
      <c r="E8" s="20">
        <f>-$C$39/5</f>
        <v>-52000</v>
      </c>
      <c r="F8" s="20">
        <f>-$C$39/5</f>
        <v>-52000</v>
      </c>
      <c r="G8" s="20">
        <f>-$C$39/5</f>
        <v>-52000</v>
      </c>
      <c r="H8" s="21">
        <f>-$C$39/5</f>
        <v>-52000</v>
      </c>
    </row>
    <row r="9" spans="2:8" ht="13.5" thickBot="1">
      <c r="B9" s="57" t="s">
        <v>15</v>
      </c>
      <c r="C9" s="58"/>
      <c r="D9" s="58">
        <f>SUM(D5:D8)</f>
        <v>42600</v>
      </c>
      <c r="E9" s="58">
        <f>SUM(E5:E8)</f>
        <v>42600</v>
      </c>
      <c r="F9" s="58">
        <f>SUM(F5:F8)</f>
        <v>42600</v>
      </c>
      <c r="G9" s="58">
        <f>SUM(G5:G8)</f>
        <v>42600</v>
      </c>
      <c r="H9" s="59">
        <f>SUM(H5:H8)</f>
        <v>42600</v>
      </c>
    </row>
    <row r="10" spans="2:8" ht="13.5" thickBot="1">
      <c r="B10" s="10" t="s">
        <v>16</v>
      </c>
      <c r="C10" s="35"/>
      <c r="D10" s="35">
        <f>-D9*$C$41</f>
        <v>-10650</v>
      </c>
      <c r="E10" s="35">
        <f>-E9*$C$41</f>
        <v>-10650</v>
      </c>
      <c r="F10" s="35">
        <f>-F9*$C$41</f>
        <v>-10650</v>
      </c>
      <c r="G10" s="35">
        <f>-G9*$C$41</f>
        <v>-10650</v>
      </c>
      <c r="H10" s="36">
        <f>-H9*$C$41</f>
        <v>-10650</v>
      </c>
    </row>
    <row r="11" spans="2:8" ht="13.5" thickBot="1">
      <c r="B11" s="60" t="s">
        <v>17</v>
      </c>
      <c r="C11" s="61"/>
      <c r="D11" s="61">
        <f>+D9+D10</f>
        <v>31950</v>
      </c>
      <c r="E11" s="61">
        <f>+E9+E10</f>
        <v>31950</v>
      </c>
      <c r="F11" s="61">
        <f>+F9+F10</f>
        <v>31950</v>
      </c>
      <c r="G11" s="61">
        <f>+G9+G10</f>
        <v>31950</v>
      </c>
      <c r="H11" s="62">
        <f>+H9+H10</f>
        <v>31950</v>
      </c>
    </row>
    <row r="12" spans="2:8" ht="12.75">
      <c r="B12" s="19" t="s">
        <v>19</v>
      </c>
      <c r="C12" s="20"/>
      <c r="D12" s="20">
        <f>-D8</f>
        <v>52000</v>
      </c>
      <c r="E12" s="20">
        <f>-E8</f>
        <v>52000</v>
      </c>
      <c r="F12" s="20">
        <f>-F8</f>
        <v>52000</v>
      </c>
      <c r="G12" s="20">
        <f>-G8</f>
        <v>52000</v>
      </c>
      <c r="H12" s="21">
        <f>-H8</f>
        <v>52000</v>
      </c>
    </row>
    <row r="13" spans="2:8" ht="13.5">
      <c r="B13" s="44" t="s">
        <v>20</v>
      </c>
      <c r="C13" s="20"/>
      <c r="D13" s="20"/>
      <c r="E13" s="20"/>
      <c r="F13" s="20"/>
      <c r="G13" s="20"/>
      <c r="H13" s="21"/>
    </row>
    <row r="14" spans="2:8" ht="12.75">
      <c r="B14" s="19" t="s">
        <v>44</v>
      </c>
      <c r="C14" s="20">
        <f>-C37</f>
        <v>-55000</v>
      </c>
      <c r="D14" s="20"/>
      <c r="E14" s="20"/>
      <c r="F14" s="20"/>
      <c r="G14" s="20"/>
      <c r="H14" s="21">
        <f>-C14</f>
        <v>55000</v>
      </c>
    </row>
    <row r="15" spans="2:8" ht="13.5" thickBot="1">
      <c r="B15" s="19" t="s">
        <v>43</v>
      </c>
      <c r="C15" s="20">
        <f>-C39</f>
        <v>-260000</v>
      </c>
      <c r="D15" s="20"/>
      <c r="E15" s="20"/>
      <c r="F15" s="20"/>
      <c r="G15" s="20"/>
      <c r="H15" s="21">
        <f>+C40</f>
        <v>0</v>
      </c>
    </row>
    <row r="16" spans="2:8" ht="13.5" thickBot="1">
      <c r="B16" s="53" t="s">
        <v>3</v>
      </c>
      <c r="C16" s="54">
        <f aca="true" t="shared" si="0" ref="C16:H16">SUM(C11:C15)</f>
        <v>-315000</v>
      </c>
      <c r="D16" s="54">
        <f t="shared" si="0"/>
        <v>83950</v>
      </c>
      <c r="E16" s="54">
        <f t="shared" si="0"/>
        <v>83950</v>
      </c>
      <c r="F16" s="54">
        <f t="shared" si="0"/>
        <v>83950</v>
      </c>
      <c r="G16" s="54">
        <f t="shared" si="0"/>
        <v>83950</v>
      </c>
      <c r="H16" s="55">
        <f t="shared" si="0"/>
        <v>138950</v>
      </c>
    </row>
    <row r="17" spans="2:8" ht="13.5" thickBot="1">
      <c r="B17" s="29" t="s">
        <v>4</v>
      </c>
      <c r="C17" s="30">
        <f aca="true" t="shared" si="1" ref="C17:H17">POWER(1+$C$28,C4)</f>
        <v>1</v>
      </c>
      <c r="D17" s="30">
        <f t="shared" si="1"/>
        <v>1.12</v>
      </c>
      <c r="E17" s="30">
        <f t="shared" si="1"/>
        <v>1.2544000000000002</v>
      </c>
      <c r="F17" s="30">
        <f t="shared" si="1"/>
        <v>1.4049280000000004</v>
      </c>
      <c r="G17" s="30">
        <f t="shared" si="1"/>
        <v>1.5735193600000004</v>
      </c>
      <c r="H17" s="31">
        <f t="shared" si="1"/>
        <v>1.7623416832000005</v>
      </c>
    </row>
    <row r="18" spans="2:9" ht="13.5" thickBot="1">
      <c r="B18" s="26" t="s">
        <v>5</v>
      </c>
      <c r="C18" s="27">
        <f aca="true" t="shared" si="2" ref="C18:H18">+C16/C17</f>
        <v>-315000</v>
      </c>
      <c r="D18" s="27">
        <f t="shared" si="2"/>
        <v>74955.35714285713</v>
      </c>
      <c r="E18" s="27">
        <f t="shared" si="2"/>
        <v>66924.42602040815</v>
      </c>
      <c r="F18" s="27">
        <f t="shared" si="2"/>
        <v>59753.951803935845</v>
      </c>
      <c r="G18" s="27">
        <f t="shared" si="2"/>
        <v>53351.742682085576</v>
      </c>
      <c r="H18" s="28">
        <f t="shared" si="2"/>
        <v>78843.96160209936</v>
      </c>
      <c r="I18" s="66" t="s">
        <v>6</v>
      </c>
    </row>
    <row r="19" spans="3:7" ht="12">
      <c r="C19" s="11"/>
      <c r="D19" s="11"/>
      <c r="E19" s="11"/>
      <c r="F19" s="11"/>
      <c r="G19" s="9"/>
    </row>
    <row r="20" spans="2:7" ht="12.75">
      <c r="B20" s="12" t="s">
        <v>116</v>
      </c>
      <c r="C20" s="13">
        <f>SUM(C18:H18)</f>
        <v>18829.439251386037</v>
      </c>
      <c r="D20" s="56" t="s">
        <v>48</v>
      </c>
      <c r="E20" s="11"/>
      <c r="F20" s="11"/>
      <c r="G20" s="9"/>
    </row>
    <row r="21" spans="2:7" ht="12.75">
      <c r="B21" s="12" t="s">
        <v>116</v>
      </c>
      <c r="C21" s="13">
        <f>NPV(C28,D16:H16)+C16</f>
        <v>18829.439251386037</v>
      </c>
      <c r="D21" s="56" t="s">
        <v>49</v>
      </c>
      <c r="E21" s="11"/>
      <c r="F21" s="11"/>
      <c r="G21" s="66" t="s">
        <v>6</v>
      </c>
    </row>
    <row r="22" spans="2:7" ht="12.75">
      <c r="B22" s="12" t="s">
        <v>7</v>
      </c>
      <c r="C22" s="14">
        <f>IRR(C16:H16)</f>
        <v>0.14217658523545218</v>
      </c>
      <c r="F22" s="66" t="s">
        <v>6</v>
      </c>
      <c r="G22" s="66" t="s">
        <v>6</v>
      </c>
    </row>
    <row r="23" spans="2:7" ht="12.75">
      <c r="B23" s="12" t="s">
        <v>13</v>
      </c>
      <c r="C23" s="14">
        <f>MIRR(C16:H16,,0.12)</f>
        <v>0.13308069039747972</v>
      </c>
      <c r="D23" s="14"/>
      <c r="F23" s="66" t="s">
        <v>6</v>
      </c>
      <c r="G23" s="66" t="s">
        <v>6</v>
      </c>
    </row>
    <row r="24" spans="2:7" ht="12">
      <c r="B24" s="64" t="s">
        <v>54</v>
      </c>
      <c r="C24" s="65" t="s">
        <v>56</v>
      </c>
      <c r="F24" s="66" t="s">
        <v>6</v>
      </c>
      <c r="G24" s="33" t="s">
        <v>6</v>
      </c>
    </row>
    <row r="25" spans="2:7" ht="12">
      <c r="B25" s="64" t="s">
        <v>55</v>
      </c>
      <c r="C25" s="65" t="s">
        <v>57</v>
      </c>
      <c r="F25" s="33" t="s">
        <v>6</v>
      </c>
      <c r="G25" s="33" t="s">
        <v>6</v>
      </c>
    </row>
    <row r="26" ht="12">
      <c r="F26" s="33" t="s">
        <v>6</v>
      </c>
    </row>
    <row r="27" spans="2:6" ht="15">
      <c r="B27" s="22" t="s">
        <v>14</v>
      </c>
      <c r="F27" s="66" t="s">
        <v>6</v>
      </c>
    </row>
    <row r="28" spans="2:6" ht="13.5">
      <c r="B28" s="15" t="s">
        <v>8</v>
      </c>
      <c r="C28" s="16">
        <v>0.12</v>
      </c>
      <c r="F28" s="66" t="s">
        <v>6</v>
      </c>
    </row>
    <row r="29" spans="2:6" ht="13.5">
      <c r="B29" s="15" t="s">
        <v>9</v>
      </c>
      <c r="C29" s="17"/>
      <c r="F29" s="33" t="s">
        <v>6</v>
      </c>
    </row>
    <row r="30" spans="2:3" ht="12.75">
      <c r="B30" t="s">
        <v>10</v>
      </c>
      <c r="C30" s="18">
        <v>1600</v>
      </c>
    </row>
    <row r="31" spans="2:3" ht="12.75">
      <c r="B31" t="s">
        <v>11</v>
      </c>
      <c r="C31" s="17">
        <v>115</v>
      </c>
    </row>
    <row r="32" spans="2:3" ht="13.5">
      <c r="B32" s="15" t="s">
        <v>38</v>
      </c>
      <c r="C32" s="17"/>
    </row>
    <row r="33" spans="2:3" ht="12.75">
      <c r="B33" s="33" t="s">
        <v>39</v>
      </c>
      <c r="C33" s="18">
        <v>35000</v>
      </c>
    </row>
    <row r="34" spans="2:3" ht="13.5">
      <c r="B34" s="15" t="s">
        <v>36</v>
      </c>
      <c r="C34" s="17"/>
    </row>
    <row r="35" spans="2:3" ht="12.75">
      <c r="B35" s="33" t="s">
        <v>37</v>
      </c>
      <c r="C35" s="17">
        <v>34</v>
      </c>
    </row>
    <row r="36" spans="2:3" ht="13.5">
      <c r="B36" s="15" t="s">
        <v>40</v>
      </c>
      <c r="C36" s="17"/>
    </row>
    <row r="37" spans="2:3" ht="12.75">
      <c r="B37" s="33" t="s">
        <v>41</v>
      </c>
      <c r="C37" s="18">
        <v>55000</v>
      </c>
    </row>
    <row r="38" spans="2:3" ht="13.5">
      <c r="B38" s="15" t="s">
        <v>2</v>
      </c>
      <c r="C38" s="17"/>
    </row>
    <row r="39" spans="2:3" ht="12.75">
      <c r="B39" s="33" t="s">
        <v>42</v>
      </c>
      <c r="C39" s="18">
        <v>260000</v>
      </c>
    </row>
    <row r="40" spans="2:3" ht="12.75">
      <c r="B40" t="s">
        <v>12</v>
      </c>
      <c r="C40" s="18">
        <v>0</v>
      </c>
    </row>
    <row r="41" spans="2:3" ht="13.5">
      <c r="B41" s="15" t="s">
        <v>45</v>
      </c>
      <c r="C41" s="16">
        <v>0.25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62"/>
  <sheetViews>
    <sheetView showGridLines="0" zoomScale="150" zoomScaleNormal="150" zoomScalePageLayoutView="0" workbookViewId="0" topLeftCell="A9">
      <selection activeCell="C21" sqref="C21"/>
    </sheetView>
  </sheetViews>
  <sheetFormatPr defaultColWidth="11.421875" defaultRowHeight="12.75"/>
  <cols>
    <col min="1" max="1" width="3.8515625" style="0" customWidth="1"/>
    <col min="2" max="2" width="26.421875" style="0" customWidth="1"/>
    <col min="3" max="3" width="11.7109375" style="0" customWidth="1"/>
    <col min="4" max="4" width="16.00390625" style="0" bestFit="1" customWidth="1"/>
    <col min="6" max="6" width="10.421875" style="0" bestFit="1" customWidth="1"/>
    <col min="7" max="7" width="10.421875" style="0" customWidth="1"/>
    <col min="8" max="8" width="9.140625" style="0" bestFit="1" customWidth="1"/>
    <col min="9" max="9" width="26.57421875" style="0" customWidth="1"/>
  </cols>
  <sheetData>
    <row r="2" spans="2:6" ht="15">
      <c r="B2" s="1" t="s">
        <v>46</v>
      </c>
      <c r="C2" s="2"/>
      <c r="D2" s="2"/>
      <c r="E2" s="2"/>
      <c r="F2" s="2"/>
    </row>
    <row r="3" ht="12.75" thickBot="1"/>
    <row r="4" spans="2:8" ht="14.25" thickBot="1">
      <c r="B4" s="23" t="s">
        <v>0</v>
      </c>
      <c r="C4" s="24">
        <v>0</v>
      </c>
      <c r="D4" s="24">
        <v>1</v>
      </c>
      <c r="E4" s="24">
        <v>2</v>
      </c>
      <c r="F4" s="24">
        <v>3</v>
      </c>
      <c r="G4" s="24">
        <v>4</v>
      </c>
      <c r="H4" s="25">
        <v>5</v>
      </c>
    </row>
    <row r="5" spans="2:8" ht="12.75">
      <c r="B5" s="3" t="s">
        <v>1</v>
      </c>
      <c r="C5" s="4" t="s">
        <v>6</v>
      </c>
      <c r="D5" s="4">
        <f>+$C$28*$C$29</f>
        <v>184000</v>
      </c>
      <c r="E5" s="4">
        <f>+$C$28*$C$29</f>
        <v>184000</v>
      </c>
      <c r="F5" s="4">
        <f>+$C$28*$C$29</f>
        <v>184000</v>
      </c>
      <c r="G5" s="4">
        <f>+$C$28*$C$29</f>
        <v>184000</v>
      </c>
      <c r="H5" s="5">
        <f>+$C$28*$C$29</f>
        <v>184000</v>
      </c>
    </row>
    <row r="6" spans="2:8" ht="12.75">
      <c r="B6" s="6" t="s">
        <v>38</v>
      </c>
      <c r="C6" s="7"/>
      <c r="D6" s="7">
        <f>-$C$31</f>
        <v>-35000</v>
      </c>
      <c r="E6" s="7">
        <f>-$C$31</f>
        <v>-35000</v>
      </c>
      <c r="F6" s="7">
        <f>-$C$31</f>
        <v>-35000</v>
      </c>
      <c r="G6" s="7">
        <f>-$C$31</f>
        <v>-35000</v>
      </c>
      <c r="H6" s="8">
        <f>-$C$31</f>
        <v>-35000</v>
      </c>
    </row>
    <row r="7" spans="2:8" ht="12.75">
      <c r="B7" s="6" t="s">
        <v>36</v>
      </c>
      <c r="C7" s="7"/>
      <c r="D7" s="7">
        <f>-$C$28*$C$33</f>
        <v>-54400</v>
      </c>
      <c r="E7" s="7">
        <f>-$C$28*$C$33</f>
        <v>-54400</v>
      </c>
      <c r="F7" s="7">
        <f>-$C$28*$C$33</f>
        <v>-54400</v>
      </c>
      <c r="G7" s="7">
        <f>-$C$28*$C$33</f>
        <v>-54400</v>
      </c>
      <c r="H7" s="8">
        <f>-$C$28*$C$33</f>
        <v>-54400</v>
      </c>
    </row>
    <row r="8" spans="2:8" ht="12.75">
      <c r="B8" s="19" t="s">
        <v>47</v>
      </c>
      <c r="C8" s="20"/>
      <c r="D8" s="20">
        <f>-D48</f>
        <v>-4400</v>
      </c>
      <c r="E8" s="20">
        <f>-D49</f>
        <v>-3520</v>
      </c>
      <c r="F8" s="20">
        <f>-D50</f>
        <v>-2640</v>
      </c>
      <c r="G8" s="20">
        <f>-D51</f>
        <v>-1760</v>
      </c>
      <c r="H8" s="21">
        <f>-D52</f>
        <v>-880</v>
      </c>
    </row>
    <row r="9" spans="2:8" ht="13.5" thickBot="1">
      <c r="B9" s="19" t="s">
        <v>18</v>
      </c>
      <c r="C9" s="20"/>
      <c r="D9" s="20">
        <f>-$C$37/5</f>
        <v>-52000</v>
      </c>
      <c r="E9" s="20">
        <f>-$C$37/5</f>
        <v>-52000</v>
      </c>
      <c r="F9" s="20">
        <f>-$C$37/5</f>
        <v>-52000</v>
      </c>
      <c r="G9" s="20">
        <f>-$C$37/5</f>
        <v>-52000</v>
      </c>
      <c r="H9" s="21">
        <f>-$C$37/5</f>
        <v>-52000</v>
      </c>
    </row>
    <row r="10" spans="2:8" ht="13.5" thickBot="1">
      <c r="B10" s="57" t="s">
        <v>15</v>
      </c>
      <c r="C10" s="58"/>
      <c r="D10" s="58">
        <f>SUM(D5:D9)</f>
        <v>38200</v>
      </c>
      <c r="E10" s="58">
        <f>SUM(E5:E9)</f>
        <v>39080</v>
      </c>
      <c r="F10" s="58">
        <f>SUM(F5:F9)</f>
        <v>39960</v>
      </c>
      <c r="G10" s="58">
        <f>SUM(G5:G9)</f>
        <v>40840</v>
      </c>
      <c r="H10" s="59">
        <f>SUM(H5:H9)</f>
        <v>41720</v>
      </c>
    </row>
    <row r="11" spans="2:8" ht="13.5" thickBot="1">
      <c r="B11" s="10" t="s">
        <v>16</v>
      </c>
      <c r="C11" s="35"/>
      <c r="D11" s="35">
        <f>-D10*$C$39</f>
        <v>-9550</v>
      </c>
      <c r="E11" s="35">
        <f>-E10*$C$39</f>
        <v>-9770</v>
      </c>
      <c r="F11" s="35">
        <f>-F10*$C$39</f>
        <v>-9990</v>
      </c>
      <c r="G11" s="35">
        <f>-G10*$C$39</f>
        <v>-10210</v>
      </c>
      <c r="H11" s="36">
        <f>-H10*$C$39</f>
        <v>-10430</v>
      </c>
    </row>
    <row r="12" spans="2:8" ht="13.5" thickBot="1">
      <c r="B12" s="60" t="s">
        <v>17</v>
      </c>
      <c r="C12" s="61"/>
      <c r="D12" s="61">
        <f>+D10+D11</f>
        <v>28650</v>
      </c>
      <c r="E12" s="61">
        <f>+E10+E11</f>
        <v>29310</v>
      </c>
      <c r="F12" s="61">
        <f>+F10+F11</f>
        <v>29970</v>
      </c>
      <c r="G12" s="61">
        <f>+G10+G11</f>
        <v>30630</v>
      </c>
      <c r="H12" s="62">
        <f>+H10+H11</f>
        <v>31290</v>
      </c>
    </row>
    <row r="13" spans="2:8" ht="12.75">
      <c r="B13" s="19" t="s">
        <v>19</v>
      </c>
      <c r="C13" s="20"/>
      <c r="D13" s="20">
        <f>-D9</f>
        <v>52000</v>
      </c>
      <c r="E13" s="20">
        <f>-E9</f>
        <v>52000</v>
      </c>
      <c r="F13" s="20">
        <f>-F9</f>
        <v>52000</v>
      </c>
      <c r="G13" s="20">
        <f>-G9</f>
        <v>52000</v>
      </c>
      <c r="H13" s="21">
        <f>-H9</f>
        <v>52000</v>
      </c>
    </row>
    <row r="14" spans="2:8" ht="12.75">
      <c r="B14" s="46" t="s">
        <v>31</v>
      </c>
      <c r="C14" s="47">
        <f>+C42</f>
        <v>20000</v>
      </c>
      <c r="D14" s="47"/>
      <c r="E14" s="47"/>
      <c r="F14" s="47"/>
      <c r="G14" s="47"/>
      <c r="H14" s="48"/>
    </row>
    <row r="15" spans="2:8" ht="12.75">
      <c r="B15" s="46" t="s">
        <v>32</v>
      </c>
      <c r="C15" s="47"/>
      <c r="D15" s="47">
        <f>-C48</f>
        <v>-4000</v>
      </c>
      <c r="E15" s="47">
        <f>-C49</f>
        <v>-4000</v>
      </c>
      <c r="F15" s="47">
        <f>-C50</f>
        <v>-4000</v>
      </c>
      <c r="G15" s="47">
        <f>-C51</f>
        <v>-4000</v>
      </c>
      <c r="H15" s="48">
        <f>-C52</f>
        <v>-4000</v>
      </c>
    </row>
    <row r="16" spans="2:8" ht="13.5">
      <c r="B16" s="44" t="s">
        <v>20</v>
      </c>
      <c r="C16" s="20"/>
      <c r="D16" s="20"/>
      <c r="E16" s="20"/>
      <c r="F16" s="20"/>
      <c r="G16" s="20"/>
      <c r="H16" s="21"/>
    </row>
    <row r="17" spans="2:8" ht="12.75">
      <c r="B17" s="19" t="s">
        <v>44</v>
      </c>
      <c r="C17" s="20">
        <f>-C35</f>
        <v>-55000</v>
      </c>
      <c r="D17" s="20"/>
      <c r="E17" s="20"/>
      <c r="F17" s="20"/>
      <c r="G17" s="20"/>
      <c r="H17" s="21">
        <f>-C17</f>
        <v>55000</v>
      </c>
    </row>
    <row r="18" spans="2:8" ht="13.5" thickBot="1">
      <c r="B18" s="19" t="s">
        <v>43</v>
      </c>
      <c r="C18" s="20">
        <f>-C37</f>
        <v>-260000</v>
      </c>
      <c r="D18" s="20"/>
      <c r="E18" s="20"/>
      <c r="F18" s="20"/>
      <c r="G18" s="20"/>
      <c r="H18" s="21">
        <f>+C38</f>
        <v>0</v>
      </c>
    </row>
    <row r="19" spans="2:8" ht="13.5" thickBot="1">
      <c r="B19" s="53" t="s">
        <v>3</v>
      </c>
      <c r="C19" s="54">
        <f aca="true" t="shared" si="0" ref="C19:H19">SUM(C12:C18)</f>
        <v>-295000</v>
      </c>
      <c r="D19" s="54">
        <f t="shared" si="0"/>
        <v>76650</v>
      </c>
      <c r="E19" s="54">
        <f t="shared" si="0"/>
        <v>77310</v>
      </c>
      <c r="F19" s="54">
        <f t="shared" si="0"/>
        <v>77970</v>
      </c>
      <c r="G19" s="54">
        <f t="shared" si="0"/>
        <v>78630</v>
      </c>
      <c r="H19" s="55">
        <f t="shared" si="0"/>
        <v>134290</v>
      </c>
    </row>
    <row r="20" spans="3:7" ht="12">
      <c r="C20" s="11"/>
      <c r="D20" s="11" t="s">
        <v>6</v>
      </c>
      <c r="E20" s="11"/>
      <c r="F20" s="11"/>
      <c r="G20" s="9"/>
    </row>
    <row r="21" spans="2:7" ht="12.75">
      <c r="B21" s="12" t="s">
        <v>116</v>
      </c>
      <c r="C21" s="13">
        <f>NPV(C26,D19:H19)+C19</f>
        <v>16736.603554903588</v>
      </c>
      <c r="D21" s="11" t="s">
        <v>6</v>
      </c>
      <c r="E21" s="11"/>
      <c r="F21" s="11"/>
      <c r="G21" s="9"/>
    </row>
    <row r="22" spans="2:4" ht="12.75">
      <c r="B22" s="12" t="s">
        <v>7</v>
      </c>
      <c r="C22" s="14">
        <f>IRR(C19:H19)</f>
        <v>0.14084859191285082</v>
      </c>
      <c r="D22" s="14"/>
    </row>
    <row r="23" spans="2:4" ht="12.75">
      <c r="B23" s="12" t="s">
        <v>13</v>
      </c>
      <c r="C23" s="14">
        <f>MIRR(C19:H19,,0.12)</f>
        <v>0.13242951317399743</v>
      </c>
      <c r="D23" s="14"/>
    </row>
    <row r="25" spans="2:3" ht="15">
      <c r="B25" s="22" t="s">
        <v>14</v>
      </c>
      <c r="C25" t="s">
        <v>6</v>
      </c>
    </row>
    <row r="26" spans="2:3" ht="13.5">
      <c r="B26" s="15" t="s">
        <v>8</v>
      </c>
      <c r="C26" s="16">
        <v>0.12</v>
      </c>
    </row>
    <row r="27" spans="2:3" ht="13.5">
      <c r="B27" s="15" t="s">
        <v>9</v>
      </c>
      <c r="C27" s="17"/>
    </row>
    <row r="28" spans="2:3" ht="12.75">
      <c r="B28" t="s">
        <v>10</v>
      </c>
      <c r="C28" s="18">
        <v>1600</v>
      </c>
    </row>
    <row r="29" spans="2:3" ht="12.75">
      <c r="B29" t="s">
        <v>11</v>
      </c>
      <c r="C29" s="17">
        <v>115</v>
      </c>
    </row>
    <row r="30" spans="2:3" ht="13.5">
      <c r="B30" s="15" t="s">
        <v>38</v>
      </c>
      <c r="C30" s="17"/>
    </row>
    <row r="31" spans="2:3" ht="12.75">
      <c r="B31" s="33" t="s">
        <v>39</v>
      </c>
      <c r="C31" s="18">
        <v>35000</v>
      </c>
    </row>
    <row r="32" spans="2:3" ht="13.5">
      <c r="B32" s="15" t="s">
        <v>36</v>
      </c>
      <c r="C32" s="17"/>
    </row>
    <row r="33" spans="2:3" ht="12.75">
      <c r="B33" s="33" t="s">
        <v>37</v>
      </c>
      <c r="C33" s="17">
        <v>34</v>
      </c>
    </row>
    <row r="34" spans="2:3" ht="13.5">
      <c r="B34" s="15" t="s">
        <v>40</v>
      </c>
      <c r="C34" s="17"/>
    </row>
    <row r="35" spans="2:3" ht="12.75">
      <c r="B35" s="33" t="s">
        <v>41</v>
      </c>
      <c r="C35" s="18">
        <v>55000</v>
      </c>
    </row>
    <row r="36" spans="2:3" ht="13.5">
      <c r="B36" s="15" t="s">
        <v>2</v>
      </c>
      <c r="C36" s="17"/>
    </row>
    <row r="37" spans="2:3" ht="12.75">
      <c r="B37" s="33" t="s">
        <v>42</v>
      </c>
      <c r="C37" s="18">
        <v>260000</v>
      </c>
    </row>
    <row r="38" spans="2:3" ht="12.75">
      <c r="B38" t="s">
        <v>12</v>
      </c>
      <c r="C38" s="18">
        <v>0</v>
      </c>
    </row>
    <row r="39" spans="2:3" ht="13.5">
      <c r="B39" s="15" t="s">
        <v>45</v>
      </c>
      <c r="C39" s="16">
        <v>0.25</v>
      </c>
    </row>
    <row r="41" spans="2:3" ht="13.5">
      <c r="B41" s="15" t="s">
        <v>25</v>
      </c>
      <c r="C41" s="18" t="s">
        <v>6</v>
      </c>
    </row>
    <row r="42" spans="2:3" ht="12.75">
      <c r="B42" s="33" t="s">
        <v>26</v>
      </c>
      <c r="C42" s="18">
        <v>20000</v>
      </c>
    </row>
    <row r="43" spans="2:3" ht="12.75">
      <c r="B43" s="33" t="s">
        <v>27</v>
      </c>
      <c r="C43" s="18">
        <v>5</v>
      </c>
    </row>
    <row r="44" spans="2:5" ht="12.75">
      <c r="B44" s="33" t="s">
        <v>28</v>
      </c>
      <c r="C44" s="16">
        <v>0.22</v>
      </c>
      <c r="E44" s="33" t="s">
        <v>6</v>
      </c>
    </row>
    <row r="45" spans="2:3" ht="12.75">
      <c r="B45" s="33" t="s">
        <v>29</v>
      </c>
      <c r="C45" s="16" t="s">
        <v>30</v>
      </c>
    </row>
    <row r="47" spans="2:5" ht="15">
      <c r="B47" s="49" t="s">
        <v>21</v>
      </c>
      <c r="C47" s="49" t="s">
        <v>22</v>
      </c>
      <c r="D47" s="50" t="s">
        <v>23</v>
      </c>
      <c r="E47" s="50" t="s">
        <v>24</v>
      </c>
    </row>
    <row r="48" spans="2:5" ht="12">
      <c r="B48" s="45">
        <f>+C42</f>
        <v>20000</v>
      </c>
      <c r="C48" s="45">
        <f>+$B$48/5</f>
        <v>4000</v>
      </c>
      <c r="D48" s="45">
        <f>+B48*$C$44</f>
        <v>4400</v>
      </c>
      <c r="E48" s="45">
        <f>+C48+D48</f>
        <v>8400</v>
      </c>
    </row>
    <row r="49" spans="2:5" ht="12">
      <c r="B49" s="45">
        <f>+B48-C48</f>
        <v>16000</v>
      </c>
      <c r="C49" s="45">
        <f>+$B$48/5</f>
        <v>4000</v>
      </c>
      <c r="D49" s="45">
        <f>+B49*$C$44</f>
        <v>3520</v>
      </c>
      <c r="E49" s="45">
        <f>+C49+D49</f>
        <v>7520</v>
      </c>
    </row>
    <row r="50" spans="2:5" ht="12">
      <c r="B50" s="45">
        <f>+B49-C49</f>
        <v>12000</v>
      </c>
      <c r="C50" s="45">
        <f>+$B$48/5</f>
        <v>4000</v>
      </c>
      <c r="D50" s="45">
        <f>+B50*$C$44</f>
        <v>2640</v>
      </c>
      <c r="E50" s="45">
        <f>+C50+D50</f>
        <v>6640</v>
      </c>
    </row>
    <row r="51" spans="2:5" ht="12">
      <c r="B51" s="45">
        <f>+B50-C50</f>
        <v>8000</v>
      </c>
      <c r="C51" s="45">
        <f>+$B$48/5</f>
        <v>4000</v>
      </c>
      <c r="D51" s="45">
        <f>+B51*$C$44</f>
        <v>1760</v>
      </c>
      <c r="E51" s="45">
        <f>+C51+D51</f>
        <v>5760</v>
      </c>
    </row>
    <row r="52" spans="2:5" ht="12">
      <c r="B52" s="45">
        <f>+B51-C51</f>
        <v>4000</v>
      </c>
      <c r="C52" s="45">
        <f>+$B$48/5</f>
        <v>4000</v>
      </c>
      <c r="D52" s="45">
        <f>+B52*$C$44</f>
        <v>880</v>
      </c>
      <c r="E52" s="45">
        <f>+C52+D52</f>
        <v>4880</v>
      </c>
    </row>
    <row r="53" spans="3:5" ht="12">
      <c r="C53" s="51" t="s">
        <v>6</v>
      </c>
      <c r="D53" s="51" t="s">
        <v>6</v>
      </c>
      <c r="E53" s="51" t="s">
        <v>6</v>
      </c>
    </row>
    <row r="54" ht="12">
      <c r="B54" s="63" t="s">
        <v>50</v>
      </c>
    </row>
    <row r="55" spans="2:3" ht="12.75">
      <c r="B55" s="33" t="s">
        <v>51</v>
      </c>
      <c r="C55" s="16">
        <v>0.22</v>
      </c>
    </row>
    <row r="56" spans="2:3" ht="12.75">
      <c r="B56" s="33" t="s">
        <v>45</v>
      </c>
      <c r="C56" s="16">
        <v>0.25</v>
      </c>
    </row>
    <row r="57" spans="2:3" ht="12.75">
      <c r="B57" s="33" t="s">
        <v>52</v>
      </c>
      <c r="C57" s="16">
        <f>+C55*(1-C56)</f>
        <v>0.165</v>
      </c>
    </row>
    <row r="59" ht="12">
      <c r="B59" s="63" t="s">
        <v>53</v>
      </c>
    </row>
    <row r="60" spans="2:3" ht="12.75">
      <c r="B60" s="33" t="s">
        <v>51</v>
      </c>
      <c r="C60" s="16">
        <v>0.16</v>
      </c>
    </row>
    <row r="61" spans="2:3" ht="12.75">
      <c r="B61" s="33" t="s">
        <v>45</v>
      </c>
      <c r="C61" s="16">
        <v>0.25</v>
      </c>
    </row>
    <row r="62" spans="2:3" ht="12.75">
      <c r="B62" s="33" t="s">
        <v>52</v>
      </c>
      <c r="C62" s="16">
        <f>+C60*(1-C61)</f>
        <v>0.12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65"/>
  <sheetViews>
    <sheetView showGridLines="0" zoomScale="150" zoomScaleNormal="150" zoomScalePageLayoutView="0" workbookViewId="0" topLeftCell="A20">
      <selection activeCell="E32" sqref="E32"/>
    </sheetView>
  </sheetViews>
  <sheetFormatPr defaultColWidth="11.421875" defaultRowHeight="12.75"/>
  <cols>
    <col min="1" max="1" width="3.8515625" style="0" customWidth="1"/>
    <col min="2" max="2" width="26.421875" style="0" customWidth="1"/>
    <col min="3" max="3" width="11.7109375" style="0" customWidth="1"/>
    <col min="4" max="4" width="16.00390625" style="0" bestFit="1" customWidth="1"/>
    <col min="6" max="6" width="10.421875" style="0" bestFit="1" customWidth="1"/>
    <col min="7" max="7" width="10.421875" style="0" customWidth="1"/>
    <col min="8" max="8" width="9.140625" style="0" bestFit="1" customWidth="1"/>
    <col min="9" max="9" width="26.57421875" style="0" customWidth="1"/>
  </cols>
  <sheetData>
    <row r="2" spans="2:6" ht="15">
      <c r="B2" s="1" t="s">
        <v>46</v>
      </c>
      <c r="C2" s="2"/>
      <c r="D2" s="2"/>
      <c r="E2" s="2"/>
      <c r="F2" s="2"/>
    </row>
    <row r="3" ht="12.75" thickBot="1"/>
    <row r="4" spans="2:8" ht="14.25" thickBot="1">
      <c r="B4" s="23" t="s">
        <v>0</v>
      </c>
      <c r="C4" s="24">
        <v>0</v>
      </c>
      <c r="D4" s="24">
        <v>1</v>
      </c>
      <c r="E4" s="24">
        <v>2</v>
      </c>
      <c r="F4" s="24">
        <v>3</v>
      </c>
      <c r="G4" s="24">
        <v>4</v>
      </c>
      <c r="H4" s="25">
        <v>5</v>
      </c>
    </row>
    <row r="5" spans="2:8" ht="12.75">
      <c r="B5" s="3" t="s">
        <v>1</v>
      </c>
      <c r="C5" s="4" t="s">
        <v>6</v>
      </c>
      <c r="D5" s="4">
        <f>+$C$29*$C$30</f>
        <v>184000</v>
      </c>
      <c r="E5" s="4">
        <f>+$C$29*$C$30</f>
        <v>184000</v>
      </c>
      <c r="F5" s="4">
        <f>+$C$29*$C$30</f>
        <v>184000</v>
      </c>
      <c r="G5" s="4">
        <f>+$C$29*$C$30</f>
        <v>184000</v>
      </c>
      <c r="H5" s="5">
        <f>+$C$29*$C$30</f>
        <v>184000</v>
      </c>
    </row>
    <row r="6" spans="2:8" ht="12.75">
      <c r="B6" s="6" t="s">
        <v>38</v>
      </c>
      <c r="C6" s="7"/>
      <c r="D6" s="7">
        <f>-$C$32</f>
        <v>-35000</v>
      </c>
      <c r="E6" s="7">
        <f>-$C$32</f>
        <v>-35000</v>
      </c>
      <c r="F6" s="7">
        <f>-$C$32</f>
        <v>-35000</v>
      </c>
      <c r="G6" s="7">
        <f>-$C$32</f>
        <v>-35000</v>
      </c>
      <c r="H6" s="8">
        <f>-$C$32</f>
        <v>-35000</v>
      </c>
    </row>
    <row r="7" spans="2:8" ht="12.75">
      <c r="B7" s="6" t="s">
        <v>36</v>
      </c>
      <c r="C7" s="7"/>
      <c r="D7" s="7">
        <f>-$C$29*$C$34</f>
        <v>-54400</v>
      </c>
      <c r="E7" s="7">
        <f>-$C$29*$C$34</f>
        <v>-54400</v>
      </c>
      <c r="F7" s="7">
        <f>-$C$29*$C$34</f>
        <v>-54400</v>
      </c>
      <c r="G7" s="7">
        <f>-$C$29*$C$34</f>
        <v>-54400</v>
      </c>
      <c r="H7" s="8">
        <f>-$C$29*$C$34</f>
        <v>-54400</v>
      </c>
    </row>
    <row r="8" spans="2:8" ht="12.75">
      <c r="B8" s="19" t="s">
        <v>47</v>
      </c>
      <c r="C8" s="20"/>
      <c r="D8" s="20">
        <f>-D49</f>
        <v>-4400</v>
      </c>
      <c r="E8" s="20">
        <f>-D50</f>
        <v>-3831.493886667706</v>
      </c>
      <c r="F8" s="20">
        <f>-D51</f>
        <v>-3137.916428402308</v>
      </c>
      <c r="G8" s="20">
        <f>-D52</f>
        <v>-2291.751929318523</v>
      </c>
      <c r="H8" s="21">
        <f>-D53</f>
        <v>-1259.4312404363043</v>
      </c>
    </row>
    <row r="9" spans="2:8" ht="13.5" thickBot="1">
      <c r="B9" s="19" t="s">
        <v>18</v>
      </c>
      <c r="C9" s="20"/>
      <c r="D9" s="20">
        <f>-$C$38/5</f>
        <v>-52000</v>
      </c>
      <c r="E9" s="20">
        <f>-$C$38/5</f>
        <v>-52000</v>
      </c>
      <c r="F9" s="20">
        <f>-$C$38/5</f>
        <v>-52000</v>
      </c>
      <c r="G9" s="20">
        <f>-$C$38/5</f>
        <v>-52000</v>
      </c>
      <c r="H9" s="21">
        <f>-$C$38/5</f>
        <v>-52000</v>
      </c>
    </row>
    <row r="10" spans="2:8" ht="13.5" thickBot="1">
      <c r="B10" s="38" t="s">
        <v>15</v>
      </c>
      <c r="C10" s="39"/>
      <c r="D10" s="39">
        <f>SUM(D5:D9)</f>
        <v>38200</v>
      </c>
      <c r="E10" s="39">
        <f>SUM(E5:E9)</f>
        <v>38768.50611333229</v>
      </c>
      <c r="F10" s="39">
        <f>SUM(F5:F9)</f>
        <v>39462.08357159769</v>
      </c>
      <c r="G10" s="39">
        <f>SUM(G5:G9)</f>
        <v>40308.24807068148</v>
      </c>
      <c r="H10" s="40">
        <f>SUM(H5:H9)</f>
        <v>41340.5687595637</v>
      </c>
    </row>
    <row r="11" spans="2:8" ht="13.5" thickBot="1">
      <c r="B11" s="10" t="s">
        <v>16</v>
      </c>
      <c r="C11" s="35"/>
      <c r="D11" s="35">
        <f>-D10*$C$40</f>
        <v>-9550</v>
      </c>
      <c r="E11" s="35">
        <f>-E10*$C$40</f>
        <v>-9692.126528333072</v>
      </c>
      <c r="F11" s="35">
        <f>-F10*$C$40</f>
        <v>-9865.520892899422</v>
      </c>
      <c r="G11" s="35">
        <f>-G10*$C$40</f>
        <v>-10077.06201767037</v>
      </c>
      <c r="H11" s="36">
        <f>-H10*$C$40</f>
        <v>-10335.142189890925</v>
      </c>
    </row>
    <row r="12" spans="2:8" ht="13.5" thickBot="1">
      <c r="B12" s="41" t="s">
        <v>17</v>
      </c>
      <c r="C12" s="42"/>
      <c r="D12" s="42">
        <f>+D10+D11</f>
        <v>28650</v>
      </c>
      <c r="E12" s="42">
        <f>+E10+E11</f>
        <v>29076.379584999217</v>
      </c>
      <c r="F12" s="42">
        <f>+F10+F11</f>
        <v>29596.562678698265</v>
      </c>
      <c r="G12" s="42">
        <f>+G10+G11</f>
        <v>30231.18605301111</v>
      </c>
      <c r="H12" s="43">
        <f>+H10+H11</f>
        <v>31005.426569672774</v>
      </c>
    </row>
    <row r="13" spans="2:8" ht="12.75">
      <c r="B13" s="19" t="s">
        <v>19</v>
      </c>
      <c r="C13" s="20"/>
      <c r="D13" s="20">
        <f>-D9</f>
        <v>52000</v>
      </c>
      <c r="E13" s="20">
        <f>-E9</f>
        <v>52000</v>
      </c>
      <c r="F13" s="20">
        <f>-F9</f>
        <v>52000</v>
      </c>
      <c r="G13" s="20">
        <f>-G9</f>
        <v>52000</v>
      </c>
      <c r="H13" s="21">
        <f>-H9</f>
        <v>52000</v>
      </c>
    </row>
    <row r="14" spans="2:8" ht="12.75">
      <c r="B14" s="46" t="s">
        <v>31</v>
      </c>
      <c r="C14" s="47">
        <f>+C43</f>
        <v>20000</v>
      </c>
      <c r="D14" s="47"/>
      <c r="E14" s="47"/>
      <c r="F14" s="47"/>
      <c r="G14" s="47"/>
      <c r="H14" s="48"/>
    </row>
    <row r="15" spans="2:8" ht="12.75">
      <c r="B15" s="46" t="s">
        <v>32</v>
      </c>
      <c r="C15" s="47"/>
      <c r="D15" s="47">
        <f>-C49</f>
        <v>-2584.11869696497</v>
      </c>
      <c r="E15" s="47">
        <f>-C50</f>
        <v>-3152.6248102972636</v>
      </c>
      <c r="F15" s="47">
        <f>-C51</f>
        <v>-3846.2022685626616</v>
      </c>
      <c r="G15" s="47">
        <f>-C52</f>
        <v>-4692.3667676464465</v>
      </c>
      <c r="H15" s="48">
        <f>-C53</f>
        <v>-5724.687456528665</v>
      </c>
    </row>
    <row r="16" spans="2:8" ht="13.5">
      <c r="B16" s="44" t="s">
        <v>20</v>
      </c>
      <c r="C16" s="20"/>
      <c r="D16" s="20"/>
      <c r="E16" s="20"/>
      <c r="F16" s="20"/>
      <c r="G16" s="20"/>
      <c r="H16" s="21"/>
    </row>
    <row r="17" spans="2:8" ht="12.75">
      <c r="B17" s="19" t="s">
        <v>44</v>
      </c>
      <c r="C17" s="20">
        <f>-C36</f>
        <v>-55000</v>
      </c>
      <c r="D17" s="20"/>
      <c r="E17" s="20"/>
      <c r="F17" s="20"/>
      <c r="G17" s="20"/>
      <c r="H17" s="21">
        <f>-C17</f>
        <v>55000</v>
      </c>
    </row>
    <row r="18" spans="2:8" ht="13.5" thickBot="1">
      <c r="B18" s="19" t="s">
        <v>43</v>
      </c>
      <c r="C18" s="20">
        <f>-C38</f>
        <v>-260000</v>
      </c>
      <c r="D18" s="20"/>
      <c r="E18" s="20"/>
      <c r="F18" s="20"/>
      <c r="G18" s="20"/>
      <c r="H18" s="21">
        <f>+C39</f>
        <v>0</v>
      </c>
    </row>
    <row r="19" spans="2:8" ht="13.5" thickBot="1">
      <c r="B19" s="37" t="s">
        <v>3</v>
      </c>
      <c r="C19" s="34">
        <f aca="true" t="shared" si="0" ref="C19:H19">SUM(C12:C18)</f>
        <v>-295000</v>
      </c>
      <c r="D19" s="34">
        <f t="shared" si="0"/>
        <v>78065.88130303503</v>
      </c>
      <c r="E19" s="34">
        <f t="shared" si="0"/>
        <v>77923.75477470196</v>
      </c>
      <c r="F19" s="34">
        <f t="shared" si="0"/>
        <v>77750.3604101356</v>
      </c>
      <c r="G19" s="34">
        <f t="shared" si="0"/>
        <v>77538.81928536468</v>
      </c>
      <c r="H19" s="34">
        <f t="shared" si="0"/>
        <v>132280.7391131441</v>
      </c>
    </row>
    <row r="20" spans="3:7" ht="12">
      <c r="C20" s="11"/>
      <c r="D20" s="11"/>
      <c r="E20" s="11"/>
      <c r="F20" s="11"/>
      <c r="G20" s="9"/>
    </row>
    <row r="21" spans="2:7" ht="12.75">
      <c r="B21" s="12" t="s">
        <v>116</v>
      </c>
      <c r="C21" s="13">
        <f>NPV(C27,D19:H19)+C19</f>
        <v>16500.15605845867</v>
      </c>
      <c r="D21" s="11"/>
      <c r="E21" s="11"/>
      <c r="F21" s="11"/>
      <c r="G21" s="9"/>
    </row>
    <row r="22" spans="2:5" ht="12.75">
      <c r="B22" s="12"/>
      <c r="C22" s="12"/>
      <c r="E22" s="33" t="s">
        <v>6</v>
      </c>
    </row>
    <row r="23" spans="2:4" ht="12.75">
      <c r="B23" s="12" t="s">
        <v>7</v>
      </c>
      <c r="C23" s="14">
        <f>IRR(C19:H19)</f>
        <v>0.14069257009766067</v>
      </c>
      <c r="D23" s="14"/>
    </row>
    <row r="24" spans="2:4" ht="12.75">
      <c r="B24" s="12" t="s">
        <v>13</v>
      </c>
      <c r="C24" s="14">
        <f>MIRR(C19:H19,,0.12)</f>
        <v>0.1322576749015416</v>
      </c>
      <c r="D24" s="14"/>
    </row>
    <row r="26" ht="15">
      <c r="B26" s="22" t="s">
        <v>14</v>
      </c>
    </row>
    <row r="27" spans="2:3" ht="13.5">
      <c r="B27" s="15" t="s">
        <v>8</v>
      </c>
      <c r="C27" s="16">
        <v>0.12</v>
      </c>
    </row>
    <row r="28" spans="2:3" ht="13.5">
      <c r="B28" s="15" t="s">
        <v>9</v>
      </c>
      <c r="C28" s="17"/>
    </row>
    <row r="29" spans="2:3" ht="12.75">
      <c r="B29" t="s">
        <v>10</v>
      </c>
      <c r="C29" s="18">
        <v>1600</v>
      </c>
    </row>
    <row r="30" spans="2:3" ht="12.75">
      <c r="B30" t="s">
        <v>11</v>
      </c>
      <c r="C30" s="17">
        <v>115</v>
      </c>
    </row>
    <row r="31" spans="2:3" ht="13.5">
      <c r="B31" s="15" t="s">
        <v>38</v>
      </c>
      <c r="C31" s="17"/>
    </row>
    <row r="32" spans="2:3" ht="12.75">
      <c r="B32" s="33" t="s">
        <v>39</v>
      </c>
      <c r="C32" s="18">
        <v>35000</v>
      </c>
    </row>
    <row r="33" spans="2:3" ht="13.5">
      <c r="B33" s="15" t="s">
        <v>36</v>
      </c>
      <c r="C33" s="17"/>
    </row>
    <row r="34" spans="2:3" ht="12.75">
      <c r="B34" s="33" t="s">
        <v>37</v>
      </c>
      <c r="C34" s="17">
        <v>34</v>
      </c>
    </row>
    <row r="35" spans="2:3" ht="13.5">
      <c r="B35" s="15" t="s">
        <v>40</v>
      </c>
      <c r="C35" s="17"/>
    </row>
    <row r="36" spans="2:3" ht="12.75">
      <c r="B36" s="33" t="s">
        <v>41</v>
      </c>
      <c r="C36" s="18">
        <v>55000</v>
      </c>
    </row>
    <row r="37" spans="2:3" ht="13.5">
      <c r="B37" s="15" t="s">
        <v>2</v>
      </c>
      <c r="C37" s="17"/>
    </row>
    <row r="38" spans="2:3" ht="12.75">
      <c r="B38" s="33" t="s">
        <v>42</v>
      </c>
      <c r="C38" s="18">
        <v>260000</v>
      </c>
    </row>
    <row r="39" spans="2:3" ht="12.75">
      <c r="B39" t="s">
        <v>12</v>
      </c>
      <c r="C39" s="18">
        <v>0</v>
      </c>
    </row>
    <row r="40" spans="2:3" ht="13.5">
      <c r="B40" s="15" t="s">
        <v>45</v>
      </c>
      <c r="C40" s="16">
        <v>0.25</v>
      </c>
    </row>
    <row r="42" spans="2:3" ht="13.5">
      <c r="B42" s="15" t="s">
        <v>25</v>
      </c>
      <c r="C42" s="18" t="s">
        <v>6</v>
      </c>
    </row>
    <row r="43" spans="2:3" ht="12.75">
      <c r="B43" s="33" t="s">
        <v>26</v>
      </c>
      <c r="C43" s="18">
        <v>20000</v>
      </c>
    </row>
    <row r="44" spans="2:3" ht="12.75">
      <c r="B44" s="33" t="s">
        <v>27</v>
      </c>
      <c r="C44" s="18">
        <v>5</v>
      </c>
    </row>
    <row r="45" spans="2:3" ht="12.75">
      <c r="B45" s="33" t="s">
        <v>28</v>
      </c>
      <c r="C45" s="16">
        <v>0.22</v>
      </c>
    </row>
    <row r="46" spans="2:3" ht="12.75">
      <c r="B46" s="33" t="s">
        <v>29</v>
      </c>
      <c r="C46" s="16" t="s">
        <v>35</v>
      </c>
    </row>
    <row r="48" spans="2:5" ht="15">
      <c r="B48" s="49" t="s">
        <v>21</v>
      </c>
      <c r="C48" s="49" t="s">
        <v>22</v>
      </c>
      <c r="D48" s="50" t="s">
        <v>23</v>
      </c>
      <c r="E48" s="50" t="s">
        <v>24</v>
      </c>
    </row>
    <row r="49" spans="2:6" ht="12">
      <c r="B49" s="45">
        <f>+C43</f>
        <v>20000</v>
      </c>
      <c r="C49" s="45">
        <f>+E49-D49</f>
        <v>2584.11869696497</v>
      </c>
      <c r="D49" s="45">
        <f>+B49*$C$45</f>
        <v>4400</v>
      </c>
      <c r="E49" s="45">
        <f>-$C$55</f>
        <v>6984.11869696497</v>
      </c>
      <c r="F49" s="115">
        <f>PMT(0.22,5,20000)</f>
        <v>-6984.11869696497</v>
      </c>
    </row>
    <row r="50" spans="2:5" ht="12">
      <c r="B50" s="45">
        <f>+B49-C49</f>
        <v>17415.88130303503</v>
      </c>
      <c r="C50" s="45">
        <f>+E50-D50</f>
        <v>3152.6248102972636</v>
      </c>
      <c r="D50" s="45">
        <f>+B50*$C$45</f>
        <v>3831.493886667706</v>
      </c>
      <c r="E50" s="45">
        <f>-$C$55</f>
        <v>6984.11869696497</v>
      </c>
    </row>
    <row r="51" spans="2:5" ht="12">
      <c r="B51" s="45">
        <f>+B50-C50</f>
        <v>14263.256492737764</v>
      </c>
      <c r="C51" s="45">
        <f>+E51-D51</f>
        <v>3846.2022685626616</v>
      </c>
      <c r="D51" s="45">
        <f>+B51*$C$45</f>
        <v>3137.916428402308</v>
      </c>
      <c r="E51" s="45">
        <f>-$C$55</f>
        <v>6984.11869696497</v>
      </c>
    </row>
    <row r="52" spans="2:5" ht="12">
      <c r="B52" s="45">
        <f>+B51-C51</f>
        <v>10417.054224175103</v>
      </c>
      <c r="C52" s="45">
        <f>+E52-D52</f>
        <v>4692.3667676464465</v>
      </c>
      <c r="D52" s="45">
        <f>+B52*$C$45</f>
        <v>2291.751929318523</v>
      </c>
      <c r="E52" s="45">
        <f>-$C$55</f>
        <v>6984.11869696497</v>
      </c>
    </row>
    <row r="53" spans="2:5" ht="12">
      <c r="B53" s="45">
        <f>+B52-C52</f>
        <v>5724.687456528656</v>
      </c>
      <c r="C53" s="45">
        <f>+E53-D53</f>
        <v>5724.687456528665</v>
      </c>
      <c r="D53" s="45">
        <f>+B53*$C$45</f>
        <v>1259.4312404363043</v>
      </c>
      <c r="E53" s="45">
        <f>-$C$55</f>
        <v>6984.11869696497</v>
      </c>
    </row>
    <row r="55" spans="2:3" ht="12">
      <c r="B55" s="33" t="s">
        <v>33</v>
      </c>
      <c r="C55" s="52">
        <f>PMT(C45,5,C43)</f>
        <v>-6984.11869696497</v>
      </c>
    </row>
    <row r="56" ht="12">
      <c r="C56" s="33" t="s">
        <v>6</v>
      </c>
    </row>
    <row r="57" ht="12">
      <c r="B57" s="63" t="s">
        <v>50</v>
      </c>
    </row>
    <row r="58" spans="2:3" ht="12.75">
      <c r="B58" s="33" t="s">
        <v>51</v>
      </c>
      <c r="C58" s="16">
        <v>0.22</v>
      </c>
    </row>
    <row r="59" spans="2:3" ht="12.75">
      <c r="B59" s="33" t="s">
        <v>45</v>
      </c>
      <c r="C59" s="16">
        <v>0.25</v>
      </c>
    </row>
    <row r="60" spans="2:3" ht="12.75">
      <c r="B60" s="33" t="s">
        <v>52</v>
      </c>
      <c r="C60" s="16">
        <f>+C58*(1-C59)</f>
        <v>0.165</v>
      </c>
    </row>
    <row r="62" ht="12">
      <c r="B62" s="63" t="s">
        <v>53</v>
      </c>
    </row>
    <row r="63" spans="2:3" ht="12.75">
      <c r="B63" s="33" t="s">
        <v>51</v>
      </c>
      <c r="C63" s="16">
        <v>0.16</v>
      </c>
    </row>
    <row r="64" spans="2:3" ht="12.75">
      <c r="B64" s="33" t="s">
        <v>45</v>
      </c>
      <c r="C64" s="16">
        <v>0.25</v>
      </c>
    </row>
    <row r="65" spans="2:3" ht="12.75">
      <c r="B65" s="33" t="s">
        <v>52</v>
      </c>
      <c r="C65" s="16">
        <f>+C63*(1-C64)</f>
        <v>0.12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63"/>
  <sheetViews>
    <sheetView showGridLines="0" zoomScale="150" zoomScaleNormal="150" zoomScalePageLayoutView="0" workbookViewId="0" topLeftCell="A13">
      <selection activeCell="C28" sqref="C28"/>
    </sheetView>
  </sheetViews>
  <sheetFormatPr defaultColWidth="11.421875" defaultRowHeight="12.75"/>
  <cols>
    <col min="1" max="1" width="3.8515625" style="0" customWidth="1"/>
    <col min="2" max="2" width="26.421875" style="0" customWidth="1"/>
    <col min="3" max="3" width="11.7109375" style="0" customWidth="1"/>
    <col min="4" max="4" width="16.00390625" style="0" bestFit="1" customWidth="1"/>
    <col min="6" max="6" width="10.421875" style="0" bestFit="1" customWidth="1"/>
    <col min="7" max="7" width="10.421875" style="0" customWidth="1"/>
    <col min="8" max="8" width="9.140625" style="0" bestFit="1" customWidth="1"/>
    <col min="9" max="9" width="26.57421875" style="0" customWidth="1"/>
  </cols>
  <sheetData>
    <row r="2" spans="2:6" ht="15">
      <c r="B2" s="1" t="s">
        <v>46</v>
      </c>
      <c r="C2" s="2"/>
      <c r="D2" s="2"/>
      <c r="E2" s="2"/>
      <c r="F2" s="2"/>
    </row>
    <row r="3" ht="12.75" thickBot="1"/>
    <row r="4" spans="2:8" ht="14.25" thickBot="1">
      <c r="B4" s="23" t="s">
        <v>0</v>
      </c>
      <c r="C4" s="24">
        <v>0</v>
      </c>
      <c r="D4" s="24">
        <v>1</v>
      </c>
      <c r="E4" s="24">
        <v>2</v>
      </c>
      <c r="F4" s="24">
        <v>3</v>
      </c>
      <c r="G4" s="24">
        <v>4</v>
      </c>
      <c r="H4" s="25">
        <v>5</v>
      </c>
    </row>
    <row r="5" spans="2:8" ht="12.75">
      <c r="B5" s="3" t="s">
        <v>1</v>
      </c>
      <c r="C5" s="4" t="s">
        <v>6</v>
      </c>
      <c r="D5" s="4">
        <f>+$C$29*$C$30</f>
        <v>184000</v>
      </c>
      <c r="E5" s="4">
        <f>+$C$29*$C$30</f>
        <v>184000</v>
      </c>
      <c r="F5" s="4">
        <f>+$C$29*$C$30</f>
        <v>184000</v>
      </c>
      <c r="G5" s="4">
        <f>+$C$29*$C$30</f>
        <v>184000</v>
      </c>
      <c r="H5" s="5">
        <f>+$C$29*$C$30</f>
        <v>184000</v>
      </c>
    </row>
    <row r="6" spans="2:8" ht="12.75">
      <c r="B6" s="6" t="s">
        <v>38</v>
      </c>
      <c r="C6" s="7"/>
      <c r="D6" s="7">
        <f>-$C$32</f>
        <v>-35000</v>
      </c>
      <c r="E6" s="7">
        <f>-$C$32</f>
        <v>-35000</v>
      </c>
      <c r="F6" s="7">
        <f>-$C$32</f>
        <v>-35000</v>
      </c>
      <c r="G6" s="7">
        <f>-$C$32</f>
        <v>-35000</v>
      </c>
      <c r="H6" s="8">
        <f>-$C$32</f>
        <v>-35000</v>
      </c>
    </row>
    <row r="7" spans="2:8" ht="12.75">
      <c r="B7" s="6" t="s">
        <v>36</v>
      </c>
      <c r="C7" s="7"/>
      <c r="D7" s="7">
        <f>-$C$29*$C$34</f>
        <v>-54400</v>
      </c>
      <c r="E7" s="7">
        <f>-$C$29*$C$34</f>
        <v>-54400</v>
      </c>
      <c r="F7" s="7">
        <f>-$C$29*$C$34</f>
        <v>-54400</v>
      </c>
      <c r="G7" s="7">
        <f>-$C$29*$C$34</f>
        <v>-54400</v>
      </c>
      <c r="H7" s="8">
        <f>-$C$29*$C$34</f>
        <v>-54400</v>
      </c>
    </row>
    <row r="8" spans="2:8" ht="12.75">
      <c r="B8" s="19" t="s">
        <v>47</v>
      </c>
      <c r="C8" s="20"/>
      <c r="D8" s="20">
        <f>-D49</f>
        <v>-4400</v>
      </c>
      <c r="E8" s="20">
        <f>-D50</f>
        <v>-4400</v>
      </c>
      <c r="F8" s="20">
        <f>-D51</f>
        <v>-4400</v>
      </c>
      <c r="G8" s="20">
        <f>-D52</f>
        <v>-4400</v>
      </c>
      <c r="H8" s="21">
        <f>-D53</f>
        <v>-4400</v>
      </c>
    </row>
    <row r="9" spans="2:8" ht="13.5" thickBot="1">
      <c r="B9" s="19" t="s">
        <v>18</v>
      </c>
      <c r="C9" s="20"/>
      <c r="D9" s="20">
        <f>-$C$38/5</f>
        <v>-52000</v>
      </c>
      <c r="E9" s="20">
        <f>-$C$38/5</f>
        <v>-52000</v>
      </c>
      <c r="F9" s="20">
        <f>-$C$38/5</f>
        <v>-52000</v>
      </c>
      <c r="G9" s="20">
        <f>-$C$38/5</f>
        <v>-52000</v>
      </c>
      <c r="H9" s="21">
        <f>-$C$38/5</f>
        <v>-52000</v>
      </c>
    </row>
    <row r="10" spans="2:8" ht="13.5" thickBot="1">
      <c r="B10" s="38" t="s">
        <v>15</v>
      </c>
      <c r="C10" s="39"/>
      <c r="D10" s="39">
        <f>SUM(D5:D9)</f>
        <v>38200</v>
      </c>
      <c r="E10" s="39">
        <f>SUM(E5:E9)</f>
        <v>38200</v>
      </c>
      <c r="F10" s="39">
        <f>SUM(F5:F9)</f>
        <v>38200</v>
      </c>
      <c r="G10" s="39">
        <f>SUM(G5:G9)</f>
        <v>38200</v>
      </c>
      <c r="H10" s="40">
        <f>SUM(H5:H9)</f>
        <v>38200</v>
      </c>
    </row>
    <row r="11" spans="2:8" ht="13.5" thickBot="1">
      <c r="B11" s="10" t="s">
        <v>16</v>
      </c>
      <c r="C11" s="35"/>
      <c r="D11" s="35">
        <f>-D10*$C$40</f>
        <v>-9550</v>
      </c>
      <c r="E11" s="35">
        <f>-E10*$C$40</f>
        <v>-9550</v>
      </c>
      <c r="F11" s="35">
        <f>-F10*$C$40</f>
        <v>-9550</v>
      </c>
      <c r="G11" s="35">
        <f>-G10*$C$40</f>
        <v>-9550</v>
      </c>
      <c r="H11" s="36">
        <f>-H10*$C$40</f>
        <v>-9550</v>
      </c>
    </row>
    <row r="12" spans="2:8" ht="13.5" thickBot="1">
      <c r="B12" s="41" t="s">
        <v>17</v>
      </c>
      <c r="C12" s="42"/>
      <c r="D12" s="42">
        <f>+D10+D11</f>
        <v>28650</v>
      </c>
      <c r="E12" s="42">
        <f>+E10+E11</f>
        <v>28650</v>
      </c>
      <c r="F12" s="42">
        <f>+F10+F11</f>
        <v>28650</v>
      </c>
      <c r="G12" s="42">
        <f>+G10+G11</f>
        <v>28650</v>
      </c>
      <c r="H12" s="43">
        <f>+H10+H11</f>
        <v>28650</v>
      </c>
    </row>
    <row r="13" spans="2:8" ht="12.75">
      <c r="B13" s="19" t="s">
        <v>19</v>
      </c>
      <c r="C13" s="20"/>
      <c r="D13" s="20">
        <f>-D9</f>
        <v>52000</v>
      </c>
      <c r="E13" s="20">
        <f>-E9</f>
        <v>52000</v>
      </c>
      <c r="F13" s="20">
        <f>-F9</f>
        <v>52000</v>
      </c>
      <c r="G13" s="20">
        <f>-G9</f>
        <v>52000</v>
      </c>
      <c r="H13" s="21">
        <f>-H9</f>
        <v>52000</v>
      </c>
    </row>
    <row r="14" spans="2:8" ht="12.75">
      <c r="B14" s="46" t="s">
        <v>31</v>
      </c>
      <c r="C14" s="47">
        <f>+C43</f>
        <v>20000</v>
      </c>
      <c r="D14" s="47"/>
      <c r="E14" s="47"/>
      <c r="F14" s="47"/>
      <c r="G14" s="47"/>
      <c r="H14" s="48"/>
    </row>
    <row r="15" spans="2:8" ht="12.75">
      <c r="B15" s="46" t="s">
        <v>32</v>
      </c>
      <c r="C15" s="47"/>
      <c r="D15" s="47">
        <f>-C49</f>
        <v>0</v>
      </c>
      <c r="E15" s="47">
        <f>-C50</f>
        <v>0</v>
      </c>
      <c r="F15" s="47">
        <f>-C51</f>
        <v>0</v>
      </c>
      <c r="G15" s="47">
        <f>-C52</f>
        <v>0</v>
      </c>
      <c r="H15" s="48">
        <f>-C53</f>
        <v>-20000</v>
      </c>
    </row>
    <row r="16" spans="2:8" ht="13.5">
      <c r="B16" s="44" t="s">
        <v>20</v>
      </c>
      <c r="C16" s="20"/>
      <c r="D16" s="20"/>
      <c r="E16" s="20"/>
      <c r="F16" s="20"/>
      <c r="G16" s="20"/>
      <c r="H16" s="21"/>
    </row>
    <row r="17" spans="2:8" ht="12.75">
      <c r="B17" s="19" t="s">
        <v>44</v>
      </c>
      <c r="C17" s="20">
        <f>-C36</f>
        <v>-55000</v>
      </c>
      <c r="D17" s="20"/>
      <c r="E17" s="20"/>
      <c r="F17" s="20"/>
      <c r="G17" s="20"/>
      <c r="H17" s="21">
        <f>-C17</f>
        <v>55000</v>
      </c>
    </row>
    <row r="18" spans="2:8" ht="13.5" thickBot="1">
      <c r="B18" s="19" t="s">
        <v>43</v>
      </c>
      <c r="C18" s="20">
        <f>-C38</f>
        <v>-260000</v>
      </c>
      <c r="D18" s="20"/>
      <c r="E18" s="20"/>
      <c r="F18" s="20"/>
      <c r="G18" s="20"/>
      <c r="H18" s="21">
        <f>+C39</f>
        <v>0</v>
      </c>
    </row>
    <row r="19" spans="2:8" ht="13.5" thickBot="1">
      <c r="B19" s="37" t="s">
        <v>3</v>
      </c>
      <c r="C19" s="34">
        <f aca="true" t="shared" si="0" ref="C19:H19">SUM(C12:C18)</f>
        <v>-295000</v>
      </c>
      <c r="D19" s="34">
        <f t="shared" si="0"/>
        <v>80650</v>
      </c>
      <c r="E19" s="34">
        <f t="shared" si="0"/>
        <v>80650</v>
      </c>
      <c r="F19" s="34">
        <f t="shared" si="0"/>
        <v>80650</v>
      </c>
      <c r="G19" s="34">
        <f t="shared" si="0"/>
        <v>80650</v>
      </c>
      <c r="H19" s="34">
        <f t="shared" si="0"/>
        <v>115650</v>
      </c>
    </row>
    <row r="20" spans="3:7" ht="12">
      <c r="C20" s="11"/>
      <c r="D20" s="11"/>
      <c r="E20" s="11"/>
      <c r="F20" s="11"/>
      <c r="G20" s="9"/>
    </row>
    <row r="21" spans="2:7" ht="12.75">
      <c r="B21" s="12" t="s">
        <v>116</v>
      </c>
      <c r="C21" s="13">
        <f>NPV(C27,D19:H19)+C19</f>
        <v>15585.14066927554</v>
      </c>
      <c r="D21" s="11"/>
      <c r="E21" s="11"/>
      <c r="F21" s="11"/>
      <c r="G21" s="9"/>
    </row>
    <row r="22" spans="2:5" ht="12.75">
      <c r="B22" s="12"/>
      <c r="C22" s="12"/>
      <c r="E22" s="33" t="s">
        <v>6</v>
      </c>
    </row>
    <row r="23" spans="2:4" ht="12.75">
      <c r="B23" s="12" t="s">
        <v>7</v>
      </c>
      <c r="C23" s="14">
        <f>IRR(C19:H19)</f>
        <v>0.1400750049892896</v>
      </c>
      <c r="D23" s="14"/>
    </row>
    <row r="24" spans="2:4" ht="12.75">
      <c r="B24" s="12" t="s">
        <v>13</v>
      </c>
      <c r="C24" s="14">
        <f>MIRR(C19:H19,,0.12)</f>
        <v>0.1315917024170452</v>
      </c>
      <c r="D24" s="14"/>
    </row>
    <row r="26" ht="15">
      <c r="B26" s="22" t="s">
        <v>14</v>
      </c>
    </row>
    <row r="27" spans="2:3" ht="13.5">
      <c r="B27" s="15" t="s">
        <v>8</v>
      </c>
      <c r="C27" s="16">
        <v>0.12</v>
      </c>
    </row>
    <row r="28" spans="2:3" ht="13.5">
      <c r="B28" s="15" t="s">
        <v>9</v>
      </c>
      <c r="C28" s="17"/>
    </row>
    <row r="29" spans="2:3" ht="12.75">
      <c r="B29" t="s">
        <v>10</v>
      </c>
      <c r="C29" s="18">
        <v>1600</v>
      </c>
    </row>
    <row r="30" spans="2:3" ht="12.75">
      <c r="B30" t="s">
        <v>11</v>
      </c>
      <c r="C30" s="17">
        <v>115</v>
      </c>
    </row>
    <row r="31" spans="2:3" ht="13.5">
      <c r="B31" s="15" t="s">
        <v>38</v>
      </c>
      <c r="C31" s="17"/>
    </row>
    <row r="32" spans="2:3" ht="12.75">
      <c r="B32" s="33" t="s">
        <v>39</v>
      </c>
      <c r="C32" s="18">
        <v>35000</v>
      </c>
    </row>
    <row r="33" spans="2:3" ht="13.5">
      <c r="B33" s="15" t="s">
        <v>36</v>
      </c>
      <c r="C33" s="17"/>
    </row>
    <row r="34" spans="2:3" ht="12.75">
      <c r="B34" s="33" t="s">
        <v>37</v>
      </c>
      <c r="C34" s="17">
        <v>34</v>
      </c>
    </row>
    <row r="35" spans="2:3" ht="13.5">
      <c r="B35" s="15" t="s">
        <v>40</v>
      </c>
      <c r="C35" s="17"/>
    </row>
    <row r="36" spans="2:3" ht="12.75">
      <c r="B36" s="33" t="s">
        <v>41</v>
      </c>
      <c r="C36" s="18">
        <v>55000</v>
      </c>
    </row>
    <row r="37" spans="2:3" ht="13.5">
      <c r="B37" s="15" t="s">
        <v>2</v>
      </c>
      <c r="C37" s="17"/>
    </row>
    <row r="38" spans="2:3" ht="12.75">
      <c r="B38" s="33" t="s">
        <v>42</v>
      </c>
      <c r="C38" s="18">
        <v>260000</v>
      </c>
    </row>
    <row r="39" spans="2:3" ht="12.75">
      <c r="B39" t="s">
        <v>12</v>
      </c>
      <c r="C39" s="18">
        <v>0</v>
      </c>
    </row>
    <row r="40" spans="2:3" ht="13.5">
      <c r="B40" s="15" t="s">
        <v>45</v>
      </c>
      <c r="C40" s="16">
        <v>0.25</v>
      </c>
    </row>
    <row r="42" spans="2:3" ht="13.5">
      <c r="B42" s="15" t="s">
        <v>25</v>
      </c>
      <c r="C42" s="18" t="s">
        <v>6</v>
      </c>
    </row>
    <row r="43" spans="2:3" ht="12.75">
      <c r="B43" s="33" t="s">
        <v>26</v>
      </c>
      <c r="C43" s="18">
        <v>20000</v>
      </c>
    </row>
    <row r="44" spans="2:3" ht="12.75">
      <c r="B44" s="33" t="s">
        <v>27</v>
      </c>
      <c r="C44" s="18">
        <v>5</v>
      </c>
    </row>
    <row r="45" spans="2:3" ht="12.75">
      <c r="B45" s="33" t="s">
        <v>28</v>
      </c>
      <c r="C45" s="16">
        <v>0.22</v>
      </c>
    </row>
    <row r="46" spans="2:3" ht="12.75">
      <c r="B46" s="33" t="s">
        <v>29</v>
      </c>
      <c r="C46" s="16" t="s">
        <v>34</v>
      </c>
    </row>
    <row r="48" spans="2:5" ht="15">
      <c r="B48" s="49" t="s">
        <v>21</v>
      </c>
      <c r="C48" s="49" t="s">
        <v>22</v>
      </c>
      <c r="D48" s="50" t="s">
        <v>23</v>
      </c>
      <c r="E48" s="50" t="s">
        <v>24</v>
      </c>
    </row>
    <row r="49" spans="2:5" ht="12">
      <c r="B49" s="45">
        <f>+C43</f>
        <v>20000</v>
      </c>
      <c r="C49" s="45">
        <v>0</v>
      </c>
      <c r="D49" s="45">
        <f>+B49*$C$45</f>
        <v>4400</v>
      </c>
      <c r="E49" s="45">
        <f>+C49+D49</f>
        <v>4400</v>
      </c>
    </row>
    <row r="50" spans="2:5" ht="12">
      <c r="B50" s="45">
        <f>+B49</f>
        <v>20000</v>
      </c>
      <c r="C50" s="45">
        <v>0</v>
      </c>
      <c r="D50" s="45">
        <f>+B50*$C$45</f>
        <v>4400</v>
      </c>
      <c r="E50" s="45">
        <f>+C50+D50</f>
        <v>4400</v>
      </c>
    </row>
    <row r="51" spans="2:5" ht="12">
      <c r="B51" s="45">
        <f>+B50</f>
        <v>20000</v>
      </c>
      <c r="C51" s="45">
        <v>0</v>
      </c>
      <c r="D51" s="45">
        <f>+B51*$C$45</f>
        <v>4400</v>
      </c>
      <c r="E51" s="45">
        <f>+C51+D51</f>
        <v>4400</v>
      </c>
    </row>
    <row r="52" spans="2:5" ht="12">
      <c r="B52" s="45">
        <f>+B51</f>
        <v>20000</v>
      </c>
      <c r="C52" s="45">
        <v>0</v>
      </c>
      <c r="D52" s="45">
        <f>+B52*$C$45</f>
        <v>4400</v>
      </c>
      <c r="E52" s="45">
        <f>+C52+D52</f>
        <v>4400</v>
      </c>
    </row>
    <row r="53" spans="2:5" ht="12">
      <c r="B53" s="45">
        <f>+B52</f>
        <v>20000</v>
      </c>
      <c r="C53" s="45">
        <v>20000</v>
      </c>
      <c r="D53" s="45">
        <f>+B53*$C$45</f>
        <v>4400</v>
      </c>
      <c r="E53" s="45">
        <f>+C53+D53</f>
        <v>24400</v>
      </c>
    </row>
    <row r="54" spans="3:5" ht="12">
      <c r="C54" s="51" t="s">
        <v>6</v>
      </c>
      <c r="D54" s="51" t="s">
        <v>6</v>
      </c>
      <c r="E54" s="51" t="s">
        <v>6</v>
      </c>
    </row>
    <row r="55" ht="12">
      <c r="B55" s="63" t="s">
        <v>50</v>
      </c>
    </row>
    <row r="56" spans="2:3" ht="12.75">
      <c r="B56" s="33" t="s">
        <v>51</v>
      </c>
      <c r="C56" s="16">
        <v>0.22</v>
      </c>
    </row>
    <row r="57" spans="2:3" ht="12.75">
      <c r="B57" s="33" t="s">
        <v>45</v>
      </c>
      <c r="C57" s="16">
        <v>0.25</v>
      </c>
    </row>
    <row r="58" spans="2:3" ht="12.75">
      <c r="B58" s="33" t="s">
        <v>52</v>
      </c>
      <c r="C58" s="16">
        <f>+C56*(1-C57)</f>
        <v>0.165</v>
      </c>
    </row>
    <row r="60" ht="12">
      <c r="B60" s="63" t="s">
        <v>53</v>
      </c>
    </row>
    <row r="61" spans="2:3" ht="12.75">
      <c r="B61" s="33" t="s">
        <v>51</v>
      </c>
      <c r="C61" s="16">
        <v>0.16</v>
      </c>
    </row>
    <row r="62" spans="2:3" ht="12.75">
      <c r="B62" s="33" t="s">
        <v>45</v>
      </c>
      <c r="C62" s="16">
        <v>0.25</v>
      </c>
    </row>
    <row r="63" spans="2:3" ht="12.75">
      <c r="B63" s="33" t="s">
        <v>52</v>
      </c>
      <c r="C63" s="16">
        <f>+C61*(1-C62)</f>
        <v>0.12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4"/>
  <sheetViews>
    <sheetView tabSelected="1" zoomScale="154" zoomScaleNormal="154" zoomScalePageLayoutView="0" workbookViewId="0" topLeftCell="A1">
      <selection activeCell="B1" sqref="B1"/>
    </sheetView>
  </sheetViews>
  <sheetFormatPr defaultColWidth="11.421875" defaultRowHeight="12.75"/>
  <cols>
    <col min="1" max="1" width="4.57421875" style="0" customWidth="1"/>
    <col min="2" max="2" width="30.7109375" style="0" customWidth="1"/>
    <col min="3" max="3" width="16.8515625" style="0" customWidth="1"/>
    <col min="4" max="4" width="13.8515625" style="0" bestFit="1" customWidth="1"/>
  </cols>
  <sheetData>
    <row r="2" spans="2:9" ht="15">
      <c r="B2" s="67" t="s">
        <v>58</v>
      </c>
      <c r="D2" s="68"/>
      <c r="E2" s="68"/>
      <c r="F2" s="68"/>
      <c r="G2" s="68"/>
      <c r="H2" s="68"/>
      <c r="I2" s="68"/>
    </row>
    <row r="3" spans="2:9" ht="15.75" thickBot="1">
      <c r="B3" s="67"/>
      <c r="D3" s="68"/>
      <c r="E3" s="68"/>
      <c r="F3" s="68"/>
      <c r="G3" s="68"/>
      <c r="H3" s="68"/>
      <c r="I3" s="68"/>
    </row>
    <row r="4" spans="2:9" ht="14.25" thickBot="1">
      <c r="B4" s="23" t="s">
        <v>0</v>
      </c>
      <c r="C4" s="24">
        <v>0</v>
      </c>
      <c r="D4" s="24">
        <v>1</v>
      </c>
      <c r="E4" s="24">
        <v>2</v>
      </c>
      <c r="F4" s="24">
        <v>3</v>
      </c>
      <c r="G4" s="24">
        <v>4</v>
      </c>
      <c r="H4" s="25">
        <v>5</v>
      </c>
      <c r="I4" s="68"/>
    </row>
    <row r="5" spans="2:9" ht="12.75">
      <c r="B5" s="3" t="s">
        <v>59</v>
      </c>
      <c r="C5" s="4"/>
      <c r="D5" s="4">
        <f>+C23*C24</f>
        <v>184000</v>
      </c>
      <c r="E5" s="4">
        <f aca="true" t="shared" si="0" ref="E5:H8">+D5</f>
        <v>184000</v>
      </c>
      <c r="F5" s="4">
        <f t="shared" si="0"/>
        <v>184000</v>
      </c>
      <c r="G5" s="4">
        <f t="shared" si="0"/>
        <v>184000</v>
      </c>
      <c r="H5" s="5">
        <f t="shared" si="0"/>
        <v>184000</v>
      </c>
      <c r="I5" s="68"/>
    </row>
    <row r="6" spans="2:9" ht="12.75">
      <c r="B6" s="6" t="s">
        <v>60</v>
      </c>
      <c r="C6" s="7"/>
      <c r="D6" s="7">
        <f>-C23*C25</f>
        <v>-54400</v>
      </c>
      <c r="E6" s="7">
        <f t="shared" si="0"/>
        <v>-54400</v>
      </c>
      <c r="F6" s="7">
        <f t="shared" si="0"/>
        <v>-54400</v>
      </c>
      <c r="G6" s="7">
        <f t="shared" si="0"/>
        <v>-54400</v>
      </c>
      <c r="H6" s="8">
        <f t="shared" si="0"/>
        <v>-54400</v>
      </c>
      <c r="I6" s="68"/>
    </row>
    <row r="7" spans="2:9" ht="12.75">
      <c r="B7" s="6" t="s">
        <v>38</v>
      </c>
      <c r="C7" s="7"/>
      <c r="D7" s="7">
        <f>-C26</f>
        <v>-35000</v>
      </c>
      <c r="E7" s="7">
        <f t="shared" si="0"/>
        <v>-35000</v>
      </c>
      <c r="F7" s="7">
        <f t="shared" si="0"/>
        <v>-35000</v>
      </c>
      <c r="G7" s="7">
        <f t="shared" si="0"/>
        <v>-35000</v>
      </c>
      <c r="H7" s="8">
        <f t="shared" si="0"/>
        <v>-35000</v>
      </c>
      <c r="I7" s="68"/>
    </row>
    <row r="8" spans="2:9" ht="13.5" thickBot="1">
      <c r="B8" s="19" t="s">
        <v>61</v>
      </c>
      <c r="C8" s="20"/>
      <c r="D8" s="20">
        <f>-C27*C30</f>
        <v>-52000</v>
      </c>
      <c r="E8" s="20">
        <f t="shared" si="0"/>
        <v>-52000</v>
      </c>
      <c r="F8" s="20">
        <f t="shared" si="0"/>
        <v>-52000</v>
      </c>
      <c r="G8" s="20">
        <f t="shared" si="0"/>
        <v>-52000</v>
      </c>
      <c r="H8" s="21">
        <f t="shared" si="0"/>
        <v>-52000</v>
      </c>
      <c r="I8" s="68"/>
    </row>
    <row r="9" spans="2:9" ht="13.5" thickBot="1">
      <c r="B9" s="57" t="s">
        <v>62</v>
      </c>
      <c r="C9" s="58"/>
      <c r="D9" s="58">
        <f>SUM(D5:D8)</f>
        <v>42600</v>
      </c>
      <c r="E9" s="58">
        <f>SUM(E5:E8)</f>
        <v>42600</v>
      </c>
      <c r="F9" s="58">
        <f>SUM(F5:F8)</f>
        <v>42600</v>
      </c>
      <c r="G9" s="58">
        <f>SUM(G5:G8)</f>
        <v>42600</v>
      </c>
      <c r="H9" s="59">
        <f>SUM(H5:H8)</f>
        <v>42600</v>
      </c>
      <c r="I9" s="68"/>
    </row>
    <row r="10" spans="2:9" ht="13.5" thickBot="1">
      <c r="B10" s="10" t="s">
        <v>63</v>
      </c>
      <c r="C10" s="35"/>
      <c r="D10" s="35">
        <f>-D9*$C$31</f>
        <v>-10650</v>
      </c>
      <c r="E10" s="35">
        <f>-E9*$C$31</f>
        <v>-10650</v>
      </c>
      <c r="F10" s="35">
        <f>-F9*$C$31</f>
        <v>-10650</v>
      </c>
      <c r="G10" s="35">
        <f>-G9*$C$31</f>
        <v>-10650</v>
      </c>
      <c r="H10" s="36">
        <f>-H9*$C$31</f>
        <v>-10650</v>
      </c>
      <c r="I10" s="68"/>
    </row>
    <row r="11" spans="2:9" ht="13.5" thickBot="1">
      <c r="B11" s="60" t="s">
        <v>64</v>
      </c>
      <c r="C11" s="61"/>
      <c r="D11" s="61">
        <f>+D9+D10</f>
        <v>31950</v>
      </c>
      <c r="E11" s="61">
        <f>+E9+E10</f>
        <v>31950</v>
      </c>
      <c r="F11" s="61">
        <f>+F9+F10</f>
        <v>31950</v>
      </c>
      <c r="G11" s="61">
        <f>+G9+G10</f>
        <v>31950</v>
      </c>
      <c r="H11" s="62">
        <f>+H9+H10</f>
        <v>31950</v>
      </c>
      <c r="I11" s="68"/>
    </row>
    <row r="12" spans="2:9" ht="12.75">
      <c r="B12" s="19" t="s">
        <v>61</v>
      </c>
      <c r="C12" s="20"/>
      <c r="D12" s="20">
        <f>-D8</f>
        <v>52000</v>
      </c>
      <c r="E12" s="20">
        <f>-E8</f>
        <v>52000</v>
      </c>
      <c r="F12" s="20">
        <f>-F8</f>
        <v>52000</v>
      </c>
      <c r="G12" s="20">
        <f>-G8</f>
        <v>52000</v>
      </c>
      <c r="H12" s="21">
        <f>-H8</f>
        <v>52000</v>
      </c>
      <c r="I12" s="68"/>
    </row>
    <row r="13" spans="2:9" ht="13.5">
      <c r="B13" s="44" t="s">
        <v>65</v>
      </c>
      <c r="C13" s="20">
        <f>-C27</f>
        <v>-260000</v>
      </c>
      <c r="D13" s="20"/>
      <c r="E13" s="20"/>
      <c r="F13" s="20"/>
      <c r="G13" s="20"/>
      <c r="H13" s="21">
        <f>+C28</f>
        <v>0</v>
      </c>
      <c r="I13" s="68"/>
    </row>
    <row r="14" spans="2:9" ht="13.5" thickBot="1">
      <c r="B14" s="19" t="s">
        <v>66</v>
      </c>
      <c r="C14" s="20">
        <f>-C29</f>
        <v>-55000</v>
      </c>
      <c r="D14" s="20"/>
      <c r="E14" s="20"/>
      <c r="F14" s="20"/>
      <c r="G14" s="20"/>
      <c r="H14" s="21">
        <f>+C29</f>
        <v>55000</v>
      </c>
      <c r="I14" s="68"/>
    </row>
    <row r="15" spans="2:9" ht="13.5" thickBot="1">
      <c r="B15" s="53" t="s">
        <v>67</v>
      </c>
      <c r="C15" s="54">
        <f aca="true" t="shared" si="1" ref="C15:H15">SUM(C11:C14)</f>
        <v>-315000</v>
      </c>
      <c r="D15" s="54">
        <f t="shared" si="1"/>
        <v>83950</v>
      </c>
      <c r="E15" s="54">
        <f t="shared" si="1"/>
        <v>83950</v>
      </c>
      <c r="F15" s="54">
        <f t="shared" si="1"/>
        <v>83950</v>
      </c>
      <c r="G15" s="54">
        <f t="shared" si="1"/>
        <v>83950</v>
      </c>
      <c r="H15" s="55">
        <f t="shared" si="1"/>
        <v>138950</v>
      </c>
      <c r="I15" s="68"/>
    </row>
    <row r="16" spans="2:9" ht="13.5" thickBot="1">
      <c r="B16" s="12"/>
      <c r="C16" s="69"/>
      <c r="D16" s="69"/>
      <c r="E16" s="69"/>
      <c r="F16" s="69"/>
      <c r="G16" s="69"/>
      <c r="H16" s="69"/>
      <c r="I16" s="68"/>
    </row>
    <row r="17" spans="2:9" ht="15.75" thickBot="1">
      <c r="B17" s="70" t="s">
        <v>68</v>
      </c>
      <c r="C17" s="71">
        <f>NPV(C32,D15:K15)+C15</f>
        <v>18829.439251386037</v>
      </c>
      <c r="D17" s="68"/>
      <c r="E17" s="68"/>
      <c r="F17" s="68"/>
      <c r="G17" s="68"/>
      <c r="H17" s="68"/>
      <c r="I17" s="68"/>
    </row>
    <row r="18" spans="2:9" ht="15.75" thickBot="1">
      <c r="B18" s="72"/>
      <c r="C18" s="73"/>
      <c r="D18" s="68"/>
      <c r="E18" s="68"/>
      <c r="F18" s="68"/>
      <c r="G18" s="68"/>
      <c r="H18" s="68"/>
      <c r="I18" s="68"/>
    </row>
    <row r="19" spans="2:9" ht="15.75" thickBot="1">
      <c r="B19" s="70" t="s">
        <v>69</v>
      </c>
      <c r="C19" s="74">
        <f>IRR(C15:H15)</f>
        <v>0.14217658523545218</v>
      </c>
      <c r="D19" s="68"/>
      <c r="E19" s="68"/>
      <c r="F19" s="68"/>
      <c r="G19" s="68"/>
      <c r="H19" s="68"/>
      <c r="I19" s="68"/>
    </row>
    <row r="20" spans="2:9" ht="12.75">
      <c r="B20" s="12"/>
      <c r="C20" s="68"/>
      <c r="D20" s="68"/>
      <c r="E20" s="68"/>
      <c r="F20" s="68"/>
      <c r="G20" s="68"/>
      <c r="H20" s="68"/>
      <c r="I20" s="68"/>
    </row>
    <row r="21" spans="2:9" ht="12.75">
      <c r="B21" s="12"/>
      <c r="C21" s="68"/>
      <c r="D21" s="68"/>
      <c r="E21" s="68"/>
      <c r="F21" s="68"/>
      <c r="G21" s="68"/>
      <c r="H21" s="68"/>
      <c r="I21" s="68"/>
    </row>
    <row r="22" spans="2:9" ht="12.75">
      <c r="B22" s="75" t="s">
        <v>14</v>
      </c>
      <c r="C22" s="68"/>
      <c r="D22" s="68"/>
      <c r="E22" s="68"/>
      <c r="F22" s="68"/>
      <c r="G22" s="68"/>
      <c r="H22" s="68"/>
      <c r="I22" s="68"/>
    </row>
    <row r="23" spans="2:9" ht="12.75">
      <c r="B23" s="12" t="s">
        <v>70</v>
      </c>
      <c r="C23" s="76">
        <v>1600</v>
      </c>
      <c r="D23" s="77"/>
      <c r="E23" s="76"/>
      <c r="F23" s="78"/>
      <c r="G23" s="79" t="s">
        <v>6</v>
      </c>
      <c r="H23" s="68"/>
      <c r="I23" s="68"/>
    </row>
    <row r="24" spans="2:9" ht="12.75">
      <c r="B24" s="12" t="s">
        <v>11</v>
      </c>
      <c r="C24" s="76">
        <v>115</v>
      </c>
      <c r="D24" s="80"/>
      <c r="E24" s="76"/>
      <c r="F24" s="78"/>
      <c r="G24" s="68"/>
      <c r="H24" s="68"/>
      <c r="I24" s="68"/>
    </row>
    <row r="25" spans="2:9" ht="12.75">
      <c r="B25" s="12" t="s">
        <v>71</v>
      </c>
      <c r="C25" s="76">
        <v>34</v>
      </c>
      <c r="D25" s="80"/>
      <c r="E25" s="76"/>
      <c r="F25" s="68"/>
      <c r="G25" s="68"/>
      <c r="H25" s="68"/>
      <c r="I25" s="68"/>
    </row>
    <row r="26" spans="2:9" ht="12.75">
      <c r="B26" s="12" t="s">
        <v>72</v>
      </c>
      <c r="C26" s="76">
        <v>35000</v>
      </c>
      <c r="D26" s="80"/>
      <c r="E26" s="76"/>
      <c r="F26" s="68"/>
      <c r="G26" s="68"/>
      <c r="H26" s="79" t="s">
        <v>6</v>
      </c>
      <c r="I26" s="68"/>
    </row>
    <row r="27" spans="2:9" ht="12.75">
      <c r="B27" s="12" t="s">
        <v>65</v>
      </c>
      <c r="C27" s="76">
        <v>260000</v>
      </c>
      <c r="D27" s="80"/>
      <c r="E27" s="81" t="s">
        <v>6</v>
      </c>
      <c r="F27" s="68"/>
      <c r="G27" s="68"/>
      <c r="H27" s="79" t="s">
        <v>6</v>
      </c>
      <c r="I27" s="68"/>
    </row>
    <row r="28" spans="2:9" ht="12.75">
      <c r="B28" s="12" t="s">
        <v>73</v>
      </c>
      <c r="C28" s="76">
        <v>0</v>
      </c>
      <c r="D28" s="80"/>
      <c r="E28" s="76"/>
      <c r="F28" s="68"/>
      <c r="G28" s="68"/>
      <c r="H28" s="79" t="s">
        <v>74</v>
      </c>
      <c r="I28" s="68"/>
    </row>
    <row r="29" spans="2:9" ht="12.75">
      <c r="B29" s="12" t="s">
        <v>75</v>
      </c>
      <c r="C29" s="76">
        <v>55000</v>
      </c>
      <c r="D29" s="80"/>
      <c r="E29" s="76"/>
      <c r="F29" s="68"/>
      <c r="G29" s="68"/>
      <c r="H29" s="68"/>
      <c r="I29" s="68"/>
    </row>
    <row r="30" spans="2:9" ht="12.75">
      <c r="B30" s="12" t="s">
        <v>76</v>
      </c>
      <c r="C30" s="78">
        <v>0.2</v>
      </c>
      <c r="D30" s="82"/>
      <c r="E30" s="68"/>
      <c r="F30" s="68"/>
      <c r="G30" s="68"/>
      <c r="H30" s="68"/>
      <c r="I30" s="68"/>
    </row>
    <row r="31" spans="2:9" ht="12.75">
      <c r="B31" s="12" t="s">
        <v>77</v>
      </c>
      <c r="C31" s="78">
        <v>0.25</v>
      </c>
      <c r="D31" s="82"/>
      <c r="E31" s="68"/>
      <c r="F31" s="68"/>
      <c r="G31" s="68"/>
      <c r="H31" s="68"/>
      <c r="I31" s="68"/>
    </row>
    <row r="32" spans="2:9" ht="12.75">
      <c r="B32" s="12" t="s">
        <v>8</v>
      </c>
      <c r="C32" s="78">
        <v>0.12</v>
      </c>
      <c r="D32" s="82"/>
      <c r="E32" s="68"/>
      <c r="F32" s="68"/>
      <c r="G32" s="68"/>
      <c r="H32" s="68"/>
      <c r="I32" s="68"/>
    </row>
    <row r="35" ht="15">
      <c r="B35" s="67" t="s">
        <v>78</v>
      </c>
    </row>
    <row r="37" spans="2:5" ht="12.75">
      <c r="B37" s="12" t="s">
        <v>70</v>
      </c>
      <c r="C37" s="76">
        <v>1600</v>
      </c>
      <c r="D37" s="81">
        <v>1514.02</v>
      </c>
      <c r="E37" s="83">
        <f aca="true" t="shared" si="2" ref="E37:E44">(+D37-C37)/C37</f>
        <v>-0.053737500000000014</v>
      </c>
    </row>
    <row r="38" spans="2:5" ht="12.75">
      <c r="B38" s="12" t="s">
        <v>11</v>
      </c>
      <c r="C38" s="76">
        <v>115</v>
      </c>
      <c r="D38" s="81">
        <v>110.65</v>
      </c>
      <c r="E38" s="83">
        <f t="shared" si="2"/>
        <v>-0.03782608695652169</v>
      </c>
    </row>
    <row r="39" spans="2:5" ht="12.75">
      <c r="B39" s="12" t="s">
        <v>71</v>
      </c>
      <c r="C39" s="76">
        <v>34</v>
      </c>
      <c r="D39" s="81">
        <v>38.35</v>
      </c>
      <c r="E39" s="84">
        <f t="shared" si="2"/>
        <v>0.12794117647058828</v>
      </c>
    </row>
    <row r="40" spans="2:5" ht="12.75">
      <c r="B40" s="12" t="s">
        <v>72</v>
      </c>
      <c r="C40" s="76">
        <v>35000</v>
      </c>
      <c r="D40" s="81">
        <v>41964.63</v>
      </c>
      <c r="E40" s="84">
        <f t="shared" si="2"/>
        <v>0.19898942857142848</v>
      </c>
    </row>
    <row r="41" spans="2:5" ht="12.75">
      <c r="B41" s="12" t="s">
        <v>65</v>
      </c>
      <c r="C41" s="76">
        <v>260000</v>
      </c>
      <c r="D41" s="81">
        <v>282969.42</v>
      </c>
      <c r="E41" s="84">
        <f t="shared" si="2"/>
        <v>0.08834392307692301</v>
      </c>
    </row>
    <row r="42" spans="2:5" ht="12.75">
      <c r="B42" s="12" t="s">
        <v>75</v>
      </c>
      <c r="C42" s="76">
        <v>55000</v>
      </c>
      <c r="D42" s="81">
        <v>98528.91</v>
      </c>
      <c r="E42" s="84">
        <f t="shared" si="2"/>
        <v>0.7914347272727273</v>
      </c>
    </row>
    <row r="43" spans="2:5" ht="12.75">
      <c r="B43" s="12" t="s">
        <v>77</v>
      </c>
      <c r="C43" s="78">
        <v>0.25</v>
      </c>
      <c r="D43" s="85">
        <v>0.3726</v>
      </c>
      <c r="E43" s="84">
        <f t="shared" si="2"/>
        <v>0.49039999999999995</v>
      </c>
    </row>
    <row r="44" spans="2:5" ht="12.75">
      <c r="B44" s="12" t="s">
        <v>8</v>
      </c>
      <c r="C44" s="78">
        <v>0.12</v>
      </c>
      <c r="D44" s="85">
        <v>0.1422</v>
      </c>
      <c r="E44" s="84">
        <f t="shared" si="2"/>
        <v>0.185</v>
      </c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K84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3.8515625" style="0" customWidth="1"/>
    <col min="2" max="2" width="37.140625" style="0" customWidth="1"/>
    <col min="3" max="3" width="12.8515625" style="0" bestFit="1" customWidth="1"/>
  </cols>
  <sheetData>
    <row r="2" spans="2:11" ht="15">
      <c r="B2" s="67" t="s">
        <v>58</v>
      </c>
      <c r="D2" s="68"/>
      <c r="E2" s="68"/>
      <c r="F2" s="68"/>
      <c r="G2" s="68"/>
      <c r="H2" s="68"/>
      <c r="I2" s="68"/>
      <c r="J2" s="68"/>
      <c r="K2" s="68"/>
    </row>
    <row r="3" spans="2:11" ht="15.75" thickBot="1">
      <c r="B3" s="67"/>
      <c r="D3" s="68"/>
      <c r="E3" s="68"/>
      <c r="F3" s="68"/>
      <c r="G3" s="68"/>
      <c r="H3" s="68"/>
      <c r="I3" s="68"/>
      <c r="J3" s="68"/>
      <c r="K3" s="68"/>
    </row>
    <row r="4" spans="2:11" ht="14.25" thickBot="1">
      <c r="B4" s="23" t="s">
        <v>0</v>
      </c>
      <c r="C4" s="24">
        <v>0</v>
      </c>
      <c r="D4" s="24">
        <v>1</v>
      </c>
      <c r="E4" s="24">
        <v>2</v>
      </c>
      <c r="F4" s="24">
        <v>3</v>
      </c>
      <c r="G4" s="24">
        <v>4</v>
      </c>
      <c r="H4" s="25">
        <v>5</v>
      </c>
      <c r="I4" s="68"/>
      <c r="J4" s="68"/>
      <c r="K4" s="68"/>
    </row>
    <row r="5" spans="2:11" ht="12.75">
      <c r="B5" s="3" t="s">
        <v>59</v>
      </c>
      <c r="C5" s="4"/>
      <c r="D5" s="4">
        <f>+C23*C24</f>
        <v>184000</v>
      </c>
      <c r="E5" s="4">
        <f aca="true" t="shared" si="0" ref="E5:H8">+D5</f>
        <v>184000</v>
      </c>
      <c r="F5" s="4">
        <f t="shared" si="0"/>
        <v>184000</v>
      </c>
      <c r="G5" s="4">
        <f t="shared" si="0"/>
        <v>184000</v>
      </c>
      <c r="H5" s="5">
        <f t="shared" si="0"/>
        <v>184000</v>
      </c>
      <c r="I5" s="68"/>
      <c r="J5" s="68"/>
      <c r="K5" s="68"/>
    </row>
    <row r="6" spans="2:11" ht="12.75">
      <c r="B6" s="6" t="s">
        <v>60</v>
      </c>
      <c r="C6" s="7"/>
      <c r="D6" s="7">
        <f>-C23*C25</f>
        <v>-54400</v>
      </c>
      <c r="E6" s="7">
        <f t="shared" si="0"/>
        <v>-54400</v>
      </c>
      <c r="F6" s="7">
        <f t="shared" si="0"/>
        <v>-54400</v>
      </c>
      <c r="G6" s="7">
        <f t="shared" si="0"/>
        <v>-54400</v>
      </c>
      <c r="H6" s="8">
        <f t="shared" si="0"/>
        <v>-54400</v>
      </c>
      <c r="I6" s="68"/>
      <c r="J6" s="68"/>
      <c r="K6" s="68"/>
    </row>
    <row r="7" spans="2:11" ht="12.75">
      <c r="B7" s="6" t="s">
        <v>38</v>
      </c>
      <c r="C7" s="7"/>
      <c r="D7" s="7">
        <f>-C26</f>
        <v>-35000</v>
      </c>
      <c r="E7" s="7">
        <f t="shared" si="0"/>
        <v>-35000</v>
      </c>
      <c r="F7" s="7">
        <f t="shared" si="0"/>
        <v>-35000</v>
      </c>
      <c r="G7" s="7">
        <f t="shared" si="0"/>
        <v>-35000</v>
      </c>
      <c r="H7" s="8">
        <f t="shared" si="0"/>
        <v>-35000</v>
      </c>
      <c r="I7" s="68"/>
      <c r="J7" s="68"/>
      <c r="K7" s="68"/>
    </row>
    <row r="8" spans="2:11" ht="13.5" thickBot="1">
      <c r="B8" s="19" t="s">
        <v>61</v>
      </c>
      <c r="C8" s="20"/>
      <c r="D8" s="20">
        <f>-C27*C30</f>
        <v>-52000</v>
      </c>
      <c r="E8" s="20">
        <f t="shared" si="0"/>
        <v>-52000</v>
      </c>
      <c r="F8" s="20">
        <f t="shared" si="0"/>
        <v>-52000</v>
      </c>
      <c r="G8" s="20">
        <f t="shared" si="0"/>
        <v>-52000</v>
      </c>
      <c r="H8" s="21">
        <f t="shared" si="0"/>
        <v>-52000</v>
      </c>
      <c r="I8" s="68"/>
      <c r="J8" s="68"/>
      <c r="K8" s="68"/>
    </row>
    <row r="9" spans="2:11" ht="13.5" thickBot="1">
      <c r="B9" s="57" t="s">
        <v>62</v>
      </c>
      <c r="C9" s="58"/>
      <c r="D9" s="58">
        <f>SUM(D5:D8)</f>
        <v>42600</v>
      </c>
      <c r="E9" s="58">
        <f>SUM(E5:E8)</f>
        <v>42600</v>
      </c>
      <c r="F9" s="58">
        <f>SUM(F5:F8)</f>
        <v>42600</v>
      </c>
      <c r="G9" s="58">
        <f>SUM(G5:G8)</f>
        <v>42600</v>
      </c>
      <c r="H9" s="59">
        <f>SUM(H5:H8)</f>
        <v>42600</v>
      </c>
      <c r="I9" s="68"/>
      <c r="J9" s="68"/>
      <c r="K9" s="68"/>
    </row>
    <row r="10" spans="2:11" ht="13.5" thickBot="1">
      <c r="B10" s="10" t="s">
        <v>63</v>
      </c>
      <c r="C10" s="35"/>
      <c r="D10" s="35">
        <f>-D9*$C$31</f>
        <v>-10650</v>
      </c>
      <c r="E10" s="35">
        <f>-E9*$C$31</f>
        <v>-10650</v>
      </c>
      <c r="F10" s="35">
        <f>-F9*$C$31</f>
        <v>-10650</v>
      </c>
      <c r="G10" s="35">
        <f>-G9*$C$31</f>
        <v>-10650</v>
      </c>
      <c r="H10" s="36">
        <f>-H9*$C$31</f>
        <v>-10650</v>
      </c>
      <c r="I10" s="68"/>
      <c r="J10" s="68"/>
      <c r="K10" s="68"/>
    </row>
    <row r="11" spans="2:11" ht="13.5" thickBot="1">
      <c r="B11" s="60" t="s">
        <v>64</v>
      </c>
      <c r="C11" s="61"/>
      <c r="D11" s="61">
        <f>+D9+D10</f>
        <v>31950</v>
      </c>
      <c r="E11" s="61">
        <f>+E9+E10</f>
        <v>31950</v>
      </c>
      <c r="F11" s="61">
        <f>+F9+F10</f>
        <v>31950</v>
      </c>
      <c r="G11" s="61">
        <f>+G9+G10</f>
        <v>31950</v>
      </c>
      <c r="H11" s="62">
        <f>+H9+H10</f>
        <v>31950</v>
      </c>
      <c r="I11" s="68"/>
      <c r="J11" s="68"/>
      <c r="K11" s="68"/>
    </row>
    <row r="12" spans="2:11" ht="12.75">
      <c r="B12" s="19" t="s">
        <v>61</v>
      </c>
      <c r="C12" s="20"/>
      <c r="D12" s="20">
        <f>-D8</f>
        <v>52000</v>
      </c>
      <c r="E12" s="20">
        <f>-E8</f>
        <v>52000</v>
      </c>
      <c r="F12" s="20">
        <f>-F8</f>
        <v>52000</v>
      </c>
      <c r="G12" s="20">
        <f>-G8</f>
        <v>52000</v>
      </c>
      <c r="H12" s="21">
        <f>-H8</f>
        <v>52000</v>
      </c>
      <c r="I12" s="68"/>
      <c r="J12" s="68"/>
      <c r="K12" s="68"/>
    </row>
    <row r="13" spans="2:11" ht="13.5">
      <c r="B13" s="44" t="s">
        <v>65</v>
      </c>
      <c r="C13" s="20">
        <f>-C27</f>
        <v>-260000</v>
      </c>
      <c r="D13" s="20"/>
      <c r="E13" s="20"/>
      <c r="F13" s="20"/>
      <c r="G13" s="20"/>
      <c r="H13" s="21">
        <f>+C28</f>
        <v>0</v>
      </c>
      <c r="I13" s="68"/>
      <c r="J13" s="68"/>
      <c r="K13" s="68"/>
    </row>
    <row r="14" spans="2:11" ht="13.5" thickBot="1">
      <c r="B14" s="19" t="s">
        <v>66</v>
      </c>
      <c r="C14" s="20">
        <f>-C29</f>
        <v>-55000</v>
      </c>
      <c r="D14" s="20"/>
      <c r="E14" s="20"/>
      <c r="F14" s="20"/>
      <c r="G14" s="20"/>
      <c r="H14" s="21">
        <f>+C29</f>
        <v>55000</v>
      </c>
      <c r="I14" s="68"/>
      <c r="J14" s="68"/>
      <c r="K14" s="68"/>
    </row>
    <row r="15" spans="2:11" ht="13.5" thickBot="1">
      <c r="B15" s="53" t="s">
        <v>67</v>
      </c>
      <c r="C15" s="54">
        <f aca="true" t="shared" si="1" ref="C15:H15">SUM(C11:C14)</f>
        <v>-315000</v>
      </c>
      <c r="D15" s="54">
        <f t="shared" si="1"/>
        <v>83950</v>
      </c>
      <c r="E15" s="54">
        <f t="shared" si="1"/>
        <v>83950</v>
      </c>
      <c r="F15" s="54">
        <f t="shared" si="1"/>
        <v>83950</v>
      </c>
      <c r="G15" s="54">
        <f t="shared" si="1"/>
        <v>83950</v>
      </c>
      <c r="H15" s="55">
        <f t="shared" si="1"/>
        <v>138950</v>
      </c>
      <c r="I15" s="68"/>
      <c r="J15" s="68"/>
      <c r="K15" s="68"/>
    </row>
    <row r="16" spans="2:11" ht="13.5" thickBot="1">
      <c r="B16" s="12"/>
      <c r="C16" s="69"/>
      <c r="D16" s="69"/>
      <c r="E16" s="69"/>
      <c r="F16" s="69"/>
      <c r="G16" s="69"/>
      <c r="H16" s="69"/>
      <c r="I16" s="68"/>
      <c r="J16" s="68"/>
      <c r="K16" s="68"/>
    </row>
    <row r="17" spans="2:11" ht="15.75" thickBot="1">
      <c r="B17" s="70" t="s">
        <v>68</v>
      </c>
      <c r="C17" s="71">
        <f>NPV(C32,D15:K15)+C15</f>
        <v>18829.439251386037</v>
      </c>
      <c r="D17" s="68"/>
      <c r="E17" s="68"/>
      <c r="F17" s="68"/>
      <c r="G17" s="68"/>
      <c r="H17" s="68"/>
      <c r="I17" s="68"/>
      <c r="J17" s="68"/>
      <c r="K17" s="68"/>
    </row>
    <row r="18" spans="2:11" ht="15.75" thickBot="1">
      <c r="B18" s="72"/>
      <c r="C18" s="73"/>
      <c r="D18" s="68"/>
      <c r="E18" s="68"/>
      <c r="F18" s="68"/>
      <c r="G18" s="68"/>
      <c r="H18" s="68"/>
      <c r="I18" s="68"/>
      <c r="J18" s="68"/>
      <c r="K18" s="68"/>
    </row>
    <row r="19" spans="2:11" ht="15.75" thickBot="1">
      <c r="B19" s="70" t="s">
        <v>69</v>
      </c>
      <c r="C19" s="74">
        <f>IRR(C15:H15)</f>
        <v>0.14217658523545218</v>
      </c>
      <c r="D19" s="68"/>
      <c r="E19" s="68"/>
      <c r="F19" s="68"/>
      <c r="G19" s="68"/>
      <c r="H19" s="68"/>
      <c r="I19" s="68"/>
      <c r="J19" s="68"/>
      <c r="K19" s="68"/>
    </row>
    <row r="20" spans="2:11" ht="12.75">
      <c r="B20" s="12"/>
      <c r="C20" s="68"/>
      <c r="D20" s="68"/>
      <c r="E20" s="68"/>
      <c r="F20" s="68"/>
      <c r="G20" s="68"/>
      <c r="H20" s="68"/>
      <c r="I20" s="68"/>
      <c r="J20" s="68"/>
      <c r="K20" s="68"/>
    </row>
    <row r="21" spans="2:11" ht="12.75">
      <c r="B21" s="12"/>
      <c r="C21" s="68"/>
      <c r="D21" s="68"/>
      <c r="E21" s="68"/>
      <c r="F21" s="68"/>
      <c r="G21" s="68"/>
      <c r="H21" s="68"/>
      <c r="I21" s="68"/>
      <c r="J21" s="68"/>
      <c r="K21" s="68"/>
    </row>
    <row r="22" spans="2:11" ht="12.75">
      <c r="B22" s="75" t="s">
        <v>14</v>
      </c>
      <c r="C22" s="68"/>
      <c r="D22" s="68"/>
      <c r="E22" s="68"/>
      <c r="F22" s="68"/>
      <c r="G22" s="68"/>
      <c r="H22" s="68"/>
      <c r="I22" s="68"/>
      <c r="J22" s="68"/>
      <c r="K22" s="68"/>
    </row>
    <row r="23" spans="2:11" ht="12.75">
      <c r="B23" s="12" t="s">
        <v>70</v>
      </c>
      <c r="C23" s="76">
        <v>1600</v>
      </c>
      <c r="D23" s="77"/>
      <c r="E23" s="76"/>
      <c r="F23" s="78"/>
      <c r="G23" s="79" t="s">
        <v>6</v>
      </c>
      <c r="H23" s="68"/>
      <c r="I23" s="68"/>
      <c r="J23" s="68"/>
      <c r="K23" s="68"/>
    </row>
    <row r="24" spans="2:11" ht="12.75">
      <c r="B24" s="12" t="s">
        <v>11</v>
      </c>
      <c r="C24" s="76">
        <v>115</v>
      </c>
      <c r="D24" s="80"/>
      <c r="E24" s="76"/>
      <c r="F24" s="78"/>
      <c r="G24" s="68"/>
      <c r="H24" s="68"/>
      <c r="I24" s="68"/>
      <c r="J24" s="68"/>
      <c r="K24" s="68"/>
    </row>
    <row r="25" spans="2:11" ht="12.75">
      <c r="B25" s="12" t="s">
        <v>71</v>
      </c>
      <c r="C25" s="76">
        <v>34</v>
      </c>
      <c r="D25" s="80"/>
      <c r="E25" s="76"/>
      <c r="F25" s="68"/>
      <c r="G25" s="68"/>
      <c r="H25" s="68"/>
      <c r="I25" s="68"/>
      <c r="J25" s="68"/>
      <c r="K25" s="68"/>
    </row>
    <row r="26" spans="2:11" ht="12.75">
      <c r="B26" s="12" t="s">
        <v>72</v>
      </c>
      <c r="C26" s="76">
        <v>35000</v>
      </c>
      <c r="D26" s="80"/>
      <c r="E26" s="76"/>
      <c r="F26" s="68"/>
      <c r="G26" s="68"/>
      <c r="H26" s="79" t="s">
        <v>6</v>
      </c>
      <c r="I26" s="68"/>
      <c r="J26" s="68"/>
      <c r="K26" s="68"/>
    </row>
    <row r="27" spans="2:11" ht="12.75">
      <c r="B27" s="12" t="s">
        <v>65</v>
      </c>
      <c r="C27" s="76">
        <v>260000</v>
      </c>
      <c r="D27" s="80"/>
      <c r="E27" s="81" t="s">
        <v>6</v>
      </c>
      <c r="F27" s="68"/>
      <c r="G27" s="68"/>
      <c r="H27" s="79" t="s">
        <v>6</v>
      </c>
      <c r="I27" s="68"/>
      <c r="J27" s="68"/>
      <c r="K27" s="68"/>
    </row>
    <row r="28" spans="2:11" ht="12.75">
      <c r="B28" s="12" t="s">
        <v>73</v>
      </c>
      <c r="C28" s="76">
        <v>0</v>
      </c>
      <c r="D28" s="80"/>
      <c r="E28" s="76"/>
      <c r="F28" s="68"/>
      <c r="G28" s="68"/>
      <c r="H28" s="79" t="s">
        <v>74</v>
      </c>
      <c r="I28" s="68"/>
      <c r="J28" s="68"/>
      <c r="K28" s="68"/>
    </row>
    <row r="29" spans="2:11" ht="12.75">
      <c r="B29" s="12" t="s">
        <v>75</v>
      </c>
      <c r="C29" s="76">
        <v>55000</v>
      </c>
      <c r="D29" s="80"/>
      <c r="E29" s="76"/>
      <c r="F29" s="68"/>
      <c r="G29" s="68"/>
      <c r="H29" s="68"/>
      <c r="I29" s="68"/>
      <c r="J29" s="68"/>
      <c r="K29" s="68"/>
    </row>
    <row r="30" spans="2:11" ht="12.75">
      <c r="B30" s="12" t="s">
        <v>76</v>
      </c>
      <c r="C30" s="78">
        <v>0.2</v>
      </c>
      <c r="D30" s="82"/>
      <c r="E30" s="68"/>
      <c r="F30" s="68"/>
      <c r="G30" s="68"/>
      <c r="H30" s="68"/>
      <c r="I30" s="68"/>
      <c r="J30" s="68"/>
      <c r="K30" s="68"/>
    </row>
    <row r="31" spans="2:11" ht="12.75">
      <c r="B31" s="12" t="s">
        <v>77</v>
      </c>
      <c r="C31" s="78">
        <v>0.25</v>
      </c>
      <c r="D31" s="82"/>
      <c r="E31" s="68"/>
      <c r="F31" s="68"/>
      <c r="G31" s="68"/>
      <c r="H31" s="68"/>
      <c r="I31" s="68"/>
      <c r="J31" s="68"/>
      <c r="K31" s="68"/>
    </row>
    <row r="32" spans="2:11" ht="12.75">
      <c r="B32" s="12" t="s">
        <v>8</v>
      </c>
      <c r="C32" s="78">
        <v>0.12</v>
      </c>
      <c r="D32" s="82"/>
      <c r="E32" s="68"/>
      <c r="F32" s="68"/>
      <c r="G32" s="68"/>
      <c r="H32" s="68"/>
      <c r="I32" s="68"/>
      <c r="J32" s="68"/>
      <c r="K32" s="68"/>
    </row>
    <row r="34" ht="15">
      <c r="B34" s="86" t="s">
        <v>79</v>
      </c>
    </row>
    <row r="35" spans="3:9" ht="12.75" thickBot="1">
      <c r="C35" s="87"/>
      <c r="D35" s="87"/>
      <c r="E35" s="87"/>
      <c r="F35" s="87" t="s">
        <v>80</v>
      </c>
      <c r="G35" s="87"/>
      <c r="H35" s="87"/>
      <c r="I35" s="87"/>
    </row>
    <row r="36" spans="2:9" ht="15.75" thickBot="1">
      <c r="B36" s="88">
        <f>+C17</f>
        <v>18829.439251386037</v>
      </c>
      <c r="C36" s="89">
        <f>+D36-3</f>
        <v>106</v>
      </c>
      <c r="D36" s="89">
        <f>+E36-3</f>
        <v>109</v>
      </c>
      <c r="E36" s="89">
        <f>+F36-3</f>
        <v>112</v>
      </c>
      <c r="F36" s="90">
        <v>115</v>
      </c>
      <c r="G36" s="89">
        <f>+F36+3</f>
        <v>118</v>
      </c>
      <c r="H36" s="89">
        <f>+G36+3</f>
        <v>121</v>
      </c>
      <c r="I36" s="89">
        <f>+H36+3</f>
        <v>124</v>
      </c>
    </row>
    <row r="37" spans="2:9" ht="12.75">
      <c r="B37" s="91">
        <f aca="true" t="shared" si="2" ref="B37:B42">+B38+15</f>
        <v>1705</v>
      </c>
      <c r="C37" s="92">
        <v>336.93733335623983</v>
      </c>
      <c r="D37" s="92">
        <v>14165.760039602232</v>
      </c>
      <c r="E37" s="92">
        <v>27994.582745848165</v>
      </c>
      <c r="F37" s="92">
        <v>41823.405452094215</v>
      </c>
      <c r="G37" s="92">
        <v>55652.228158340266</v>
      </c>
      <c r="H37" s="92">
        <v>69481.05086458626</v>
      </c>
      <c r="I37" s="92">
        <v>83309.87357083231</v>
      </c>
    </row>
    <row r="38" spans="2:10" ht="12.75">
      <c r="B38" s="91">
        <f t="shared" si="2"/>
        <v>1690</v>
      </c>
      <c r="C38" s="92">
        <v>-2582.9313905432937</v>
      </c>
      <c r="D38" s="92">
        <v>11124.230118873587</v>
      </c>
      <c r="E38" s="92">
        <v>24831.39162829047</v>
      </c>
      <c r="F38" s="92">
        <v>38538.55313770735</v>
      </c>
      <c r="G38" s="92">
        <v>52245.71464712423</v>
      </c>
      <c r="H38" s="92">
        <v>65952.87615654111</v>
      </c>
      <c r="I38" s="92">
        <v>79660.03766595799</v>
      </c>
      <c r="J38" s="33"/>
    </row>
    <row r="39" spans="2:9" ht="12.75">
      <c r="B39" s="91">
        <f t="shared" si="2"/>
        <v>1675</v>
      </c>
      <c r="C39" s="92">
        <v>-5502.800114442711</v>
      </c>
      <c r="D39" s="92">
        <v>8082.700198144943</v>
      </c>
      <c r="E39" s="92">
        <v>21668.20051073277</v>
      </c>
      <c r="F39" s="92">
        <v>35253.70082332048</v>
      </c>
      <c r="G39" s="92">
        <v>48839.201135908195</v>
      </c>
      <c r="H39" s="92">
        <v>62424.70144849591</v>
      </c>
      <c r="I39" s="92">
        <v>76010.20176108374</v>
      </c>
    </row>
    <row r="40" spans="2:9" ht="12.75">
      <c r="B40" s="91">
        <f t="shared" si="2"/>
        <v>1660</v>
      </c>
      <c r="C40" s="92">
        <v>-8422.668838342186</v>
      </c>
      <c r="D40" s="92">
        <v>5041.170277416415</v>
      </c>
      <c r="E40" s="92">
        <v>18505.009393175016</v>
      </c>
      <c r="F40" s="92">
        <v>31968.84850893356</v>
      </c>
      <c r="G40" s="92">
        <v>45432.68762469216</v>
      </c>
      <c r="H40" s="92">
        <v>58896.52674045076</v>
      </c>
      <c r="I40" s="92">
        <v>72360.36585620936</v>
      </c>
    </row>
    <row r="41" spans="2:9" ht="12.75">
      <c r="B41" s="91">
        <f t="shared" si="2"/>
        <v>1645</v>
      </c>
      <c r="C41" s="92">
        <v>-11342.537562241603</v>
      </c>
      <c r="D41" s="92">
        <v>1999.6403566877707</v>
      </c>
      <c r="E41" s="92">
        <v>15341.818275617261</v>
      </c>
      <c r="F41" s="92">
        <v>28683.996194546693</v>
      </c>
      <c r="G41" s="92">
        <v>42026.174113476125</v>
      </c>
      <c r="H41" s="92">
        <v>55368.352032405615</v>
      </c>
      <c r="I41" s="92">
        <v>68710.52995133499</v>
      </c>
    </row>
    <row r="42" spans="2:9" ht="12.75">
      <c r="B42" s="91">
        <f t="shared" si="2"/>
        <v>1630</v>
      </c>
      <c r="C42" s="92">
        <v>-14262.406286141078</v>
      </c>
      <c r="D42" s="92">
        <v>-1041.8895640408155</v>
      </c>
      <c r="E42" s="92">
        <v>12178.627158059564</v>
      </c>
      <c r="F42" s="92">
        <v>25399.143880159827</v>
      </c>
      <c r="G42" s="92">
        <v>38619.66060226009</v>
      </c>
      <c r="H42" s="92">
        <v>51840.17732436041</v>
      </c>
      <c r="I42" s="92">
        <v>65060.69404646073</v>
      </c>
    </row>
    <row r="43" spans="2:9" ht="12.75">
      <c r="B43" s="91">
        <f>+B44+15</f>
        <v>1615</v>
      </c>
      <c r="C43" s="92">
        <v>-17182.275010040554</v>
      </c>
      <c r="D43" s="92">
        <v>-4083.4194847693434</v>
      </c>
      <c r="E43" s="92">
        <v>9015.436040501809</v>
      </c>
      <c r="F43" s="92">
        <v>22114.29156577296</v>
      </c>
      <c r="G43" s="92">
        <v>35213.147091044055</v>
      </c>
      <c r="H43" s="92">
        <v>48312.002616315265</v>
      </c>
      <c r="I43" s="92">
        <v>61410.85814158642</v>
      </c>
    </row>
    <row r="44" spans="2:9" ht="12.75">
      <c r="B44" s="93">
        <v>1600</v>
      </c>
      <c r="C44" s="92">
        <v>-20102.14373393997</v>
      </c>
      <c r="D44" s="92">
        <v>-7124.949405497988</v>
      </c>
      <c r="E44" s="92">
        <v>5852.2449229440535</v>
      </c>
      <c r="F44" s="94">
        <v>18829.439251386037</v>
      </c>
      <c r="G44" s="92">
        <v>31806.633579828078</v>
      </c>
      <c r="H44" s="92">
        <v>44783.82790827012</v>
      </c>
      <c r="I44" s="92">
        <v>57761.022236712044</v>
      </c>
    </row>
    <row r="45" spans="2:9" ht="12.75">
      <c r="B45" s="91">
        <f>+B44-15</f>
        <v>1585</v>
      </c>
      <c r="C45" s="92">
        <v>-23022.012457839446</v>
      </c>
      <c r="D45" s="92">
        <v>-10166.479326226574</v>
      </c>
      <c r="E45" s="92">
        <v>2689.0538053862983</v>
      </c>
      <c r="F45" s="92">
        <v>15544.58693699917</v>
      </c>
      <c r="G45" s="92">
        <v>28400.120068612043</v>
      </c>
      <c r="H45" s="92">
        <v>41255.653200224915</v>
      </c>
      <c r="I45" s="92">
        <v>54111.18633183779</v>
      </c>
    </row>
    <row r="46" spans="2:9" ht="12.75">
      <c r="B46" s="91">
        <f aca="true" t="shared" si="3" ref="B46:B51">+B45-15</f>
        <v>1570</v>
      </c>
      <c r="C46" s="92">
        <v>-25941.881181738863</v>
      </c>
      <c r="D46" s="92">
        <v>-13208.00924695516</v>
      </c>
      <c r="E46" s="92">
        <v>-474.13731217145687</v>
      </c>
      <c r="F46" s="92">
        <v>12259.734622612305</v>
      </c>
      <c r="G46" s="92">
        <v>24993.606557396008</v>
      </c>
      <c r="H46" s="92">
        <v>37727.47849217977</v>
      </c>
      <c r="I46" s="92">
        <v>50461.35042696347</v>
      </c>
    </row>
    <row r="47" spans="2:9" ht="12.75">
      <c r="B47" s="91">
        <f t="shared" si="3"/>
        <v>1555</v>
      </c>
      <c r="C47" s="92">
        <v>-28861.749905638397</v>
      </c>
      <c r="D47" s="92">
        <v>-16249.539167683746</v>
      </c>
      <c r="E47" s="92">
        <v>-3637.328429729212</v>
      </c>
      <c r="F47" s="92">
        <v>8974.88230822538</v>
      </c>
      <c r="G47" s="92">
        <v>21587.093046179973</v>
      </c>
      <c r="H47" s="92">
        <v>34199.30378413451</v>
      </c>
      <c r="I47" s="92">
        <v>46811.51452208916</v>
      </c>
    </row>
    <row r="48" spans="2:9" ht="12.75">
      <c r="B48" s="91">
        <f t="shared" si="3"/>
        <v>1540</v>
      </c>
      <c r="C48" s="92">
        <v>-31781.618629537814</v>
      </c>
      <c r="D48" s="92">
        <v>-19291.06908841239</v>
      </c>
      <c r="E48" s="92">
        <v>-6800.519547286967</v>
      </c>
      <c r="F48" s="92">
        <v>5690.029993838514</v>
      </c>
      <c r="G48" s="92">
        <v>18180.579534963937</v>
      </c>
      <c r="H48" s="92">
        <v>30671.12907608936</v>
      </c>
      <c r="I48" s="92">
        <v>43161.678617214784</v>
      </c>
    </row>
    <row r="49" spans="2:9" ht="12.75">
      <c r="B49" s="91">
        <f t="shared" si="3"/>
        <v>1525</v>
      </c>
      <c r="C49" s="92">
        <v>-34701.48735343729</v>
      </c>
      <c r="D49" s="92">
        <v>-22332.599009140977</v>
      </c>
      <c r="E49" s="92">
        <v>-9963.710664844664</v>
      </c>
      <c r="F49" s="92">
        <v>2405.177679451648</v>
      </c>
      <c r="G49" s="92">
        <v>14774.066023747844</v>
      </c>
      <c r="H49" s="92">
        <v>27142.954368044215</v>
      </c>
      <c r="I49" s="92">
        <v>39511.84271234053</v>
      </c>
    </row>
    <row r="50" spans="2:9" ht="12.75">
      <c r="B50" s="91">
        <f t="shared" si="3"/>
        <v>1510</v>
      </c>
      <c r="C50" s="92">
        <v>-37621.356077336706</v>
      </c>
      <c r="D50" s="92">
        <v>-25374.128929869563</v>
      </c>
      <c r="E50" s="92">
        <v>-13126.90178240242</v>
      </c>
      <c r="F50" s="92">
        <v>-879.6746349352179</v>
      </c>
      <c r="G50" s="92">
        <v>11367.552512531925</v>
      </c>
      <c r="H50" s="92">
        <v>23614.77965999901</v>
      </c>
      <c r="I50" s="92">
        <v>35862.00680746621</v>
      </c>
    </row>
    <row r="51" spans="2:9" ht="12.75">
      <c r="B51" s="91">
        <f t="shared" si="3"/>
        <v>1495</v>
      </c>
      <c r="C51" s="92">
        <v>-40541.22480123618</v>
      </c>
      <c r="D51" s="92">
        <v>-28415.658850598207</v>
      </c>
      <c r="E51" s="92">
        <v>-16290.092899960175</v>
      </c>
      <c r="F51" s="92">
        <v>-4164.526949322142</v>
      </c>
      <c r="G51" s="92">
        <v>7961.039001315832</v>
      </c>
      <c r="H51" s="92">
        <v>20086.604951953923</v>
      </c>
      <c r="I51" s="92">
        <v>32212.170902591897</v>
      </c>
    </row>
    <row r="52" ht="12">
      <c r="B52" s="45" t="s">
        <v>6</v>
      </c>
    </row>
    <row r="54" ht="12.75">
      <c r="B54" s="12" t="s">
        <v>81</v>
      </c>
    </row>
    <row r="56" spans="2:4" ht="12">
      <c r="B56" s="33" t="s">
        <v>82</v>
      </c>
      <c r="D56" s="33" t="s">
        <v>83</v>
      </c>
    </row>
    <row r="58" ht="12">
      <c r="B58" s="33" t="s">
        <v>84</v>
      </c>
    </row>
    <row r="59" spans="2:4" ht="12">
      <c r="B59" s="33" t="s">
        <v>85</v>
      </c>
      <c r="D59" s="33" t="s">
        <v>86</v>
      </c>
    </row>
    <row r="60" spans="2:4" ht="12">
      <c r="B60" s="33" t="s">
        <v>87</v>
      </c>
      <c r="D60" s="33" t="s">
        <v>88</v>
      </c>
    </row>
    <row r="62" ht="12">
      <c r="B62" s="33" t="s">
        <v>89</v>
      </c>
    </row>
    <row r="63" spans="2:4" ht="12">
      <c r="B63" s="33" t="s">
        <v>90</v>
      </c>
      <c r="D63" s="33" t="s">
        <v>86</v>
      </c>
    </row>
    <row r="64" spans="2:4" ht="12">
      <c r="B64" s="33" t="s">
        <v>91</v>
      </c>
      <c r="D64" s="33" t="s">
        <v>92</v>
      </c>
    </row>
    <row r="66" ht="12">
      <c r="B66" s="33" t="s">
        <v>93</v>
      </c>
    </row>
    <row r="67" ht="12">
      <c r="B67" s="33" t="s">
        <v>94</v>
      </c>
    </row>
    <row r="68" ht="12">
      <c r="B68" s="33" t="s">
        <v>95</v>
      </c>
    </row>
    <row r="69" ht="12">
      <c r="B69" s="33" t="s">
        <v>96</v>
      </c>
    </row>
    <row r="70" spans="2:4" ht="12">
      <c r="B70" s="33" t="s">
        <v>97</v>
      </c>
      <c r="D70" s="33" t="s">
        <v>98</v>
      </c>
    </row>
    <row r="71" spans="2:4" ht="12">
      <c r="B71" s="33" t="s">
        <v>99</v>
      </c>
      <c r="D71" s="33" t="s">
        <v>100</v>
      </c>
    </row>
    <row r="74" ht="15">
      <c r="B74" s="86" t="s">
        <v>101</v>
      </c>
    </row>
    <row r="75" spans="3:10" ht="12.75" thickBot="1">
      <c r="C75" s="87" t="s">
        <v>6</v>
      </c>
      <c r="D75" s="87" t="s">
        <v>6</v>
      </c>
      <c r="E75" s="87" t="s">
        <v>6</v>
      </c>
      <c r="F75" s="87" t="s">
        <v>80</v>
      </c>
      <c r="G75" s="87" t="s">
        <v>6</v>
      </c>
      <c r="H75" s="87" t="s">
        <v>6</v>
      </c>
      <c r="I75" s="87" t="s">
        <v>6</v>
      </c>
      <c r="J75" s="87" t="s">
        <v>6</v>
      </c>
    </row>
    <row r="76" spans="2:9" ht="15.75" thickBot="1">
      <c r="B76" s="88">
        <f>+C17</f>
        <v>18829.439251386037</v>
      </c>
      <c r="C76" s="89">
        <f>+D76-3</f>
        <v>106</v>
      </c>
      <c r="D76" s="89">
        <f>+E76-3</f>
        <v>109</v>
      </c>
      <c r="E76" s="89">
        <f>+F76-3</f>
        <v>112</v>
      </c>
      <c r="F76" s="90">
        <v>115</v>
      </c>
      <c r="G76" s="89">
        <f>+F76+3</f>
        <v>118</v>
      </c>
      <c r="H76" s="89">
        <f>+G76+3</f>
        <v>121</v>
      </c>
      <c r="I76" s="89">
        <f>+H76+3</f>
        <v>124</v>
      </c>
    </row>
    <row r="77" spans="2:9" ht="12.75">
      <c r="B77" s="89">
        <f>+B78-3</f>
        <v>25</v>
      </c>
      <c r="C77" s="95">
        <v>18829.439251386037</v>
      </c>
      <c r="D77" s="95">
        <v>31806.633579828078</v>
      </c>
      <c r="E77" s="95">
        <v>44783.82790827012</v>
      </c>
      <c r="F77" s="95">
        <v>57761.022236712044</v>
      </c>
      <c r="G77" s="95">
        <v>70738.21656515414</v>
      </c>
      <c r="H77" s="95">
        <v>83715.41089359613</v>
      </c>
      <c r="I77" s="95">
        <v>96692.60522203817</v>
      </c>
    </row>
    <row r="78" spans="2:9" ht="12.75">
      <c r="B78" s="89">
        <f>+B79-3</f>
        <v>28</v>
      </c>
      <c r="C78" s="95">
        <v>5852.2449229440535</v>
      </c>
      <c r="D78" s="95">
        <v>18829.439251386037</v>
      </c>
      <c r="E78" s="95">
        <v>31806.633579828078</v>
      </c>
      <c r="F78" s="95">
        <v>44783.82790827012</v>
      </c>
      <c r="G78" s="95">
        <v>57761.022236712044</v>
      </c>
      <c r="H78" s="95">
        <v>70738.21656515414</v>
      </c>
      <c r="I78" s="95">
        <v>83715.41089359613</v>
      </c>
    </row>
    <row r="79" spans="2:9" ht="12.75">
      <c r="B79" s="89">
        <f>+B80-3</f>
        <v>31</v>
      </c>
      <c r="C79" s="95">
        <v>-7124.949405497988</v>
      </c>
      <c r="D79" s="95">
        <v>5852.2449229440535</v>
      </c>
      <c r="E79" s="95">
        <v>18829.439251386037</v>
      </c>
      <c r="F79" s="95">
        <v>31806.633579828078</v>
      </c>
      <c r="G79" s="95">
        <v>44783.82790827012</v>
      </c>
      <c r="H79" s="95">
        <v>57761.022236712044</v>
      </c>
      <c r="I79" s="95">
        <v>70738.21656515414</v>
      </c>
    </row>
    <row r="80" spans="2:9" ht="12.75">
      <c r="B80" s="90">
        <v>34</v>
      </c>
      <c r="C80" s="95">
        <v>-20102.14373393997</v>
      </c>
      <c r="D80" s="95">
        <v>-7124.949405497988</v>
      </c>
      <c r="E80" s="95">
        <v>5852.2449229440535</v>
      </c>
      <c r="F80" s="94">
        <v>18829.439251386037</v>
      </c>
      <c r="G80" s="95">
        <v>31806.633579828078</v>
      </c>
      <c r="H80" s="95">
        <v>44783.82790827012</v>
      </c>
      <c r="I80" s="95">
        <v>57761.022236712044</v>
      </c>
    </row>
    <row r="81" spans="2:9" ht="12.75">
      <c r="B81" s="89">
        <f>+B80+3</f>
        <v>37</v>
      </c>
      <c r="C81" s="95">
        <v>-33079.338062381954</v>
      </c>
      <c r="D81" s="95">
        <v>-20102.14373393997</v>
      </c>
      <c r="E81" s="95">
        <v>-7124.949405497988</v>
      </c>
      <c r="F81" s="95">
        <v>5852.2449229440535</v>
      </c>
      <c r="G81" s="95">
        <v>18829.439251386037</v>
      </c>
      <c r="H81" s="95">
        <v>31806.633579828078</v>
      </c>
      <c r="I81" s="95">
        <v>44783.82790827012</v>
      </c>
    </row>
    <row r="82" spans="2:9" ht="12.75">
      <c r="B82" s="89">
        <f>+B81+3</f>
        <v>40</v>
      </c>
      <c r="C82" s="95">
        <v>-46056.53239082405</v>
      </c>
      <c r="D82" s="95">
        <v>-33079.338062381954</v>
      </c>
      <c r="E82" s="95">
        <v>-20102.14373393997</v>
      </c>
      <c r="F82" s="95">
        <v>-7124.949405497988</v>
      </c>
      <c r="G82" s="95">
        <v>5852.2449229440535</v>
      </c>
      <c r="H82" s="95">
        <v>18829.439251386037</v>
      </c>
      <c r="I82" s="95">
        <v>31806.633579828078</v>
      </c>
    </row>
    <row r="83" spans="2:9" ht="12.75">
      <c r="B83" s="89">
        <f>+B82+3</f>
        <v>43</v>
      </c>
      <c r="C83" s="95">
        <v>-59033.72671926604</v>
      </c>
      <c r="D83" s="95">
        <v>-46056.53239082405</v>
      </c>
      <c r="E83" s="95">
        <v>-33079.338062381954</v>
      </c>
      <c r="F83" s="95">
        <v>-20102.14373393997</v>
      </c>
      <c r="G83" s="95">
        <v>-7124.949405497988</v>
      </c>
      <c r="H83" s="95">
        <v>5852.2449229440535</v>
      </c>
      <c r="I83" s="95">
        <v>18829.439251386037</v>
      </c>
    </row>
    <row r="84" spans="2:9" ht="12.75">
      <c r="B84" s="89">
        <f>+B83+3</f>
        <v>46</v>
      </c>
      <c r="C84" s="95">
        <v>-72010.92104770808</v>
      </c>
      <c r="D84" s="95">
        <v>-59033.72671926604</v>
      </c>
      <c r="E84" s="95">
        <v>-46056.53239082405</v>
      </c>
      <c r="F84" s="95">
        <v>-33079.338062381954</v>
      </c>
      <c r="G84" s="95">
        <v>-20102.14373393997</v>
      </c>
      <c r="H84" s="95">
        <v>-7124.949405497988</v>
      </c>
      <c r="I84" s="95">
        <v>5852.2449229440535</v>
      </c>
    </row>
  </sheetData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G14"/>
  <sheetViews>
    <sheetView showGridLines="0" zoomScalePageLayoutView="0" workbookViewId="0" topLeftCell="A1">
      <selection activeCell="A1" sqref="A1"/>
    </sheetView>
  </sheetViews>
  <sheetFormatPr defaultColWidth="11.421875" defaultRowHeight="12.75" outlineLevelRow="1" outlineLevelCol="1"/>
  <cols>
    <col min="3" max="3" width="6.28125" style="0" bestFit="1" customWidth="1"/>
    <col min="4" max="7" width="14.57421875" style="0" bestFit="1" customWidth="1" outlineLevel="1"/>
  </cols>
  <sheetData>
    <row r="1" ht="12.75" thickBot="1"/>
    <row r="2" spans="2:7" ht="13.5">
      <c r="B2" s="106" t="s">
        <v>126</v>
      </c>
      <c r="C2" s="106"/>
      <c r="D2" s="111"/>
      <c r="E2" s="111"/>
      <c r="F2" s="111"/>
      <c r="G2" s="111"/>
    </row>
    <row r="3" spans="2:7" ht="13.5" collapsed="1">
      <c r="B3" s="105"/>
      <c r="C3" s="105"/>
      <c r="D3" s="112" t="s">
        <v>128</v>
      </c>
      <c r="E3" s="112" t="s">
        <v>122</v>
      </c>
      <c r="F3" s="112" t="s">
        <v>124</v>
      </c>
      <c r="G3" s="112" t="s">
        <v>125</v>
      </c>
    </row>
    <row r="4" spans="2:7" ht="19.5" hidden="1" outlineLevel="1">
      <c r="B4" s="108"/>
      <c r="C4" s="108"/>
      <c r="D4" s="101"/>
      <c r="E4" s="114" t="s">
        <v>123</v>
      </c>
      <c r="F4" s="114" t="s">
        <v>123</v>
      </c>
      <c r="G4" s="114" t="s">
        <v>123</v>
      </c>
    </row>
    <row r="5" spans="2:7" ht="12.75">
      <c r="B5" s="109" t="s">
        <v>127</v>
      </c>
      <c r="C5" s="109"/>
      <c r="D5" s="107"/>
      <c r="E5" s="107"/>
      <c r="F5" s="107"/>
      <c r="G5" s="107"/>
    </row>
    <row r="6" spans="2:7" ht="12.75" outlineLevel="1">
      <c r="B6" s="108"/>
      <c r="C6" s="108" t="s">
        <v>117</v>
      </c>
      <c r="D6" s="102">
        <v>1600</v>
      </c>
      <c r="E6" s="113">
        <v>1600</v>
      </c>
      <c r="F6" s="113">
        <v>1700</v>
      </c>
      <c r="G6" s="113">
        <v>1550</v>
      </c>
    </row>
    <row r="7" spans="2:7" ht="12.75" outlineLevel="1">
      <c r="B7" s="108"/>
      <c r="C7" s="108" t="s">
        <v>118</v>
      </c>
      <c r="D7" s="102">
        <v>115</v>
      </c>
      <c r="E7" s="113">
        <v>115</v>
      </c>
      <c r="F7" s="113">
        <v>117</v>
      </c>
      <c r="G7" s="113">
        <v>114</v>
      </c>
    </row>
    <row r="8" spans="2:7" ht="12.75" outlineLevel="1">
      <c r="B8" s="108"/>
      <c r="C8" s="108" t="s">
        <v>119</v>
      </c>
      <c r="D8" s="102">
        <v>260000</v>
      </c>
      <c r="E8" s="113">
        <v>260000</v>
      </c>
      <c r="F8" s="113">
        <v>240000</v>
      </c>
      <c r="G8" s="113">
        <v>270000</v>
      </c>
    </row>
    <row r="9" spans="2:7" ht="12.75">
      <c r="B9" s="109" t="s">
        <v>129</v>
      </c>
      <c r="C9" s="109"/>
      <c r="D9" s="107"/>
      <c r="E9" s="107"/>
      <c r="F9" s="107"/>
      <c r="G9" s="107"/>
    </row>
    <row r="10" spans="2:7" ht="12.75" outlineLevel="1">
      <c r="B10" s="108"/>
      <c r="C10" s="108" t="s">
        <v>120</v>
      </c>
      <c r="D10" s="103">
        <v>18829.439251386</v>
      </c>
      <c r="E10" s="103">
        <v>18829.439251386</v>
      </c>
      <c r="F10" s="103">
        <v>66315.8577942667</v>
      </c>
      <c r="G10" s="103">
        <v>-4508.23269729048</v>
      </c>
    </row>
    <row r="11" spans="2:7" ht="13.5" outlineLevel="1" thickBot="1">
      <c r="B11" s="110"/>
      <c r="C11" s="110" t="s">
        <v>121</v>
      </c>
      <c r="D11" s="104">
        <v>0.142176585235452</v>
      </c>
      <c r="E11" s="104">
        <v>0.142176585235452</v>
      </c>
      <c r="F11" s="104">
        <v>0.201397922244577</v>
      </c>
      <c r="G11" s="104">
        <v>0.114791032631703</v>
      </c>
    </row>
    <row r="12" ht="12">
      <c r="B12" t="s">
        <v>130</v>
      </c>
    </row>
    <row r="13" ht="12">
      <c r="B13" t="s">
        <v>131</v>
      </c>
    </row>
    <row r="14" ht="12">
      <c r="B14" t="s">
        <v>132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BICE S. 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rmolina</dc:creator>
  <cp:keywords/>
  <dc:description/>
  <cp:lastModifiedBy>MOLINA RAUL ANTONIO</cp:lastModifiedBy>
  <dcterms:created xsi:type="dcterms:W3CDTF">2006-01-06T17:58:23Z</dcterms:created>
  <dcterms:modified xsi:type="dcterms:W3CDTF">2023-05-08T13:25:58Z</dcterms:modified>
  <cp:category/>
  <cp:version/>
  <cp:contentType/>
  <cp:contentStatus/>
</cp:coreProperties>
</file>