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howInkAnnotation="0" codeName="ThisWorkbook"/>
  <mc:AlternateContent xmlns:mc="http://schemas.openxmlformats.org/markup-compatibility/2006">
    <mc:Choice Requires="x15">
      <x15ac:absPath xmlns:x15ac="http://schemas.microsoft.com/office/spreadsheetml/2010/11/ac" url="G:\Mi unidad\3-CATEDRAS\Calidad\Clases 2023\"/>
    </mc:Choice>
  </mc:AlternateContent>
  <xr:revisionPtr revIDLastSave="0" documentId="13_ncr:1_{DD791F1D-2403-41C8-A814-23B3675B1620}" xr6:coauthVersionLast="47" xr6:coauthVersionMax="47" xr10:uidLastSave="{00000000-0000-0000-0000-000000000000}"/>
  <bookViews>
    <workbookView xWindow="20370" yWindow="-120" windowWidth="29040" windowHeight="15840" firstSheet="4" activeTab="5" xr2:uid="{00000000-000D-0000-FFFF-FFFF00000000}"/>
  </bookViews>
  <sheets>
    <sheet name="BDatos" sheetId="28" state="hidden" r:id="rId1"/>
    <sheet name="Listado de Proveedores" sheetId="52" state="hidden" r:id="rId2"/>
    <sheet name="Servicios 2020" sheetId="67" state="hidden" r:id="rId3"/>
    <sheet name="Insumos 2020" sheetId="66" state="hidden" r:id="rId4"/>
    <sheet name="Prov Insumos" sheetId="51" r:id="rId5"/>
    <sheet name="Prov. Servicios" sheetId="60" r:id="rId6"/>
    <sheet name="Jenck 2019" sheetId="64" state="hidden" r:id="rId7"/>
    <sheet name="Jenck 2021" sheetId="68" state="hidden" r:id="rId8"/>
    <sheet name="Jenck 2022" sheetId="69" state="hidden" r:id="rId9"/>
    <sheet name="Evaluación INTI 2018" sheetId="54" state="hidden" r:id="rId10"/>
    <sheet name="Evaluación INTI 2019" sheetId="57" state="hidden" r:id="rId11"/>
    <sheet name="Evaluación IRAM 2018" sheetId="53" state="hidden" r:id="rId12"/>
    <sheet name="Evaluación IRAM 2019" sheetId="58" state="hidden" r:id="rId13"/>
    <sheet name="Evaluación FQA 2018" sheetId="56" state="hidden" r:id="rId14"/>
    <sheet name="Evaluación INTI 2020" sheetId="63" state="hidden" r:id="rId15"/>
    <sheet name="Evaluación FQA 2019" sheetId="59" state="hidden" r:id="rId16"/>
    <sheet name="Evaluación IRAM 2020" sheetId="62" state="hidden" r:id="rId17"/>
    <sheet name="Superado" sheetId="45" state="hidden" r:id="rId18"/>
    <sheet name="obsoleto" sheetId="50" state="hidden" r:id="rId19"/>
  </sheets>
  <externalReferences>
    <externalReference r:id="rId20"/>
    <externalReference r:id="rId21"/>
  </externalReferences>
  <definedNames>
    <definedName name="_xlnm._FilterDatabase" localSheetId="3" hidden="1">'Insumos 2020'!$A$6:$W$50</definedName>
    <definedName name="_xlnm._FilterDatabase" localSheetId="1" hidden="1">'Listado de Proveedores'!$A$3:$V$67</definedName>
    <definedName name="_xlnm._FilterDatabase" localSheetId="4" hidden="1">'Prov Insumos'!$A$7:$V$10</definedName>
    <definedName name="_xlnm._FilterDatabase" localSheetId="5" hidden="1">'Prov. Servicios'!$A$6:$W$10</definedName>
    <definedName name="_xlnm._FilterDatabase" localSheetId="2" hidden="1">'Servicios 2020'!$A$6:$W$20</definedName>
    <definedName name="_xlnm._FilterDatabase" localSheetId="17" hidden="1">Superado!$G$3:$G$167</definedName>
    <definedName name="_xlnm.Print_Area" localSheetId="13">'Evaluación FQA 2018'!$A$1:$L$64</definedName>
    <definedName name="_xlnm.Print_Area" localSheetId="15">'Evaluación FQA 2019'!$A$1:$L$64</definedName>
    <definedName name="_xlnm.Print_Area" localSheetId="9">'Evaluación INTI 2018'!$A$1:$L$64</definedName>
    <definedName name="_xlnm.Print_Area" localSheetId="10">'Evaluación INTI 2019'!$A$1:$L$64</definedName>
    <definedName name="_xlnm.Print_Area" localSheetId="14">'Evaluación INTI 2020'!$A$1:$L$64</definedName>
    <definedName name="_xlnm.Print_Area" localSheetId="11">'Evaluación IRAM 2018'!$A$1:$L$64</definedName>
    <definedName name="_xlnm.Print_Area" localSheetId="12">'Evaluación IRAM 2019'!$A$1:$L$64</definedName>
    <definedName name="_xlnm.Print_Area" localSheetId="16">'Evaluación IRAM 2020'!$A$1:$L$64</definedName>
    <definedName name="_xlnm.Print_Area" localSheetId="3">'Insumos 2020'!$A$1:$W$55</definedName>
    <definedName name="_xlnm.Print_Area" localSheetId="6">'Jenck 2019'!$A$1:$J$50</definedName>
    <definedName name="_xlnm.Print_Area" localSheetId="7">'Jenck 2021'!$A$1:$J$48</definedName>
    <definedName name="_xlnm.Print_Area" localSheetId="8">'Jenck 2022'!$A$1:$J$48</definedName>
    <definedName name="_xlnm.Print_Area" localSheetId="1">'Listado de Proveedores'!$A$1:$J$67</definedName>
    <definedName name="_xlnm.Print_Area" localSheetId="4">'Prov Insumos'!$A$1:$T$28</definedName>
    <definedName name="_xlnm.Print_Area" localSheetId="5">'Prov. Servicios'!$A$1:$W$21</definedName>
    <definedName name="_xlnm.Print_Area" localSheetId="17">Superado!$A$1:$S$819</definedName>
  </definedNames>
  <calcPr calcId="191029"/>
  <pivotCaches>
    <pivotCache cacheId="0" r:id="rId2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8" i="51" l="1"/>
  <c r="O8" i="51" s="1"/>
  <c r="N9" i="51"/>
  <c r="N10" i="51"/>
  <c r="O9" i="51" l="1"/>
  <c r="O10" i="51"/>
  <c r="P10" i="51" s="1"/>
  <c r="R10" i="51" s="1"/>
  <c r="P8" i="51"/>
  <c r="R8" i="51" s="1"/>
  <c r="P9" i="51"/>
  <c r="R9" i="51" s="1"/>
  <c r="G30" i="69"/>
  <c r="G28" i="69"/>
  <c r="G26" i="69"/>
  <c r="G24" i="69"/>
  <c r="G22" i="69"/>
  <c r="G20" i="69"/>
  <c r="G18" i="69"/>
  <c r="K22" i="69" s="1"/>
  <c r="G16" i="69"/>
  <c r="G14" i="69"/>
  <c r="G12" i="69"/>
  <c r="I10" i="69"/>
  <c r="G10" i="69"/>
  <c r="K10" i="69" l="1"/>
  <c r="I18" i="69"/>
  <c r="I32" i="69" s="1"/>
  <c r="F33" i="69" s="1"/>
  <c r="G16" i="68" l="1"/>
  <c r="G14" i="68"/>
  <c r="G12" i="68"/>
  <c r="G30" i="68" l="1"/>
  <c r="G28" i="68"/>
  <c r="G26" i="68"/>
  <c r="G24" i="68"/>
  <c r="G22" i="68"/>
  <c r="G20" i="68"/>
  <c r="G18" i="68"/>
  <c r="G10" i="68"/>
  <c r="O26" i="67"/>
  <c r="Q26" i="67" s="1"/>
  <c r="S26" i="67" s="1"/>
  <c r="O25" i="67"/>
  <c r="S24" i="67"/>
  <c r="O23" i="67"/>
  <c r="O22" i="67"/>
  <c r="O21" i="67"/>
  <c r="O20" i="67"/>
  <c r="O19" i="67"/>
  <c r="O18" i="67"/>
  <c r="O17" i="67"/>
  <c r="S16" i="67"/>
  <c r="O16" i="67"/>
  <c r="P16" i="67" s="1"/>
  <c r="S15" i="67"/>
  <c r="O15" i="67"/>
  <c r="P15" i="67" s="1"/>
  <c r="S14" i="67"/>
  <c r="O14" i="67"/>
  <c r="P14" i="67" s="1"/>
  <c r="O13" i="67"/>
  <c r="P13" i="67" s="1"/>
  <c r="O12" i="67"/>
  <c r="P12" i="67" s="1"/>
  <c r="Q12" i="67" s="1"/>
  <c r="S12" i="67" s="1"/>
  <c r="O11" i="67"/>
  <c r="O10" i="67"/>
  <c r="Q10" i="67" s="1"/>
  <c r="S10" i="67" s="1"/>
  <c r="O9" i="67"/>
  <c r="P9" i="67" s="1"/>
  <c r="Q9" i="67" s="1"/>
  <c r="S9" i="67" s="1"/>
  <c r="O8" i="67"/>
  <c r="O7" i="67"/>
  <c r="P7" i="67" s="1"/>
  <c r="Q7" i="67" s="1"/>
  <c r="S7" i="67" s="1"/>
  <c r="S3" i="67"/>
  <c r="P51" i="66"/>
  <c r="O51" i="66"/>
  <c r="Q51" i="66" s="1"/>
  <c r="S51" i="66" s="1"/>
  <c r="P50" i="66"/>
  <c r="O50" i="66"/>
  <c r="O49" i="66"/>
  <c r="Q49" i="66" s="1"/>
  <c r="S49" i="66" s="1"/>
  <c r="O48" i="66"/>
  <c r="O47" i="66"/>
  <c r="Q47" i="66" s="1"/>
  <c r="S47" i="66" s="1"/>
  <c r="O46" i="66"/>
  <c r="O45" i="66"/>
  <c r="Q45" i="66" s="1"/>
  <c r="S45" i="66" s="1"/>
  <c r="O44" i="66"/>
  <c r="Q44" i="66" s="1"/>
  <c r="S44" i="66" s="1"/>
  <c r="P43" i="66"/>
  <c r="O43" i="66"/>
  <c r="Q43" i="66" s="1"/>
  <c r="S43" i="66" s="1"/>
  <c r="O42" i="66"/>
  <c r="O41" i="66"/>
  <c r="O40" i="66"/>
  <c r="O39" i="66"/>
  <c r="Q39" i="66" s="1"/>
  <c r="S39" i="66" s="1"/>
  <c r="O38" i="66"/>
  <c r="Q38" i="66" s="1"/>
  <c r="S38" i="66" s="1"/>
  <c r="O37" i="66"/>
  <c r="O36" i="66"/>
  <c r="O35" i="66"/>
  <c r="O34" i="66"/>
  <c r="O33" i="66"/>
  <c r="O32" i="66"/>
  <c r="Q32" i="66" s="1"/>
  <c r="S32" i="66" s="1"/>
  <c r="O31" i="66"/>
  <c r="O30" i="66"/>
  <c r="P29" i="66"/>
  <c r="O29" i="66"/>
  <c r="O28" i="66"/>
  <c r="P27" i="66"/>
  <c r="O27" i="66"/>
  <c r="Q27" i="66" s="1"/>
  <c r="S27" i="66" s="1"/>
  <c r="O26" i="66"/>
  <c r="Q26" i="66" s="1"/>
  <c r="S26" i="66" s="1"/>
  <c r="O25" i="66"/>
  <c r="Q25" i="66" s="1"/>
  <c r="S25" i="66" s="1"/>
  <c r="O24" i="66"/>
  <c r="Q24" i="66" s="1"/>
  <c r="S24" i="66" s="1"/>
  <c r="O23" i="66"/>
  <c r="O22" i="66"/>
  <c r="P21" i="66"/>
  <c r="O21" i="66"/>
  <c r="O20" i="66"/>
  <c r="P20" i="66" s="1"/>
  <c r="O19" i="66"/>
  <c r="O18" i="66"/>
  <c r="O17" i="66"/>
  <c r="O16" i="66"/>
  <c r="O15" i="66"/>
  <c r="Q15" i="66" s="1"/>
  <c r="S15" i="66" s="1"/>
  <c r="O14" i="66"/>
  <c r="Q14" i="66" s="1"/>
  <c r="S14" i="66" s="1"/>
  <c r="O13" i="66"/>
  <c r="Q13" i="66" s="1"/>
  <c r="S13" i="66" s="1"/>
  <c r="O12" i="66"/>
  <c r="Q12" i="66" s="1"/>
  <c r="S12" i="66" s="1"/>
  <c r="O11" i="66"/>
  <c r="O10" i="66"/>
  <c r="Q10" i="66" s="1"/>
  <c r="S10" i="66" s="1"/>
  <c r="O9" i="66"/>
  <c r="P8" i="66"/>
  <c r="O8" i="66"/>
  <c r="O7" i="66"/>
  <c r="S3" i="66"/>
  <c r="Q21" i="66" l="1"/>
  <c r="S21" i="66" s="1"/>
  <c r="P19" i="66"/>
  <c r="Q50" i="66"/>
  <c r="S50" i="66" s="1"/>
  <c r="P17" i="66"/>
  <c r="P10" i="67"/>
  <c r="Q13" i="67"/>
  <c r="S13" i="67" s="1"/>
  <c r="P11" i="67"/>
  <c r="Q11" i="67" s="1"/>
  <c r="S11" i="67" s="1"/>
  <c r="P8" i="67"/>
  <c r="Q8" i="67" s="1"/>
  <c r="S8" i="67" s="1"/>
  <c r="Q17" i="66"/>
  <c r="S17" i="66" s="1"/>
  <c r="P9" i="66"/>
  <c r="Q9" i="66" s="1"/>
  <c r="S9" i="66" s="1"/>
  <c r="P12" i="66"/>
  <c r="P23" i="66"/>
  <c r="Q29" i="66"/>
  <c r="S29" i="66" s="1"/>
  <c r="P18" i="67"/>
  <c r="Q18" i="67" s="1"/>
  <c r="S18" i="67" s="1"/>
  <c r="P20" i="67"/>
  <c r="Q20" i="67" s="1"/>
  <c r="S20" i="67" s="1"/>
  <c r="P22" i="67"/>
  <c r="Q22" i="67" s="1"/>
  <c r="S22" i="67" s="1"/>
  <c r="P17" i="67"/>
  <c r="Q17" i="67" s="1"/>
  <c r="S17" i="67" s="1"/>
  <c r="P19" i="67"/>
  <c r="Q19" i="67" s="1"/>
  <c r="S19" i="67" s="1"/>
  <c r="P21" i="67"/>
  <c r="Q21" i="67" s="1"/>
  <c r="S21" i="67" s="1"/>
  <c r="P23" i="67"/>
  <c r="Q23" i="67" s="1"/>
  <c r="S23" i="67" s="1"/>
  <c r="I10" i="68"/>
  <c r="I18" i="68"/>
  <c r="K10" i="68"/>
  <c r="K22" i="68"/>
  <c r="P25" i="67"/>
  <c r="Q25" i="67" s="1"/>
  <c r="S25" i="67" s="1"/>
  <c r="P26" i="67"/>
  <c r="Q19" i="66"/>
  <c r="S19" i="66" s="1"/>
  <c r="Q23" i="66"/>
  <c r="S23" i="66" s="1"/>
  <c r="P11" i="66"/>
  <c r="Q11" i="66" s="1"/>
  <c r="S11" i="66" s="1"/>
  <c r="P13" i="66"/>
  <c r="P15" i="66"/>
  <c r="P16" i="66"/>
  <c r="P18" i="66"/>
  <c r="P22" i="66"/>
  <c r="P24" i="66"/>
  <c r="P25" i="66"/>
  <c r="P26" i="66"/>
  <c r="P31" i="66"/>
  <c r="Q31" i="66" s="1"/>
  <c r="S31" i="66" s="1"/>
  <c r="P33" i="66"/>
  <c r="Q33" i="66" s="1"/>
  <c r="S33" i="66" s="1"/>
  <c r="P36" i="66"/>
  <c r="Q36" i="66" s="1"/>
  <c r="S36" i="66" s="1"/>
  <c r="P38" i="66"/>
  <c r="P40" i="66"/>
  <c r="Q40" i="66" s="1"/>
  <c r="S40" i="66" s="1"/>
  <c r="P41" i="66"/>
  <c r="Q41" i="66" s="1"/>
  <c r="S41" i="66" s="1"/>
  <c r="P44" i="66"/>
  <c r="P45" i="66"/>
  <c r="P46" i="66"/>
  <c r="Q46" i="66" s="1"/>
  <c r="S46" i="66" s="1"/>
  <c r="P47" i="66"/>
  <c r="P48" i="66"/>
  <c r="Q48" i="66" s="1"/>
  <c r="S48" i="66" s="1"/>
  <c r="P49" i="66"/>
  <c r="P7" i="66"/>
  <c r="Q7" i="66" s="1"/>
  <c r="S7" i="66" s="1"/>
  <c r="P10" i="66"/>
  <c r="P14" i="66"/>
  <c r="P28" i="66"/>
  <c r="Q28" i="66" s="1"/>
  <c r="S28" i="66" s="1"/>
  <c r="P30" i="66"/>
  <c r="Q30" i="66" s="1"/>
  <c r="S30" i="66" s="1"/>
  <c r="P32" i="66"/>
  <c r="P34" i="66"/>
  <c r="Q34" i="66" s="1"/>
  <c r="S34" i="66" s="1"/>
  <c r="P35" i="66"/>
  <c r="Q35" i="66" s="1"/>
  <c r="S35" i="66" s="1"/>
  <c r="P37" i="66"/>
  <c r="Q37" i="66" s="1"/>
  <c r="S37" i="66" s="1"/>
  <c r="P39" i="66"/>
  <c r="P42" i="66"/>
  <c r="Q42" i="66" s="1"/>
  <c r="S42" i="66" s="1"/>
  <c r="Q8" i="66"/>
  <c r="S8" i="66" s="1"/>
  <c r="Q16" i="66"/>
  <c r="S16" i="66" s="1"/>
  <c r="Q18" i="66"/>
  <c r="S18" i="66" s="1"/>
  <c r="Q20" i="66"/>
  <c r="S20" i="66" s="1"/>
  <c r="Q22" i="66"/>
  <c r="S22" i="66" s="1"/>
  <c r="I32" i="68" l="1"/>
  <c r="F33" i="68" s="1"/>
  <c r="G10" i="64" l="1"/>
  <c r="G12" i="64"/>
  <c r="G14" i="64"/>
  <c r="G16" i="64"/>
  <c r="G18" i="64"/>
  <c r="G20" i="64"/>
  <c r="G22" i="64"/>
  <c r="G24" i="64"/>
  <c r="G26" i="64"/>
  <c r="G28" i="64"/>
  <c r="G30" i="64"/>
  <c r="G32" i="64"/>
  <c r="K24" i="64" l="1"/>
  <c r="I10" i="64"/>
  <c r="I20" i="64"/>
  <c r="I34" i="64" s="1"/>
  <c r="F35" i="64" s="1"/>
  <c r="K12" i="64"/>
  <c r="W44" i="63"/>
  <c r="V44" i="63"/>
  <c r="U44" i="63"/>
  <c r="T44" i="63"/>
  <c r="R44" i="63"/>
  <c r="Q44" i="63"/>
  <c r="P44" i="63"/>
  <c r="O44" i="63"/>
  <c r="W43" i="63"/>
  <c r="V43" i="63"/>
  <c r="U43" i="63"/>
  <c r="T43" i="63"/>
  <c r="R43" i="63"/>
  <c r="Q43" i="63"/>
  <c r="P43" i="63"/>
  <c r="O43" i="63"/>
  <c r="W42" i="63"/>
  <c r="V42" i="63"/>
  <c r="U42" i="63"/>
  <c r="T42" i="63"/>
  <c r="R42" i="63"/>
  <c r="Q42" i="63"/>
  <c r="P42" i="63"/>
  <c r="O42" i="63"/>
  <c r="W41" i="63"/>
  <c r="V41" i="63"/>
  <c r="U41" i="63"/>
  <c r="T41" i="63"/>
  <c r="R41" i="63"/>
  <c r="Q41" i="63"/>
  <c r="P41" i="63"/>
  <c r="O41" i="63"/>
  <c r="W40" i="63"/>
  <c r="V40" i="63"/>
  <c r="U40" i="63"/>
  <c r="T40" i="63"/>
  <c r="R40" i="63"/>
  <c r="Q40" i="63"/>
  <c r="P40" i="63"/>
  <c r="O40" i="63"/>
  <c r="W39" i="63"/>
  <c r="V39" i="63"/>
  <c r="U39" i="63"/>
  <c r="T39" i="63"/>
  <c r="R39" i="63"/>
  <c r="Q39" i="63"/>
  <c r="P39" i="63"/>
  <c r="O39" i="63"/>
  <c r="W38" i="63"/>
  <c r="V38" i="63"/>
  <c r="U38" i="63"/>
  <c r="T38" i="63"/>
  <c r="R38" i="63"/>
  <c r="Q38" i="63"/>
  <c r="P38" i="63"/>
  <c r="O38" i="63"/>
  <c r="W37" i="63"/>
  <c r="V37" i="63"/>
  <c r="U37" i="63"/>
  <c r="T37" i="63"/>
  <c r="R37" i="63"/>
  <c r="Q37" i="63"/>
  <c r="P37" i="63"/>
  <c r="O37" i="63"/>
  <c r="W36" i="63"/>
  <c r="V36" i="63"/>
  <c r="U36" i="63"/>
  <c r="T36" i="63"/>
  <c r="R36" i="63"/>
  <c r="Q36" i="63"/>
  <c r="P36" i="63"/>
  <c r="O36" i="63"/>
  <c r="W35" i="63"/>
  <c r="V35" i="63"/>
  <c r="U35" i="63"/>
  <c r="T35" i="63"/>
  <c r="R35" i="63"/>
  <c r="Q35" i="63"/>
  <c r="P35" i="63"/>
  <c r="O35" i="63"/>
  <c r="W34" i="63"/>
  <c r="V34" i="63"/>
  <c r="U34" i="63"/>
  <c r="T34" i="63"/>
  <c r="R34" i="63"/>
  <c r="Q34" i="63"/>
  <c r="P34" i="63"/>
  <c r="O34" i="63"/>
  <c r="W33" i="63"/>
  <c r="V33" i="63"/>
  <c r="U33" i="63"/>
  <c r="T33" i="63"/>
  <c r="R33" i="63"/>
  <c r="Q33" i="63"/>
  <c r="P33" i="63"/>
  <c r="O33" i="63"/>
  <c r="W32" i="63"/>
  <c r="V32" i="63"/>
  <c r="U32" i="63"/>
  <c r="T32" i="63"/>
  <c r="R32" i="63"/>
  <c r="Q32" i="63"/>
  <c r="P32" i="63"/>
  <c r="O32" i="63"/>
  <c r="W31" i="63"/>
  <c r="V31" i="63"/>
  <c r="U31" i="63"/>
  <c r="T31" i="63"/>
  <c r="R31" i="63"/>
  <c r="Q31" i="63"/>
  <c r="P31" i="63"/>
  <c r="O31" i="63"/>
  <c r="W30" i="63"/>
  <c r="V30" i="63"/>
  <c r="U30" i="63"/>
  <c r="T30" i="63"/>
  <c r="R30" i="63"/>
  <c r="Q30" i="63"/>
  <c r="P30" i="63"/>
  <c r="O30" i="63"/>
  <c r="W29" i="63"/>
  <c r="V29" i="63"/>
  <c r="U29" i="63"/>
  <c r="T29" i="63"/>
  <c r="R29" i="63"/>
  <c r="Q29" i="63"/>
  <c r="P29" i="63"/>
  <c r="O29" i="63"/>
  <c r="W18" i="63"/>
  <c r="V18" i="63"/>
  <c r="U18" i="63"/>
  <c r="T18" i="63"/>
  <c r="R18" i="63"/>
  <c r="Q18" i="63"/>
  <c r="P18" i="63"/>
  <c r="O18" i="63"/>
  <c r="W17" i="63"/>
  <c r="V17" i="63"/>
  <c r="U17" i="63"/>
  <c r="T17" i="63"/>
  <c r="R17" i="63"/>
  <c r="Q17" i="63"/>
  <c r="P17" i="63"/>
  <c r="O17" i="63"/>
  <c r="W16" i="63"/>
  <c r="V16" i="63"/>
  <c r="U16" i="63"/>
  <c r="T16" i="63"/>
  <c r="R16" i="63"/>
  <c r="Q16" i="63"/>
  <c r="P16" i="63"/>
  <c r="O16" i="63"/>
  <c r="W15" i="63"/>
  <c r="V15" i="63"/>
  <c r="U15" i="63"/>
  <c r="T15" i="63"/>
  <c r="R15" i="63"/>
  <c r="Q15" i="63"/>
  <c r="P15" i="63"/>
  <c r="O15" i="63"/>
  <c r="W14" i="63"/>
  <c r="V14" i="63"/>
  <c r="U14" i="63"/>
  <c r="T14" i="63"/>
  <c r="R14" i="63"/>
  <c r="Q14" i="63"/>
  <c r="P14" i="63"/>
  <c r="O14" i="63"/>
  <c r="W13" i="63"/>
  <c r="V13" i="63"/>
  <c r="U13" i="63"/>
  <c r="T13" i="63"/>
  <c r="R13" i="63"/>
  <c r="Q13" i="63"/>
  <c r="P13" i="63"/>
  <c r="O13" i="63"/>
  <c r="W12" i="63"/>
  <c r="V12" i="63"/>
  <c r="U12" i="63"/>
  <c r="T12" i="63"/>
  <c r="R12" i="63"/>
  <c r="Q12" i="63"/>
  <c r="P12" i="63"/>
  <c r="O12" i="63"/>
  <c r="O9" i="60"/>
  <c r="O8" i="60"/>
  <c r="X15" i="63" l="1"/>
  <c r="M15" i="63" s="1"/>
  <c r="X41" i="63"/>
  <c r="M41" i="63" s="1"/>
  <c r="X42" i="63"/>
  <c r="M42" i="63" s="1"/>
  <c r="X43" i="63"/>
  <c r="M43" i="63" s="1"/>
  <c r="S12" i="63"/>
  <c r="S13" i="63"/>
  <c r="S14" i="63"/>
  <c r="S15" i="63"/>
  <c r="N15" i="63" s="1"/>
  <c r="X31" i="63"/>
  <c r="M31" i="63" s="1"/>
  <c r="X32" i="63"/>
  <c r="M32" i="63" s="1"/>
  <c r="X35" i="63"/>
  <c r="M35" i="63" s="1"/>
  <c r="X14" i="63"/>
  <c r="M14" i="63" s="1"/>
  <c r="S44" i="63"/>
  <c r="X39" i="63"/>
  <c r="M39" i="63" s="1"/>
  <c r="P9" i="60"/>
  <c r="S17" i="63"/>
  <c r="S29" i="63"/>
  <c r="S35" i="63"/>
  <c r="X36" i="63"/>
  <c r="M36" i="63" s="1"/>
  <c r="X13" i="63"/>
  <c r="M13" i="63" s="1"/>
  <c r="X18" i="63"/>
  <c r="M18" i="63" s="1"/>
  <c r="X30" i="63"/>
  <c r="M30" i="63" s="1"/>
  <c r="X34" i="63"/>
  <c r="M34" i="63" s="1"/>
  <c r="S36" i="63"/>
  <c r="S37" i="63"/>
  <c r="S38" i="63"/>
  <c r="S39" i="63"/>
  <c r="N39" i="63" s="1"/>
  <c r="X40" i="63"/>
  <c r="M40" i="63" s="1"/>
  <c r="S18" i="63"/>
  <c r="N18" i="63" s="1"/>
  <c r="X17" i="63"/>
  <c r="M17" i="63" s="1"/>
  <c r="X29" i="63"/>
  <c r="M29" i="63" s="1"/>
  <c r="X37" i="63"/>
  <c r="M37" i="63" s="1"/>
  <c r="X38" i="63"/>
  <c r="M38" i="63" s="1"/>
  <c r="S40" i="63"/>
  <c r="S41" i="63"/>
  <c r="N41" i="63" s="1"/>
  <c r="S42" i="63"/>
  <c r="N42" i="63" s="1"/>
  <c r="S43" i="63"/>
  <c r="N43" i="63" s="1"/>
  <c r="X44" i="63"/>
  <c r="S32" i="63"/>
  <c r="N32" i="63" s="1"/>
  <c r="S33" i="63"/>
  <c r="X16" i="63"/>
  <c r="M16" i="63" s="1"/>
  <c r="S16" i="63"/>
  <c r="X12" i="63"/>
  <c r="M12" i="63" s="1"/>
  <c r="S31" i="63"/>
  <c r="S34" i="63"/>
  <c r="S30" i="63"/>
  <c r="N30" i="63" s="1"/>
  <c r="N31" i="63"/>
  <c r="X33" i="63"/>
  <c r="M33" i="63" s="1"/>
  <c r="N38" i="63"/>
  <c r="N13" i="63"/>
  <c r="N14" i="63"/>
  <c r="P8" i="60"/>
  <c r="W44" i="62"/>
  <c r="V44" i="62"/>
  <c r="U44" i="62"/>
  <c r="T44" i="62"/>
  <c r="R44" i="62"/>
  <c r="Q44" i="62"/>
  <c r="P44" i="62"/>
  <c r="O44" i="62"/>
  <c r="W43" i="62"/>
  <c r="V43" i="62"/>
  <c r="U43" i="62"/>
  <c r="T43" i="62"/>
  <c r="R43" i="62"/>
  <c r="Q43" i="62"/>
  <c r="P43" i="62"/>
  <c r="O43" i="62"/>
  <c r="W42" i="62"/>
  <c r="V42" i="62"/>
  <c r="U42" i="62"/>
  <c r="T42" i="62"/>
  <c r="R42" i="62"/>
  <c r="Q42" i="62"/>
  <c r="P42" i="62"/>
  <c r="O42" i="62"/>
  <c r="W41" i="62"/>
  <c r="V41" i="62"/>
  <c r="U41" i="62"/>
  <c r="T41" i="62"/>
  <c r="R41" i="62"/>
  <c r="Q41" i="62"/>
  <c r="P41" i="62"/>
  <c r="O41" i="62"/>
  <c r="W40" i="62"/>
  <c r="V40" i="62"/>
  <c r="U40" i="62"/>
  <c r="T40" i="62"/>
  <c r="R40" i="62"/>
  <c r="Q40" i="62"/>
  <c r="P40" i="62"/>
  <c r="O40" i="62"/>
  <c r="W39" i="62"/>
  <c r="V39" i="62"/>
  <c r="U39" i="62"/>
  <c r="T39" i="62"/>
  <c r="R39" i="62"/>
  <c r="Q39" i="62"/>
  <c r="P39" i="62"/>
  <c r="O39" i="62"/>
  <c r="W38" i="62"/>
  <c r="V38" i="62"/>
  <c r="X38" i="62" s="1"/>
  <c r="M38" i="62" s="1"/>
  <c r="U38" i="62"/>
  <c r="T38" i="62"/>
  <c r="R38" i="62"/>
  <c r="Q38" i="62"/>
  <c r="P38" i="62"/>
  <c r="O38" i="62"/>
  <c r="W37" i="62"/>
  <c r="V37" i="62"/>
  <c r="U37" i="62"/>
  <c r="T37" i="62"/>
  <c r="R37" i="62"/>
  <c r="Q37" i="62"/>
  <c r="P37" i="62"/>
  <c r="O37" i="62"/>
  <c r="W36" i="62"/>
  <c r="V36" i="62"/>
  <c r="U36" i="62"/>
  <c r="T36" i="62"/>
  <c r="R36" i="62"/>
  <c r="Q36" i="62"/>
  <c r="P36" i="62"/>
  <c r="O36" i="62"/>
  <c r="W35" i="62"/>
  <c r="V35" i="62"/>
  <c r="U35" i="62"/>
  <c r="T35" i="62"/>
  <c r="R35" i="62"/>
  <c r="Q35" i="62"/>
  <c r="P35" i="62"/>
  <c r="O35" i="62"/>
  <c r="W34" i="62"/>
  <c r="V34" i="62"/>
  <c r="U34" i="62"/>
  <c r="T34" i="62"/>
  <c r="R34" i="62"/>
  <c r="Q34" i="62"/>
  <c r="P34" i="62"/>
  <c r="O34" i="62"/>
  <c r="W33" i="62"/>
  <c r="V33" i="62"/>
  <c r="U33" i="62"/>
  <c r="T33" i="62"/>
  <c r="R33" i="62"/>
  <c r="Q33" i="62"/>
  <c r="P33" i="62"/>
  <c r="O33" i="62"/>
  <c r="W32" i="62"/>
  <c r="V32" i="62"/>
  <c r="U32" i="62"/>
  <c r="T32" i="62"/>
  <c r="R32" i="62"/>
  <c r="Q32" i="62"/>
  <c r="P32" i="62"/>
  <c r="O32" i="62"/>
  <c r="W31" i="62"/>
  <c r="V31" i="62"/>
  <c r="U31" i="62"/>
  <c r="T31" i="62"/>
  <c r="R31" i="62"/>
  <c r="Q31" i="62"/>
  <c r="P31" i="62"/>
  <c r="O31" i="62"/>
  <c r="W30" i="62"/>
  <c r="V30" i="62"/>
  <c r="U30" i="62"/>
  <c r="T30" i="62"/>
  <c r="R30" i="62"/>
  <c r="Q30" i="62"/>
  <c r="P30" i="62"/>
  <c r="O30" i="62"/>
  <c r="W29" i="62"/>
  <c r="V29" i="62"/>
  <c r="U29" i="62"/>
  <c r="T29" i="62"/>
  <c r="R29" i="62"/>
  <c r="Q29" i="62"/>
  <c r="P29" i="62"/>
  <c r="O29" i="62"/>
  <c r="W18" i="62"/>
  <c r="V18" i="62"/>
  <c r="U18" i="62"/>
  <c r="T18" i="62"/>
  <c r="R18" i="62"/>
  <c r="Q18" i="62"/>
  <c r="P18" i="62"/>
  <c r="O18" i="62"/>
  <c r="W17" i="62"/>
  <c r="V17" i="62"/>
  <c r="U17" i="62"/>
  <c r="T17" i="62"/>
  <c r="R17" i="62"/>
  <c r="Q17" i="62"/>
  <c r="P17" i="62"/>
  <c r="O17" i="62"/>
  <c r="W16" i="62"/>
  <c r="V16" i="62"/>
  <c r="U16" i="62"/>
  <c r="T16" i="62"/>
  <c r="R16" i="62"/>
  <c r="Q16" i="62"/>
  <c r="P16" i="62"/>
  <c r="O16" i="62"/>
  <c r="W15" i="62"/>
  <c r="V15" i="62"/>
  <c r="U15" i="62"/>
  <c r="T15" i="62"/>
  <c r="R15" i="62"/>
  <c r="Q15" i="62"/>
  <c r="P15" i="62"/>
  <c r="O15" i="62"/>
  <c r="W14" i="62"/>
  <c r="V14" i="62"/>
  <c r="U14" i="62"/>
  <c r="T14" i="62"/>
  <c r="R14" i="62"/>
  <c r="Q14" i="62"/>
  <c r="P14" i="62"/>
  <c r="O14" i="62"/>
  <c r="W13" i="62"/>
  <c r="V13" i="62"/>
  <c r="U13" i="62"/>
  <c r="T13" i="62"/>
  <c r="R13" i="62"/>
  <c r="Q13" i="62"/>
  <c r="P13" i="62"/>
  <c r="O13" i="62"/>
  <c r="W12" i="62"/>
  <c r="V12" i="62"/>
  <c r="U12" i="62"/>
  <c r="T12" i="62"/>
  <c r="R12" i="62"/>
  <c r="Q12" i="62"/>
  <c r="P12" i="62"/>
  <c r="O12" i="62"/>
  <c r="Q9" i="60" l="1"/>
  <c r="S9" i="60" s="1"/>
  <c r="S35" i="62"/>
  <c r="S36" i="62"/>
  <c r="S37" i="62"/>
  <c r="S38" i="62"/>
  <c r="N38" i="62" s="1"/>
  <c r="X42" i="62"/>
  <c r="M42" i="62" s="1"/>
  <c r="N40" i="63"/>
  <c r="N35" i="63"/>
  <c r="N34" i="63"/>
  <c r="X14" i="62"/>
  <c r="M14" i="62" s="1"/>
  <c r="X30" i="62"/>
  <c r="M30" i="62" s="1"/>
  <c r="X32" i="62"/>
  <c r="M32" i="62" s="1"/>
  <c r="X33" i="62"/>
  <c r="M33" i="62" s="1"/>
  <c r="X34" i="62"/>
  <c r="M34" i="62" s="1"/>
  <c r="X35" i="62"/>
  <c r="M35" i="62" s="1"/>
  <c r="X36" i="62"/>
  <c r="M36" i="62" s="1"/>
  <c r="X37" i="62"/>
  <c r="M37" i="62" s="1"/>
  <c r="N37" i="63"/>
  <c r="Q8" i="60"/>
  <c r="S8" i="60" s="1"/>
  <c r="S13" i="62"/>
  <c r="S14" i="62"/>
  <c r="N14" i="62" s="1"/>
  <c r="S39" i="62"/>
  <c r="S40" i="62"/>
  <c r="S41" i="62"/>
  <c r="S42" i="62"/>
  <c r="N42" i="62" s="1"/>
  <c r="N36" i="63"/>
  <c r="X13" i="62"/>
  <c r="M13" i="62" s="1"/>
  <c r="S15" i="62"/>
  <c r="S18" i="62"/>
  <c r="S29" i="62"/>
  <c r="S30" i="62"/>
  <c r="N30" i="62" s="1"/>
  <c r="X39" i="62"/>
  <c r="M39" i="62" s="1"/>
  <c r="X40" i="62"/>
  <c r="M40" i="62" s="1"/>
  <c r="X41" i="62"/>
  <c r="M41" i="62" s="1"/>
  <c r="S43" i="62"/>
  <c r="S44" i="62"/>
  <c r="M44" i="63"/>
  <c r="L34" i="63" s="1"/>
  <c r="M19" i="63"/>
  <c r="L18" i="63" s="1"/>
  <c r="N29" i="63"/>
  <c r="X15" i="62"/>
  <c r="M15" i="62" s="1"/>
  <c r="X17" i="62"/>
  <c r="M17" i="62" s="1"/>
  <c r="X29" i="62"/>
  <c r="M29" i="62" s="1"/>
  <c r="S31" i="62"/>
  <c r="S32" i="62"/>
  <c r="S33" i="62"/>
  <c r="N33" i="62" s="1"/>
  <c r="S34" i="62"/>
  <c r="N34" i="62" s="1"/>
  <c r="X43" i="62"/>
  <c r="M43" i="62" s="1"/>
  <c r="X44" i="62"/>
  <c r="N12" i="63"/>
  <c r="N17" i="63"/>
  <c r="N16" i="63"/>
  <c r="N33" i="63"/>
  <c r="L42" i="63"/>
  <c r="L32" i="63"/>
  <c r="L35" i="63"/>
  <c r="L17" i="63"/>
  <c r="L15" i="63"/>
  <c r="X31" i="62"/>
  <c r="M31" i="62" s="1"/>
  <c r="M44" i="62" s="1"/>
  <c r="S17" i="62"/>
  <c r="S12" i="62"/>
  <c r="S16" i="62"/>
  <c r="X16" i="62"/>
  <c r="M16" i="62" s="1"/>
  <c r="X18" i="62"/>
  <c r="M18" i="62" s="1"/>
  <c r="X12" i="62"/>
  <c r="M12" i="62" s="1"/>
  <c r="N32" i="62"/>
  <c r="N35" i="62"/>
  <c r="N36" i="62"/>
  <c r="N37" i="62"/>
  <c r="N15" i="62"/>
  <c r="N39" i="62"/>
  <c r="N40" i="62" l="1"/>
  <c r="L13" i="63"/>
  <c r="L39" i="63"/>
  <c r="L36" i="63"/>
  <c r="N17" i="62"/>
  <c r="L37" i="63"/>
  <c r="L30" i="63"/>
  <c r="N19" i="63"/>
  <c r="L29" i="63"/>
  <c r="L31" i="63"/>
  <c r="L41" i="63"/>
  <c r="L38" i="63"/>
  <c r="N43" i="62"/>
  <c r="N29" i="62"/>
  <c r="L29" i="62" s="1"/>
  <c r="N13" i="62"/>
  <c r="L12" i="63"/>
  <c r="L14" i="63"/>
  <c r="N41" i="62"/>
  <c r="L16" i="63"/>
  <c r="L40" i="63"/>
  <c r="L43" i="63"/>
  <c r="N44" i="63"/>
  <c r="L33" i="63"/>
  <c r="N18" i="62"/>
  <c r="N31" i="62"/>
  <c r="N16" i="62"/>
  <c r="M19" i="62"/>
  <c r="L15" i="62" s="1"/>
  <c r="N12" i="62"/>
  <c r="L41" i="62"/>
  <c r="L37" i="62"/>
  <c r="L33" i="62"/>
  <c r="L34" i="62"/>
  <c r="L40" i="62"/>
  <c r="L36" i="62"/>
  <c r="L32" i="62"/>
  <c r="L38" i="62"/>
  <c r="L43" i="62"/>
  <c r="L39" i="62"/>
  <c r="L35" i="62"/>
  <c r="L42" i="62"/>
  <c r="L30" i="62"/>
  <c r="O7" i="60"/>
  <c r="O10" i="60"/>
  <c r="L19" i="63" l="1"/>
  <c r="N44" i="62"/>
  <c r="L31" i="62"/>
  <c r="P7" i="60"/>
  <c r="Q7" i="60" s="1"/>
  <c r="S7" i="60" s="1"/>
  <c r="P10" i="60"/>
  <c r="L44" i="63"/>
  <c r="S46" i="63" s="1"/>
  <c r="U46" i="63"/>
  <c r="C47" i="63"/>
  <c r="P46" i="63"/>
  <c r="E21" i="63"/>
  <c r="L21" i="63" s="1"/>
  <c r="R20" i="63"/>
  <c r="N20" i="63"/>
  <c r="N21" i="63" s="1"/>
  <c r="U20" i="63"/>
  <c r="P20" i="63"/>
  <c r="O20" i="63"/>
  <c r="C21" i="63"/>
  <c r="Q20" i="63"/>
  <c r="S20" i="63"/>
  <c r="S47" i="63"/>
  <c r="L18" i="62"/>
  <c r="N19" i="62"/>
  <c r="L17" i="62"/>
  <c r="L12" i="62"/>
  <c r="L13" i="62"/>
  <c r="L14" i="62"/>
  <c r="L16" i="62"/>
  <c r="L44" i="62"/>
  <c r="Q10" i="60" l="1"/>
  <c r="S10" i="60" s="1"/>
  <c r="E47" i="63"/>
  <c r="L47" i="63" s="1"/>
  <c r="C52" i="63"/>
  <c r="E52" i="63" s="1"/>
  <c r="L52" i="63" s="1"/>
  <c r="O46" i="63"/>
  <c r="O47" i="63" s="1"/>
  <c r="N46" i="63"/>
  <c r="N47" i="63" s="1"/>
  <c r="S21" i="63"/>
  <c r="R46" i="63"/>
  <c r="Q46" i="63"/>
  <c r="O21" i="63"/>
  <c r="Q21" i="63"/>
  <c r="L19" i="62"/>
  <c r="U20" i="62" s="1"/>
  <c r="E47" i="62"/>
  <c r="L47" i="62" s="1"/>
  <c r="R46" i="62"/>
  <c r="N46" i="62"/>
  <c r="N47" i="62" s="1"/>
  <c r="C52" i="62"/>
  <c r="E52" i="62" s="1"/>
  <c r="L52" i="62" s="1"/>
  <c r="C47" i="62"/>
  <c r="Q46" i="62"/>
  <c r="Q47" i="62" s="1"/>
  <c r="S46" i="62"/>
  <c r="U46" i="62"/>
  <c r="P46" i="62"/>
  <c r="O46" i="62"/>
  <c r="V21" i="63" l="1"/>
  <c r="Q47" i="63"/>
  <c r="V47" i="63" s="1"/>
  <c r="O47" i="62"/>
  <c r="O20" i="62"/>
  <c r="S20" i="62"/>
  <c r="S21" i="62" s="1"/>
  <c r="Q20" i="62"/>
  <c r="C21" i="62"/>
  <c r="N20" i="62"/>
  <c r="N21" i="62" s="1"/>
  <c r="P20" i="62"/>
  <c r="R20" i="62"/>
  <c r="Q21" i="62" s="1"/>
  <c r="E21" i="62"/>
  <c r="L21" i="62" s="1"/>
  <c r="S47" i="62"/>
  <c r="V47" i="62" l="1"/>
  <c r="O21" i="62"/>
  <c r="V21" i="62" s="1"/>
  <c r="W44" i="59"/>
  <c r="V44" i="59"/>
  <c r="U44" i="59"/>
  <c r="T44" i="59"/>
  <c r="R44" i="59"/>
  <c r="Q44" i="59"/>
  <c r="P44" i="59"/>
  <c r="O44" i="59"/>
  <c r="W43" i="59"/>
  <c r="V43" i="59"/>
  <c r="U43" i="59"/>
  <c r="T43" i="59"/>
  <c r="R43" i="59"/>
  <c r="Q43" i="59"/>
  <c r="P43" i="59"/>
  <c r="O43" i="59"/>
  <c r="W42" i="59"/>
  <c r="V42" i="59"/>
  <c r="U42" i="59"/>
  <c r="T42" i="59"/>
  <c r="R42" i="59"/>
  <c r="Q42" i="59"/>
  <c r="P42" i="59"/>
  <c r="O42" i="59"/>
  <c r="W41" i="59"/>
  <c r="V41" i="59"/>
  <c r="U41" i="59"/>
  <c r="T41" i="59"/>
  <c r="R41" i="59"/>
  <c r="Q41" i="59"/>
  <c r="P41" i="59"/>
  <c r="O41" i="59"/>
  <c r="W40" i="59"/>
  <c r="V40" i="59"/>
  <c r="U40" i="59"/>
  <c r="T40" i="59"/>
  <c r="R40" i="59"/>
  <c r="Q40" i="59"/>
  <c r="P40" i="59"/>
  <c r="O40" i="59"/>
  <c r="W39" i="59"/>
  <c r="V39" i="59"/>
  <c r="U39" i="59"/>
  <c r="T39" i="59"/>
  <c r="R39" i="59"/>
  <c r="Q39" i="59"/>
  <c r="P39" i="59"/>
  <c r="O39" i="59"/>
  <c r="W38" i="59"/>
  <c r="V38" i="59"/>
  <c r="U38" i="59"/>
  <c r="T38" i="59"/>
  <c r="R38" i="59"/>
  <c r="Q38" i="59"/>
  <c r="P38" i="59"/>
  <c r="O38" i="59"/>
  <c r="W37" i="59"/>
  <c r="V37" i="59"/>
  <c r="U37" i="59"/>
  <c r="T37" i="59"/>
  <c r="R37" i="59"/>
  <c r="Q37" i="59"/>
  <c r="P37" i="59"/>
  <c r="O37" i="59"/>
  <c r="W36" i="59"/>
  <c r="V36" i="59"/>
  <c r="U36" i="59"/>
  <c r="T36" i="59"/>
  <c r="R36" i="59"/>
  <c r="Q36" i="59"/>
  <c r="P36" i="59"/>
  <c r="O36" i="59"/>
  <c r="W35" i="59"/>
  <c r="V35" i="59"/>
  <c r="U35" i="59"/>
  <c r="T35" i="59"/>
  <c r="R35" i="59"/>
  <c r="Q35" i="59"/>
  <c r="P35" i="59"/>
  <c r="O35" i="59"/>
  <c r="W34" i="59"/>
  <c r="V34" i="59"/>
  <c r="U34" i="59"/>
  <c r="T34" i="59"/>
  <c r="R34" i="59"/>
  <c r="Q34" i="59"/>
  <c r="P34" i="59"/>
  <c r="O34" i="59"/>
  <c r="W33" i="59"/>
  <c r="V33" i="59"/>
  <c r="U33" i="59"/>
  <c r="T33" i="59"/>
  <c r="R33" i="59"/>
  <c r="Q33" i="59"/>
  <c r="P33" i="59"/>
  <c r="O33" i="59"/>
  <c r="W32" i="59"/>
  <c r="V32" i="59"/>
  <c r="U32" i="59"/>
  <c r="T32" i="59"/>
  <c r="R32" i="59"/>
  <c r="Q32" i="59"/>
  <c r="P32" i="59"/>
  <c r="O32" i="59"/>
  <c r="W31" i="59"/>
  <c r="V31" i="59"/>
  <c r="U31" i="59"/>
  <c r="T31" i="59"/>
  <c r="R31" i="59"/>
  <c r="Q31" i="59"/>
  <c r="P31" i="59"/>
  <c r="O31" i="59"/>
  <c r="W30" i="59"/>
  <c r="V30" i="59"/>
  <c r="U30" i="59"/>
  <c r="T30" i="59"/>
  <c r="R30" i="59"/>
  <c r="Q30" i="59"/>
  <c r="P30" i="59"/>
  <c r="O30" i="59"/>
  <c r="W29" i="59"/>
  <c r="V29" i="59"/>
  <c r="U29" i="59"/>
  <c r="T29" i="59"/>
  <c r="R29" i="59"/>
  <c r="Q29" i="59"/>
  <c r="P29" i="59"/>
  <c r="O29" i="59"/>
  <c r="W18" i="59"/>
  <c r="V18" i="59"/>
  <c r="U18" i="59"/>
  <c r="T18" i="59"/>
  <c r="R18" i="59"/>
  <c r="Q18" i="59"/>
  <c r="P18" i="59"/>
  <c r="O18" i="59"/>
  <c r="W17" i="59"/>
  <c r="V17" i="59"/>
  <c r="U17" i="59"/>
  <c r="T17" i="59"/>
  <c r="R17" i="59"/>
  <c r="Q17" i="59"/>
  <c r="P17" i="59"/>
  <c r="O17" i="59"/>
  <c r="W16" i="59"/>
  <c r="V16" i="59"/>
  <c r="U16" i="59"/>
  <c r="T16" i="59"/>
  <c r="R16" i="59"/>
  <c r="Q16" i="59"/>
  <c r="P16" i="59"/>
  <c r="O16" i="59"/>
  <c r="W15" i="59"/>
  <c r="V15" i="59"/>
  <c r="U15" i="59"/>
  <c r="T15" i="59"/>
  <c r="R15" i="59"/>
  <c r="Q15" i="59"/>
  <c r="P15" i="59"/>
  <c r="O15" i="59"/>
  <c r="W14" i="59"/>
  <c r="V14" i="59"/>
  <c r="U14" i="59"/>
  <c r="T14" i="59"/>
  <c r="R14" i="59"/>
  <c r="Q14" i="59"/>
  <c r="P14" i="59"/>
  <c r="O14" i="59"/>
  <c r="W13" i="59"/>
  <c r="V13" i="59"/>
  <c r="U13" i="59"/>
  <c r="T13" i="59"/>
  <c r="R13" i="59"/>
  <c r="Q13" i="59"/>
  <c r="P13" i="59"/>
  <c r="O13" i="59"/>
  <c r="W12" i="59"/>
  <c r="V12" i="59"/>
  <c r="U12" i="59"/>
  <c r="T12" i="59"/>
  <c r="R12" i="59"/>
  <c r="Q12" i="59"/>
  <c r="P12" i="59"/>
  <c r="O12" i="59"/>
  <c r="W44" i="58"/>
  <c r="V44" i="58"/>
  <c r="U44" i="58"/>
  <c r="T44" i="58"/>
  <c r="R44" i="58"/>
  <c r="Q44" i="58"/>
  <c r="P44" i="58"/>
  <c r="O44" i="58"/>
  <c r="W43" i="58"/>
  <c r="V43" i="58"/>
  <c r="U43" i="58"/>
  <c r="T43" i="58"/>
  <c r="R43" i="58"/>
  <c r="Q43" i="58"/>
  <c r="P43" i="58"/>
  <c r="O43" i="58"/>
  <c r="W42" i="58"/>
  <c r="V42" i="58"/>
  <c r="U42" i="58"/>
  <c r="T42" i="58"/>
  <c r="R42" i="58"/>
  <c r="Q42" i="58"/>
  <c r="P42" i="58"/>
  <c r="O42" i="58"/>
  <c r="W41" i="58"/>
  <c r="V41" i="58"/>
  <c r="U41" i="58"/>
  <c r="T41" i="58"/>
  <c r="R41" i="58"/>
  <c r="Q41" i="58"/>
  <c r="P41" i="58"/>
  <c r="O41" i="58"/>
  <c r="W40" i="58"/>
  <c r="V40" i="58"/>
  <c r="U40" i="58"/>
  <c r="T40" i="58"/>
  <c r="R40" i="58"/>
  <c r="Q40" i="58"/>
  <c r="P40" i="58"/>
  <c r="O40" i="58"/>
  <c r="W39" i="58"/>
  <c r="X39" i="58" s="1"/>
  <c r="M39" i="58" s="1"/>
  <c r="V39" i="58"/>
  <c r="U39" i="58"/>
  <c r="T39" i="58"/>
  <c r="R39" i="58"/>
  <c r="Q39" i="58"/>
  <c r="P39" i="58"/>
  <c r="O39" i="58"/>
  <c r="W38" i="58"/>
  <c r="V38" i="58"/>
  <c r="U38" i="58"/>
  <c r="T38" i="58"/>
  <c r="R38" i="58"/>
  <c r="Q38" i="58"/>
  <c r="P38" i="58"/>
  <c r="O38" i="58"/>
  <c r="W37" i="58"/>
  <c r="V37" i="58"/>
  <c r="U37" i="58"/>
  <c r="T37" i="58"/>
  <c r="R37" i="58"/>
  <c r="Q37" i="58"/>
  <c r="P37" i="58"/>
  <c r="O37" i="58"/>
  <c r="W36" i="58"/>
  <c r="X36" i="58" s="1"/>
  <c r="M36" i="58" s="1"/>
  <c r="V36" i="58"/>
  <c r="U36" i="58"/>
  <c r="T36" i="58"/>
  <c r="R36" i="58"/>
  <c r="Q36" i="58"/>
  <c r="P36" i="58"/>
  <c r="O36" i="58"/>
  <c r="X35" i="58"/>
  <c r="M35" i="58" s="1"/>
  <c r="W35" i="58"/>
  <c r="V35" i="58"/>
  <c r="U35" i="58"/>
  <c r="T35" i="58"/>
  <c r="R35" i="58"/>
  <c r="Q35" i="58"/>
  <c r="P35" i="58"/>
  <c r="O35" i="58"/>
  <c r="S35" i="58" s="1"/>
  <c r="N35" i="58" s="1"/>
  <c r="W34" i="58"/>
  <c r="V34" i="58"/>
  <c r="U34" i="58"/>
  <c r="T34" i="58"/>
  <c r="R34" i="58"/>
  <c r="Q34" i="58"/>
  <c r="P34" i="58"/>
  <c r="O34" i="58"/>
  <c r="S34" i="58" s="1"/>
  <c r="W33" i="58"/>
  <c r="V33" i="58"/>
  <c r="U33" i="58"/>
  <c r="T33" i="58"/>
  <c r="R33" i="58"/>
  <c r="Q33" i="58"/>
  <c r="P33" i="58"/>
  <c r="O33" i="58"/>
  <c r="S33" i="58" s="1"/>
  <c r="W32" i="58"/>
  <c r="V32" i="58"/>
  <c r="U32" i="58"/>
  <c r="T32" i="58"/>
  <c r="R32" i="58"/>
  <c r="Q32" i="58"/>
  <c r="P32" i="58"/>
  <c r="O32" i="58"/>
  <c r="S32" i="58" s="1"/>
  <c r="W31" i="58"/>
  <c r="V31" i="58"/>
  <c r="U31" i="58"/>
  <c r="T31" i="58"/>
  <c r="R31" i="58"/>
  <c r="Q31" i="58"/>
  <c r="P31" i="58"/>
  <c r="O31" i="58"/>
  <c r="W30" i="58"/>
  <c r="V30" i="58"/>
  <c r="U30" i="58"/>
  <c r="T30" i="58"/>
  <c r="R30" i="58"/>
  <c r="Q30" i="58"/>
  <c r="P30" i="58"/>
  <c r="O30" i="58"/>
  <c r="W29" i="58"/>
  <c r="V29" i="58"/>
  <c r="U29" i="58"/>
  <c r="T29" i="58"/>
  <c r="R29" i="58"/>
  <c r="Q29" i="58"/>
  <c r="P29" i="58"/>
  <c r="O29" i="58"/>
  <c r="W18" i="58"/>
  <c r="V18" i="58"/>
  <c r="U18" i="58"/>
  <c r="T18" i="58"/>
  <c r="R18" i="58"/>
  <c r="Q18" i="58"/>
  <c r="P18" i="58"/>
  <c r="O18" i="58"/>
  <c r="W17" i="58"/>
  <c r="V17" i="58"/>
  <c r="U17" i="58"/>
  <c r="T17" i="58"/>
  <c r="R17" i="58"/>
  <c r="Q17" i="58"/>
  <c r="P17" i="58"/>
  <c r="O17" i="58"/>
  <c r="W16" i="58"/>
  <c r="V16" i="58"/>
  <c r="U16" i="58"/>
  <c r="T16" i="58"/>
  <c r="R16" i="58"/>
  <c r="Q16" i="58"/>
  <c r="P16" i="58"/>
  <c r="O16" i="58"/>
  <c r="W15" i="58"/>
  <c r="V15" i="58"/>
  <c r="U15" i="58"/>
  <c r="T15" i="58"/>
  <c r="R15" i="58"/>
  <c r="Q15" i="58"/>
  <c r="P15" i="58"/>
  <c r="O15" i="58"/>
  <c r="W14" i="58"/>
  <c r="V14" i="58"/>
  <c r="U14" i="58"/>
  <c r="T14" i="58"/>
  <c r="R14" i="58"/>
  <c r="Q14" i="58"/>
  <c r="P14" i="58"/>
  <c r="O14" i="58"/>
  <c r="W13" i="58"/>
  <c r="V13" i="58"/>
  <c r="U13" i="58"/>
  <c r="T13" i="58"/>
  <c r="R13" i="58"/>
  <c r="Q13" i="58"/>
  <c r="P13" i="58"/>
  <c r="O13" i="58"/>
  <c r="W12" i="58"/>
  <c r="V12" i="58"/>
  <c r="U12" i="58"/>
  <c r="T12" i="58"/>
  <c r="R12" i="58"/>
  <c r="Q12" i="58"/>
  <c r="P12" i="58"/>
  <c r="O12" i="58"/>
  <c r="W44" i="57"/>
  <c r="V44" i="57"/>
  <c r="U44" i="57"/>
  <c r="T44" i="57"/>
  <c r="R44" i="57"/>
  <c r="Q44" i="57"/>
  <c r="P44" i="57"/>
  <c r="O44" i="57"/>
  <c r="W43" i="57"/>
  <c r="X43" i="57" s="1"/>
  <c r="M43" i="57" s="1"/>
  <c r="V43" i="57"/>
  <c r="U43" i="57"/>
  <c r="T43" i="57"/>
  <c r="R43" i="57"/>
  <c r="Q43" i="57"/>
  <c r="P43" i="57"/>
  <c r="O43" i="57"/>
  <c r="W42" i="57"/>
  <c r="V42" i="57"/>
  <c r="U42" i="57"/>
  <c r="T42" i="57"/>
  <c r="R42" i="57"/>
  <c r="Q42" i="57"/>
  <c r="P42" i="57"/>
  <c r="O42" i="57"/>
  <c r="W41" i="57"/>
  <c r="V41" i="57"/>
  <c r="U41" i="57"/>
  <c r="T41" i="57"/>
  <c r="R41" i="57"/>
  <c r="Q41" i="57"/>
  <c r="P41" i="57"/>
  <c r="O41" i="57"/>
  <c r="W40" i="57"/>
  <c r="V40" i="57"/>
  <c r="U40" i="57"/>
  <c r="T40" i="57"/>
  <c r="R40" i="57"/>
  <c r="Q40" i="57"/>
  <c r="P40" i="57"/>
  <c r="O40" i="57"/>
  <c r="W39" i="57"/>
  <c r="V39" i="57"/>
  <c r="U39" i="57"/>
  <c r="T39" i="57"/>
  <c r="R39" i="57"/>
  <c r="Q39" i="57"/>
  <c r="P39" i="57"/>
  <c r="O39" i="57"/>
  <c r="W38" i="57"/>
  <c r="V38" i="57"/>
  <c r="U38" i="57"/>
  <c r="T38" i="57"/>
  <c r="R38" i="57"/>
  <c r="Q38" i="57"/>
  <c r="P38" i="57"/>
  <c r="O38" i="57"/>
  <c r="W37" i="57"/>
  <c r="V37" i="57"/>
  <c r="U37" i="57"/>
  <c r="T37" i="57"/>
  <c r="R37" i="57"/>
  <c r="Q37" i="57"/>
  <c r="P37" i="57"/>
  <c r="O37" i="57"/>
  <c r="W36" i="57"/>
  <c r="V36" i="57"/>
  <c r="U36" i="57"/>
  <c r="X36" i="57" s="1"/>
  <c r="M36" i="57" s="1"/>
  <c r="T36" i="57"/>
  <c r="R36" i="57"/>
  <c r="Q36" i="57"/>
  <c r="P36" i="57"/>
  <c r="O36" i="57"/>
  <c r="W35" i="57"/>
  <c r="V35" i="57"/>
  <c r="U35" i="57"/>
  <c r="X35" i="57" s="1"/>
  <c r="M35" i="57" s="1"/>
  <c r="T35" i="57"/>
  <c r="R35" i="57"/>
  <c r="Q35" i="57"/>
  <c r="P35" i="57"/>
  <c r="O35" i="57"/>
  <c r="W34" i="57"/>
  <c r="V34" i="57"/>
  <c r="U34" i="57"/>
  <c r="X34" i="57" s="1"/>
  <c r="M34" i="57" s="1"/>
  <c r="T34" i="57"/>
  <c r="R34" i="57"/>
  <c r="Q34" i="57"/>
  <c r="P34" i="57"/>
  <c r="O34" i="57"/>
  <c r="W33" i="57"/>
  <c r="V33" i="57"/>
  <c r="U33" i="57"/>
  <c r="T33" i="57"/>
  <c r="R33" i="57"/>
  <c r="Q33" i="57"/>
  <c r="P33" i="57"/>
  <c r="O33" i="57"/>
  <c r="W32" i="57"/>
  <c r="V32" i="57"/>
  <c r="U32" i="57"/>
  <c r="X32" i="57" s="1"/>
  <c r="M32" i="57" s="1"/>
  <c r="T32" i="57"/>
  <c r="R32" i="57"/>
  <c r="Q32" i="57"/>
  <c r="P32" i="57"/>
  <c r="O32" i="57"/>
  <c r="W31" i="57"/>
  <c r="V31" i="57"/>
  <c r="U31" i="57"/>
  <c r="T31" i="57"/>
  <c r="R31" i="57"/>
  <c r="Q31" i="57"/>
  <c r="P31" i="57"/>
  <c r="O31" i="57"/>
  <c r="W30" i="57"/>
  <c r="V30" i="57"/>
  <c r="U30" i="57"/>
  <c r="T30" i="57"/>
  <c r="R30" i="57"/>
  <c r="Q30" i="57"/>
  <c r="P30" i="57"/>
  <c r="O30" i="57"/>
  <c r="W29" i="57"/>
  <c r="V29" i="57"/>
  <c r="U29" i="57"/>
  <c r="T29" i="57"/>
  <c r="R29" i="57"/>
  <c r="Q29" i="57"/>
  <c r="P29" i="57"/>
  <c r="O29" i="57"/>
  <c r="W18" i="57"/>
  <c r="V18" i="57"/>
  <c r="U18" i="57"/>
  <c r="T18" i="57"/>
  <c r="R18" i="57"/>
  <c r="Q18" i="57"/>
  <c r="P18" i="57"/>
  <c r="O18" i="57"/>
  <c r="W17" i="57"/>
  <c r="V17" i="57"/>
  <c r="U17" i="57"/>
  <c r="T17" i="57"/>
  <c r="R17" i="57"/>
  <c r="Q17" i="57"/>
  <c r="P17" i="57"/>
  <c r="O17" i="57"/>
  <c r="W16" i="57"/>
  <c r="V16" i="57"/>
  <c r="U16" i="57"/>
  <c r="T16" i="57"/>
  <c r="R16" i="57"/>
  <c r="Q16" i="57"/>
  <c r="P16" i="57"/>
  <c r="O16" i="57"/>
  <c r="W15" i="57"/>
  <c r="V15" i="57"/>
  <c r="U15" i="57"/>
  <c r="T15" i="57"/>
  <c r="R15" i="57"/>
  <c r="Q15" i="57"/>
  <c r="P15" i="57"/>
  <c r="O15" i="57"/>
  <c r="W14" i="57"/>
  <c r="V14" i="57"/>
  <c r="U14" i="57"/>
  <c r="T14" i="57"/>
  <c r="R14" i="57"/>
  <c r="Q14" i="57"/>
  <c r="P14" i="57"/>
  <c r="O14" i="57"/>
  <c r="W13" i="57"/>
  <c r="V13" i="57"/>
  <c r="U13" i="57"/>
  <c r="T13" i="57"/>
  <c r="R13" i="57"/>
  <c r="Q13" i="57"/>
  <c r="P13" i="57"/>
  <c r="O13" i="57"/>
  <c r="W12" i="57"/>
  <c r="V12" i="57"/>
  <c r="U12" i="57"/>
  <c r="T12" i="57"/>
  <c r="R12" i="57"/>
  <c r="Q12" i="57"/>
  <c r="P12" i="57"/>
  <c r="O12" i="57"/>
  <c r="X37" i="57" l="1"/>
  <c r="M37" i="57" s="1"/>
  <c r="X38" i="57"/>
  <c r="M38" i="57" s="1"/>
  <c r="X39" i="57"/>
  <c r="M39" i="57" s="1"/>
  <c r="X29" i="57"/>
  <c r="M29" i="57" s="1"/>
  <c r="X31" i="57"/>
  <c r="M31" i="57" s="1"/>
  <c r="X18" i="58"/>
  <c r="M18" i="58" s="1"/>
  <c r="X29" i="58"/>
  <c r="M29" i="58" s="1"/>
  <c r="X30" i="58"/>
  <c r="M30" i="58" s="1"/>
  <c r="X31" i="58"/>
  <c r="M31" i="58" s="1"/>
  <c r="X34" i="58"/>
  <c r="M34" i="58" s="1"/>
  <c r="S44" i="59"/>
  <c r="X15" i="57"/>
  <c r="M15" i="57" s="1"/>
  <c r="X15" i="58"/>
  <c r="M15" i="58" s="1"/>
  <c r="X12" i="59"/>
  <c r="M12" i="59" s="1"/>
  <c r="X13" i="59"/>
  <c r="M13" i="59" s="1"/>
  <c r="X14" i="59"/>
  <c r="M14" i="59" s="1"/>
  <c r="X15" i="59"/>
  <c r="M15" i="59" s="1"/>
  <c r="X16" i="59"/>
  <c r="M16" i="59" s="1"/>
  <c r="X17" i="59"/>
  <c r="M17" i="59" s="1"/>
  <c r="X18" i="59"/>
  <c r="M18" i="59" s="1"/>
  <c r="X29" i="59"/>
  <c r="M29" i="59" s="1"/>
  <c r="X31" i="59"/>
  <c r="M31" i="59" s="1"/>
  <c r="X35" i="59"/>
  <c r="M35" i="59" s="1"/>
  <c r="X40" i="59"/>
  <c r="M40" i="59" s="1"/>
  <c r="X41" i="59"/>
  <c r="M41" i="59" s="1"/>
  <c r="X42" i="59"/>
  <c r="M42" i="59" s="1"/>
  <c r="X43" i="59"/>
  <c r="M43" i="59" s="1"/>
  <c r="X44" i="59"/>
  <c r="S36" i="57"/>
  <c r="N36" i="57" s="1"/>
  <c r="S38" i="57"/>
  <c r="N38" i="57" s="1"/>
  <c r="S39" i="57"/>
  <c r="N39" i="57" s="1"/>
  <c r="X43" i="58"/>
  <c r="M43" i="58" s="1"/>
  <c r="N34" i="58"/>
  <c r="X33" i="57"/>
  <c r="M33" i="57" s="1"/>
  <c r="S41" i="57"/>
  <c r="S39" i="58"/>
  <c r="N39" i="58" s="1"/>
  <c r="X40" i="58"/>
  <c r="M40" i="58" s="1"/>
  <c r="S16" i="57"/>
  <c r="S44" i="57"/>
  <c r="X38" i="58"/>
  <c r="M38" i="58" s="1"/>
  <c r="S40" i="58"/>
  <c r="N40" i="58" s="1"/>
  <c r="S42" i="58"/>
  <c r="X44" i="58"/>
  <c r="X39" i="59"/>
  <c r="M39" i="59" s="1"/>
  <c r="S15" i="57"/>
  <c r="N15" i="57" s="1"/>
  <c r="S40" i="57"/>
  <c r="S42" i="57"/>
  <c r="S43" i="57"/>
  <c r="N43" i="57" s="1"/>
  <c r="S36" i="58"/>
  <c r="S37" i="58"/>
  <c r="S38" i="58"/>
  <c r="X12" i="57"/>
  <c r="M12" i="57" s="1"/>
  <c r="X14" i="57"/>
  <c r="M14" i="57" s="1"/>
  <c r="S29" i="57"/>
  <c r="N29" i="57" s="1"/>
  <c r="S30" i="57"/>
  <c r="S31" i="57"/>
  <c r="N31" i="57" s="1"/>
  <c r="X40" i="57"/>
  <c r="M40" i="57" s="1"/>
  <c r="X41" i="57"/>
  <c r="M41" i="57" s="1"/>
  <c r="X42" i="57"/>
  <c r="M42" i="57" s="1"/>
  <c r="S15" i="58"/>
  <c r="N15" i="58" s="1"/>
  <c r="X16" i="58"/>
  <c r="M16" i="58" s="1"/>
  <c r="S41" i="58"/>
  <c r="S43" i="58"/>
  <c r="N43" i="58" s="1"/>
  <c r="X13" i="57"/>
  <c r="M13" i="57" s="1"/>
  <c r="X16" i="57"/>
  <c r="M16" i="57" s="1"/>
  <c r="X18" i="57"/>
  <c r="M18" i="57" s="1"/>
  <c r="X30" i="57"/>
  <c r="M30" i="57" s="1"/>
  <c r="S32" i="57"/>
  <c r="N32" i="57" s="1"/>
  <c r="S35" i="57"/>
  <c r="N35" i="57" s="1"/>
  <c r="X44" i="57"/>
  <c r="X13" i="58"/>
  <c r="M13" i="58" s="1"/>
  <c r="X14" i="58"/>
  <c r="M14" i="58" s="1"/>
  <c r="S16" i="58"/>
  <c r="S29" i="58"/>
  <c r="N29" i="58" s="1"/>
  <c r="S31" i="58"/>
  <c r="N31" i="58" s="1"/>
  <c r="X32" i="58"/>
  <c r="M32" i="58" s="1"/>
  <c r="X37" i="58"/>
  <c r="M37" i="58" s="1"/>
  <c r="X41" i="58"/>
  <c r="M41" i="58" s="1"/>
  <c r="X42" i="58"/>
  <c r="M42" i="58" s="1"/>
  <c r="S44" i="58"/>
  <c r="S17" i="59"/>
  <c r="N17" i="59" s="1"/>
  <c r="S18" i="59"/>
  <c r="N18" i="59" s="1"/>
  <c r="S29" i="59"/>
  <c r="N29" i="59" s="1"/>
  <c r="S30" i="59"/>
  <c r="S31" i="59"/>
  <c r="S16" i="59"/>
  <c r="N16" i="59" s="1"/>
  <c r="X30" i="59"/>
  <c r="M30" i="59" s="1"/>
  <c r="S32" i="59"/>
  <c r="S34" i="59"/>
  <c r="S35" i="59"/>
  <c r="N35" i="59" s="1"/>
  <c r="X32" i="59"/>
  <c r="M32" i="59" s="1"/>
  <c r="X34" i="59"/>
  <c r="M34" i="59" s="1"/>
  <c r="S36" i="59"/>
  <c r="S37" i="59"/>
  <c r="S38" i="59"/>
  <c r="S39" i="59"/>
  <c r="M19" i="59"/>
  <c r="L17" i="59" s="1"/>
  <c r="X36" i="59"/>
  <c r="M36" i="59" s="1"/>
  <c r="X37" i="59"/>
  <c r="M37" i="59" s="1"/>
  <c r="X38" i="59"/>
  <c r="M38" i="59" s="1"/>
  <c r="S42" i="59"/>
  <c r="N42" i="59" s="1"/>
  <c r="S43" i="59"/>
  <c r="N43" i="59" s="1"/>
  <c r="S12" i="59"/>
  <c r="S13" i="59"/>
  <c r="S14" i="59"/>
  <c r="N14" i="59" s="1"/>
  <c r="L14" i="59" s="1"/>
  <c r="S33" i="59"/>
  <c r="N31" i="59"/>
  <c r="X33" i="59"/>
  <c r="M33" i="59" s="1"/>
  <c r="X12" i="58"/>
  <c r="M12" i="58" s="1"/>
  <c r="N16" i="58"/>
  <c r="S15" i="59"/>
  <c r="N15" i="59" s="1"/>
  <c r="S37" i="57"/>
  <c r="N37" i="57" s="1"/>
  <c r="S34" i="57"/>
  <c r="N34" i="57" s="1"/>
  <c r="S33" i="57"/>
  <c r="S12" i="57"/>
  <c r="N12" i="57" s="1"/>
  <c r="S13" i="57"/>
  <c r="S14" i="57"/>
  <c r="N14" i="57" s="1"/>
  <c r="X17" i="57"/>
  <c r="M17" i="57" s="1"/>
  <c r="S18" i="57"/>
  <c r="N18" i="57" s="1"/>
  <c r="S17" i="57"/>
  <c r="N17" i="57" s="1"/>
  <c r="S40" i="59"/>
  <c r="N40" i="59" s="1"/>
  <c r="S41" i="59"/>
  <c r="N41" i="59" s="1"/>
  <c r="X33" i="58"/>
  <c r="M33" i="58" s="1"/>
  <c r="S30" i="58"/>
  <c r="N30" i="58" s="1"/>
  <c r="X17" i="58"/>
  <c r="M17" i="58" s="1"/>
  <c r="S18" i="58"/>
  <c r="N18" i="58" s="1"/>
  <c r="S17" i="58"/>
  <c r="S14" i="58"/>
  <c r="S13" i="58"/>
  <c r="N13" i="58" s="1"/>
  <c r="S12" i="58"/>
  <c r="L18" i="59"/>
  <c r="N12" i="59"/>
  <c r="N13" i="59"/>
  <c r="N36" i="58"/>
  <c r="N41" i="58"/>
  <c r="N33" i="57"/>
  <c r="N40" i="57"/>
  <c r="N41" i="57"/>
  <c r="P719" i="45"/>
  <c r="P720" i="45"/>
  <c r="P721" i="45"/>
  <c r="O705" i="45"/>
  <c r="P705" i="45"/>
  <c r="N34" i="59" l="1"/>
  <c r="M44" i="57"/>
  <c r="L33" i="57" s="1"/>
  <c r="N42" i="57"/>
  <c r="N37" i="58"/>
  <c r="N42" i="58"/>
  <c r="N16" i="57"/>
  <c r="N38" i="59"/>
  <c r="L38" i="57"/>
  <c r="L40" i="57"/>
  <c r="L29" i="57"/>
  <c r="L36" i="57"/>
  <c r="L39" i="57"/>
  <c r="L32" i="57"/>
  <c r="L42" i="57"/>
  <c r="L31" i="57"/>
  <c r="L43" i="57"/>
  <c r="N32" i="58"/>
  <c r="N13" i="57"/>
  <c r="N36" i="59"/>
  <c r="L41" i="57"/>
  <c r="N14" i="58"/>
  <c r="N32" i="59"/>
  <c r="N30" i="57"/>
  <c r="N44" i="57" s="1"/>
  <c r="N38" i="58"/>
  <c r="M44" i="58"/>
  <c r="L13" i="59"/>
  <c r="N12" i="58"/>
  <c r="M19" i="57"/>
  <c r="N39" i="59"/>
  <c r="L12" i="59"/>
  <c r="L15" i="59"/>
  <c r="M44" i="59"/>
  <c r="L34" i="59" s="1"/>
  <c r="L16" i="59"/>
  <c r="N33" i="59"/>
  <c r="N37" i="59"/>
  <c r="N30" i="59"/>
  <c r="M19" i="58"/>
  <c r="L16" i="58" s="1"/>
  <c r="N17" i="58"/>
  <c r="L34" i="57"/>
  <c r="L18" i="57"/>
  <c r="L15" i="57"/>
  <c r="L17" i="57"/>
  <c r="L16" i="57"/>
  <c r="L13" i="57"/>
  <c r="L14" i="57"/>
  <c r="N33" i="58"/>
  <c r="N44" i="58" s="1"/>
  <c r="L42" i="59"/>
  <c r="L38" i="59"/>
  <c r="L41" i="59"/>
  <c r="L33" i="59"/>
  <c r="L29" i="59"/>
  <c r="L31" i="59"/>
  <c r="L40" i="59"/>
  <c r="L39" i="59"/>
  <c r="N19" i="59"/>
  <c r="L18" i="58"/>
  <c r="L14" i="58"/>
  <c r="L15" i="58"/>
  <c r="L13" i="58"/>
  <c r="L42" i="58"/>
  <c r="L38" i="58"/>
  <c r="L34" i="58"/>
  <c r="L30" i="58"/>
  <c r="L36" i="58"/>
  <c r="L43" i="58"/>
  <c r="L39" i="58"/>
  <c r="L31" i="58"/>
  <c r="L41" i="58"/>
  <c r="L37" i="58"/>
  <c r="L33" i="58"/>
  <c r="L29" i="58"/>
  <c r="L40" i="58"/>
  <c r="L32" i="58"/>
  <c r="L35" i="58"/>
  <c r="L12" i="57"/>
  <c r="O699" i="45"/>
  <c r="P679" i="45"/>
  <c r="P680" i="45"/>
  <c r="O677" i="45"/>
  <c r="P644" i="45"/>
  <c r="P645" i="45"/>
  <c r="P646" i="45"/>
  <c r="P647" i="45"/>
  <c r="P648" i="45"/>
  <c r="P649" i="45"/>
  <c r="P650" i="45"/>
  <c r="P651" i="45"/>
  <c r="P652" i="45"/>
  <c r="O790" i="45"/>
  <c r="X790" i="45"/>
  <c r="Y790" i="45"/>
  <c r="L43" i="59" l="1"/>
  <c r="L35" i="59"/>
  <c r="N19" i="57"/>
  <c r="L37" i="57"/>
  <c r="L35" i="57"/>
  <c r="N44" i="59"/>
  <c r="L32" i="59"/>
  <c r="L44" i="59" s="1"/>
  <c r="L30" i="59"/>
  <c r="N19" i="58"/>
  <c r="L36" i="59"/>
  <c r="L30" i="57"/>
  <c r="L44" i="57" s="1"/>
  <c r="S46" i="57" s="1"/>
  <c r="L19" i="59"/>
  <c r="E21" i="59" s="1"/>
  <c r="L21" i="59" s="1"/>
  <c r="L37" i="59"/>
  <c r="L12" i="58"/>
  <c r="L17" i="58"/>
  <c r="L19" i="57"/>
  <c r="E21" i="57" s="1"/>
  <c r="L21" i="57" s="1"/>
  <c r="R20" i="59"/>
  <c r="N20" i="59"/>
  <c r="N21" i="59" s="1"/>
  <c r="O20" i="59"/>
  <c r="Q20" i="59"/>
  <c r="S20" i="59"/>
  <c r="U20" i="59"/>
  <c r="L44" i="58"/>
  <c r="O46" i="57"/>
  <c r="P46" i="57"/>
  <c r="E47" i="57"/>
  <c r="L47" i="57" s="1"/>
  <c r="N46" i="57"/>
  <c r="N47" i="57" s="1"/>
  <c r="U46" i="57"/>
  <c r="C47" i="57"/>
  <c r="P725" i="45"/>
  <c r="P726" i="45"/>
  <c r="P727" i="45"/>
  <c r="P728" i="45"/>
  <c r="P729" i="45"/>
  <c r="P730" i="45"/>
  <c r="P731" i="45"/>
  <c r="P732" i="45"/>
  <c r="P733" i="45"/>
  <c r="P734" i="45"/>
  <c r="P735" i="45"/>
  <c r="P736" i="45"/>
  <c r="P737" i="45"/>
  <c r="P738" i="45"/>
  <c r="P739" i="45"/>
  <c r="P740" i="45"/>
  <c r="P741" i="45"/>
  <c r="P742" i="45"/>
  <c r="P743" i="45"/>
  <c r="P744" i="45"/>
  <c r="P745" i="45"/>
  <c r="P746" i="45"/>
  <c r="P747" i="45"/>
  <c r="P748" i="45"/>
  <c r="P749" i="45"/>
  <c r="P750" i="45"/>
  <c r="P751" i="45"/>
  <c r="P752" i="45"/>
  <c r="P753" i="45"/>
  <c r="P754" i="45"/>
  <c r="P755" i="45"/>
  <c r="P756" i="45"/>
  <c r="P757" i="45"/>
  <c r="P758" i="45"/>
  <c r="P759" i="45"/>
  <c r="P760" i="45"/>
  <c r="P761" i="45"/>
  <c r="P762" i="45"/>
  <c r="P763" i="45"/>
  <c r="P764" i="45"/>
  <c r="P765" i="45"/>
  <c r="P766" i="45"/>
  <c r="P767" i="45"/>
  <c r="P768" i="45"/>
  <c r="P769" i="45"/>
  <c r="P770" i="45"/>
  <c r="P771" i="45"/>
  <c r="P772" i="45"/>
  <c r="P773" i="45"/>
  <c r="P774" i="45"/>
  <c r="P775" i="45"/>
  <c r="P776" i="45"/>
  <c r="P777" i="45"/>
  <c r="P778" i="45"/>
  <c r="P779" i="45"/>
  <c r="P780" i="45"/>
  <c r="P781" i="45"/>
  <c r="P782" i="45"/>
  <c r="P783" i="45"/>
  <c r="P784" i="45"/>
  <c r="P785" i="45"/>
  <c r="P786" i="45"/>
  <c r="P787" i="45"/>
  <c r="P788" i="45"/>
  <c r="P789" i="45"/>
  <c r="P791" i="45"/>
  <c r="P792" i="45"/>
  <c r="P793" i="45"/>
  <c r="P794" i="45"/>
  <c r="P795" i="45"/>
  <c r="P796" i="45"/>
  <c r="P797" i="45"/>
  <c r="P798" i="45"/>
  <c r="P799" i="45"/>
  <c r="P800" i="45"/>
  <c r="P801" i="45"/>
  <c r="P802" i="45"/>
  <c r="P803" i="45"/>
  <c r="P804" i="45"/>
  <c r="P805" i="45"/>
  <c r="P806" i="45"/>
  <c r="P807" i="45"/>
  <c r="P808" i="45"/>
  <c r="P809" i="45"/>
  <c r="P810" i="45"/>
  <c r="P811" i="45"/>
  <c r="P812" i="45"/>
  <c r="P813" i="45"/>
  <c r="P814" i="45"/>
  <c r="P815" i="45"/>
  <c r="P816" i="45"/>
  <c r="P817" i="45"/>
  <c r="P818" i="45"/>
  <c r="P819" i="45"/>
  <c r="L789" i="45"/>
  <c r="O789" i="45"/>
  <c r="X789" i="45"/>
  <c r="Y789" i="45"/>
  <c r="L787" i="45"/>
  <c r="L788" i="45"/>
  <c r="O788" i="45"/>
  <c r="X788" i="45"/>
  <c r="Y788" i="45"/>
  <c r="O787" i="45"/>
  <c r="X787" i="45"/>
  <c r="Y787" i="45"/>
  <c r="L786" i="45"/>
  <c r="O786" i="45"/>
  <c r="X786" i="45"/>
  <c r="Y786" i="45"/>
  <c r="L784" i="45"/>
  <c r="L785" i="45"/>
  <c r="O785" i="45"/>
  <c r="X785" i="45"/>
  <c r="Y785" i="45"/>
  <c r="O784" i="45"/>
  <c r="X784" i="45"/>
  <c r="Y784" i="45"/>
  <c r="L783" i="45"/>
  <c r="O783" i="45"/>
  <c r="X783" i="45"/>
  <c r="Y783" i="45"/>
  <c r="K782" i="45"/>
  <c r="L782" i="45" s="1"/>
  <c r="L781" i="45"/>
  <c r="O782" i="45"/>
  <c r="X782" i="45"/>
  <c r="Y782" i="45"/>
  <c r="O781" i="45"/>
  <c r="X781" i="45"/>
  <c r="Y781" i="45"/>
  <c r="L779" i="45"/>
  <c r="O779" i="45"/>
  <c r="X779" i="45"/>
  <c r="Y779" i="45"/>
  <c r="L778" i="45"/>
  <c r="O778" i="45"/>
  <c r="X778" i="45"/>
  <c r="Y778" i="45"/>
  <c r="L777" i="45"/>
  <c r="O777" i="45"/>
  <c r="X777" i="45"/>
  <c r="Y777" i="45"/>
  <c r="L772" i="45"/>
  <c r="L773" i="45"/>
  <c r="L774" i="45"/>
  <c r="O773" i="45"/>
  <c r="X773" i="45"/>
  <c r="Y773" i="45"/>
  <c r="O774" i="45"/>
  <c r="X774" i="45"/>
  <c r="Y774" i="45"/>
  <c r="O772" i="45"/>
  <c r="X772" i="45"/>
  <c r="Y772" i="45"/>
  <c r="L771" i="45"/>
  <c r="O771" i="45"/>
  <c r="X771" i="45"/>
  <c r="Y771" i="45"/>
  <c r="L770" i="45"/>
  <c r="O770" i="45"/>
  <c r="X770" i="45"/>
  <c r="Y770" i="45"/>
  <c r="O766" i="45"/>
  <c r="X766" i="45"/>
  <c r="Y766" i="45"/>
  <c r="L763" i="45"/>
  <c r="L764" i="45"/>
  <c r="L765" i="45"/>
  <c r="O765" i="45"/>
  <c r="X765" i="45"/>
  <c r="Y765" i="45"/>
  <c r="O764" i="45"/>
  <c r="X764" i="45"/>
  <c r="Y764" i="45"/>
  <c r="L748" i="45"/>
  <c r="L749" i="45"/>
  <c r="L750" i="45"/>
  <c r="L751" i="45"/>
  <c r="L752" i="45"/>
  <c r="L753" i="45"/>
  <c r="L754" i="45"/>
  <c r="L755" i="45"/>
  <c r="L756" i="45"/>
  <c r="L757" i="45"/>
  <c r="L758" i="45"/>
  <c r="L759" i="45"/>
  <c r="L760" i="45"/>
  <c r="L761" i="45"/>
  <c r="L762" i="45"/>
  <c r="L747" i="45"/>
  <c r="Q46" i="57" l="1"/>
  <c r="R46" i="57"/>
  <c r="L19" i="58"/>
  <c r="N20" i="58" s="1"/>
  <c r="N21" i="58" s="1"/>
  <c r="Q21" i="59"/>
  <c r="P20" i="59"/>
  <c r="C21" i="59"/>
  <c r="Q20" i="58"/>
  <c r="P20" i="58"/>
  <c r="C21" i="58"/>
  <c r="U20" i="58"/>
  <c r="R20" i="58"/>
  <c r="S21" i="59"/>
  <c r="P20" i="57"/>
  <c r="C21" i="57"/>
  <c r="U20" i="57"/>
  <c r="O20" i="57"/>
  <c r="R20" i="57"/>
  <c r="N20" i="57"/>
  <c r="N21" i="57" s="1"/>
  <c r="C52" i="57"/>
  <c r="E52" i="57" s="1"/>
  <c r="L52" i="57" s="1"/>
  <c r="S20" i="57"/>
  <c r="Q20" i="57"/>
  <c r="Q21" i="57" s="1"/>
  <c r="O21" i="59"/>
  <c r="S46" i="59"/>
  <c r="O46" i="59"/>
  <c r="U46" i="59"/>
  <c r="E47" i="59"/>
  <c r="L47" i="59" s="1"/>
  <c r="R46" i="59"/>
  <c r="N46" i="59"/>
  <c r="N47" i="59" s="1"/>
  <c r="P46" i="59"/>
  <c r="C52" i="59"/>
  <c r="E52" i="59" s="1"/>
  <c r="L52" i="59" s="1"/>
  <c r="C47" i="59"/>
  <c r="Q46" i="59"/>
  <c r="S46" i="58"/>
  <c r="O46" i="58"/>
  <c r="C52" i="58"/>
  <c r="E52" i="58" s="1"/>
  <c r="L52" i="58" s="1"/>
  <c r="C47" i="58"/>
  <c r="Q46" i="58"/>
  <c r="U46" i="58"/>
  <c r="P46" i="58"/>
  <c r="E47" i="58"/>
  <c r="L47" i="58" s="1"/>
  <c r="R46" i="58"/>
  <c r="N46" i="58"/>
  <c r="N47" i="58" s="1"/>
  <c r="O47" i="57"/>
  <c r="S47" i="57"/>
  <c r="O763" i="45"/>
  <c r="X763" i="45"/>
  <c r="Y763" i="45"/>
  <c r="O760" i="45"/>
  <c r="X760" i="45"/>
  <c r="Y760" i="45"/>
  <c r="O761" i="45"/>
  <c r="X761" i="45"/>
  <c r="Y761" i="45"/>
  <c r="O762" i="45"/>
  <c r="X762" i="45"/>
  <c r="Y762" i="45"/>
  <c r="O759" i="45"/>
  <c r="X759" i="45"/>
  <c r="Y759" i="45"/>
  <c r="O758" i="45"/>
  <c r="X758" i="45"/>
  <c r="Y758" i="45"/>
  <c r="O757" i="45"/>
  <c r="X757" i="45"/>
  <c r="Y757" i="45"/>
  <c r="O756" i="45"/>
  <c r="X756" i="45"/>
  <c r="Y756" i="45"/>
  <c r="O755" i="45"/>
  <c r="X755" i="45"/>
  <c r="Y755" i="45"/>
  <c r="O754" i="45"/>
  <c r="X754" i="45"/>
  <c r="Y754" i="45"/>
  <c r="O753" i="45"/>
  <c r="X753" i="45"/>
  <c r="Y753" i="45"/>
  <c r="O752" i="45"/>
  <c r="X752" i="45"/>
  <c r="Y752" i="45"/>
  <c r="O751" i="45"/>
  <c r="X751" i="45"/>
  <c r="Y751" i="45"/>
  <c r="O750" i="45"/>
  <c r="X750" i="45"/>
  <c r="Y750" i="45"/>
  <c r="O749" i="45"/>
  <c r="X749" i="45"/>
  <c r="Y749" i="45"/>
  <c r="O748" i="45"/>
  <c r="X748" i="45"/>
  <c r="Y748" i="45"/>
  <c r="O747" i="45"/>
  <c r="X747" i="45"/>
  <c r="Y747" i="45"/>
  <c r="L746" i="45"/>
  <c r="L745" i="45"/>
  <c r="O746" i="45"/>
  <c r="X746" i="45"/>
  <c r="Y746" i="45"/>
  <c r="E21" i="58" l="1"/>
  <c r="L21" i="58" s="1"/>
  <c r="O20" i="58"/>
  <c r="Q47" i="57"/>
  <c r="S20" i="58"/>
  <c r="S21" i="58" s="1"/>
  <c r="V47" i="57"/>
  <c r="S21" i="57"/>
  <c r="V21" i="59"/>
  <c r="S47" i="59"/>
  <c r="O21" i="58"/>
  <c r="Q21" i="58"/>
  <c r="V21" i="58" s="1"/>
  <c r="O21" i="57"/>
  <c r="V21" i="57" s="1"/>
  <c r="O47" i="59"/>
  <c r="Q47" i="59"/>
  <c r="O47" i="58"/>
  <c r="Q47" i="58"/>
  <c r="S47" i="58"/>
  <c r="O745" i="45"/>
  <c r="X745" i="45"/>
  <c r="Y745" i="45"/>
  <c r="L743" i="45"/>
  <c r="L744" i="45"/>
  <c r="O744" i="45"/>
  <c r="X744" i="45"/>
  <c r="Y744" i="45"/>
  <c r="O743" i="45"/>
  <c r="X743" i="45"/>
  <c r="Y743" i="45"/>
  <c r="L731" i="45"/>
  <c r="L732" i="45"/>
  <c r="L733" i="45"/>
  <c r="L734" i="45"/>
  <c r="L735" i="45"/>
  <c r="L736" i="45"/>
  <c r="L737" i="45"/>
  <c r="V47" i="59" l="1"/>
  <c r="V47" i="58"/>
  <c r="P722" i="45"/>
  <c r="L724" i="45"/>
  <c r="L725" i="45"/>
  <c r="O725" i="45"/>
  <c r="X725" i="45"/>
  <c r="Y725" i="45"/>
  <c r="L723" i="45"/>
  <c r="L722" i="45"/>
  <c r="L720" i="45"/>
  <c r="L721" i="45"/>
  <c r="L719" i="45"/>
  <c r="O720" i="45"/>
  <c r="X720" i="45"/>
  <c r="Y720" i="45"/>
  <c r="O721" i="45"/>
  <c r="X721" i="45"/>
  <c r="Y721" i="45"/>
  <c r="L776" i="45" l="1"/>
  <c r="L775" i="45"/>
  <c r="O776" i="45"/>
  <c r="X776" i="45"/>
  <c r="Y776" i="45"/>
  <c r="O775" i="45"/>
  <c r="X775" i="45"/>
  <c r="Y775" i="45"/>
  <c r="L780" i="45"/>
  <c r="O780" i="45"/>
  <c r="X780" i="45"/>
  <c r="Y780" i="45"/>
  <c r="L742" i="45"/>
  <c r="L767" i="45"/>
  <c r="L768" i="45"/>
  <c r="L769" i="45"/>
  <c r="L791" i="45"/>
  <c r="O769" i="45"/>
  <c r="X769" i="45"/>
  <c r="Y769" i="45"/>
  <c r="O768" i="45"/>
  <c r="X768" i="45"/>
  <c r="Y768" i="45"/>
  <c r="O767" i="45"/>
  <c r="X767" i="45"/>
  <c r="Y767" i="45"/>
  <c r="L796" i="45"/>
  <c r="O796" i="45"/>
  <c r="X796" i="45"/>
  <c r="Y796" i="45"/>
  <c r="L815" i="45" l="1"/>
  <c r="L816" i="45"/>
  <c r="L817" i="45"/>
  <c r="L818" i="45"/>
  <c r="L814" i="45" l="1"/>
  <c r="L805" i="45"/>
  <c r="L806" i="45"/>
  <c r="L807" i="45"/>
  <c r="L808" i="45"/>
  <c r="L809" i="45"/>
  <c r="L810" i="45"/>
  <c r="L811" i="45"/>
  <c r="L812" i="45"/>
  <c r="L813" i="45"/>
  <c r="O811" i="45"/>
  <c r="O812" i="45"/>
  <c r="O813" i="45"/>
  <c r="O814" i="45"/>
  <c r="O815" i="45"/>
  <c r="O816" i="45"/>
  <c r="O817" i="45"/>
  <c r="O818" i="45"/>
  <c r="O819" i="45"/>
  <c r="X811" i="45"/>
  <c r="X812" i="45"/>
  <c r="X813" i="45"/>
  <c r="X814" i="45"/>
  <c r="X815" i="45"/>
  <c r="X816" i="45"/>
  <c r="X817" i="45"/>
  <c r="X818" i="45"/>
  <c r="X819" i="45"/>
  <c r="X820" i="45"/>
  <c r="X821" i="45"/>
  <c r="X822" i="45"/>
  <c r="X823" i="45"/>
  <c r="Y811" i="45"/>
  <c r="Y812" i="45"/>
  <c r="Y813" i="45"/>
  <c r="Y814" i="45"/>
  <c r="Y815" i="45"/>
  <c r="Y816" i="45"/>
  <c r="Y817" i="45"/>
  <c r="Y818" i="45"/>
  <c r="Y819" i="45"/>
  <c r="Y820" i="45"/>
  <c r="Y821" i="45"/>
  <c r="Y822" i="45"/>
  <c r="Y823" i="45"/>
  <c r="L803" i="45"/>
  <c r="L804" i="45"/>
  <c r="L802" i="45"/>
  <c r="O734" i="45" l="1"/>
  <c r="X734" i="45"/>
  <c r="Y734" i="45"/>
  <c r="O733" i="45"/>
  <c r="X733" i="45"/>
  <c r="Y733" i="45"/>
  <c r="O735" i="45"/>
  <c r="X735" i="45"/>
  <c r="Y735" i="45"/>
  <c r="O736" i="45"/>
  <c r="X736" i="45"/>
  <c r="Y736" i="45"/>
  <c r="O732" i="45"/>
  <c r="X732" i="45"/>
  <c r="Y732" i="45"/>
  <c r="L739" i="45" l="1"/>
  <c r="L740" i="45"/>
  <c r="L741" i="45"/>
  <c r="L738" i="45"/>
  <c r="O740" i="45"/>
  <c r="X740" i="45"/>
  <c r="Y740" i="45"/>
  <c r="O741" i="45"/>
  <c r="X741" i="45"/>
  <c r="Y741" i="45"/>
  <c r="L730" i="45"/>
  <c r="L729" i="45"/>
  <c r="O731" i="45"/>
  <c r="X731" i="45"/>
  <c r="Y731" i="45"/>
  <c r="O730" i="45"/>
  <c r="X730" i="45"/>
  <c r="Y730" i="45"/>
  <c r="O739" i="45"/>
  <c r="X739" i="45"/>
  <c r="Y739" i="45"/>
  <c r="O738" i="45"/>
  <c r="X738" i="45"/>
  <c r="Y738" i="45"/>
  <c r="O737" i="45"/>
  <c r="X737" i="45"/>
  <c r="Y737" i="45"/>
  <c r="L728" i="45"/>
  <c r="O729" i="45"/>
  <c r="X729" i="45"/>
  <c r="Y729" i="45"/>
  <c r="O728" i="45"/>
  <c r="X728" i="45"/>
  <c r="Y728" i="45"/>
  <c r="L727" i="45"/>
  <c r="O727" i="45"/>
  <c r="X727" i="45"/>
  <c r="Y727" i="45"/>
  <c r="K801" i="45"/>
  <c r="L801" i="45" s="1"/>
  <c r="K800" i="45"/>
  <c r="L800" i="45" s="1"/>
  <c r="K799" i="45"/>
  <c r="L799" i="45" s="1"/>
  <c r="K798" i="45"/>
  <c r="L798" i="45" s="1"/>
  <c r="K797" i="45"/>
  <c r="L797" i="45" s="1"/>
  <c r="L795" i="45"/>
  <c r="O802" i="45"/>
  <c r="O803" i="45"/>
  <c r="O804" i="45"/>
  <c r="O805" i="45"/>
  <c r="O806" i="45"/>
  <c r="O807" i="45"/>
  <c r="O808" i="45"/>
  <c r="O809" i="45"/>
  <c r="O810" i="45"/>
  <c r="X802" i="45"/>
  <c r="X803" i="45"/>
  <c r="X804" i="45"/>
  <c r="X805" i="45"/>
  <c r="X806" i="45"/>
  <c r="X807" i="45"/>
  <c r="X808" i="45"/>
  <c r="X809" i="45"/>
  <c r="X810" i="45"/>
  <c r="Y802" i="45"/>
  <c r="Y803" i="45"/>
  <c r="Y804" i="45"/>
  <c r="Y805" i="45"/>
  <c r="Y806" i="45"/>
  <c r="Y807" i="45"/>
  <c r="Y808" i="45"/>
  <c r="Y809" i="45"/>
  <c r="Y810" i="45"/>
  <c r="P718" i="45"/>
  <c r="P723" i="45"/>
  <c r="P724" i="45"/>
  <c r="L792" i="45"/>
  <c r="L793" i="45"/>
  <c r="L794" i="45"/>
  <c r="O798" i="45"/>
  <c r="O799" i="45"/>
  <c r="O800" i="45"/>
  <c r="O801" i="45"/>
  <c r="X798" i="45"/>
  <c r="X799" i="45"/>
  <c r="X800" i="45"/>
  <c r="X801" i="45"/>
  <c r="Y798" i="45"/>
  <c r="Y799" i="45"/>
  <c r="Y800" i="45"/>
  <c r="Y801" i="45"/>
  <c r="O797" i="45"/>
  <c r="X797" i="45"/>
  <c r="Y797" i="45"/>
  <c r="O795" i="45"/>
  <c r="X795" i="45"/>
  <c r="Y795" i="45"/>
  <c r="O793" i="45"/>
  <c r="O794" i="45"/>
  <c r="X793" i="45"/>
  <c r="X794" i="45"/>
  <c r="Y793" i="45"/>
  <c r="Y794" i="45"/>
  <c r="O792" i="45"/>
  <c r="X792" i="45"/>
  <c r="Y792" i="45"/>
  <c r="O791" i="45"/>
  <c r="X791" i="45"/>
  <c r="Y791" i="45"/>
  <c r="O742" i="45" l="1"/>
  <c r="X742" i="45"/>
  <c r="Y742" i="45"/>
  <c r="O726" i="45" l="1"/>
  <c r="X726" i="45"/>
  <c r="Y726" i="45"/>
  <c r="L718" i="45" l="1"/>
  <c r="O722" i="45"/>
  <c r="O723" i="45"/>
  <c r="O724" i="45"/>
  <c r="X722" i="45"/>
  <c r="X723" i="45"/>
  <c r="X724" i="45"/>
  <c r="Y722" i="45"/>
  <c r="Y723" i="45"/>
  <c r="Y724" i="45"/>
  <c r="O718" i="45"/>
  <c r="O719" i="45"/>
  <c r="X718" i="45"/>
  <c r="X719" i="45"/>
  <c r="Y718" i="45"/>
  <c r="Y719" i="45"/>
  <c r="P704" i="45" l="1"/>
  <c r="P706" i="45"/>
  <c r="P707" i="45"/>
  <c r="P708" i="45"/>
  <c r="P709" i="45"/>
  <c r="P710" i="45"/>
  <c r="P711" i="45"/>
  <c r="P712" i="45"/>
  <c r="P713" i="45"/>
  <c r="P714" i="45"/>
  <c r="P715" i="45"/>
  <c r="P716" i="45"/>
  <c r="P717" i="45"/>
  <c r="L716" i="45"/>
  <c r="L717" i="45"/>
  <c r="O716" i="45"/>
  <c r="O717" i="45"/>
  <c r="X716" i="45"/>
  <c r="X717" i="45"/>
  <c r="Y716" i="45"/>
  <c r="Y717" i="45"/>
  <c r="O713" i="45" l="1"/>
  <c r="X713" i="45"/>
  <c r="Y713" i="45"/>
  <c r="O714" i="45"/>
  <c r="X714" i="45"/>
  <c r="Y714" i="45"/>
  <c r="O712" i="45"/>
  <c r="X712" i="45"/>
  <c r="Y712" i="45"/>
  <c r="O711" i="45"/>
  <c r="X711" i="45"/>
  <c r="Y711" i="45"/>
  <c r="L715" i="45"/>
  <c r="O715" i="45"/>
  <c r="X715" i="45"/>
  <c r="Y715" i="45"/>
  <c r="K632" i="45"/>
  <c r="W44" i="56" l="1"/>
  <c r="V44" i="56"/>
  <c r="U44" i="56"/>
  <c r="T44" i="56"/>
  <c r="R44" i="56"/>
  <c r="Q44" i="56"/>
  <c r="P44" i="56"/>
  <c r="O44" i="56"/>
  <c r="W43" i="56"/>
  <c r="V43" i="56"/>
  <c r="U43" i="56"/>
  <c r="T43" i="56"/>
  <c r="R43" i="56"/>
  <c r="Q43" i="56"/>
  <c r="P43" i="56"/>
  <c r="O43" i="56"/>
  <c r="W42" i="56"/>
  <c r="V42" i="56"/>
  <c r="U42" i="56"/>
  <c r="T42" i="56"/>
  <c r="R42" i="56"/>
  <c r="Q42" i="56"/>
  <c r="P42" i="56"/>
  <c r="O42" i="56"/>
  <c r="W41" i="56"/>
  <c r="V41" i="56"/>
  <c r="U41" i="56"/>
  <c r="T41" i="56"/>
  <c r="R41" i="56"/>
  <c r="Q41" i="56"/>
  <c r="P41" i="56"/>
  <c r="O41" i="56"/>
  <c r="W40" i="56"/>
  <c r="V40" i="56"/>
  <c r="U40" i="56"/>
  <c r="T40" i="56"/>
  <c r="R40" i="56"/>
  <c r="Q40" i="56"/>
  <c r="P40" i="56"/>
  <c r="O40" i="56"/>
  <c r="W39" i="56"/>
  <c r="V39" i="56"/>
  <c r="U39" i="56"/>
  <c r="T39" i="56"/>
  <c r="R39" i="56"/>
  <c r="Q39" i="56"/>
  <c r="P39" i="56"/>
  <c r="O39" i="56"/>
  <c r="W38" i="56"/>
  <c r="V38" i="56"/>
  <c r="U38" i="56"/>
  <c r="T38" i="56"/>
  <c r="R38" i="56"/>
  <c r="Q38" i="56"/>
  <c r="P38" i="56"/>
  <c r="O38" i="56"/>
  <c r="W37" i="56"/>
  <c r="V37" i="56"/>
  <c r="U37" i="56"/>
  <c r="T37" i="56"/>
  <c r="R37" i="56"/>
  <c r="Q37" i="56"/>
  <c r="P37" i="56"/>
  <c r="O37" i="56"/>
  <c r="W36" i="56"/>
  <c r="V36" i="56"/>
  <c r="U36" i="56"/>
  <c r="T36" i="56"/>
  <c r="R36" i="56"/>
  <c r="Q36" i="56"/>
  <c r="P36" i="56"/>
  <c r="O36" i="56"/>
  <c r="W35" i="56"/>
  <c r="V35" i="56"/>
  <c r="U35" i="56"/>
  <c r="T35" i="56"/>
  <c r="R35" i="56"/>
  <c r="Q35" i="56"/>
  <c r="P35" i="56"/>
  <c r="O35" i="56"/>
  <c r="W34" i="56"/>
  <c r="V34" i="56"/>
  <c r="U34" i="56"/>
  <c r="T34" i="56"/>
  <c r="R34" i="56"/>
  <c r="Q34" i="56"/>
  <c r="P34" i="56"/>
  <c r="O34" i="56"/>
  <c r="W33" i="56"/>
  <c r="V33" i="56"/>
  <c r="U33" i="56"/>
  <c r="T33" i="56"/>
  <c r="R33" i="56"/>
  <c r="Q33" i="56"/>
  <c r="P33" i="56"/>
  <c r="O33" i="56"/>
  <c r="W32" i="56"/>
  <c r="V32" i="56"/>
  <c r="U32" i="56"/>
  <c r="T32" i="56"/>
  <c r="R32" i="56"/>
  <c r="Q32" i="56"/>
  <c r="P32" i="56"/>
  <c r="O32" i="56"/>
  <c r="W31" i="56"/>
  <c r="V31" i="56"/>
  <c r="U31" i="56"/>
  <c r="T31" i="56"/>
  <c r="R31" i="56"/>
  <c r="Q31" i="56"/>
  <c r="P31" i="56"/>
  <c r="O31" i="56"/>
  <c r="W30" i="56"/>
  <c r="V30" i="56"/>
  <c r="U30" i="56"/>
  <c r="T30" i="56"/>
  <c r="R30" i="56"/>
  <c r="Q30" i="56"/>
  <c r="P30" i="56"/>
  <c r="O30" i="56"/>
  <c r="W29" i="56"/>
  <c r="V29" i="56"/>
  <c r="U29" i="56"/>
  <c r="T29" i="56"/>
  <c r="R29" i="56"/>
  <c r="Q29" i="56"/>
  <c r="P29" i="56"/>
  <c r="O29" i="56"/>
  <c r="W18" i="56"/>
  <c r="V18" i="56"/>
  <c r="U18" i="56"/>
  <c r="T18" i="56"/>
  <c r="R18" i="56"/>
  <c r="Q18" i="56"/>
  <c r="P18" i="56"/>
  <c r="O18" i="56"/>
  <c r="W17" i="56"/>
  <c r="V17" i="56"/>
  <c r="U17" i="56"/>
  <c r="T17" i="56"/>
  <c r="R17" i="56"/>
  <c r="Q17" i="56"/>
  <c r="P17" i="56"/>
  <c r="O17" i="56"/>
  <c r="W16" i="56"/>
  <c r="V16" i="56"/>
  <c r="U16" i="56"/>
  <c r="T16" i="56"/>
  <c r="R16" i="56"/>
  <c r="Q16" i="56"/>
  <c r="P16" i="56"/>
  <c r="O16" i="56"/>
  <c r="W15" i="56"/>
  <c r="V15" i="56"/>
  <c r="U15" i="56"/>
  <c r="T15" i="56"/>
  <c r="R15" i="56"/>
  <c r="Q15" i="56"/>
  <c r="P15" i="56"/>
  <c r="O15" i="56"/>
  <c r="W14" i="56"/>
  <c r="V14" i="56"/>
  <c r="U14" i="56"/>
  <c r="T14" i="56"/>
  <c r="R14" i="56"/>
  <c r="Q14" i="56"/>
  <c r="P14" i="56"/>
  <c r="O14" i="56"/>
  <c r="W13" i="56"/>
  <c r="V13" i="56"/>
  <c r="U13" i="56"/>
  <c r="T13" i="56"/>
  <c r="R13" i="56"/>
  <c r="Q13" i="56"/>
  <c r="P13" i="56"/>
  <c r="O13" i="56"/>
  <c r="W12" i="56"/>
  <c r="V12" i="56"/>
  <c r="U12" i="56"/>
  <c r="T12" i="56"/>
  <c r="R12" i="56"/>
  <c r="Q12" i="56"/>
  <c r="P12" i="56"/>
  <c r="O12" i="56"/>
  <c r="S33" i="56" l="1"/>
  <c r="S35" i="56"/>
  <c r="N35" i="56" s="1"/>
  <c r="X35" i="56"/>
  <c r="M35" i="56" s="1"/>
  <c r="X15" i="56"/>
  <c r="M15" i="56" s="1"/>
  <c r="X18" i="56"/>
  <c r="M18" i="56" s="1"/>
  <c r="X29" i="56"/>
  <c r="M29" i="56" s="1"/>
  <c r="X30" i="56"/>
  <c r="M30" i="56" s="1"/>
  <c r="X31" i="56"/>
  <c r="M31" i="56" s="1"/>
  <c r="X39" i="56"/>
  <c r="M39" i="56" s="1"/>
  <c r="X43" i="56"/>
  <c r="M43" i="56" s="1"/>
  <c r="X40" i="56"/>
  <c r="M40" i="56" s="1"/>
  <c r="X32" i="56"/>
  <c r="M32" i="56" s="1"/>
  <c r="X37" i="56"/>
  <c r="M37" i="56" s="1"/>
  <c r="X38" i="56"/>
  <c r="M38" i="56" s="1"/>
  <c r="S43" i="56"/>
  <c r="X44" i="56"/>
  <c r="X13" i="56"/>
  <c r="M13" i="56" s="1"/>
  <c r="X14" i="56"/>
  <c r="M14" i="56" s="1"/>
  <c r="S16" i="56"/>
  <c r="S29" i="56"/>
  <c r="S31" i="56"/>
  <c r="X36" i="56"/>
  <c r="M36" i="56" s="1"/>
  <c r="X41" i="56"/>
  <c r="M41" i="56" s="1"/>
  <c r="X42" i="56"/>
  <c r="M42" i="56" s="1"/>
  <c r="S44" i="56"/>
  <c r="X33" i="56"/>
  <c r="M33" i="56" s="1"/>
  <c r="X34" i="56"/>
  <c r="M34" i="56" s="1"/>
  <c r="S36" i="56"/>
  <c r="S42" i="56"/>
  <c r="S41" i="56"/>
  <c r="S40" i="56"/>
  <c r="S39" i="56"/>
  <c r="N39" i="56" s="1"/>
  <c r="S38" i="56"/>
  <c r="N38" i="56" s="1"/>
  <c r="S37" i="56"/>
  <c r="N37" i="56" s="1"/>
  <c r="S34" i="56"/>
  <c r="N34" i="56" s="1"/>
  <c r="S32" i="56"/>
  <c r="N32" i="56" s="1"/>
  <c r="S30" i="56"/>
  <c r="N30" i="56" s="1"/>
  <c r="X17" i="56"/>
  <c r="M17" i="56" s="1"/>
  <c r="X16" i="56"/>
  <c r="M16" i="56" s="1"/>
  <c r="S15" i="56"/>
  <c r="N15" i="56" s="1"/>
  <c r="S18" i="56"/>
  <c r="S17" i="56"/>
  <c r="X12" i="56"/>
  <c r="M12" i="56" s="1"/>
  <c r="S14" i="56"/>
  <c r="N14" i="56" s="1"/>
  <c r="S13" i="56"/>
  <c r="N13" i="56" s="1"/>
  <c r="S12" i="56"/>
  <c r="N36" i="56"/>
  <c r="L704" i="45"/>
  <c r="L705" i="45"/>
  <c r="O704" i="45"/>
  <c r="X704" i="45"/>
  <c r="Y704" i="45"/>
  <c r="P699" i="45"/>
  <c r="P700" i="45"/>
  <c r="P701" i="45"/>
  <c r="P702" i="45"/>
  <c r="P703" i="45"/>
  <c r="N31" i="56" l="1"/>
  <c r="N16" i="56"/>
  <c r="M44" i="56"/>
  <c r="N29" i="56"/>
  <c r="N40" i="56"/>
  <c r="N18" i="56"/>
  <c r="N41" i="56"/>
  <c r="N43" i="56"/>
  <c r="L43" i="56" s="1"/>
  <c r="N42" i="56"/>
  <c r="L42" i="56" s="1"/>
  <c r="N33" i="56"/>
  <c r="M19" i="56"/>
  <c r="L16" i="56" s="1"/>
  <c r="N17" i="56"/>
  <c r="N12" i="56"/>
  <c r="L38" i="56"/>
  <c r="L34" i="56"/>
  <c r="L30" i="56"/>
  <c r="L37" i="56"/>
  <c r="L29" i="56"/>
  <c r="L39" i="56"/>
  <c r="L36" i="56"/>
  <c r="L32" i="56"/>
  <c r="L35" i="56"/>
  <c r="L41" i="56" l="1"/>
  <c r="L31" i="56"/>
  <c r="L40" i="56"/>
  <c r="L14" i="56"/>
  <c r="L33" i="56"/>
  <c r="N44" i="56"/>
  <c r="L18" i="56"/>
  <c r="L15" i="56"/>
  <c r="L17" i="56"/>
  <c r="L13" i="56"/>
  <c r="N19" i="56"/>
  <c r="L12" i="56"/>
  <c r="L44" i="56"/>
  <c r="L710" i="45"/>
  <c r="O710" i="45"/>
  <c r="X710" i="45"/>
  <c r="Y710" i="45"/>
  <c r="X705" i="45"/>
  <c r="Y705" i="45"/>
  <c r="L703" i="45"/>
  <c r="O703" i="45"/>
  <c r="X703" i="45"/>
  <c r="Y703" i="45"/>
  <c r="L702" i="45"/>
  <c r="O702" i="45"/>
  <c r="X702" i="45"/>
  <c r="Y702" i="45"/>
  <c r="L701" i="45"/>
  <c r="O701" i="45"/>
  <c r="X701" i="45"/>
  <c r="Y701" i="45"/>
  <c r="L700" i="45"/>
  <c r="O700" i="45"/>
  <c r="X700" i="45"/>
  <c r="Y700" i="45"/>
  <c r="L19" i="56" l="1"/>
  <c r="C21" i="56" s="1"/>
  <c r="Q20" i="56"/>
  <c r="P20" i="56"/>
  <c r="N20" i="56"/>
  <c r="N21" i="56" s="1"/>
  <c r="S20" i="56"/>
  <c r="E21" i="56"/>
  <c r="L21" i="56" s="1"/>
  <c r="S46" i="56"/>
  <c r="O46" i="56"/>
  <c r="U46" i="56"/>
  <c r="E47" i="56"/>
  <c r="L47" i="56" s="1"/>
  <c r="R46" i="56"/>
  <c r="N46" i="56"/>
  <c r="N47" i="56" s="1"/>
  <c r="P46" i="56"/>
  <c r="C52" i="56"/>
  <c r="E52" i="56" s="1"/>
  <c r="L52" i="56" s="1"/>
  <c r="C47" i="56"/>
  <c r="Q46" i="56"/>
  <c r="O707" i="45"/>
  <c r="O708" i="45"/>
  <c r="O709" i="45"/>
  <c r="X707" i="45"/>
  <c r="X708" i="45"/>
  <c r="X709" i="45"/>
  <c r="Y707" i="45"/>
  <c r="Y708" i="45"/>
  <c r="Y709" i="45"/>
  <c r="L707" i="45"/>
  <c r="L708" i="45"/>
  <c r="L709" i="45"/>
  <c r="O706" i="45"/>
  <c r="X699" i="45"/>
  <c r="X706" i="45"/>
  <c r="Y699" i="45"/>
  <c r="Y706" i="45"/>
  <c r="L699" i="45"/>
  <c r="L706" i="45"/>
  <c r="P675" i="45"/>
  <c r="P676" i="45"/>
  <c r="P677" i="45"/>
  <c r="P678" i="45"/>
  <c r="P681" i="45"/>
  <c r="P682" i="45"/>
  <c r="P683" i="45"/>
  <c r="P684" i="45"/>
  <c r="P685" i="45"/>
  <c r="P686" i="45"/>
  <c r="P687" i="45"/>
  <c r="P688" i="45"/>
  <c r="P689" i="45"/>
  <c r="P690" i="45"/>
  <c r="P691" i="45"/>
  <c r="P692" i="45"/>
  <c r="P693" i="45"/>
  <c r="P694" i="45"/>
  <c r="P695" i="45"/>
  <c r="P696" i="45"/>
  <c r="P697" i="45"/>
  <c r="P698" i="45"/>
  <c r="R20" i="56" l="1"/>
  <c r="O20" i="56"/>
  <c r="U20" i="56"/>
  <c r="S21" i="56" s="1"/>
  <c r="Q47" i="56"/>
  <c r="O47" i="56"/>
  <c r="S47" i="56"/>
  <c r="Q21" i="56"/>
  <c r="O21" i="56"/>
  <c r="L697" i="45"/>
  <c r="L698" i="45"/>
  <c r="O698" i="45"/>
  <c r="X698" i="45"/>
  <c r="Y698" i="45"/>
  <c r="O697" i="45"/>
  <c r="X697" i="45"/>
  <c r="Y697" i="45"/>
  <c r="L696" i="45"/>
  <c r="O696" i="45"/>
  <c r="X696" i="45"/>
  <c r="Y696" i="45"/>
  <c r="L695" i="45"/>
  <c r="O695" i="45"/>
  <c r="X695" i="45"/>
  <c r="Y695" i="45"/>
  <c r="L694" i="45"/>
  <c r="O694" i="45"/>
  <c r="X694" i="45"/>
  <c r="Y694" i="45"/>
  <c r="L693" i="45"/>
  <c r="O693" i="45"/>
  <c r="X693" i="45"/>
  <c r="Y693" i="45"/>
  <c r="O692" i="45"/>
  <c r="X692" i="45"/>
  <c r="Y692" i="45"/>
  <c r="X677" i="45"/>
  <c r="Y677" i="45"/>
  <c r="L689" i="45"/>
  <c r="L692" i="45"/>
  <c r="L688" i="45"/>
  <c r="O689" i="45"/>
  <c r="X689" i="45"/>
  <c r="Y689" i="45"/>
  <c r="O688" i="45"/>
  <c r="X688" i="45"/>
  <c r="Y688" i="45"/>
  <c r="L686" i="45"/>
  <c r="L687" i="45"/>
  <c r="L683" i="45"/>
  <c r="L684" i="45"/>
  <c r="L685" i="45"/>
  <c r="O686" i="45"/>
  <c r="X686" i="45"/>
  <c r="Y686" i="45"/>
  <c r="O685" i="45"/>
  <c r="X685" i="45"/>
  <c r="Y685" i="45"/>
  <c r="O687" i="45"/>
  <c r="X687" i="45"/>
  <c r="Y687" i="45"/>
  <c r="O684" i="45"/>
  <c r="X684" i="45"/>
  <c r="Y684" i="45"/>
  <c r="O683" i="45"/>
  <c r="X683" i="45"/>
  <c r="Y683" i="45"/>
  <c r="L682" i="45"/>
  <c r="O682" i="45"/>
  <c r="X682" i="45"/>
  <c r="Y682" i="45"/>
  <c r="L681" i="45"/>
  <c r="O681" i="45"/>
  <c r="X681" i="45"/>
  <c r="Y681" i="45"/>
  <c r="L680" i="45"/>
  <c r="O680" i="45"/>
  <c r="X680" i="45"/>
  <c r="Y680" i="45"/>
  <c r="L679" i="45"/>
  <c r="O679" i="45"/>
  <c r="X679" i="45"/>
  <c r="Y679" i="45"/>
  <c r="L678" i="45"/>
  <c r="O678" i="45"/>
  <c r="X678" i="45"/>
  <c r="Y678" i="45"/>
  <c r="L676" i="45"/>
  <c r="L675" i="45"/>
  <c r="O676" i="45"/>
  <c r="X676" i="45"/>
  <c r="Y676" i="45"/>
  <c r="O675" i="45"/>
  <c r="X675" i="45"/>
  <c r="Y675" i="45"/>
  <c r="V47" i="56" l="1"/>
  <c r="V21" i="56"/>
  <c r="L677" i="45"/>
  <c r="L690" i="45"/>
  <c r="L691" i="45"/>
  <c r="O691" i="45"/>
  <c r="X691" i="45"/>
  <c r="Y691" i="45"/>
  <c r="O690" i="45"/>
  <c r="X690" i="45"/>
  <c r="Y690" i="45"/>
  <c r="P668" i="45" l="1"/>
  <c r="P669" i="45"/>
  <c r="P670" i="45"/>
  <c r="P671" i="45"/>
  <c r="P672" i="45"/>
  <c r="P673" i="45"/>
  <c r="P674" i="45"/>
  <c r="L674" i="45" l="1"/>
  <c r="O674" i="45"/>
  <c r="X674" i="45"/>
  <c r="Y674" i="45"/>
  <c r="L672" i="45"/>
  <c r="L673" i="45"/>
  <c r="O673" i="45"/>
  <c r="X673" i="45"/>
  <c r="Y673" i="45"/>
  <c r="O672" i="45"/>
  <c r="X672" i="45"/>
  <c r="Y672" i="45"/>
  <c r="L667" i="45"/>
  <c r="L668" i="45"/>
  <c r="L669" i="45"/>
  <c r="L670" i="45"/>
  <c r="L671" i="45"/>
  <c r="O670" i="45"/>
  <c r="O671" i="45"/>
  <c r="X670" i="45"/>
  <c r="X671" i="45"/>
  <c r="Y670" i="45"/>
  <c r="Y671" i="45"/>
  <c r="O669" i="45"/>
  <c r="X669" i="45"/>
  <c r="Y669" i="45"/>
  <c r="O668" i="45"/>
  <c r="X668" i="45"/>
  <c r="Y668" i="45"/>
  <c r="L662" i="45" l="1"/>
  <c r="L658" i="45"/>
  <c r="L659" i="45"/>
  <c r="L660" i="45"/>
  <c r="L661" i="45"/>
  <c r="O662" i="45"/>
  <c r="X662" i="45"/>
  <c r="Y662" i="45"/>
  <c r="O661" i="45"/>
  <c r="X661" i="45"/>
  <c r="Y661" i="45"/>
  <c r="O660" i="45"/>
  <c r="X660" i="45"/>
  <c r="Y660" i="45"/>
  <c r="O659" i="45"/>
  <c r="X659" i="45"/>
  <c r="Y659" i="45"/>
  <c r="O658" i="45"/>
  <c r="X658" i="45"/>
  <c r="Y658" i="45"/>
  <c r="L644" i="45"/>
  <c r="L645" i="45"/>
  <c r="L646" i="45"/>
  <c r="L647" i="45"/>
  <c r="L648" i="45"/>
  <c r="L649" i="45"/>
  <c r="L650" i="45"/>
  <c r="L651" i="45"/>
  <c r="L652" i="45"/>
  <c r="O646" i="45"/>
  <c r="X646" i="45"/>
  <c r="Y646" i="45"/>
  <c r="O648" i="45"/>
  <c r="X648" i="45"/>
  <c r="Y648" i="45"/>
  <c r="O650" i="45"/>
  <c r="X650" i="45"/>
  <c r="Y650" i="45"/>
  <c r="O652" i="45"/>
  <c r="X652" i="45"/>
  <c r="Y652" i="45"/>
  <c r="O651" i="45"/>
  <c r="X651" i="45"/>
  <c r="Y651" i="45"/>
  <c r="O647" i="45"/>
  <c r="X647" i="45"/>
  <c r="Y647" i="45"/>
  <c r="O649" i="45"/>
  <c r="X649" i="45"/>
  <c r="Y649" i="45"/>
  <c r="O645" i="45"/>
  <c r="X645" i="45"/>
  <c r="Y645" i="45"/>
  <c r="O644" i="45"/>
  <c r="X644" i="45"/>
  <c r="Y644" i="45"/>
  <c r="P633" i="45"/>
  <c r="P634" i="45"/>
  <c r="P635" i="45"/>
  <c r="P636" i="45"/>
  <c r="P637" i="45"/>
  <c r="P638" i="45"/>
  <c r="P639" i="45"/>
  <c r="P640" i="45"/>
  <c r="P641" i="45"/>
  <c r="L641" i="45"/>
  <c r="O641" i="45"/>
  <c r="X641" i="45"/>
  <c r="Y641" i="45"/>
  <c r="L638" i="45"/>
  <c r="L639" i="45"/>
  <c r="L640" i="45"/>
  <c r="O640" i="45"/>
  <c r="X640" i="45"/>
  <c r="Y640" i="45"/>
  <c r="O639" i="45"/>
  <c r="X639" i="45"/>
  <c r="Y639" i="45"/>
  <c r="O638" i="45"/>
  <c r="X638" i="45"/>
  <c r="Y638" i="45"/>
  <c r="L636" i="45"/>
  <c r="L637" i="45"/>
  <c r="O637" i="45"/>
  <c r="X637" i="45"/>
  <c r="Y637" i="45"/>
  <c r="O636" i="45"/>
  <c r="X636" i="45"/>
  <c r="Y636" i="45"/>
  <c r="L635" i="45"/>
  <c r="O635" i="45"/>
  <c r="X635" i="45"/>
  <c r="Y635" i="45"/>
  <c r="L634" i="45"/>
  <c r="O634" i="45"/>
  <c r="X634" i="45"/>
  <c r="Y634" i="45"/>
  <c r="L633" i="45"/>
  <c r="O633" i="45"/>
  <c r="X633" i="45"/>
  <c r="Y633" i="45"/>
  <c r="P667" i="45" l="1"/>
  <c r="O667" i="45"/>
  <c r="X667" i="45"/>
  <c r="Y667" i="45"/>
  <c r="P663" i="45" l="1"/>
  <c r="P664" i="45"/>
  <c r="P665" i="45"/>
  <c r="P666" i="45"/>
  <c r="L663" i="45"/>
  <c r="L664" i="45"/>
  <c r="O664" i="45"/>
  <c r="X664" i="45"/>
  <c r="Y664" i="45"/>
  <c r="O663" i="45"/>
  <c r="X663" i="45"/>
  <c r="Y663" i="45"/>
  <c r="L665" i="45" l="1"/>
  <c r="L666" i="45"/>
  <c r="O666" i="45"/>
  <c r="X666" i="45"/>
  <c r="Y666" i="45"/>
  <c r="O665" i="45"/>
  <c r="X665" i="45"/>
  <c r="Y665" i="45"/>
  <c r="P655" i="45" l="1"/>
  <c r="P656" i="45"/>
  <c r="P657" i="45"/>
  <c r="L655" i="45"/>
  <c r="L656" i="45"/>
  <c r="L657" i="45"/>
  <c r="O657" i="45"/>
  <c r="X657" i="45"/>
  <c r="Y657" i="45"/>
  <c r="O656" i="45"/>
  <c r="X656" i="45"/>
  <c r="Y656" i="45"/>
  <c r="O655" i="45"/>
  <c r="X655" i="45"/>
  <c r="Y655" i="45"/>
  <c r="P629" i="45" l="1"/>
  <c r="P630" i="45"/>
  <c r="P631" i="45"/>
  <c r="P632" i="45"/>
  <c r="P642" i="45"/>
  <c r="P643" i="45"/>
  <c r="P653" i="45"/>
  <c r="P654" i="45"/>
  <c r="L653" i="45"/>
  <c r="L654" i="45"/>
  <c r="O654" i="45"/>
  <c r="X654" i="45"/>
  <c r="Y654" i="45"/>
  <c r="O653" i="45"/>
  <c r="X653" i="45"/>
  <c r="Y653" i="45"/>
  <c r="L642" i="45" l="1"/>
  <c r="L643" i="45"/>
  <c r="O643" i="45"/>
  <c r="X643" i="45"/>
  <c r="Y643" i="45"/>
  <c r="O642" i="45"/>
  <c r="X642" i="45"/>
  <c r="Y642" i="45"/>
  <c r="L630" i="45" l="1"/>
  <c r="L631" i="45"/>
  <c r="O630" i="45"/>
  <c r="X630" i="45"/>
  <c r="Y630" i="45"/>
  <c r="O631" i="45"/>
  <c r="X631" i="45"/>
  <c r="Y631" i="45"/>
  <c r="O632" i="45"/>
  <c r="X632" i="45"/>
  <c r="Y632" i="45"/>
  <c r="P465" i="45" l="1"/>
  <c r="L465" i="45"/>
  <c r="O465" i="45"/>
  <c r="X465" i="45"/>
  <c r="Y465" i="45"/>
  <c r="L619" i="45" l="1"/>
  <c r="O619" i="45"/>
  <c r="X619" i="45"/>
  <c r="Y619" i="45"/>
  <c r="L629" i="45" l="1"/>
  <c r="O629" i="45"/>
  <c r="X629" i="45"/>
  <c r="Y629" i="45"/>
  <c r="P624" i="45" l="1"/>
  <c r="P625" i="45"/>
  <c r="P626" i="45"/>
  <c r="P627" i="45"/>
  <c r="P628" i="45"/>
  <c r="L626" i="45"/>
  <c r="L627" i="45"/>
  <c r="L628" i="45"/>
  <c r="O628" i="45"/>
  <c r="X628" i="45"/>
  <c r="Y628" i="45"/>
  <c r="O627" i="45"/>
  <c r="X627" i="45"/>
  <c r="Y627" i="45"/>
  <c r="O626" i="45"/>
  <c r="X626" i="45"/>
  <c r="Y626" i="45"/>
  <c r="P618" i="45" l="1"/>
  <c r="L618" i="45"/>
  <c r="O618" i="45"/>
  <c r="X618" i="45"/>
  <c r="Y618" i="45"/>
  <c r="P566" i="45"/>
  <c r="L566" i="45"/>
  <c r="O566" i="45"/>
  <c r="X566" i="45"/>
  <c r="Y566" i="45"/>
  <c r="P565" i="45"/>
  <c r="P563" i="45"/>
  <c r="P564" i="45"/>
  <c r="L624" i="45" l="1"/>
  <c r="L625" i="45"/>
  <c r="O624" i="45"/>
  <c r="O625" i="45"/>
  <c r="X624" i="45"/>
  <c r="X625" i="45"/>
  <c r="Y624" i="45"/>
  <c r="Y625" i="45"/>
  <c r="P622" i="45" l="1"/>
  <c r="P623" i="45"/>
  <c r="L620" i="45"/>
  <c r="L621" i="45"/>
  <c r="L622" i="45"/>
  <c r="L623" i="45"/>
  <c r="O623" i="45"/>
  <c r="X623" i="45"/>
  <c r="Y623" i="45"/>
  <c r="O622" i="45"/>
  <c r="X622" i="45"/>
  <c r="Y622" i="45"/>
  <c r="P613" i="45"/>
  <c r="P614" i="45"/>
  <c r="P615" i="45"/>
  <c r="P616" i="45"/>
  <c r="P617" i="45"/>
  <c r="P620" i="45"/>
  <c r="P621" i="45"/>
  <c r="P588" i="45"/>
  <c r="P589" i="45"/>
  <c r="P590" i="45"/>
  <c r="P591" i="45"/>
  <c r="P592" i="45"/>
  <c r="P593" i="45"/>
  <c r="P594" i="45"/>
  <c r="P595" i="45"/>
  <c r="P596" i="45"/>
  <c r="P597" i="45"/>
  <c r="P598" i="45"/>
  <c r="P599" i="45"/>
  <c r="P600" i="45"/>
  <c r="P601" i="45"/>
  <c r="P602" i="45"/>
  <c r="P603" i="45"/>
  <c r="P604" i="45"/>
  <c r="P605" i="45"/>
  <c r="P606" i="45"/>
  <c r="P607" i="45"/>
  <c r="P608" i="45"/>
  <c r="P609" i="45"/>
  <c r="P610" i="45"/>
  <c r="P611" i="45"/>
  <c r="P612" i="45"/>
  <c r="O621" i="45" l="1"/>
  <c r="X621" i="45"/>
  <c r="Y621" i="45"/>
  <c r="O620" i="45"/>
  <c r="X620" i="45"/>
  <c r="Y620" i="45"/>
  <c r="L590" i="45" l="1"/>
  <c r="L591" i="45"/>
  <c r="L592" i="45"/>
  <c r="L593" i="45"/>
  <c r="L594" i="45"/>
  <c r="L595" i="45"/>
  <c r="L596" i="45"/>
  <c r="L597" i="45"/>
  <c r="L598" i="45"/>
  <c r="L599" i="45"/>
  <c r="L600" i="45"/>
  <c r="L601" i="45"/>
  <c r="L602" i="45"/>
  <c r="L603" i="45"/>
  <c r="L604" i="45"/>
  <c r="L605" i="45"/>
  <c r="L606" i="45"/>
  <c r="L607" i="45"/>
  <c r="L608" i="45"/>
  <c r="L609" i="45"/>
  <c r="L610" i="45"/>
  <c r="L611" i="45"/>
  <c r="L612" i="45"/>
  <c r="L613" i="45"/>
  <c r="L614" i="45"/>
  <c r="L615" i="45"/>
  <c r="L616" i="45"/>
  <c r="L617" i="45"/>
  <c r="L588" i="45"/>
  <c r="L589" i="45"/>
  <c r="O615" i="45"/>
  <c r="O616" i="45"/>
  <c r="O617" i="45"/>
  <c r="X615" i="45"/>
  <c r="X616" i="45"/>
  <c r="X617" i="45"/>
  <c r="Y615" i="45"/>
  <c r="Y616" i="45"/>
  <c r="Y617" i="45"/>
  <c r="O614" i="45"/>
  <c r="X614" i="45"/>
  <c r="Y614" i="45"/>
  <c r="O613" i="45"/>
  <c r="X613" i="45"/>
  <c r="Y613" i="45"/>
  <c r="O612" i="45" l="1"/>
  <c r="X612" i="45"/>
  <c r="Y612" i="45"/>
  <c r="O611" i="45"/>
  <c r="X611" i="45"/>
  <c r="Y611" i="45"/>
  <c r="O610" i="45"/>
  <c r="X610" i="45"/>
  <c r="Y610" i="45"/>
  <c r="O590" i="45" l="1"/>
  <c r="O591" i="45"/>
  <c r="O592" i="45"/>
  <c r="O593" i="45"/>
  <c r="O594" i="45"/>
  <c r="O595" i="45"/>
  <c r="O596" i="45"/>
  <c r="O597" i="45"/>
  <c r="O598" i="45"/>
  <c r="O599" i="45"/>
  <c r="O600" i="45"/>
  <c r="O601" i="45"/>
  <c r="O602" i="45"/>
  <c r="O603" i="45"/>
  <c r="O604" i="45"/>
  <c r="O605" i="45"/>
  <c r="O606" i="45"/>
  <c r="O607" i="45"/>
  <c r="O608" i="45"/>
  <c r="O609" i="45"/>
  <c r="X590" i="45"/>
  <c r="X591" i="45"/>
  <c r="X592" i="45"/>
  <c r="X593" i="45"/>
  <c r="X594" i="45"/>
  <c r="X595" i="45"/>
  <c r="X596" i="45"/>
  <c r="X597" i="45"/>
  <c r="X598" i="45"/>
  <c r="X599" i="45"/>
  <c r="X600" i="45"/>
  <c r="X601" i="45"/>
  <c r="X602" i="45"/>
  <c r="X603" i="45"/>
  <c r="X604" i="45"/>
  <c r="X605" i="45"/>
  <c r="X606" i="45"/>
  <c r="X607" i="45"/>
  <c r="X608" i="45"/>
  <c r="X609" i="45"/>
  <c r="Y590" i="45"/>
  <c r="Y591" i="45"/>
  <c r="Y592" i="45"/>
  <c r="Y593" i="45"/>
  <c r="Y594" i="45"/>
  <c r="Y595" i="45"/>
  <c r="Y596" i="45"/>
  <c r="Y597" i="45"/>
  <c r="Y598" i="45"/>
  <c r="Y599" i="45"/>
  <c r="Y600" i="45"/>
  <c r="Y601" i="45"/>
  <c r="Y602" i="45"/>
  <c r="Y603" i="45"/>
  <c r="Y604" i="45"/>
  <c r="Y605" i="45"/>
  <c r="Y606" i="45"/>
  <c r="Y607" i="45"/>
  <c r="Y608" i="45"/>
  <c r="Y609" i="45"/>
  <c r="O589" i="45"/>
  <c r="X589" i="45"/>
  <c r="Y589" i="45"/>
  <c r="O588" i="45"/>
  <c r="X588" i="45"/>
  <c r="Y588" i="45"/>
  <c r="P581" i="45" l="1"/>
  <c r="P582" i="45"/>
  <c r="P583" i="45"/>
  <c r="P584" i="45"/>
  <c r="P585" i="45"/>
  <c r="P586" i="45"/>
  <c r="P587" i="45"/>
  <c r="L586" i="45"/>
  <c r="L587" i="45"/>
  <c r="O587" i="45"/>
  <c r="X587" i="45"/>
  <c r="Y587" i="45"/>
  <c r="O586" i="45"/>
  <c r="X586" i="45"/>
  <c r="Y586" i="45"/>
  <c r="L585" i="45" l="1"/>
  <c r="O585" i="45"/>
  <c r="X585" i="45"/>
  <c r="Y585" i="45"/>
  <c r="L581" i="45" l="1"/>
  <c r="L582" i="45"/>
  <c r="L583" i="45"/>
  <c r="L584" i="45"/>
  <c r="O582" i="45"/>
  <c r="O583" i="45"/>
  <c r="O584" i="45"/>
  <c r="X582" i="45"/>
  <c r="X583" i="45"/>
  <c r="X584" i="45"/>
  <c r="Y582" i="45"/>
  <c r="Y583" i="45"/>
  <c r="Y584" i="45"/>
  <c r="O581" i="45"/>
  <c r="X581" i="45"/>
  <c r="Y581" i="45"/>
  <c r="L575" i="45"/>
  <c r="L574" i="45"/>
  <c r="P568" i="45" l="1"/>
  <c r="P569" i="45"/>
  <c r="P570" i="45"/>
  <c r="P571" i="45"/>
  <c r="P572" i="45"/>
  <c r="P573" i="45"/>
  <c r="P574" i="45"/>
  <c r="P575" i="45"/>
  <c r="P576" i="45"/>
  <c r="P577" i="45"/>
  <c r="P578" i="45"/>
  <c r="P579" i="45"/>
  <c r="P580" i="45"/>
  <c r="O575" i="45"/>
  <c r="X575" i="45"/>
  <c r="Y575" i="45"/>
  <c r="O574" i="45"/>
  <c r="X574" i="45"/>
  <c r="Y574" i="45"/>
  <c r="L576" i="45" l="1"/>
  <c r="L577" i="45"/>
  <c r="L578" i="45"/>
  <c r="L579" i="45"/>
  <c r="L580" i="45"/>
  <c r="O578" i="45"/>
  <c r="O579" i="45"/>
  <c r="O580" i="45"/>
  <c r="X578" i="45"/>
  <c r="X579" i="45"/>
  <c r="X580" i="45"/>
  <c r="Y578" i="45"/>
  <c r="Y579" i="45"/>
  <c r="Y580" i="45"/>
  <c r="O577" i="45"/>
  <c r="X577" i="45"/>
  <c r="Y577" i="45"/>
  <c r="O576" i="45"/>
  <c r="X576" i="45"/>
  <c r="Y576" i="45"/>
  <c r="L568" i="45" l="1"/>
  <c r="L569" i="45"/>
  <c r="L570" i="45"/>
  <c r="L571" i="45"/>
  <c r="L572" i="45"/>
  <c r="L573" i="45"/>
  <c r="O570" i="45"/>
  <c r="O571" i="45"/>
  <c r="O572" i="45"/>
  <c r="O573" i="45"/>
  <c r="X570" i="45"/>
  <c r="X571" i="45"/>
  <c r="X572" i="45"/>
  <c r="X573" i="45"/>
  <c r="Y570" i="45"/>
  <c r="Y571" i="45"/>
  <c r="Y572" i="45"/>
  <c r="Y573" i="45"/>
  <c r="O569" i="45"/>
  <c r="X569" i="45"/>
  <c r="Y569" i="45"/>
  <c r="O568" i="45"/>
  <c r="X568" i="45"/>
  <c r="Y568" i="45"/>
  <c r="P542" i="45" l="1"/>
  <c r="L563" i="45" l="1"/>
  <c r="L564" i="45"/>
  <c r="L565" i="45"/>
  <c r="O565" i="45"/>
  <c r="X565" i="45"/>
  <c r="Y565" i="45"/>
  <c r="O564" i="45"/>
  <c r="X564" i="45"/>
  <c r="Y564" i="45"/>
  <c r="O563" i="45"/>
  <c r="X563" i="45"/>
  <c r="Y563" i="45"/>
  <c r="P562" i="45"/>
  <c r="P567" i="45"/>
  <c r="O567" i="45"/>
  <c r="X567" i="45"/>
  <c r="Y567" i="45"/>
  <c r="L567" i="45"/>
  <c r="L562" i="45"/>
  <c r="O562" i="45"/>
  <c r="X562" i="45"/>
  <c r="Y562" i="45"/>
  <c r="P556" i="45" l="1"/>
  <c r="P557" i="45"/>
  <c r="P558" i="45"/>
  <c r="P559" i="45"/>
  <c r="P560" i="45"/>
  <c r="P561" i="45"/>
  <c r="L556" i="45"/>
  <c r="L557" i="45"/>
  <c r="L558" i="45"/>
  <c r="L559" i="45"/>
  <c r="L560" i="45"/>
  <c r="L561" i="45"/>
  <c r="O558" i="45"/>
  <c r="O559" i="45"/>
  <c r="O560" i="45"/>
  <c r="O561" i="45"/>
  <c r="X558" i="45"/>
  <c r="X559" i="45"/>
  <c r="X560" i="45"/>
  <c r="X561" i="45"/>
  <c r="Y558" i="45"/>
  <c r="Y559" i="45"/>
  <c r="Y560" i="45"/>
  <c r="Y561" i="45"/>
  <c r="O557" i="45"/>
  <c r="X557" i="45"/>
  <c r="Y557" i="45"/>
  <c r="O556" i="45"/>
  <c r="X556" i="45"/>
  <c r="Y556" i="45"/>
  <c r="P555" i="45" l="1"/>
  <c r="M515" i="45" l="1"/>
  <c r="L555" i="45" l="1"/>
  <c r="O555" i="45"/>
  <c r="X555" i="45"/>
  <c r="Y555" i="45"/>
  <c r="P554" i="45"/>
  <c r="L553" i="45"/>
  <c r="L554" i="45"/>
  <c r="O554" i="45"/>
  <c r="X554" i="45"/>
  <c r="Y554" i="45"/>
  <c r="P549" i="45"/>
  <c r="P550" i="45"/>
  <c r="P551" i="45"/>
  <c r="P552" i="45"/>
  <c r="P553" i="45"/>
  <c r="L552" i="45" l="1"/>
  <c r="O553" i="45"/>
  <c r="X553" i="45"/>
  <c r="Y553" i="45"/>
  <c r="O552" i="45"/>
  <c r="X552" i="45"/>
  <c r="Y552" i="45"/>
  <c r="L551" i="45" l="1"/>
  <c r="O551" i="45"/>
  <c r="X551" i="45"/>
  <c r="Y551" i="45"/>
  <c r="L542" i="45"/>
  <c r="O542" i="45"/>
  <c r="X542" i="45"/>
  <c r="Y542" i="45"/>
  <c r="P505" i="45"/>
  <c r="P506" i="45"/>
  <c r="P507" i="45"/>
  <c r="P508" i="45"/>
  <c r="L505" i="45"/>
  <c r="L506" i="45"/>
  <c r="L507" i="45"/>
  <c r="L508" i="45"/>
  <c r="O506" i="45"/>
  <c r="X506" i="45"/>
  <c r="Y506" i="45"/>
  <c r="O508" i="45"/>
  <c r="X508" i="45"/>
  <c r="Y508" i="45"/>
  <c r="O507" i="45"/>
  <c r="X507" i="45"/>
  <c r="Y507" i="45"/>
  <c r="O505" i="45"/>
  <c r="X505" i="45"/>
  <c r="Y505" i="45"/>
  <c r="P519" i="45"/>
  <c r="L519" i="45"/>
  <c r="O519" i="45"/>
  <c r="X519" i="45"/>
  <c r="Y519" i="45"/>
  <c r="L549" i="45"/>
  <c r="L550" i="45"/>
  <c r="O550" i="45"/>
  <c r="X550" i="45"/>
  <c r="Y550" i="45"/>
  <c r="O549" i="45"/>
  <c r="X549" i="45"/>
  <c r="Y549" i="45"/>
  <c r="P517" i="45" l="1"/>
  <c r="P518" i="45"/>
  <c r="L517" i="45"/>
  <c r="L518" i="45"/>
  <c r="O518" i="45"/>
  <c r="X518" i="45"/>
  <c r="Y518" i="45"/>
  <c r="O517" i="45"/>
  <c r="X517" i="45"/>
  <c r="Y517" i="45"/>
  <c r="P536" i="45"/>
  <c r="P537" i="45"/>
  <c r="P538" i="45"/>
  <c r="L536" i="45"/>
  <c r="L537" i="45"/>
  <c r="L538" i="45"/>
  <c r="O538" i="45"/>
  <c r="X538" i="45"/>
  <c r="Y538" i="45"/>
  <c r="O537" i="45"/>
  <c r="X537" i="45"/>
  <c r="Y537" i="45"/>
  <c r="O536" i="45"/>
  <c r="X536" i="45"/>
  <c r="Y536" i="45"/>
  <c r="L546" i="45" l="1"/>
  <c r="L547" i="45"/>
  <c r="L548" i="45"/>
  <c r="P544" i="45"/>
  <c r="P545" i="45"/>
  <c r="P546" i="45"/>
  <c r="P547" i="45"/>
  <c r="P548" i="45"/>
  <c r="L543" i="45"/>
  <c r="L544" i="45"/>
  <c r="L545" i="45"/>
  <c r="O546" i="45"/>
  <c r="O547" i="45"/>
  <c r="O548" i="45"/>
  <c r="X546" i="45"/>
  <c r="X547" i="45"/>
  <c r="X548" i="45"/>
  <c r="Y546" i="45"/>
  <c r="Y547" i="45"/>
  <c r="Y548" i="45"/>
  <c r="O545" i="45"/>
  <c r="X545" i="45"/>
  <c r="Y545" i="45"/>
  <c r="O544" i="45"/>
  <c r="X544" i="45"/>
  <c r="Y544" i="45"/>
  <c r="P528" i="45" l="1"/>
  <c r="P529" i="45"/>
  <c r="P530" i="45"/>
  <c r="L528" i="45"/>
  <c r="L529" i="45"/>
  <c r="L530" i="45"/>
  <c r="O530" i="45"/>
  <c r="X530" i="45"/>
  <c r="Y530" i="45"/>
  <c r="O529" i="45"/>
  <c r="X529" i="45"/>
  <c r="Y529" i="45"/>
  <c r="O528" i="45"/>
  <c r="X528" i="45"/>
  <c r="Y528" i="45"/>
  <c r="P541" i="45"/>
  <c r="L539" i="45"/>
  <c r="L540" i="45"/>
  <c r="L541" i="45"/>
  <c r="O541" i="45"/>
  <c r="X541" i="45"/>
  <c r="Y541" i="45"/>
  <c r="P522" i="45" l="1"/>
  <c r="P523" i="45"/>
  <c r="P524" i="45"/>
  <c r="P525" i="45"/>
  <c r="P526" i="45"/>
  <c r="P527" i="45"/>
  <c r="L522" i="45"/>
  <c r="L523" i="45"/>
  <c r="L524" i="45"/>
  <c r="L525" i="45"/>
  <c r="L526" i="45"/>
  <c r="L527" i="45"/>
  <c r="O525" i="45"/>
  <c r="X525" i="45"/>
  <c r="Y525" i="45"/>
  <c r="O524" i="45"/>
  <c r="X524" i="45"/>
  <c r="Y524" i="45"/>
  <c r="O527" i="45"/>
  <c r="X527" i="45"/>
  <c r="Y527" i="45"/>
  <c r="O523" i="45"/>
  <c r="X523" i="45"/>
  <c r="Y523" i="45"/>
  <c r="O526" i="45"/>
  <c r="X526" i="45"/>
  <c r="Y526" i="45"/>
  <c r="O522" i="45"/>
  <c r="X522" i="45"/>
  <c r="Y522" i="45"/>
  <c r="P539" i="45"/>
  <c r="P540" i="45"/>
  <c r="P543" i="45"/>
  <c r="L531" i="45" l="1"/>
  <c r="O543" i="45" l="1"/>
  <c r="X543" i="45"/>
  <c r="Y543" i="45"/>
  <c r="O539" i="45" l="1"/>
  <c r="O540" i="45"/>
  <c r="X539" i="45"/>
  <c r="X540" i="45"/>
  <c r="Y539" i="45"/>
  <c r="Y540" i="45"/>
  <c r="P520" i="45" l="1"/>
  <c r="P521" i="45"/>
  <c r="L520" i="45"/>
  <c r="L521" i="45"/>
  <c r="O521" i="45"/>
  <c r="X521" i="45"/>
  <c r="Y521" i="45"/>
  <c r="O520" i="45"/>
  <c r="X520" i="45"/>
  <c r="Y520" i="45"/>
  <c r="P531" i="45"/>
  <c r="O531" i="45"/>
  <c r="X531" i="45"/>
  <c r="Y531" i="45"/>
  <c r="P515" i="45"/>
  <c r="P516" i="45"/>
  <c r="L515" i="45"/>
  <c r="L516" i="45"/>
  <c r="O516" i="45"/>
  <c r="X516" i="45"/>
  <c r="Y516" i="45"/>
  <c r="O515" i="45"/>
  <c r="X515" i="45"/>
  <c r="Y515" i="45"/>
  <c r="P534" i="45"/>
  <c r="P535" i="45"/>
  <c r="L534" i="45"/>
  <c r="L535" i="45"/>
  <c r="O535" i="45"/>
  <c r="X535" i="45"/>
  <c r="Y535" i="45"/>
  <c r="O534" i="45"/>
  <c r="X534" i="45"/>
  <c r="Y534" i="45"/>
  <c r="P532" i="45"/>
  <c r="P533" i="45"/>
  <c r="O532" i="45"/>
  <c r="L532" i="45" l="1"/>
  <c r="L533" i="45"/>
  <c r="O533" i="45"/>
  <c r="X533" i="45"/>
  <c r="Y533" i="45"/>
  <c r="X532" i="45"/>
  <c r="Y532" i="45"/>
  <c r="P513" i="45" l="1"/>
  <c r="P514" i="45"/>
  <c r="L513" i="45"/>
  <c r="L514" i="45"/>
  <c r="O514" i="45"/>
  <c r="X514" i="45"/>
  <c r="Y514" i="45"/>
  <c r="O513" i="45"/>
  <c r="X513" i="45"/>
  <c r="Y513" i="45"/>
  <c r="W44" i="54" l="1"/>
  <c r="V44" i="54"/>
  <c r="U44" i="54"/>
  <c r="T44" i="54"/>
  <c r="R44" i="54"/>
  <c r="Q44" i="54"/>
  <c r="P44" i="54"/>
  <c r="O44" i="54"/>
  <c r="W43" i="54"/>
  <c r="V43" i="54"/>
  <c r="U43" i="54"/>
  <c r="T43" i="54"/>
  <c r="R43" i="54"/>
  <c r="Q43" i="54"/>
  <c r="P43" i="54"/>
  <c r="O43" i="54"/>
  <c r="W42" i="54"/>
  <c r="V42" i="54"/>
  <c r="U42" i="54"/>
  <c r="T42" i="54"/>
  <c r="R42" i="54"/>
  <c r="Q42" i="54"/>
  <c r="P42" i="54"/>
  <c r="O42" i="54"/>
  <c r="W41" i="54"/>
  <c r="V41" i="54"/>
  <c r="U41" i="54"/>
  <c r="T41" i="54"/>
  <c r="R41" i="54"/>
  <c r="Q41" i="54"/>
  <c r="P41" i="54"/>
  <c r="O41" i="54"/>
  <c r="W40" i="54"/>
  <c r="V40" i="54"/>
  <c r="U40" i="54"/>
  <c r="T40" i="54"/>
  <c r="R40" i="54"/>
  <c r="Q40" i="54"/>
  <c r="P40" i="54"/>
  <c r="O40" i="54"/>
  <c r="W39" i="54"/>
  <c r="V39" i="54"/>
  <c r="U39" i="54"/>
  <c r="T39" i="54"/>
  <c r="R39" i="54"/>
  <c r="Q39" i="54"/>
  <c r="P39" i="54"/>
  <c r="O39" i="54"/>
  <c r="W38" i="54"/>
  <c r="V38" i="54"/>
  <c r="U38" i="54"/>
  <c r="T38" i="54"/>
  <c r="R38" i="54"/>
  <c r="Q38" i="54"/>
  <c r="P38" i="54"/>
  <c r="O38" i="54"/>
  <c r="W37" i="54"/>
  <c r="V37" i="54"/>
  <c r="U37" i="54"/>
  <c r="T37" i="54"/>
  <c r="R37" i="54"/>
  <c r="Q37" i="54"/>
  <c r="P37" i="54"/>
  <c r="O37" i="54"/>
  <c r="W36" i="54"/>
  <c r="V36" i="54"/>
  <c r="U36" i="54"/>
  <c r="T36" i="54"/>
  <c r="R36" i="54"/>
  <c r="Q36" i="54"/>
  <c r="P36" i="54"/>
  <c r="O36" i="54"/>
  <c r="W35" i="54"/>
  <c r="V35" i="54"/>
  <c r="U35" i="54"/>
  <c r="T35" i="54"/>
  <c r="R35" i="54"/>
  <c r="Q35" i="54"/>
  <c r="P35" i="54"/>
  <c r="O35" i="54"/>
  <c r="W34" i="54"/>
  <c r="V34" i="54"/>
  <c r="U34" i="54"/>
  <c r="T34" i="54"/>
  <c r="R34" i="54"/>
  <c r="Q34" i="54"/>
  <c r="P34" i="54"/>
  <c r="O34" i="54"/>
  <c r="W33" i="54"/>
  <c r="V33" i="54"/>
  <c r="U33" i="54"/>
  <c r="T33" i="54"/>
  <c r="R33" i="54"/>
  <c r="Q33" i="54"/>
  <c r="P33" i="54"/>
  <c r="O33" i="54"/>
  <c r="W32" i="54"/>
  <c r="V32" i="54"/>
  <c r="U32" i="54"/>
  <c r="T32" i="54"/>
  <c r="R32" i="54"/>
  <c r="Q32" i="54"/>
  <c r="P32" i="54"/>
  <c r="O32" i="54"/>
  <c r="W31" i="54"/>
  <c r="V31" i="54"/>
  <c r="U31" i="54"/>
  <c r="T31" i="54"/>
  <c r="R31" i="54"/>
  <c r="Q31" i="54"/>
  <c r="P31" i="54"/>
  <c r="O31" i="54"/>
  <c r="W30" i="54"/>
  <c r="V30" i="54"/>
  <c r="U30" i="54"/>
  <c r="T30" i="54"/>
  <c r="R30" i="54"/>
  <c r="Q30" i="54"/>
  <c r="P30" i="54"/>
  <c r="O30" i="54"/>
  <c r="W29" i="54"/>
  <c r="V29" i="54"/>
  <c r="U29" i="54"/>
  <c r="T29" i="54"/>
  <c r="R29" i="54"/>
  <c r="Q29" i="54"/>
  <c r="P29" i="54"/>
  <c r="O29" i="54"/>
  <c r="W18" i="54"/>
  <c r="V18" i="54"/>
  <c r="U18" i="54"/>
  <c r="T18" i="54"/>
  <c r="R18" i="54"/>
  <c r="Q18" i="54"/>
  <c r="P18" i="54"/>
  <c r="O18" i="54"/>
  <c r="W17" i="54"/>
  <c r="V17" i="54"/>
  <c r="U17" i="54"/>
  <c r="T17" i="54"/>
  <c r="R17" i="54"/>
  <c r="Q17" i="54"/>
  <c r="P17" i="54"/>
  <c r="O17" i="54"/>
  <c r="W16" i="54"/>
  <c r="V16" i="54"/>
  <c r="U16" i="54"/>
  <c r="T16" i="54"/>
  <c r="R16" i="54"/>
  <c r="Q16" i="54"/>
  <c r="P16" i="54"/>
  <c r="O16" i="54"/>
  <c r="W15" i="54"/>
  <c r="V15" i="54"/>
  <c r="U15" i="54"/>
  <c r="T15" i="54"/>
  <c r="R15" i="54"/>
  <c r="Q15" i="54"/>
  <c r="P15" i="54"/>
  <c r="O15" i="54"/>
  <c r="W14" i="54"/>
  <c r="V14" i="54"/>
  <c r="U14" i="54"/>
  <c r="T14" i="54"/>
  <c r="R14" i="54"/>
  <c r="Q14" i="54"/>
  <c r="P14" i="54"/>
  <c r="O14" i="54"/>
  <c r="W13" i="54"/>
  <c r="V13" i="54"/>
  <c r="U13" i="54"/>
  <c r="T13" i="54"/>
  <c r="R13" i="54"/>
  <c r="Q13" i="54"/>
  <c r="P13" i="54"/>
  <c r="O13" i="54"/>
  <c r="W12" i="54"/>
  <c r="V12" i="54"/>
  <c r="U12" i="54"/>
  <c r="T12" i="54"/>
  <c r="R12" i="54"/>
  <c r="Q12" i="54"/>
  <c r="P12" i="54"/>
  <c r="O12" i="54"/>
  <c r="W44" i="53"/>
  <c r="V44" i="53"/>
  <c r="U44" i="53"/>
  <c r="T44" i="53"/>
  <c r="R44" i="53"/>
  <c r="Q44" i="53"/>
  <c r="P44" i="53"/>
  <c r="O44" i="53"/>
  <c r="W43" i="53"/>
  <c r="V43" i="53"/>
  <c r="U43" i="53"/>
  <c r="T43" i="53"/>
  <c r="R43" i="53"/>
  <c r="Q43" i="53"/>
  <c r="P43" i="53"/>
  <c r="O43" i="53"/>
  <c r="W42" i="53"/>
  <c r="V42" i="53"/>
  <c r="U42" i="53"/>
  <c r="T42" i="53"/>
  <c r="R42" i="53"/>
  <c r="Q42" i="53"/>
  <c r="P42" i="53"/>
  <c r="O42" i="53"/>
  <c r="W41" i="53"/>
  <c r="V41" i="53"/>
  <c r="U41" i="53"/>
  <c r="T41" i="53"/>
  <c r="R41" i="53"/>
  <c r="Q41" i="53"/>
  <c r="P41" i="53"/>
  <c r="O41" i="53"/>
  <c r="W40" i="53"/>
  <c r="V40" i="53"/>
  <c r="U40" i="53"/>
  <c r="T40" i="53"/>
  <c r="R40" i="53"/>
  <c r="Q40" i="53"/>
  <c r="P40" i="53"/>
  <c r="O40" i="53"/>
  <c r="W39" i="53"/>
  <c r="V39" i="53"/>
  <c r="U39" i="53"/>
  <c r="T39" i="53"/>
  <c r="R39" i="53"/>
  <c r="Q39" i="53"/>
  <c r="P39" i="53"/>
  <c r="O39" i="53"/>
  <c r="W38" i="53"/>
  <c r="V38" i="53"/>
  <c r="U38" i="53"/>
  <c r="T38" i="53"/>
  <c r="R38" i="53"/>
  <c r="Q38" i="53"/>
  <c r="P38" i="53"/>
  <c r="O38" i="53"/>
  <c r="W37" i="53"/>
  <c r="V37" i="53"/>
  <c r="U37" i="53"/>
  <c r="T37" i="53"/>
  <c r="R37" i="53"/>
  <c r="Q37" i="53"/>
  <c r="P37" i="53"/>
  <c r="O37" i="53"/>
  <c r="W36" i="53"/>
  <c r="V36" i="53"/>
  <c r="U36" i="53"/>
  <c r="T36" i="53"/>
  <c r="R36" i="53"/>
  <c r="Q36" i="53"/>
  <c r="P36" i="53"/>
  <c r="O36" i="53"/>
  <c r="W35" i="53"/>
  <c r="V35" i="53"/>
  <c r="U35" i="53"/>
  <c r="T35" i="53"/>
  <c r="R35" i="53"/>
  <c r="Q35" i="53"/>
  <c r="P35" i="53"/>
  <c r="O35" i="53"/>
  <c r="W34" i="53"/>
  <c r="V34" i="53"/>
  <c r="U34" i="53"/>
  <c r="T34" i="53"/>
  <c r="R34" i="53"/>
  <c r="Q34" i="53"/>
  <c r="P34" i="53"/>
  <c r="O34" i="53"/>
  <c r="W33" i="53"/>
  <c r="V33" i="53"/>
  <c r="U33" i="53"/>
  <c r="T33" i="53"/>
  <c r="R33" i="53"/>
  <c r="Q33" i="53"/>
  <c r="P33" i="53"/>
  <c r="O33" i="53"/>
  <c r="W32" i="53"/>
  <c r="V32" i="53"/>
  <c r="U32" i="53"/>
  <c r="T32" i="53"/>
  <c r="R32" i="53"/>
  <c r="Q32" i="53"/>
  <c r="P32" i="53"/>
  <c r="O32" i="53"/>
  <c r="W31" i="53"/>
  <c r="V31" i="53"/>
  <c r="U31" i="53"/>
  <c r="T31" i="53"/>
  <c r="R31" i="53"/>
  <c r="Q31" i="53"/>
  <c r="P31" i="53"/>
  <c r="O31" i="53"/>
  <c r="W30" i="53"/>
  <c r="V30" i="53"/>
  <c r="U30" i="53"/>
  <c r="T30" i="53"/>
  <c r="R30" i="53"/>
  <c r="Q30" i="53"/>
  <c r="P30" i="53"/>
  <c r="O30" i="53"/>
  <c r="W29" i="53"/>
  <c r="V29" i="53"/>
  <c r="U29" i="53"/>
  <c r="T29" i="53"/>
  <c r="R29" i="53"/>
  <c r="Q29" i="53"/>
  <c r="P29" i="53"/>
  <c r="O29" i="53"/>
  <c r="W18" i="53"/>
  <c r="V18" i="53"/>
  <c r="U18" i="53"/>
  <c r="T18" i="53"/>
  <c r="R18" i="53"/>
  <c r="Q18" i="53"/>
  <c r="P18" i="53"/>
  <c r="O18" i="53"/>
  <c r="W17" i="53"/>
  <c r="V17" i="53"/>
  <c r="U17" i="53"/>
  <c r="T17" i="53"/>
  <c r="R17" i="53"/>
  <c r="Q17" i="53"/>
  <c r="P17" i="53"/>
  <c r="O17" i="53"/>
  <c r="W16" i="53"/>
  <c r="V16" i="53"/>
  <c r="U16" i="53"/>
  <c r="T16" i="53"/>
  <c r="R16" i="53"/>
  <c r="Q16" i="53"/>
  <c r="P16" i="53"/>
  <c r="O16" i="53"/>
  <c r="W15" i="53"/>
  <c r="V15" i="53"/>
  <c r="U15" i="53"/>
  <c r="T15" i="53"/>
  <c r="R15" i="53"/>
  <c r="Q15" i="53"/>
  <c r="P15" i="53"/>
  <c r="O15" i="53"/>
  <c r="W14" i="53"/>
  <c r="V14" i="53"/>
  <c r="U14" i="53"/>
  <c r="T14" i="53"/>
  <c r="R14" i="53"/>
  <c r="Q14" i="53"/>
  <c r="P14" i="53"/>
  <c r="O14" i="53"/>
  <c r="W13" i="53"/>
  <c r="V13" i="53"/>
  <c r="U13" i="53"/>
  <c r="T13" i="53"/>
  <c r="R13" i="53"/>
  <c r="Q13" i="53"/>
  <c r="P13" i="53"/>
  <c r="O13" i="53"/>
  <c r="W12" i="53"/>
  <c r="V12" i="53"/>
  <c r="U12" i="53"/>
  <c r="T12" i="53"/>
  <c r="R12" i="53"/>
  <c r="Q12" i="53"/>
  <c r="P12" i="53"/>
  <c r="O12" i="53"/>
  <c r="S16" i="54" l="1"/>
  <c r="S17" i="54"/>
  <c r="X29" i="53"/>
  <c r="M29" i="53" s="1"/>
  <c r="X33" i="53"/>
  <c r="M33" i="53" s="1"/>
  <c r="X35" i="53"/>
  <c r="M35" i="53" s="1"/>
  <c r="X12" i="54"/>
  <c r="M12" i="54" s="1"/>
  <c r="X14" i="54"/>
  <c r="M14" i="54" s="1"/>
  <c r="X16" i="54"/>
  <c r="M16" i="54" s="1"/>
  <c r="X40" i="54"/>
  <c r="M40" i="54" s="1"/>
  <c r="X44" i="54"/>
  <c r="X31" i="53"/>
  <c r="M31" i="53" s="1"/>
  <c r="S18" i="54"/>
  <c r="S29" i="54"/>
  <c r="S33" i="53"/>
  <c r="S34" i="53"/>
  <c r="S35" i="53"/>
  <c r="S30" i="54"/>
  <c r="X18" i="54"/>
  <c r="M18" i="54" s="1"/>
  <c r="X30" i="54"/>
  <c r="M30" i="54" s="1"/>
  <c r="X42" i="54"/>
  <c r="M42" i="54" s="1"/>
  <c r="X18" i="53"/>
  <c r="M18" i="53" s="1"/>
  <c r="X42" i="53"/>
  <c r="M42" i="53" s="1"/>
  <c r="X44" i="53"/>
  <c r="X37" i="54"/>
  <c r="M37" i="54" s="1"/>
  <c r="X39" i="54"/>
  <c r="M39" i="54" s="1"/>
  <c r="S13" i="53"/>
  <c r="S15" i="53"/>
  <c r="X32" i="53"/>
  <c r="M32" i="53" s="1"/>
  <c r="X12" i="53"/>
  <c r="M12" i="53" s="1"/>
  <c r="X13" i="53"/>
  <c r="M13" i="53" s="1"/>
  <c r="X15" i="53"/>
  <c r="M15" i="53" s="1"/>
  <c r="S17" i="53"/>
  <c r="S18" i="53"/>
  <c r="N18" i="53" s="1"/>
  <c r="X34" i="53"/>
  <c r="M34" i="53" s="1"/>
  <c r="X36" i="53"/>
  <c r="M36" i="53" s="1"/>
  <c r="X37" i="53"/>
  <c r="M37" i="53" s="1"/>
  <c r="X39" i="53"/>
  <c r="M39" i="53" s="1"/>
  <c r="S41" i="53"/>
  <c r="S42" i="53"/>
  <c r="S43" i="53"/>
  <c r="X17" i="54"/>
  <c r="M17" i="54" s="1"/>
  <c r="X29" i="54"/>
  <c r="M29" i="54" s="1"/>
  <c r="X31" i="54"/>
  <c r="M31" i="54" s="1"/>
  <c r="X32" i="54"/>
  <c r="M32" i="54" s="1"/>
  <c r="X34" i="54"/>
  <c r="M34" i="54" s="1"/>
  <c r="S36" i="54"/>
  <c r="S37" i="54"/>
  <c r="S38" i="54"/>
  <c r="X14" i="53"/>
  <c r="M14" i="53" s="1"/>
  <c r="X16" i="53"/>
  <c r="M16" i="53" s="1"/>
  <c r="X17" i="53"/>
  <c r="M17" i="53" s="1"/>
  <c r="S29" i="53"/>
  <c r="N29" i="53" s="1"/>
  <c r="S30" i="53"/>
  <c r="S31" i="53"/>
  <c r="N31" i="53" s="1"/>
  <c r="X38" i="53"/>
  <c r="M38" i="53" s="1"/>
  <c r="X40" i="53"/>
  <c r="M40" i="53" s="1"/>
  <c r="X41" i="53"/>
  <c r="M41" i="53" s="1"/>
  <c r="X43" i="53"/>
  <c r="M43" i="53" s="1"/>
  <c r="S12" i="54"/>
  <c r="N12" i="54" s="1"/>
  <c r="S13" i="54"/>
  <c r="S14" i="54"/>
  <c r="N14" i="54" s="1"/>
  <c r="X33" i="54"/>
  <c r="M33" i="54" s="1"/>
  <c r="X35" i="54"/>
  <c r="M35" i="54" s="1"/>
  <c r="X36" i="54"/>
  <c r="M36" i="54" s="1"/>
  <c r="X38" i="54"/>
  <c r="M38" i="54" s="1"/>
  <c r="S40" i="54"/>
  <c r="S41" i="54"/>
  <c r="S42" i="54"/>
  <c r="N42" i="54" s="1"/>
  <c r="S44" i="54"/>
  <c r="S14" i="53"/>
  <c r="S37" i="53"/>
  <c r="S38" i="53"/>
  <c r="X13" i="54"/>
  <c r="M13" i="54" s="1"/>
  <c r="X15" i="54"/>
  <c r="M15" i="54" s="1"/>
  <c r="S32" i="54"/>
  <c r="S33" i="54"/>
  <c r="S34" i="54"/>
  <c r="N34" i="54" s="1"/>
  <c r="X41" i="54"/>
  <c r="M41" i="54" s="1"/>
  <c r="X43" i="54"/>
  <c r="M43" i="54" s="1"/>
  <c r="X30" i="53"/>
  <c r="M30" i="53" s="1"/>
  <c r="S39" i="53"/>
  <c r="N39" i="53" s="1"/>
  <c r="S15" i="54"/>
  <c r="S31" i="54"/>
  <c r="S35" i="54"/>
  <c r="S39" i="54"/>
  <c r="S43" i="54"/>
  <c r="S12" i="53"/>
  <c r="S16" i="53"/>
  <c r="N16" i="53" s="1"/>
  <c r="S32" i="53"/>
  <c r="S36" i="53"/>
  <c r="S40" i="53"/>
  <c r="S44" i="53"/>
  <c r="N40" i="53" l="1"/>
  <c r="N37" i="53"/>
  <c r="N33" i="53"/>
  <c r="N32" i="54"/>
  <c r="N32" i="53"/>
  <c r="N43" i="54"/>
  <c r="M44" i="54"/>
  <c r="N16" i="54"/>
  <c r="N12" i="53"/>
  <c r="N35" i="53"/>
  <c r="N34" i="53"/>
  <c r="N39" i="54"/>
  <c r="N14" i="53"/>
  <c r="N40" i="54"/>
  <c r="N36" i="54"/>
  <c r="N36" i="53"/>
  <c r="M44" i="53"/>
  <c r="N42" i="53"/>
  <c r="N35" i="54"/>
  <c r="L35" i="54" s="1"/>
  <c r="N37" i="54"/>
  <c r="L37" i="54" s="1"/>
  <c r="N41" i="53"/>
  <c r="N18" i="54"/>
  <c r="M19" i="53"/>
  <c r="L16" i="53" s="1"/>
  <c r="N15" i="53"/>
  <c r="M19" i="54"/>
  <c r="L14" i="54" s="1"/>
  <c r="N30" i="54"/>
  <c r="N13" i="53"/>
  <c r="N41" i="54"/>
  <c r="L41" i="54" s="1"/>
  <c r="N31" i="54"/>
  <c r="N15" i="54"/>
  <c r="N33" i="54"/>
  <c r="L33" i="54" s="1"/>
  <c r="N38" i="53"/>
  <c r="N30" i="53"/>
  <c r="L30" i="53" s="1"/>
  <c r="N29" i="54"/>
  <c r="N13" i="54"/>
  <c r="N38" i="54"/>
  <c r="L38" i="54" s="1"/>
  <c r="N43" i="53"/>
  <c r="N17" i="53"/>
  <c r="N17" i="54"/>
  <c r="L42" i="54"/>
  <c r="L32" i="53"/>
  <c r="P511" i="45"/>
  <c r="P512" i="45"/>
  <c r="L510" i="45"/>
  <c r="L511" i="45"/>
  <c r="L512" i="45"/>
  <c r="O512" i="45"/>
  <c r="X512" i="45"/>
  <c r="Y512" i="45"/>
  <c r="O511" i="45"/>
  <c r="X511" i="45"/>
  <c r="Y511" i="45"/>
  <c r="L43" i="54" l="1"/>
  <c r="L39" i="54"/>
  <c r="L32" i="54"/>
  <c r="L36" i="54"/>
  <c r="L34" i="54"/>
  <c r="L40" i="54"/>
  <c r="L31" i="54"/>
  <c r="L37" i="53"/>
  <c r="L31" i="53"/>
  <c r="L33" i="53"/>
  <c r="L14" i="53"/>
  <c r="L39" i="53"/>
  <c r="L29" i="54"/>
  <c r="L13" i="53"/>
  <c r="L36" i="53"/>
  <c r="L41" i="53"/>
  <c r="L30" i="54"/>
  <c r="L38" i="53"/>
  <c r="L34" i="53"/>
  <c r="L40" i="53"/>
  <c r="L35" i="53"/>
  <c r="L43" i="53"/>
  <c r="L17" i="54"/>
  <c r="L42" i="53"/>
  <c r="L29" i="53"/>
  <c r="L15" i="54"/>
  <c r="L18" i="53"/>
  <c r="L15" i="53"/>
  <c r="N19" i="53"/>
  <c r="L12" i="53"/>
  <c r="L17" i="53"/>
  <c r="L16" i="54"/>
  <c r="N44" i="53"/>
  <c r="L18" i="54"/>
  <c r="L12" i="54"/>
  <c r="L13" i="54"/>
  <c r="N44" i="54"/>
  <c r="N19" i="54"/>
  <c r="P492" i="45"/>
  <c r="L492" i="45"/>
  <c r="O492" i="45"/>
  <c r="X492" i="45"/>
  <c r="Y492" i="45"/>
  <c r="L44" i="54" l="1"/>
  <c r="Q46" i="54" s="1"/>
  <c r="L44" i="53"/>
  <c r="U46" i="53" s="1"/>
  <c r="L19" i="53"/>
  <c r="C21" i="53" s="1"/>
  <c r="L19" i="54"/>
  <c r="R20" i="54" s="1"/>
  <c r="E47" i="54"/>
  <c r="L47" i="54" s="1"/>
  <c r="U46" i="54"/>
  <c r="C47" i="54"/>
  <c r="P46" i="54"/>
  <c r="R46" i="54"/>
  <c r="Q47" i="54" s="1"/>
  <c r="N46" i="53"/>
  <c r="N47" i="53" s="1"/>
  <c r="P475" i="45"/>
  <c r="L475" i="45"/>
  <c r="O475" i="45"/>
  <c r="X475" i="45"/>
  <c r="Y475" i="45"/>
  <c r="O46" i="54" l="1"/>
  <c r="S46" i="54"/>
  <c r="N46" i="54"/>
  <c r="N47" i="54" s="1"/>
  <c r="Q46" i="53"/>
  <c r="E47" i="53"/>
  <c r="L47" i="53" s="1"/>
  <c r="O47" i="54"/>
  <c r="S47" i="54"/>
  <c r="E21" i="53"/>
  <c r="L21" i="53" s="1"/>
  <c r="S20" i="53"/>
  <c r="P20" i="53"/>
  <c r="S46" i="53"/>
  <c r="P46" i="53"/>
  <c r="C47" i="53"/>
  <c r="R46" i="53"/>
  <c r="O46" i="53"/>
  <c r="C52" i="53"/>
  <c r="E52" i="53" s="1"/>
  <c r="L52" i="53" s="1"/>
  <c r="O20" i="53"/>
  <c r="R20" i="53"/>
  <c r="Q20" i="53"/>
  <c r="N20" i="53"/>
  <c r="N21" i="53" s="1"/>
  <c r="U20" i="53"/>
  <c r="S21" i="53" s="1"/>
  <c r="S20" i="54"/>
  <c r="U20" i="54"/>
  <c r="Q20" i="54"/>
  <c r="Q21" i="54" s="1"/>
  <c r="N20" i="54"/>
  <c r="N21" i="54" s="1"/>
  <c r="E21" i="54"/>
  <c r="L21" i="54" s="1"/>
  <c r="C52" i="54"/>
  <c r="E52" i="54" s="1"/>
  <c r="L52" i="54" s="1"/>
  <c r="C21" i="54"/>
  <c r="P20" i="54"/>
  <c r="O20" i="54"/>
  <c r="V47" i="54"/>
  <c r="S47" i="53"/>
  <c r="Q47" i="53" l="1"/>
  <c r="O21" i="53"/>
  <c r="V21" i="53" s="1"/>
  <c r="O21" i="54"/>
  <c r="Q21" i="53"/>
  <c r="O47" i="53"/>
  <c r="V47" i="53" s="1"/>
  <c r="S21" i="54"/>
  <c r="V21" i="54" l="1"/>
  <c r="P509" i="45"/>
  <c r="P510" i="45"/>
  <c r="O510" i="45"/>
  <c r="X510" i="45"/>
  <c r="Y510" i="45"/>
  <c r="L369" i="45" l="1"/>
  <c r="O369" i="45"/>
  <c r="P369" i="45"/>
  <c r="X369" i="45"/>
  <c r="Y369" i="45"/>
  <c r="P503" i="45"/>
  <c r="L503" i="45"/>
  <c r="O503" i="45"/>
  <c r="X503" i="45"/>
  <c r="Y503" i="45"/>
  <c r="L495" i="45"/>
  <c r="O495" i="45"/>
  <c r="X495" i="45"/>
  <c r="Y495" i="45"/>
  <c r="L496" i="45"/>
  <c r="O496" i="45"/>
  <c r="X496" i="45"/>
  <c r="Y496" i="45"/>
  <c r="P493" i="45"/>
  <c r="P494" i="45"/>
  <c r="P497" i="45"/>
  <c r="P498" i="45"/>
  <c r="P499" i="45"/>
  <c r="P500" i="45"/>
  <c r="P501" i="45"/>
  <c r="P502" i="45"/>
  <c r="O500" i="45"/>
  <c r="X500" i="45"/>
  <c r="Y500" i="45"/>
  <c r="O501" i="45"/>
  <c r="X501" i="45"/>
  <c r="Y501" i="45"/>
  <c r="L502" i="45"/>
  <c r="O502" i="45"/>
  <c r="X502" i="45"/>
  <c r="Y502" i="45"/>
  <c r="L509" i="45" l="1"/>
  <c r="L494" i="45" l="1"/>
  <c r="O494" i="45"/>
  <c r="X494" i="45"/>
  <c r="Y494" i="45"/>
  <c r="L493" i="45"/>
  <c r="O493" i="45"/>
  <c r="X493" i="45"/>
  <c r="Y493" i="45"/>
  <c r="O509" i="45"/>
  <c r="X509" i="45"/>
  <c r="Y509" i="45"/>
  <c r="P504" i="45" l="1"/>
  <c r="L504" i="45"/>
  <c r="O504" i="45"/>
  <c r="X504" i="45"/>
  <c r="Y504" i="45"/>
  <c r="L497" i="45" l="1"/>
  <c r="L498" i="45"/>
  <c r="L499" i="45"/>
  <c r="O499" i="45"/>
  <c r="X499" i="45"/>
  <c r="Y499" i="45"/>
  <c r="O498" i="45"/>
  <c r="X498" i="45"/>
  <c r="Y498" i="45"/>
  <c r="O497" i="45"/>
  <c r="X497" i="45"/>
  <c r="Y497" i="45"/>
  <c r="P489" i="45" l="1"/>
  <c r="P490" i="45"/>
  <c r="P491" i="45"/>
  <c r="P435" i="45" l="1"/>
  <c r="L435" i="45"/>
  <c r="O435" i="45"/>
  <c r="X435" i="45"/>
  <c r="Y435" i="45"/>
  <c r="P487" i="45"/>
  <c r="L487" i="45"/>
  <c r="O487" i="45"/>
  <c r="X487" i="45"/>
  <c r="Y487" i="45"/>
  <c r="L488" i="45" l="1"/>
  <c r="L489" i="45"/>
  <c r="L490" i="45"/>
  <c r="L491" i="45"/>
  <c r="P457" i="45"/>
  <c r="L457" i="45"/>
  <c r="O457" i="45"/>
  <c r="X457" i="45"/>
  <c r="Y457" i="45"/>
  <c r="O490" i="45"/>
  <c r="O491" i="45"/>
  <c r="X490" i="45"/>
  <c r="X491" i="45"/>
  <c r="Y490" i="45"/>
  <c r="Y491" i="45"/>
  <c r="O489" i="45"/>
  <c r="X489" i="45"/>
  <c r="Y489" i="45"/>
  <c r="P483" i="45" l="1"/>
  <c r="P484" i="45"/>
  <c r="P485" i="45"/>
  <c r="P486" i="45"/>
  <c r="P488" i="45"/>
  <c r="L479" i="45"/>
  <c r="L480" i="45"/>
  <c r="L481" i="45"/>
  <c r="L482" i="45"/>
  <c r="L483" i="45"/>
  <c r="L484" i="45"/>
  <c r="L485" i="45"/>
  <c r="L486" i="45"/>
  <c r="O483" i="45"/>
  <c r="X483" i="45"/>
  <c r="Y483" i="45"/>
  <c r="O485" i="45" l="1"/>
  <c r="O486" i="45"/>
  <c r="O488" i="45"/>
  <c r="X485" i="45"/>
  <c r="X486" i="45"/>
  <c r="X488" i="45"/>
  <c r="Y485" i="45"/>
  <c r="Y486" i="45"/>
  <c r="Y488" i="45"/>
  <c r="O484" i="45"/>
  <c r="X484" i="45"/>
  <c r="Y484" i="45"/>
  <c r="P480" i="45" l="1"/>
  <c r="P481" i="45"/>
  <c r="P482" i="45"/>
  <c r="O482" i="45" l="1"/>
  <c r="X482" i="45"/>
  <c r="Y482" i="45"/>
  <c r="O481" i="45"/>
  <c r="X481" i="45"/>
  <c r="Y481" i="45"/>
  <c r="O480" i="45"/>
  <c r="X480" i="45"/>
  <c r="Y480" i="45"/>
  <c r="P479" i="45" l="1"/>
  <c r="O479" i="45"/>
  <c r="X479" i="45"/>
  <c r="Y479" i="45"/>
  <c r="P434" i="45" l="1"/>
  <c r="L434" i="45"/>
  <c r="O434" i="45"/>
  <c r="X434" i="45"/>
  <c r="Y434" i="45"/>
  <c r="P169" i="45"/>
  <c r="L169" i="45"/>
  <c r="O169" i="45"/>
  <c r="X169" i="45"/>
  <c r="Y169" i="45"/>
  <c r="P449" i="45"/>
  <c r="L449" i="45"/>
  <c r="O449" i="45"/>
  <c r="X449" i="45"/>
  <c r="Y449" i="45"/>
  <c r="P476" i="45" l="1"/>
  <c r="P477" i="45"/>
  <c r="P478" i="45"/>
  <c r="P464" i="45" l="1"/>
  <c r="L464" i="45"/>
  <c r="O464" i="45"/>
  <c r="X464" i="45"/>
  <c r="Y464" i="45"/>
  <c r="P460" i="45"/>
  <c r="P461" i="45"/>
  <c r="P462" i="45"/>
  <c r="P463" i="45"/>
  <c r="L460" i="45"/>
  <c r="L461" i="45"/>
  <c r="L462" i="45"/>
  <c r="L463" i="45"/>
  <c r="O463" i="45"/>
  <c r="X463" i="45"/>
  <c r="Y463" i="45"/>
  <c r="O462" i="45"/>
  <c r="X462" i="45"/>
  <c r="Y462" i="45"/>
  <c r="O461" i="45"/>
  <c r="X461" i="45"/>
  <c r="Y461" i="45"/>
  <c r="O460" i="45"/>
  <c r="X460" i="45"/>
  <c r="Y460" i="45"/>
  <c r="P458" i="45"/>
  <c r="P459" i="45"/>
  <c r="L458" i="45"/>
  <c r="L459" i="45"/>
  <c r="O459" i="45"/>
  <c r="X459" i="45"/>
  <c r="Y459" i="45"/>
  <c r="O458" i="45"/>
  <c r="X458" i="45"/>
  <c r="Y458" i="45"/>
  <c r="L476" i="45"/>
  <c r="L477" i="45"/>
  <c r="L478" i="45"/>
  <c r="O478" i="45"/>
  <c r="X478" i="45"/>
  <c r="Y478" i="45"/>
  <c r="O477" i="45"/>
  <c r="X477" i="45"/>
  <c r="Y477" i="45"/>
  <c r="O476" i="45"/>
  <c r="X476" i="45"/>
  <c r="Y476" i="45"/>
  <c r="P455" i="45"/>
  <c r="P456" i="45"/>
  <c r="P466" i="45"/>
  <c r="P467" i="45"/>
  <c r="P468" i="45"/>
  <c r="P469" i="45"/>
  <c r="P470" i="45"/>
  <c r="P471" i="45"/>
  <c r="P472" i="45"/>
  <c r="P473" i="45"/>
  <c r="P474" i="45"/>
  <c r="L455" i="45"/>
  <c r="L456" i="45"/>
  <c r="O455" i="45"/>
  <c r="X455" i="45"/>
  <c r="Y455" i="45"/>
  <c r="O456" i="45"/>
  <c r="X456" i="45"/>
  <c r="Y456" i="45"/>
  <c r="L454" i="45"/>
  <c r="L466" i="45"/>
  <c r="L467" i="45"/>
  <c r="L468" i="45"/>
  <c r="L469" i="45"/>
  <c r="L470" i="45"/>
  <c r="L471" i="45"/>
  <c r="L472" i="45"/>
  <c r="L473" i="45"/>
  <c r="L474" i="45"/>
  <c r="O468" i="45"/>
  <c r="O469" i="45"/>
  <c r="O470" i="45"/>
  <c r="O471" i="45"/>
  <c r="O472" i="45"/>
  <c r="O473" i="45"/>
  <c r="O474" i="45"/>
  <c r="X468" i="45"/>
  <c r="X469" i="45"/>
  <c r="X470" i="45"/>
  <c r="X471" i="45"/>
  <c r="X472" i="45"/>
  <c r="X473" i="45"/>
  <c r="X474" i="45"/>
  <c r="Y468" i="45"/>
  <c r="Y469" i="45"/>
  <c r="Y470" i="45"/>
  <c r="Y471" i="45"/>
  <c r="Y472" i="45"/>
  <c r="Y473" i="45"/>
  <c r="Y474" i="45"/>
  <c r="O466" i="45"/>
  <c r="O467" i="45"/>
  <c r="X466" i="45"/>
  <c r="X467" i="45"/>
  <c r="Y466" i="45"/>
  <c r="Y467" i="45"/>
  <c r="P358" i="45" l="1"/>
  <c r="L358" i="45"/>
  <c r="O358" i="45"/>
  <c r="X358" i="45"/>
  <c r="Y358" i="45"/>
  <c r="P444" i="45" l="1"/>
  <c r="P445" i="45"/>
  <c r="P446" i="45"/>
  <c r="P447" i="45"/>
  <c r="P448" i="45"/>
  <c r="P450" i="45"/>
  <c r="P451" i="45"/>
  <c r="P452" i="45"/>
  <c r="P453" i="45"/>
  <c r="P454" i="45"/>
  <c r="O454" i="45"/>
  <c r="X454" i="45"/>
  <c r="Y454" i="45"/>
  <c r="L451" i="45" l="1"/>
  <c r="L452" i="45"/>
  <c r="L453" i="45"/>
  <c r="O453" i="45"/>
  <c r="X453" i="45"/>
  <c r="Y453" i="45"/>
  <c r="O452" i="45"/>
  <c r="X452" i="45"/>
  <c r="Y452" i="45"/>
  <c r="O451" i="45"/>
  <c r="X451" i="45"/>
  <c r="Y451" i="45"/>
  <c r="L450" i="45" l="1"/>
  <c r="O450" i="45"/>
  <c r="X450" i="45"/>
  <c r="Y450" i="45"/>
  <c r="L446" i="45"/>
  <c r="L447" i="45"/>
  <c r="L448" i="45"/>
  <c r="O448" i="45"/>
  <c r="X448" i="45"/>
  <c r="Y448" i="45"/>
  <c r="O446" i="45"/>
  <c r="O447" i="45"/>
  <c r="X446" i="45"/>
  <c r="X447" i="45"/>
  <c r="Y446" i="45"/>
  <c r="Y447" i="45"/>
  <c r="L445" i="45"/>
  <c r="O445" i="45"/>
  <c r="X445" i="45"/>
  <c r="Y445" i="45"/>
  <c r="P441" i="45" l="1"/>
  <c r="P442" i="45"/>
  <c r="P443" i="45"/>
  <c r="L444" i="45"/>
  <c r="O444" i="45"/>
  <c r="X444" i="45"/>
  <c r="Y444" i="45"/>
  <c r="P430" i="45" l="1"/>
  <c r="P431" i="45"/>
  <c r="P432" i="45"/>
  <c r="P433" i="45"/>
  <c r="L430" i="45"/>
  <c r="L431" i="45"/>
  <c r="L432" i="45"/>
  <c r="L433" i="45"/>
  <c r="O433" i="45"/>
  <c r="X433" i="45"/>
  <c r="Y433" i="45"/>
  <c r="O430" i="45"/>
  <c r="X430" i="45"/>
  <c r="Y430" i="45"/>
  <c r="O431" i="45"/>
  <c r="X431" i="45"/>
  <c r="Y431" i="45"/>
  <c r="O432" i="45"/>
  <c r="X432" i="45"/>
  <c r="Y432" i="45"/>
  <c r="O443" i="45"/>
  <c r="X443" i="45"/>
  <c r="Y443" i="45"/>
  <c r="O442" i="45"/>
  <c r="X442" i="45"/>
  <c r="Y442" i="45"/>
  <c r="P437" i="45" l="1"/>
  <c r="L437" i="45"/>
  <c r="O437" i="45"/>
  <c r="X437" i="45"/>
  <c r="Y437" i="45"/>
  <c r="L436" i="45"/>
  <c r="P436" i="45"/>
  <c r="O436" i="45"/>
  <c r="X436" i="45"/>
  <c r="Y436" i="45"/>
  <c r="L438" i="45"/>
  <c r="L439" i="45"/>
  <c r="L440" i="45"/>
  <c r="L441" i="45"/>
  <c r="P438" i="45"/>
  <c r="P439" i="45"/>
  <c r="P440" i="45"/>
  <c r="O441" i="45"/>
  <c r="X441" i="45"/>
  <c r="Y441" i="45"/>
  <c r="O439" i="45"/>
  <c r="X439" i="45"/>
  <c r="Y439" i="45"/>
  <c r="O440" i="45"/>
  <c r="X440" i="45"/>
  <c r="Y440" i="45"/>
  <c r="O438" i="45"/>
  <c r="X438" i="45"/>
  <c r="Y438" i="45"/>
  <c r="P428" i="45" l="1"/>
  <c r="P429" i="45"/>
  <c r="L424" i="45"/>
  <c r="L425" i="45"/>
  <c r="L426" i="45"/>
  <c r="L427" i="45"/>
  <c r="L428" i="45"/>
  <c r="L429" i="45"/>
  <c r="O429" i="45"/>
  <c r="X429" i="45"/>
  <c r="Y429" i="45"/>
  <c r="O428" i="45"/>
  <c r="X428" i="45"/>
  <c r="Y428" i="45"/>
  <c r="P381" i="45" l="1"/>
  <c r="P382" i="45"/>
  <c r="P383" i="45"/>
  <c r="P384" i="45"/>
  <c r="P385" i="45"/>
  <c r="P386" i="45"/>
  <c r="P387" i="45"/>
  <c r="P388" i="45"/>
  <c r="P389" i="45"/>
  <c r="P390" i="45"/>
  <c r="P391" i="45"/>
  <c r="P392" i="45"/>
  <c r="P393" i="45"/>
  <c r="P394" i="45"/>
  <c r="P395" i="45"/>
  <c r="P396" i="45"/>
  <c r="P397" i="45"/>
  <c r="P398" i="45"/>
  <c r="P399" i="45"/>
  <c r="P400" i="45"/>
  <c r="P401" i="45"/>
  <c r="P402" i="45"/>
  <c r="P403" i="45"/>
  <c r="P404" i="45"/>
  <c r="P405" i="45"/>
  <c r="P406" i="45"/>
  <c r="P407" i="45"/>
  <c r="P408" i="45"/>
  <c r="P409" i="45"/>
  <c r="P410" i="45"/>
  <c r="P411" i="45"/>
  <c r="P412" i="45"/>
  <c r="P413" i="45"/>
  <c r="P414" i="45"/>
  <c r="P415" i="45"/>
  <c r="P416" i="45"/>
  <c r="L381" i="45"/>
  <c r="L382" i="45"/>
  <c r="L383" i="45"/>
  <c r="L384" i="45"/>
  <c r="L385" i="45"/>
  <c r="L386" i="45"/>
  <c r="L387" i="45"/>
  <c r="L388" i="45"/>
  <c r="L389" i="45"/>
  <c r="L390" i="45"/>
  <c r="L391" i="45"/>
  <c r="L392" i="45"/>
  <c r="L393" i="45"/>
  <c r="L394" i="45"/>
  <c r="L395" i="45"/>
  <c r="L396" i="45"/>
  <c r="L397" i="45"/>
  <c r="L398" i="45"/>
  <c r="L399" i="45"/>
  <c r="L400" i="45"/>
  <c r="L401" i="45"/>
  <c r="L402" i="45"/>
  <c r="L403" i="45"/>
  <c r="L404" i="45"/>
  <c r="L405" i="45"/>
  <c r="L406" i="45"/>
  <c r="L407" i="45"/>
  <c r="L408" i="45"/>
  <c r="L409" i="45"/>
  <c r="L410" i="45"/>
  <c r="L411" i="45"/>
  <c r="L412" i="45"/>
  <c r="L413" i="45"/>
  <c r="L414" i="45"/>
  <c r="L415" i="45"/>
  <c r="L416" i="45"/>
  <c r="O382" i="45"/>
  <c r="X382" i="45"/>
  <c r="Y382" i="45"/>
  <c r="O389" i="45"/>
  <c r="X389" i="45"/>
  <c r="Y389" i="45"/>
  <c r="O383" i="45"/>
  <c r="X383" i="45"/>
  <c r="Y383" i="45"/>
  <c r="O386" i="45"/>
  <c r="X386" i="45"/>
  <c r="Y386" i="45"/>
  <c r="O388" i="45"/>
  <c r="X388" i="45"/>
  <c r="Y388" i="45"/>
  <c r="O385" i="45"/>
  <c r="X385" i="45"/>
  <c r="Y385" i="45"/>
  <c r="O391" i="45"/>
  <c r="X391" i="45"/>
  <c r="Y391" i="45"/>
  <c r="O392" i="45"/>
  <c r="X392" i="45"/>
  <c r="Y392" i="45"/>
  <c r="O393" i="45"/>
  <c r="X393" i="45"/>
  <c r="Y393" i="45"/>
  <c r="O394" i="45"/>
  <c r="X394" i="45"/>
  <c r="Y394" i="45"/>
  <c r="O396" i="45"/>
  <c r="X396" i="45"/>
  <c r="Y396" i="45"/>
  <c r="O398" i="45"/>
  <c r="X398" i="45"/>
  <c r="Y398" i="45"/>
  <c r="O395" i="45"/>
  <c r="X395" i="45"/>
  <c r="Y395" i="45"/>
  <c r="O403" i="45"/>
  <c r="X403" i="45"/>
  <c r="Y403" i="45"/>
  <c r="O390" i="45"/>
  <c r="X390" i="45"/>
  <c r="Y390" i="45"/>
  <c r="O384" i="45"/>
  <c r="X384" i="45"/>
  <c r="Y384" i="45"/>
  <c r="O381" i="45"/>
  <c r="X381" i="45"/>
  <c r="Y381" i="45"/>
  <c r="O400" i="45"/>
  <c r="X400" i="45"/>
  <c r="Y400" i="45"/>
  <c r="O399" i="45"/>
  <c r="X399" i="45"/>
  <c r="Y399" i="45"/>
  <c r="O404" i="45"/>
  <c r="X404" i="45"/>
  <c r="Y404" i="45"/>
  <c r="O406" i="45"/>
  <c r="X406" i="45"/>
  <c r="Y406" i="45"/>
  <c r="O405" i="45"/>
  <c r="X405" i="45"/>
  <c r="Y405" i="45"/>
  <c r="O408" i="45"/>
  <c r="X408" i="45"/>
  <c r="Y408" i="45"/>
  <c r="O412" i="45"/>
  <c r="X412" i="45"/>
  <c r="Y412" i="45"/>
  <c r="O401" i="45"/>
  <c r="X401" i="45"/>
  <c r="Y401" i="45"/>
  <c r="O387" i="45"/>
  <c r="X387" i="45"/>
  <c r="Y387" i="45"/>
  <c r="O407" i="45"/>
  <c r="X407" i="45"/>
  <c r="Y407" i="45"/>
  <c r="O409" i="45"/>
  <c r="X409" i="45"/>
  <c r="Y409" i="45"/>
  <c r="O411" i="45"/>
  <c r="X411" i="45"/>
  <c r="Y411" i="45"/>
  <c r="O414" i="45"/>
  <c r="X414" i="45"/>
  <c r="Y414" i="45"/>
  <c r="O410" i="45"/>
  <c r="X410" i="45"/>
  <c r="Y410" i="45"/>
  <c r="O397" i="45"/>
  <c r="X397" i="45"/>
  <c r="Y397" i="45"/>
  <c r="O416" i="45"/>
  <c r="X416" i="45"/>
  <c r="Y416" i="45"/>
  <c r="O413" i="45"/>
  <c r="X413" i="45"/>
  <c r="Y413" i="45"/>
  <c r="O415" i="45"/>
  <c r="X415" i="45"/>
  <c r="Y415" i="45"/>
  <c r="O402" i="45"/>
  <c r="X402" i="45"/>
  <c r="Y402" i="45"/>
  <c r="P424" i="45" l="1"/>
  <c r="P425" i="45"/>
  <c r="P426" i="45"/>
  <c r="P427" i="45"/>
  <c r="O426" i="45"/>
  <c r="X426" i="45"/>
  <c r="Y426" i="45"/>
  <c r="O427" i="45"/>
  <c r="X427" i="45"/>
  <c r="Y427" i="45"/>
  <c r="O425" i="45"/>
  <c r="X425" i="45"/>
  <c r="Y425" i="45"/>
  <c r="O424" i="45"/>
  <c r="X424" i="45"/>
  <c r="Y424" i="45"/>
  <c r="P368" i="45" l="1"/>
  <c r="L368" i="45"/>
  <c r="O368" i="45"/>
  <c r="X368" i="45"/>
  <c r="Y368" i="45"/>
  <c r="P367" i="45"/>
  <c r="P370" i="45"/>
  <c r="P371" i="45"/>
  <c r="P372" i="45"/>
  <c r="P373" i="45"/>
  <c r="P374" i="45"/>
  <c r="P375" i="45"/>
  <c r="P376" i="45"/>
  <c r="P377" i="45"/>
  <c r="P378" i="45"/>
  <c r="P379" i="45"/>
  <c r="P380" i="45"/>
  <c r="P417" i="45"/>
  <c r="P418" i="45"/>
  <c r="P419" i="45"/>
  <c r="P420" i="45"/>
  <c r="P421" i="45"/>
  <c r="P422" i="45"/>
  <c r="P423" i="45"/>
  <c r="O423" i="45" l="1"/>
  <c r="X423" i="45"/>
  <c r="Y423" i="45"/>
  <c r="L418" i="45" l="1"/>
  <c r="L419" i="45"/>
  <c r="L420" i="45"/>
  <c r="L421" i="45"/>
  <c r="L422" i="45"/>
  <c r="L417" i="45"/>
  <c r="O419" i="45"/>
  <c r="O420" i="45"/>
  <c r="O421" i="45"/>
  <c r="O422" i="45"/>
  <c r="X419" i="45"/>
  <c r="X420" i="45"/>
  <c r="X421" i="45"/>
  <c r="X422" i="45"/>
  <c r="Y419" i="45"/>
  <c r="Y420" i="45"/>
  <c r="Y421" i="45"/>
  <c r="Y422" i="45"/>
  <c r="O418" i="45"/>
  <c r="X418" i="45"/>
  <c r="Y418" i="45"/>
  <c r="O417" i="45"/>
  <c r="X417" i="45"/>
  <c r="Y417" i="45"/>
  <c r="L377" i="45"/>
  <c r="L378" i="45"/>
  <c r="L379" i="45"/>
  <c r="L380" i="45"/>
  <c r="O380" i="45"/>
  <c r="X380" i="45"/>
  <c r="Y380" i="45"/>
  <c r="O379" i="45"/>
  <c r="X379" i="45"/>
  <c r="Y379" i="45"/>
  <c r="O378" i="45"/>
  <c r="X378" i="45"/>
  <c r="Y378" i="45"/>
  <c r="O377" i="45"/>
  <c r="X377" i="45"/>
  <c r="Y377" i="45"/>
  <c r="L376" i="45"/>
  <c r="O376" i="45"/>
  <c r="X376" i="45"/>
  <c r="Y376" i="45"/>
  <c r="L375" i="45"/>
  <c r="O375" i="45"/>
  <c r="X375" i="45"/>
  <c r="Y375" i="45"/>
  <c r="K374" i="45"/>
  <c r="L374" i="45" s="1"/>
  <c r="O374" i="45"/>
  <c r="X374" i="45"/>
  <c r="Y374" i="45"/>
  <c r="K373" i="45"/>
  <c r="L373" i="45" s="1"/>
  <c r="L372" i="45"/>
  <c r="O373" i="45"/>
  <c r="X373" i="45"/>
  <c r="Y373" i="45"/>
  <c r="O372" i="45"/>
  <c r="X372" i="45"/>
  <c r="Y372" i="45"/>
  <c r="L371" i="45"/>
  <c r="O371" i="45"/>
  <c r="X371" i="45"/>
  <c r="Y371" i="45"/>
  <c r="L370" i="45" l="1"/>
  <c r="O370" i="45"/>
  <c r="X370" i="45"/>
  <c r="Y370" i="45"/>
  <c r="O367" i="45" l="1"/>
  <c r="L367" i="45" l="1"/>
  <c r="P348" i="45"/>
  <c r="L348" i="45"/>
  <c r="O348" i="45"/>
  <c r="X348" i="45"/>
  <c r="Y348" i="45"/>
  <c r="X367" i="45"/>
  <c r="Y367" i="45"/>
  <c r="P360" i="45"/>
  <c r="P361" i="45"/>
  <c r="P362" i="45"/>
  <c r="P363" i="45"/>
  <c r="P364" i="45"/>
  <c r="P365" i="45"/>
  <c r="P366" i="45"/>
  <c r="O362" i="45"/>
  <c r="L362" i="45"/>
  <c r="L365" i="45" l="1"/>
  <c r="L366" i="45"/>
  <c r="O365" i="45"/>
  <c r="O366" i="45"/>
  <c r="X365" i="45"/>
  <c r="X366" i="45"/>
  <c r="Y365" i="45"/>
  <c r="Y366" i="45"/>
  <c r="O360" i="45"/>
  <c r="X360" i="45"/>
  <c r="Y360" i="45"/>
  <c r="O361" i="45" l="1"/>
  <c r="X361" i="45"/>
  <c r="Y361" i="45"/>
  <c r="O364" i="45"/>
  <c r="X364" i="45"/>
  <c r="Y364" i="45"/>
  <c r="L363" i="45" l="1"/>
  <c r="O363" i="45"/>
  <c r="X363" i="45"/>
  <c r="Y363" i="45"/>
  <c r="P357" i="45" l="1"/>
  <c r="L357" i="45"/>
  <c r="O357" i="45"/>
  <c r="X357" i="45"/>
  <c r="Y357" i="45"/>
  <c r="P359" i="45"/>
  <c r="L359" i="45"/>
  <c r="O359" i="45"/>
  <c r="X359" i="45"/>
  <c r="Y359" i="45"/>
  <c r="P354" i="45" l="1"/>
  <c r="L354" i="45"/>
  <c r="O354" i="45"/>
  <c r="X354" i="45"/>
  <c r="Y354" i="45"/>
  <c r="P356" i="45" l="1"/>
  <c r="L356" i="45"/>
  <c r="P351" i="45"/>
  <c r="P352" i="45"/>
  <c r="P353" i="45"/>
  <c r="P355" i="45"/>
  <c r="L351" i="45"/>
  <c r="L352" i="45"/>
  <c r="L353" i="45"/>
  <c r="L355" i="45"/>
  <c r="O356" i="45"/>
  <c r="X356" i="45"/>
  <c r="Y356" i="45"/>
  <c r="O352" i="45" l="1"/>
  <c r="O353" i="45"/>
  <c r="O355" i="45"/>
  <c r="X352" i="45"/>
  <c r="X353" i="45"/>
  <c r="X355" i="45"/>
  <c r="Y352" i="45"/>
  <c r="Y353" i="45"/>
  <c r="Y355" i="45"/>
  <c r="O351" i="45"/>
  <c r="X351" i="45"/>
  <c r="Y351" i="45"/>
  <c r="P334" i="45" l="1"/>
  <c r="L334" i="45"/>
  <c r="O334" i="45"/>
  <c r="X334" i="45"/>
  <c r="Y334" i="45"/>
  <c r="L347" i="45" l="1"/>
  <c r="P341" i="45"/>
  <c r="L341" i="45"/>
  <c r="O341" i="45"/>
  <c r="X341" i="45"/>
  <c r="Y341" i="45"/>
  <c r="P347" i="45"/>
  <c r="P349" i="45"/>
  <c r="P350" i="45"/>
  <c r="O347" i="45"/>
  <c r="X347" i="45"/>
  <c r="Y347" i="45"/>
  <c r="L346" i="45"/>
  <c r="L350" i="45"/>
  <c r="O350" i="45"/>
  <c r="X350" i="45"/>
  <c r="Y350" i="45"/>
  <c r="O349" i="45" l="1"/>
  <c r="X349" i="45"/>
  <c r="Y349" i="45"/>
  <c r="P345" i="45" l="1"/>
  <c r="L344" i="45"/>
  <c r="L345" i="45"/>
  <c r="O345" i="45"/>
  <c r="X345" i="45"/>
  <c r="Y345" i="45"/>
  <c r="P322" i="45" l="1"/>
  <c r="L322" i="45"/>
  <c r="O322" i="45"/>
  <c r="X322" i="45"/>
  <c r="Y322" i="45"/>
  <c r="P342" i="45" l="1"/>
  <c r="P343" i="45"/>
  <c r="P344" i="45"/>
  <c r="P346" i="45"/>
  <c r="O340" i="45"/>
  <c r="P340" i="45"/>
  <c r="O346" i="45"/>
  <c r="X346" i="45"/>
  <c r="Y346" i="45"/>
  <c r="O321" i="45"/>
  <c r="P285" i="45" l="1"/>
  <c r="L285" i="45"/>
  <c r="O285" i="45"/>
  <c r="X285" i="45"/>
  <c r="Y285" i="45"/>
  <c r="L342" i="45" l="1"/>
  <c r="L343" i="45"/>
  <c r="O343" i="45"/>
  <c r="O344" i="45"/>
  <c r="X343" i="45"/>
  <c r="X344" i="45"/>
  <c r="Y343" i="45"/>
  <c r="Y344" i="45"/>
  <c r="O342" i="45"/>
  <c r="X342" i="45"/>
  <c r="Y342" i="45"/>
  <c r="L274" i="45" l="1"/>
  <c r="O274" i="45"/>
  <c r="X274" i="45"/>
  <c r="Y274" i="45"/>
  <c r="L340" i="45"/>
  <c r="X340" i="45"/>
  <c r="Y340" i="45"/>
  <c r="P339" i="45"/>
  <c r="L339" i="45"/>
  <c r="O339" i="45"/>
  <c r="X339" i="45"/>
  <c r="Y339" i="45"/>
  <c r="P332" i="45"/>
  <c r="P333" i="45"/>
  <c r="P335" i="45"/>
  <c r="P336" i="45"/>
  <c r="P337" i="45"/>
  <c r="P338" i="45"/>
  <c r="L335" i="45"/>
  <c r="L336" i="45"/>
  <c r="L337" i="45"/>
  <c r="L338" i="45"/>
  <c r="L332" i="45" l="1"/>
  <c r="O332" i="45"/>
  <c r="X332" i="45"/>
  <c r="Y332" i="45"/>
  <c r="O338" i="45"/>
  <c r="X338" i="45"/>
  <c r="Y338" i="45"/>
  <c r="O337" i="45"/>
  <c r="X337" i="45"/>
  <c r="Y337" i="45"/>
  <c r="O336" i="45"/>
  <c r="X336" i="45"/>
  <c r="Y336" i="45"/>
  <c r="O335" i="45"/>
  <c r="X335" i="45"/>
  <c r="Y335" i="45"/>
  <c r="P300" i="45" l="1"/>
  <c r="P301" i="45"/>
  <c r="L333" i="45" l="1"/>
  <c r="L300" i="45"/>
  <c r="L301" i="45"/>
  <c r="O300" i="45"/>
  <c r="X300" i="45"/>
  <c r="Y300" i="45"/>
  <c r="O301" i="45"/>
  <c r="X301" i="45"/>
  <c r="Y301" i="45"/>
  <c r="L273" i="45"/>
  <c r="O273" i="45"/>
  <c r="X273" i="45"/>
  <c r="Y273" i="45"/>
  <c r="P320" i="45" l="1"/>
  <c r="P321" i="45"/>
  <c r="P323" i="45"/>
  <c r="P324" i="45"/>
  <c r="P325" i="45"/>
  <c r="P326" i="45"/>
  <c r="P327" i="45"/>
  <c r="P328" i="45"/>
  <c r="P329" i="45"/>
  <c r="P330" i="45"/>
  <c r="P331" i="45"/>
  <c r="L328" i="45"/>
  <c r="L329" i="45"/>
  <c r="L330" i="45"/>
  <c r="O330" i="45"/>
  <c r="X330" i="45"/>
  <c r="Y330" i="45"/>
  <c r="O329" i="45"/>
  <c r="X329" i="45"/>
  <c r="Y329" i="45"/>
  <c r="O298" i="45" l="1"/>
  <c r="O333" i="45" l="1"/>
  <c r="X333" i="45"/>
  <c r="Y333" i="45"/>
  <c r="P309" i="45" l="1"/>
  <c r="P310" i="45"/>
  <c r="P311" i="45"/>
  <c r="P312" i="45"/>
  <c r="P313" i="45"/>
  <c r="P314" i="45"/>
  <c r="P315" i="45"/>
  <c r="P316" i="45"/>
  <c r="P317" i="45"/>
  <c r="P318" i="45"/>
  <c r="P319" i="45"/>
  <c r="L311" i="45"/>
  <c r="L312" i="45"/>
  <c r="L313" i="45"/>
  <c r="L314" i="45"/>
  <c r="L315" i="45"/>
  <c r="L316" i="45"/>
  <c r="L317" i="45"/>
  <c r="L318" i="45"/>
  <c r="L319" i="45"/>
  <c r="L320" i="45"/>
  <c r="O316" i="45"/>
  <c r="X316" i="45"/>
  <c r="Y316" i="45"/>
  <c r="O315" i="45"/>
  <c r="X315" i="45"/>
  <c r="Y315" i="45"/>
  <c r="O319" i="45"/>
  <c r="X319" i="45"/>
  <c r="Y319" i="45"/>
  <c r="O317" i="45"/>
  <c r="X317" i="45"/>
  <c r="Y317" i="45"/>
  <c r="O314" i="45"/>
  <c r="X314" i="45"/>
  <c r="Y314" i="45"/>
  <c r="O313" i="45"/>
  <c r="X313" i="45"/>
  <c r="Y313" i="45"/>
  <c r="O312" i="45"/>
  <c r="X312" i="45"/>
  <c r="Y312" i="45"/>
  <c r="O318" i="45"/>
  <c r="X318" i="45"/>
  <c r="Y318" i="45"/>
  <c r="O311" i="45"/>
  <c r="X311" i="45"/>
  <c r="Y311" i="45"/>
  <c r="O320" i="45"/>
  <c r="X320" i="45"/>
  <c r="Y320" i="45"/>
  <c r="P305" i="45"/>
  <c r="P306" i="45"/>
  <c r="P307" i="45"/>
  <c r="P308" i="45"/>
  <c r="L308" i="45"/>
  <c r="O308" i="45"/>
  <c r="X308" i="45"/>
  <c r="Y308" i="45"/>
  <c r="L306" i="45"/>
  <c r="O306" i="45"/>
  <c r="X306" i="45"/>
  <c r="Y306" i="45"/>
  <c r="L307" i="45"/>
  <c r="L305" i="45"/>
  <c r="O307" i="45"/>
  <c r="X307" i="45"/>
  <c r="Y307" i="45"/>
  <c r="O305" i="45"/>
  <c r="X305" i="45"/>
  <c r="Y305" i="45"/>
  <c r="L331" i="45"/>
  <c r="O331" i="45"/>
  <c r="X331" i="45"/>
  <c r="Y331" i="45"/>
  <c r="L327" i="45"/>
  <c r="L323" i="45"/>
  <c r="L324" i="45"/>
  <c r="L325" i="45"/>
  <c r="L326" i="45"/>
  <c r="O328" i="45"/>
  <c r="X328" i="45"/>
  <c r="Y328" i="45"/>
  <c r="O327" i="45"/>
  <c r="X327" i="45"/>
  <c r="Y327" i="45"/>
  <c r="O326" i="45"/>
  <c r="X326" i="45"/>
  <c r="Y326" i="45"/>
  <c r="O325" i="45"/>
  <c r="X325" i="45"/>
  <c r="Y325" i="45"/>
  <c r="O324" i="45"/>
  <c r="X324" i="45"/>
  <c r="Y324" i="45"/>
  <c r="O323" i="45"/>
  <c r="X323" i="45"/>
  <c r="Y323" i="45"/>
  <c r="L321" i="45"/>
  <c r="L310" i="45"/>
  <c r="P302" i="45"/>
  <c r="P303" i="45"/>
  <c r="P304" i="45"/>
  <c r="L303" i="45"/>
  <c r="L304" i="45"/>
  <c r="L302" i="45"/>
  <c r="O303" i="45"/>
  <c r="X303" i="45"/>
  <c r="Y303" i="45"/>
  <c r="O302" i="45"/>
  <c r="X302" i="45"/>
  <c r="Y302" i="45"/>
  <c r="O309" i="45"/>
  <c r="X309" i="45"/>
  <c r="Y309" i="45"/>
  <c r="O304" i="45"/>
  <c r="X304" i="45"/>
  <c r="Y304" i="45"/>
  <c r="O310" i="45"/>
  <c r="X310" i="45"/>
  <c r="Y310" i="45"/>
  <c r="P293" i="45" l="1"/>
  <c r="P294" i="45"/>
  <c r="P295" i="45"/>
  <c r="P296" i="45"/>
  <c r="P297" i="45"/>
  <c r="P298" i="45"/>
  <c r="P299" i="45"/>
  <c r="L299" i="45"/>
  <c r="O299" i="45"/>
  <c r="X299" i="45"/>
  <c r="Y299" i="45"/>
  <c r="P290" i="45" l="1"/>
  <c r="P291" i="45"/>
  <c r="L298" i="45" l="1"/>
  <c r="L297" i="45" l="1"/>
  <c r="O297" i="45"/>
  <c r="X297" i="45"/>
  <c r="Y297" i="45"/>
  <c r="L296" i="45"/>
  <c r="L295" i="45"/>
  <c r="L294" i="45"/>
  <c r="L293" i="45"/>
  <c r="O296" i="45"/>
  <c r="X296" i="45"/>
  <c r="Y296" i="45"/>
  <c r="O295" i="45"/>
  <c r="X295" i="45"/>
  <c r="Y295" i="45"/>
  <c r="O294" i="45"/>
  <c r="X294" i="45"/>
  <c r="Y294" i="45"/>
  <c r="O293" i="45"/>
  <c r="X293" i="45"/>
  <c r="Y293" i="45"/>
  <c r="L290" i="45"/>
  <c r="L291" i="45"/>
  <c r="O290" i="45"/>
  <c r="X290" i="45"/>
  <c r="Y290" i="45"/>
  <c r="O291" i="45"/>
  <c r="X291" i="45"/>
  <c r="Y291" i="45"/>
  <c r="P289" i="45" l="1"/>
  <c r="P292" i="45"/>
  <c r="L292" i="45"/>
  <c r="O292" i="45"/>
  <c r="X292" i="45"/>
  <c r="Y292" i="45"/>
  <c r="P288" i="45" l="1"/>
  <c r="L288" i="45"/>
  <c r="O288" i="45" l="1"/>
  <c r="X288" i="45"/>
  <c r="Y288" i="45"/>
  <c r="O289" i="45"/>
  <c r="X289" i="45"/>
  <c r="Y289" i="45"/>
  <c r="P256" i="45" l="1"/>
  <c r="L256" i="45"/>
  <c r="O256" i="45"/>
  <c r="X256" i="45"/>
  <c r="Y256" i="45"/>
  <c r="P254" i="45"/>
  <c r="P255" i="45"/>
  <c r="P258" i="45"/>
  <c r="P259" i="45"/>
  <c r="P260" i="45"/>
  <c r="L259" i="45"/>
  <c r="L260" i="45"/>
  <c r="L258" i="45"/>
  <c r="O258" i="45"/>
  <c r="X258" i="45"/>
  <c r="Y258" i="45"/>
  <c r="O260" i="45"/>
  <c r="X260" i="45"/>
  <c r="Y260" i="45"/>
  <c r="O259" i="45"/>
  <c r="X259" i="45"/>
  <c r="Y259" i="45"/>
  <c r="P277" i="45"/>
  <c r="P278" i="45"/>
  <c r="P279" i="45"/>
  <c r="P280" i="45"/>
  <c r="P281" i="45"/>
  <c r="P282" i="45"/>
  <c r="P283" i="45"/>
  <c r="P284" i="45"/>
  <c r="P286" i="45"/>
  <c r="P287" i="45"/>
  <c r="O287" i="45"/>
  <c r="K287" i="45" l="1"/>
  <c r="L284" i="45" l="1"/>
  <c r="L286" i="45"/>
  <c r="K283" i="45"/>
  <c r="L283" i="45" s="1"/>
  <c r="K282" i="45"/>
  <c r="L282" i="45" s="1"/>
  <c r="L278" i="45"/>
  <c r="L279" i="45"/>
  <c r="L280" i="45"/>
  <c r="L281" i="45"/>
  <c r="O280" i="45"/>
  <c r="X280" i="45"/>
  <c r="Y280" i="45"/>
  <c r="O282" i="45"/>
  <c r="X282" i="45"/>
  <c r="Y282" i="45"/>
  <c r="O281" i="45"/>
  <c r="X281" i="45"/>
  <c r="Y281" i="45"/>
  <c r="O279" i="45"/>
  <c r="X279" i="45"/>
  <c r="Y279" i="45"/>
  <c r="O283" i="45"/>
  <c r="X283" i="45"/>
  <c r="Y283" i="45"/>
  <c r="O284" i="45"/>
  <c r="X284" i="45"/>
  <c r="Y284" i="45"/>
  <c r="O286" i="45"/>
  <c r="X286" i="45"/>
  <c r="Y286" i="45"/>
  <c r="O278" i="45" l="1"/>
  <c r="X278" i="45"/>
  <c r="Y278" i="45"/>
  <c r="O167" i="45" l="1"/>
  <c r="P167" i="45"/>
  <c r="X167" i="45"/>
  <c r="Y167" i="45"/>
  <c r="P275" i="45"/>
  <c r="P276" i="45"/>
  <c r="P264" i="45" l="1"/>
  <c r="P265" i="45"/>
  <c r="P266" i="45"/>
  <c r="P267" i="45"/>
  <c r="P268" i="45"/>
  <c r="P269" i="45"/>
  <c r="O264" i="45"/>
  <c r="X264" i="45"/>
  <c r="Y264" i="45"/>
  <c r="O266" i="45"/>
  <c r="X266" i="45"/>
  <c r="Y266" i="45"/>
  <c r="O267" i="45"/>
  <c r="X267" i="45"/>
  <c r="Y267" i="45"/>
  <c r="O268" i="45"/>
  <c r="X268" i="45"/>
  <c r="Y268" i="45"/>
  <c r="O269" i="45"/>
  <c r="X269" i="45"/>
  <c r="Y269" i="45"/>
  <c r="O265" i="45"/>
  <c r="X265" i="45"/>
  <c r="Y265" i="45"/>
  <c r="L275" i="45"/>
  <c r="L276" i="45"/>
  <c r="L277" i="45"/>
  <c r="L255" i="45" l="1"/>
  <c r="L254" i="45"/>
  <c r="O255" i="45"/>
  <c r="X255" i="45"/>
  <c r="Y255" i="45"/>
  <c r="P270" i="45"/>
  <c r="L270" i="45"/>
  <c r="O270" i="45"/>
  <c r="X270" i="45"/>
  <c r="Y270" i="45"/>
  <c r="O275" i="45"/>
  <c r="X275" i="45"/>
  <c r="Y275" i="45"/>
  <c r="O276" i="45"/>
  <c r="X276" i="45"/>
  <c r="Y276" i="45"/>
  <c r="O277" i="45"/>
  <c r="X277" i="45"/>
  <c r="Y277" i="45"/>
  <c r="P272" i="45"/>
  <c r="L272" i="45"/>
  <c r="O272" i="45"/>
  <c r="X272" i="45"/>
  <c r="Y272" i="45"/>
  <c r="P271" i="45"/>
  <c r="L271" i="45"/>
  <c r="O271" i="45"/>
  <c r="X271" i="45"/>
  <c r="Y271" i="45"/>
  <c r="P263" i="45" l="1"/>
  <c r="P257" i="45"/>
  <c r="P261" i="45"/>
  <c r="P262" i="45"/>
  <c r="L263" i="45"/>
  <c r="L262" i="45"/>
  <c r="O262" i="45"/>
  <c r="X262" i="45"/>
  <c r="Y262" i="45"/>
  <c r="O263" i="45"/>
  <c r="X263" i="45"/>
  <c r="Y263" i="45"/>
  <c r="P147" i="45" l="1"/>
  <c r="L147" i="45"/>
  <c r="O147" i="45"/>
  <c r="X147" i="45"/>
  <c r="Y147" i="45"/>
  <c r="P136" i="45"/>
  <c r="P137" i="45"/>
  <c r="P138" i="45"/>
  <c r="P139" i="45"/>
  <c r="P140" i="45"/>
  <c r="P141" i="45"/>
  <c r="P142" i="45"/>
  <c r="P143" i="45"/>
  <c r="P144" i="45"/>
  <c r="P145" i="45"/>
  <c r="P146" i="45"/>
  <c r="O146" i="45"/>
  <c r="X146" i="45"/>
  <c r="Y146" i="45"/>
  <c r="O145" i="45"/>
  <c r="X145" i="45"/>
  <c r="Y145" i="45"/>
  <c r="O144" i="45"/>
  <c r="X144" i="45"/>
  <c r="Y144" i="45"/>
  <c r="O143" i="45"/>
  <c r="X143" i="45"/>
  <c r="Y143" i="45"/>
  <c r="O142" i="45"/>
  <c r="X142" i="45"/>
  <c r="Y142" i="45"/>
  <c r="O141" i="45"/>
  <c r="X141" i="45"/>
  <c r="Y141" i="45"/>
  <c r="O140" i="45"/>
  <c r="X140" i="45"/>
  <c r="Y140" i="45"/>
  <c r="O139" i="45"/>
  <c r="X139" i="45"/>
  <c r="Y139" i="45"/>
  <c r="O138" i="45"/>
  <c r="X138" i="45"/>
  <c r="Y138" i="45"/>
  <c r="O137" i="45"/>
  <c r="X137" i="45"/>
  <c r="Y137" i="45"/>
  <c r="O136" i="45"/>
  <c r="X136" i="45"/>
  <c r="Y136" i="45"/>
  <c r="L261" i="45" l="1"/>
  <c r="O261" i="45"/>
  <c r="X261" i="45"/>
  <c r="Y261" i="45"/>
  <c r="L181" i="45" l="1"/>
  <c r="L180" i="45"/>
  <c r="O181" i="45"/>
  <c r="X181" i="45"/>
  <c r="Y181" i="45"/>
  <c r="O180" i="45"/>
  <c r="X180" i="45"/>
  <c r="Y180" i="45"/>
  <c r="P192" i="45"/>
  <c r="P193" i="45"/>
  <c r="L193" i="45"/>
  <c r="O193" i="45"/>
  <c r="X193" i="45"/>
  <c r="Y193" i="45"/>
  <c r="P170" i="45"/>
  <c r="L170" i="45"/>
  <c r="O170" i="45"/>
  <c r="X170" i="45"/>
  <c r="Y170" i="45"/>
  <c r="O254" i="45"/>
  <c r="X254" i="45"/>
  <c r="Y254" i="45"/>
  <c r="P188" i="45" l="1"/>
  <c r="L188" i="45"/>
  <c r="O188" i="45"/>
  <c r="X188" i="45"/>
  <c r="Y188" i="45"/>
  <c r="L257" i="45" l="1"/>
  <c r="O257" i="45"/>
  <c r="X257" i="45"/>
  <c r="Y257" i="45"/>
  <c r="P231" i="45" l="1"/>
  <c r="P236" i="45"/>
  <c r="P235" i="45"/>
  <c r="L231" i="45"/>
  <c r="L236" i="45"/>
  <c r="L235" i="45"/>
  <c r="O231" i="45"/>
  <c r="X231" i="45"/>
  <c r="Y231" i="45"/>
  <c r="O235" i="45"/>
  <c r="X235" i="45"/>
  <c r="Y235" i="45"/>
  <c r="O236" i="45"/>
  <c r="X236" i="45"/>
  <c r="Y236" i="45"/>
  <c r="L172" i="45"/>
  <c r="P172" i="45"/>
  <c r="O172" i="45"/>
  <c r="X172" i="45"/>
  <c r="Y172" i="45"/>
  <c r="P253" i="45"/>
  <c r="L253" i="45"/>
  <c r="O253" i="45" l="1"/>
  <c r="X253" i="45"/>
  <c r="Y253" i="45"/>
  <c r="O252" i="45" l="1"/>
  <c r="P234" i="45"/>
  <c r="L234" i="45"/>
  <c r="O234" i="45"/>
  <c r="X234" i="45"/>
  <c r="Y234" i="45"/>
  <c r="P252" i="45"/>
  <c r="P251" i="45"/>
  <c r="P250" i="45"/>
  <c r="P249" i="45"/>
  <c r="L251" i="45"/>
  <c r="L250" i="45"/>
  <c r="L249" i="45"/>
  <c r="L252" i="45"/>
  <c r="O250" i="45"/>
  <c r="X250" i="45"/>
  <c r="Y250" i="45"/>
  <c r="O249" i="45"/>
  <c r="X249" i="45"/>
  <c r="Y249" i="45"/>
  <c r="O251" i="45"/>
  <c r="X251" i="45"/>
  <c r="Y251" i="45"/>
  <c r="P248" i="45" l="1"/>
  <c r="O248" i="45"/>
  <c r="L248" i="45"/>
  <c r="P227" i="45" l="1"/>
  <c r="P221" i="45"/>
  <c r="P225" i="45"/>
  <c r="P223" i="45"/>
  <c r="P224" i="45"/>
  <c r="P218" i="45"/>
  <c r="P228" i="45"/>
  <c r="P222" i="45"/>
  <c r="P217" i="45"/>
  <c r="P208" i="45"/>
  <c r="P206" i="45"/>
  <c r="P219" i="45"/>
  <c r="P220" i="45"/>
  <c r="P207" i="45"/>
  <c r="P215" i="45"/>
  <c r="P229" i="45"/>
  <c r="P226" i="45"/>
  <c r="P216" i="45"/>
  <c r="L224" i="45"/>
  <c r="L217" i="45"/>
  <c r="L208" i="45"/>
  <c r="L206" i="45"/>
  <c r="L219" i="45"/>
  <c r="L220" i="45"/>
  <c r="L207" i="45"/>
  <c r="L215" i="45"/>
  <c r="L229" i="45"/>
  <c r="L226" i="45"/>
  <c r="L216" i="45"/>
  <c r="L228" i="45"/>
  <c r="L222" i="45"/>
  <c r="O226" i="45"/>
  <c r="X226" i="45"/>
  <c r="Y226" i="45"/>
  <c r="O216" i="45"/>
  <c r="X216" i="45"/>
  <c r="Y216" i="45"/>
  <c r="O207" i="45"/>
  <c r="X207" i="45"/>
  <c r="Y207" i="45"/>
  <c r="O215" i="45"/>
  <c r="X215" i="45"/>
  <c r="Y215" i="45"/>
  <c r="O229" i="45"/>
  <c r="X229" i="45"/>
  <c r="Y229" i="45"/>
  <c r="O219" i="45"/>
  <c r="X219" i="45"/>
  <c r="Y219" i="45"/>
  <c r="O220" i="45"/>
  <c r="X220" i="45"/>
  <c r="Y220" i="45"/>
  <c r="O206" i="45"/>
  <c r="X206" i="45"/>
  <c r="Y206" i="45"/>
  <c r="O217" i="45"/>
  <c r="X217" i="45"/>
  <c r="Y217" i="45"/>
  <c r="O208" i="45"/>
  <c r="X208" i="45"/>
  <c r="Y208" i="45"/>
  <c r="O224" i="45"/>
  <c r="X224" i="45"/>
  <c r="Y224" i="45"/>
  <c r="L218" i="45"/>
  <c r="L223" i="45"/>
  <c r="O223" i="45"/>
  <c r="X223" i="45"/>
  <c r="Y223" i="45"/>
  <c r="O218" i="45"/>
  <c r="X218" i="45"/>
  <c r="Y218" i="45"/>
  <c r="O222" i="45"/>
  <c r="X222" i="45"/>
  <c r="Y222" i="45"/>
  <c r="O228" i="45"/>
  <c r="X228" i="45"/>
  <c r="Y228" i="45"/>
  <c r="L225" i="45"/>
  <c r="L221" i="45"/>
  <c r="L227" i="45"/>
  <c r="P166" i="45" l="1"/>
  <c r="L36" i="45"/>
  <c r="L7" i="45"/>
  <c r="L8" i="45"/>
  <c r="L9" i="45"/>
  <c r="L6" i="45"/>
  <c r="P89" i="45"/>
  <c r="P246" i="45"/>
  <c r="P239" i="45"/>
  <c r="P240" i="45"/>
  <c r="P241" i="45"/>
  <c r="P238" i="45"/>
  <c r="P237" i="45"/>
  <c r="P243" i="45"/>
  <c r="P245" i="45"/>
  <c r="P244" i="45"/>
  <c r="P242" i="45"/>
  <c r="P232" i="45"/>
  <c r="P233" i="45"/>
  <c r="L244" i="45"/>
  <c r="O244" i="45"/>
  <c r="X244" i="45"/>
  <c r="Y244" i="45"/>
  <c r="L237" i="45"/>
  <c r="O237" i="45"/>
  <c r="X237" i="45"/>
  <c r="Y237" i="45"/>
  <c r="L239" i="45"/>
  <c r="L240" i="45"/>
  <c r="L241" i="45"/>
  <c r="L238" i="45"/>
  <c r="L243" i="45"/>
  <c r="L245" i="45"/>
  <c r="L242" i="45"/>
  <c r="L232" i="45"/>
  <c r="L233" i="45"/>
  <c r="L246" i="45"/>
  <c r="O233" i="45"/>
  <c r="X233" i="45"/>
  <c r="X248" i="45"/>
  <c r="X252" i="45"/>
  <c r="Y233" i="45"/>
  <c r="Y248" i="45"/>
  <c r="Y252" i="45"/>
  <c r="O239" i="45"/>
  <c r="O240" i="45"/>
  <c r="O241" i="45"/>
  <c r="O238" i="45"/>
  <c r="O243" i="45"/>
  <c r="O245" i="45"/>
  <c r="O242" i="45"/>
  <c r="O232" i="45"/>
  <c r="X239" i="45"/>
  <c r="X240" i="45"/>
  <c r="X241" i="45"/>
  <c r="X238" i="45"/>
  <c r="X243" i="45"/>
  <c r="X245" i="45"/>
  <c r="X242" i="45"/>
  <c r="X232" i="45"/>
  <c r="Y239" i="45"/>
  <c r="Y240" i="45"/>
  <c r="Y241" i="45"/>
  <c r="Y238" i="45"/>
  <c r="Y243" i="45"/>
  <c r="Y245" i="45"/>
  <c r="Y242" i="45"/>
  <c r="Y232" i="45"/>
  <c r="O246" i="45"/>
  <c r="X246" i="45"/>
  <c r="Y246" i="45"/>
  <c r="O227" i="45"/>
  <c r="X227" i="45"/>
  <c r="Y227" i="45"/>
  <c r="O221" i="45"/>
  <c r="X221" i="45"/>
  <c r="Y221" i="45"/>
  <c r="O225" i="45"/>
  <c r="X225" i="45"/>
  <c r="Y225" i="45"/>
  <c r="P247" i="45" l="1"/>
  <c r="P210" i="45"/>
  <c r="P230" i="45"/>
  <c r="L247" i="45"/>
  <c r="L230" i="45"/>
  <c r="O247" i="45" l="1"/>
  <c r="X247" i="45"/>
  <c r="Y247" i="45"/>
  <c r="O230" i="45"/>
  <c r="X230" i="45"/>
  <c r="Y230" i="45"/>
  <c r="P198" i="45"/>
  <c r="P205" i="45"/>
  <c r="P201" i="45"/>
  <c r="P203" i="45"/>
  <c r="P199" i="45"/>
  <c r="P200" i="45"/>
  <c r="P211" i="45"/>
  <c r="P209" i="45"/>
  <c r="P212" i="45"/>
  <c r="P213" i="45"/>
  <c r="P214" i="45"/>
  <c r="O209" i="45"/>
  <c r="O212" i="45"/>
  <c r="O210" i="45"/>
  <c r="O213" i="45"/>
  <c r="O214" i="45"/>
  <c r="X209" i="45"/>
  <c r="X212" i="45"/>
  <c r="X210" i="45"/>
  <c r="X213" i="45"/>
  <c r="X214" i="45"/>
  <c r="Y209" i="45"/>
  <c r="Y212" i="45"/>
  <c r="Y210" i="45"/>
  <c r="Y213" i="45"/>
  <c r="Y214" i="45"/>
  <c r="O211" i="45"/>
  <c r="X211" i="45"/>
  <c r="Y211" i="45"/>
  <c r="O179" i="45" l="1"/>
  <c r="X179" i="45"/>
  <c r="Y179" i="45"/>
  <c r="O89" i="45"/>
  <c r="X89" i="45"/>
  <c r="Y89" i="45"/>
  <c r="O205" i="45"/>
  <c r="O201" i="45"/>
  <c r="O203" i="45"/>
  <c r="O199" i="45"/>
  <c r="O202" i="45"/>
  <c r="O200" i="45"/>
  <c r="X205" i="45"/>
  <c r="X201" i="45"/>
  <c r="X203" i="45"/>
  <c r="X199" i="45"/>
  <c r="X202" i="45"/>
  <c r="X200" i="45"/>
  <c r="Y205" i="45"/>
  <c r="Y201" i="45"/>
  <c r="Y203" i="45"/>
  <c r="Y199" i="45"/>
  <c r="Y202" i="45"/>
  <c r="Y200" i="45"/>
  <c r="O204" i="45"/>
  <c r="X204" i="45"/>
  <c r="Y204" i="45"/>
  <c r="Y191" i="45" l="1"/>
  <c r="X191" i="45"/>
  <c r="O191" i="45"/>
  <c r="O198" i="45" l="1"/>
  <c r="X198" i="45"/>
  <c r="Y198" i="45"/>
  <c r="O166" i="45"/>
  <c r="X166" i="45"/>
  <c r="Y166" i="45"/>
  <c r="O156" i="45"/>
  <c r="X156" i="45"/>
  <c r="Y156" i="45"/>
  <c r="P197" i="45" l="1"/>
  <c r="O197" i="45"/>
  <c r="X197" i="45"/>
  <c r="Y197" i="45"/>
  <c r="L192" i="45" l="1"/>
  <c r="O192" i="45" l="1"/>
  <c r="X192" i="45"/>
  <c r="Y192" i="45"/>
  <c r="P195" i="45" l="1"/>
  <c r="P196" i="45"/>
  <c r="O196" i="45"/>
  <c r="X196" i="45"/>
  <c r="Y196" i="45"/>
  <c r="O195" i="45" l="1"/>
  <c r="X195" i="45"/>
  <c r="Y195" i="45"/>
  <c r="P176" i="45" l="1"/>
  <c r="P177" i="45"/>
  <c r="P178" i="45"/>
  <c r="P185" i="45"/>
  <c r="P186" i="45"/>
  <c r="P184" i="45"/>
  <c r="P182" i="45"/>
  <c r="P189" i="45"/>
  <c r="P187" i="45"/>
  <c r="P183" i="45"/>
  <c r="P190" i="45"/>
  <c r="P175" i="45"/>
  <c r="P173" i="45"/>
  <c r="P174" i="45"/>
  <c r="P171" i="45"/>
  <c r="O174" i="45"/>
  <c r="X174" i="45"/>
  <c r="Y174" i="45"/>
  <c r="O173" i="45"/>
  <c r="X173" i="45"/>
  <c r="Y173" i="45"/>
  <c r="O171" i="45"/>
  <c r="X171" i="45"/>
  <c r="Y171" i="45"/>
  <c r="L177" i="45" l="1"/>
  <c r="L175" i="45"/>
  <c r="L176" i="45"/>
  <c r="O178" i="45"/>
  <c r="X178" i="45"/>
  <c r="Y178" i="45"/>
  <c r="O177" i="45"/>
  <c r="X177" i="45"/>
  <c r="Y177" i="45"/>
  <c r="O176" i="45"/>
  <c r="X176" i="45"/>
  <c r="Y176" i="45"/>
  <c r="O175" i="45"/>
  <c r="X175" i="45"/>
  <c r="Y175" i="45"/>
  <c r="O190" i="45" l="1"/>
  <c r="X190" i="45"/>
  <c r="Y190" i="45"/>
  <c r="O184" i="45" l="1"/>
  <c r="X184" i="45"/>
  <c r="Y184" i="45"/>
  <c r="L186" i="45"/>
  <c r="L185" i="45"/>
  <c r="O189" i="45"/>
  <c r="O187" i="45"/>
  <c r="O183" i="45"/>
  <c r="X189" i="45"/>
  <c r="X187" i="45"/>
  <c r="X183" i="45"/>
  <c r="Y189" i="45"/>
  <c r="Y187" i="45"/>
  <c r="Y183" i="45"/>
  <c r="O5" i="45" l="1"/>
  <c r="O6" i="45"/>
  <c r="O7" i="45"/>
  <c r="O8" i="45"/>
  <c r="O9" i="45"/>
  <c r="O11" i="45"/>
  <c r="O10" i="45"/>
  <c r="O12" i="45"/>
  <c r="O13" i="45"/>
  <c r="O18" i="45"/>
  <c r="O14" i="45"/>
  <c r="O15" i="45"/>
  <c r="O17" i="45"/>
  <c r="O16" i="45"/>
  <c r="O19" i="45"/>
  <c r="O20" i="45"/>
  <c r="O21" i="45"/>
  <c r="O22" i="45"/>
  <c r="O23" i="45"/>
  <c r="O26" i="45"/>
  <c r="O25" i="45"/>
  <c r="O24" i="45"/>
  <c r="O27" i="45"/>
  <c r="O28" i="45"/>
  <c r="O29" i="45"/>
  <c r="O30" i="45"/>
  <c r="O31" i="45"/>
  <c r="O32" i="45"/>
  <c r="O33" i="45"/>
  <c r="O35" i="45"/>
  <c r="O4" i="45"/>
  <c r="O34" i="45"/>
  <c r="O36" i="45"/>
  <c r="O37" i="45"/>
  <c r="O38" i="45"/>
  <c r="O39" i="45"/>
  <c r="O43" i="45"/>
  <c r="O42" i="45"/>
  <c r="O41" i="45"/>
  <c r="O40" i="45"/>
  <c r="O44" i="45"/>
  <c r="O45" i="45"/>
  <c r="O46" i="45"/>
  <c r="O51" i="45"/>
  <c r="O47" i="45"/>
  <c r="O48" i="45"/>
  <c r="O50" i="45"/>
  <c r="O49" i="45"/>
  <c r="O52" i="45"/>
  <c r="O53" i="45"/>
  <c r="O54" i="45"/>
  <c r="O55" i="45"/>
  <c r="O57" i="45"/>
  <c r="O58" i="45"/>
  <c r="O56" i="45"/>
  <c r="O59" i="45"/>
  <c r="O61" i="45"/>
  <c r="O60" i="45"/>
  <c r="O62" i="45"/>
  <c r="O63" i="45"/>
  <c r="O64" i="45"/>
  <c r="O65" i="45"/>
  <c r="O67" i="45"/>
  <c r="O66" i="45"/>
  <c r="O68" i="45"/>
  <c r="O70" i="45"/>
  <c r="O69" i="45"/>
  <c r="O72" i="45"/>
  <c r="O71" i="45"/>
  <c r="O74" i="45"/>
  <c r="O73" i="45"/>
  <c r="O75" i="45"/>
  <c r="O76" i="45"/>
  <c r="O77" i="45"/>
  <c r="O78" i="45"/>
  <c r="O79" i="45"/>
  <c r="O86" i="45"/>
  <c r="O85" i="45"/>
  <c r="O83" i="45"/>
  <c r="O81" i="45"/>
  <c r="O82" i="45"/>
  <c r="O84" i="45"/>
  <c r="O80" i="45"/>
  <c r="O88" i="45"/>
  <c r="O87" i="45"/>
  <c r="O90" i="45"/>
  <c r="O91" i="45"/>
  <c r="O92" i="45"/>
  <c r="O93" i="45"/>
  <c r="O96" i="45"/>
  <c r="O97" i="45"/>
  <c r="O94" i="45"/>
  <c r="O95" i="45"/>
  <c r="O98" i="45"/>
  <c r="O106" i="45"/>
  <c r="O101" i="45"/>
  <c r="O99" i="45"/>
  <c r="O105" i="45"/>
  <c r="O103" i="45"/>
  <c r="O100" i="45"/>
  <c r="O102" i="45"/>
  <c r="O104" i="45"/>
  <c r="O107" i="45"/>
  <c r="O108" i="45"/>
  <c r="O114" i="45"/>
  <c r="O109" i="45"/>
  <c r="O113" i="45"/>
  <c r="O112" i="45"/>
  <c r="O110" i="45"/>
  <c r="O111" i="45"/>
  <c r="O120" i="45"/>
  <c r="O127" i="45"/>
  <c r="O126" i="45"/>
  <c r="O124" i="45"/>
  <c r="O125" i="45"/>
  <c r="O123" i="45"/>
  <c r="O122" i="45"/>
  <c r="O121" i="45"/>
  <c r="O119" i="45"/>
  <c r="O115" i="45"/>
  <c r="O116" i="45"/>
  <c r="O117" i="45"/>
  <c r="O118" i="45"/>
  <c r="O128" i="45"/>
  <c r="O134" i="45"/>
  <c r="O133" i="45"/>
  <c r="O135" i="45"/>
  <c r="O148" i="45"/>
  <c r="O149" i="45"/>
  <c r="O150" i="45"/>
  <c r="O151" i="45"/>
  <c r="O152" i="45"/>
  <c r="O153" i="45"/>
  <c r="O155" i="45"/>
  <c r="O154" i="45"/>
  <c r="O157" i="45"/>
  <c r="O158" i="45"/>
  <c r="O132" i="45"/>
  <c r="O130" i="45"/>
  <c r="O131" i="45"/>
  <c r="O129" i="45"/>
  <c r="O159" i="45"/>
  <c r="O160" i="45"/>
  <c r="O163" i="45"/>
  <c r="O164" i="45"/>
  <c r="O162" i="45"/>
  <c r="O161" i="45"/>
  <c r="O165" i="45"/>
  <c r="O168" i="45"/>
  <c r="O194" i="45"/>
  <c r="O185" i="45"/>
  <c r="O186" i="45"/>
  <c r="O182" i="45"/>
  <c r="Y5" i="45"/>
  <c r="Y6" i="45"/>
  <c r="Y7" i="45"/>
  <c r="Y8" i="45"/>
  <c r="Y9" i="45"/>
  <c r="Y11" i="45"/>
  <c r="Y10" i="45"/>
  <c r="Y12" i="45"/>
  <c r="Y13" i="45"/>
  <c r="Y18" i="45"/>
  <c r="Y14" i="45"/>
  <c r="Y15" i="45"/>
  <c r="Y17" i="45"/>
  <c r="Y16" i="45"/>
  <c r="Y19" i="45"/>
  <c r="Y20" i="45"/>
  <c r="Y21" i="45"/>
  <c r="Y22" i="45"/>
  <c r="Y23" i="45"/>
  <c r="Y26" i="45"/>
  <c r="Y25" i="45"/>
  <c r="Y24" i="45"/>
  <c r="Y27" i="45"/>
  <c r="Y28" i="45"/>
  <c r="Y29" i="45"/>
  <c r="Y30" i="45"/>
  <c r="Y31" i="45"/>
  <c r="Y32" i="45"/>
  <c r="Y33" i="45"/>
  <c r="Y35" i="45"/>
  <c r="Y4" i="45"/>
  <c r="Y34" i="45"/>
  <c r="Y36" i="45"/>
  <c r="Y37" i="45"/>
  <c r="Y38" i="45"/>
  <c r="Y39" i="45"/>
  <c r="Y43" i="45"/>
  <c r="Y42" i="45"/>
  <c r="Y41" i="45"/>
  <c r="Y40" i="45"/>
  <c r="Y44" i="45"/>
  <c r="Y45" i="45"/>
  <c r="Y46" i="45"/>
  <c r="Y51" i="45"/>
  <c r="Y47" i="45"/>
  <c r="Y48" i="45"/>
  <c r="Y50" i="45"/>
  <c r="Y49" i="45"/>
  <c r="Y52" i="45"/>
  <c r="Y53" i="45"/>
  <c r="Y54" i="45"/>
  <c r="Y55" i="45"/>
  <c r="Y57" i="45"/>
  <c r="Y58" i="45"/>
  <c r="Y56" i="45"/>
  <c r="Y59" i="45"/>
  <c r="Y61" i="45"/>
  <c r="Y60" i="45"/>
  <c r="Y62" i="45"/>
  <c r="Y63" i="45"/>
  <c r="Y64" i="45"/>
  <c r="Y65" i="45"/>
  <c r="Y67" i="45"/>
  <c r="Y66" i="45"/>
  <c r="Y68" i="45"/>
  <c r="Y70" i="45"/>
  <c r="Y69" i="45"/>
  <c r="Y72" i="45"/>
  <c r="Y71" i="45"/>
  <c r="Y74" i="45"/>
  <c r="Y73" i="45"/>
  <c r="Y75" i="45"/>
  <c r="Y76" i="45"/>
  <c r="Y77" i="45"/>
  <c r="Y78" i="45"/>
  <c r="Y79" i="45"/>
  <c r="Y86" i="45"/>
  <c r="Y85" i="45"/>
  <c r="Y83" i="45"/>
  <c r="Y81" i="45"/>
  <c r="Y82" i="45"/>
  <c r="Y84" i="45"/>
  <c r="Y80" i="45"/>
  <c r="Y88" i="45"/>
  <c r="Y87" i="45"/>
  <c r="Y90" i="45"/>
  <c r="Y91" i="45"/>
  <c r="Y92" i="45"/>
  <c r="Y93" i="45"/>
  <c r="Y96" i="45"/>
  <c r="Y97" i="45"/>
  <c r="Y94" i="45"/>
  <c r="Y95" i="45"/>
  <c r="Y98" i="45"/>
  <c r="Y106" i="45"/>
  <c r="Y101" i="45"/>
  <c r="Y99" i="45"/>
  <c r="Y105" i="45"/>
  <c r="Y103" i="45"/>
  <c r="Y100" i="45"/>
  <c r="Y102" i="45"/>
  <c r="Y104" i="45"/>
  <c r="Y107" i="45"/>
  <c r="Y108" i="45"/>
  <c r="Y114" i="45"/>
  <c r="Y109" i="45"/>
  <c r="Y113" i="45"/>
  <c r="Y112" i="45"/>
  <c r="Y110" i="45"/>
  <c r="Y111" i="45"/>
  <c r="Y120" i="45"/>
  <c r="Y127" i="45"/>
  <c r="Y126" i="45"/>
  <c r="Y124" i="45"/>
  <c r="Y125" i="45"/>
  <c r="Y123" i="45"/>
  <c r="Y122" i="45"/>
  <c r="Y121" i="45"/>
  <c r="Y119" i="45"/>
  <c r="Y115" i="45"/>
  <c r="Y116" i="45"/>
  <c r="Y117" i="45"/>
  <c r="Y118" i="45"/>
  <c r="Y128" i="45"/>
  <c r="Y134" i="45"/>
  <c r="Y133" i="45"/>
  <c r="Y135" i="45"/>
  <c r="Y148" i="45"/>
  <c r="Y149" i="45"/>
  <c r="Y150" i="45"/>
  <c r="Y151" i="45"/>
  <c r="Y152" i="45"/>
  <c r="Y153" i="45"/>
  <c r="Y155" i="45"/>
  <c r="Y154" i="45"/>
  <c r="Y157" i="45"/>
  <c r="Y158" i="45"/>
  <c r="Y132" i="45"/>
  <c r="Y130" i="45"/>
  <c r="Y131" i="45"/>
  <c r="Y129" i="45"/>
  <c r="Y159" i="45"/>
  <c r="Y160" i="45"/>
  <c r="Y163" i="45"/>
  <c r="Y164" i="45"/>
  <c r="Y162" i="45"/>
  <c r="Y161" i="45"/>
  <c r="Y165" i="45"/>
  <c r="Y168" i="45"/>
  <c r="Y194" i="45"/>
  <c r="Y185" i="45"/>
  <c r="Y186" i="45"/>
  <c r="Y182" i="45"/>
  <c r="X5" i="45"/>
  <c r="X6" i="45"/>
  <c r="X7" i="45"/>
  <c r="X8" i="45"/>
  <c r="X9" i="45"/>
  <c r="X11" i="45"/>
  <c r="X10" i="45"/>
  <c r="X12" i="45"/>
  <c r="X13" i="45"/>
  <c r="X18" i="45"/>
  <c r="X14" i="45"/>
  <c r="X15" i="45"/>
  <c r="X17" i="45"/>
  <c r="X16" i="45"/>
  <c r="X19" i="45"/>
  <c r="X20" i="45"/>
  <c r="X21" i="45"/>
  <c r="X22" i="45"/>
  <c r="X23" i="45"/>
  <c r="X26" i="45"/>
  <c r="X25" i="45"/>
  <c r="X24" i="45"/>
  <c r="X27" i="45"/>
  <c r="X28" i="45"/>
  <c r="X29" i="45"/>
  <c r="X30" i="45"/>
  <c r="X31" i="45"/>
  <c r="X32" i="45"/>
  <c r="X33" i="45"/>
  <c r="X35" i="45"/>
  <c r="X4" i="45"/>
  <c r="X34" i="45"/>
  <c r="X36" i="45"/>
  <c r="X37" i="45"/>
  <c r="X38" i="45"/>
  <c r="X39" i="45"/>
  <c r="X43" i="45"/>
  <c r="X42" i="45"/>
  <c r="X41" i="45"/>
  <c r="X40" i="45"/>
  <c r="X44" i="45"/>
  <c r="X45" i="45"/>
  <c r="X46" i="45"/>
  <c r="X51" i="45"/>
  <c r="X47" i="45"/>
  <c r="X48" i="45"/>
  <c r="X50" i="45"/>
  <c r="X49" i="45"/>
  <c r="X52" i="45"/>
  <c r="X53" i="45"/>
  <c r="X54" i="45"/>
  <c r="X55" i="45"/>
  <c r="X57" i="45"/>
  <c r="X58" i="45"/>
  <c r="X56" i="45"/>
  <c r="X59" i="45"/>
  <c r="X61" i="45"/>
  <c r="X60" i="45"/>
  <c r="X62" i="45"/>
  <c r="X63" i="45"/>
  <c r="X64" i="45"/>
  <c r="X65" i="45"/>
  <c r="X67" i="45"/>
  <c r="X66" i="45"/>
  <c r="X68" i="45"/>
  <c r="X70" i="45"/>
  <c r="X69" i="45"/>
  <c r="X72" i="45"/>
  <c r="X71" i="45"/>
  <c r="X74" i="45"/>
  <c r="X73" i="45"/>
  <c r="X75" i="45"/>
  <c r="X76" i="45"/>
  <c r="X77" i="45"/>
  <c r="X78" i="45"/>
  <c r="X79" i="45"/>
  <c r="X86" i="45"/>
  <c r="X85" i="45"/>
  <c r="X83" i="45"/>
  <c r="X81" i="45"/>
  <c r="X82" i="45"/>
  <c r="X84" i="45"/>
  <c r="X80" i="45"/>
  <c r="X88" i="45"/>
  <c r="X87" i="45"/>
  <c r="X90" i="45"/>
  <c r="X91" i="45"/>
  <c r="X92" i="45"/>
  <c r="X93" i="45"/>
  <c r="X96" i="45"/>
  <c r="X97" i="45"/>
  <c r="X94" i="45"/>
  <c r="X95" i="45"/>
  <c r="X98" i="45"/>
  <c r="X106" i="45"/>
  <c r="X101" i="45"/>
  <c r="X99" i="45"/>
  <c r="X105" i="45"/>
  <c r="X103" i="45"/>
  <c r="X100" i="45"/>
  <c r="X102" i="45"/>
  <c r="X104" i="45"/>
  <c r="X107" i="45"/>
  <c r="X108" i="45"/>
  <c r="X114" i="45"/>
  <c r="X109" i="45"/>
  <c r="X113" i="45"/>
  <c r="X112" i="45"/>
  <c r="X110" i="45"/>
  <c r="X111" i="45"/>
  <c r="X120" i="45"/>
  <c r="X127" i="45"/>
  <c r="X126" i="45"/>
  <c r="X124" i="45"/>
  <c r="X125" i="45"/>
  <c r="X123" i="45"/>
  <c r="X122" i="45"/>
  <c r="X121" i="45"/>
  <c r="X119" i="45"/>
  <c r="X115" i="45"/>
  <c r="X116" i="45"/>
  <c r="X117" i="45"/>
  <c r="X118" i="45"/>
  <c r="X128" i="45"/>
  <c r="X134" i="45"/>
  <c r="X133" i="45"/>
  <c r="X135" i="45"/>
  <c r="X148" i="45"/>
  <c r="X149" i="45"/>
  <c r="X150" i="45"/>
  <c r="X151" i="45"/>
  <c r="X152" i="45"/>
  <c r="X153" i="45"/>
  <c r="X155" i="45"/>
  <c r="X154" i="45"/>
  <c r="X157" i="45"/>
  <c r="X158" i="45"/>
  <c r="X132" i="45"/>
  <c r="X130" i="45"/>
  <c r="X131" i="45"/>
  <c r="X129" i="45"/>
  <c r="X159" i="45"/>
  <c r="X160" i="45"/>
  <c r="X163" i="45"/>
  <c r="X164" i="45"/>
  <c r="X162" i="45"/>
  <c r="X161" i="45"/>
  <c r="X165" i="45"/>
  <c r="X168" i="45"/>
  <c r="X194" i="45"/>
  <c r="X185" i="45"/>
  <c r="X186" i="45"/>
  <c r="X182" i="45"/>
  <c r="P163" i="45" l="1"/>
  <c r="P164" i="45"/>
  <c r="P162" i="45"/>
  <c r="P161" i="45"/>
  <c r="P165" i="45"/>
  <c r="P168" i="45"/>
  <c r="L161" i="45" l="1"/>
  <c r="L162" i="45"/>
  <c r="L163" i="45"/>
  <c r="P160" i="45" l="1"/>
  <c r="P129" i="45" l="1"/>
  <c r="P131" i="45"/>
  <c r="P130" i="45"/>
  <c r="P132" i="45"/>
  <c r="P159" i="45"/>
  <c r="P158" i="45"/>
  <c r="P157" i="45"/>
  <c r="P154" i="45"/>
  <c r="P155" i="45"/>
  <c r="P153" i="45"/>
  <c r="P152" i="45"/>
  <c r="P151" i="45"/>
  <c r="P150" i="45"/>
  <c r="P149" i="45"/>
  <c r="P148" i="45"/>
  <c r="P135" i="45"/>
  <c r="P133" i="45"/>
  <c r="P134" i="45"/>
  <c r="P128" i="45"/>
  <c r="P118" i="45"/>
  <c r="P117" i="45"/>
  <c r="P116" i="45"/>
  <c r="P115" i="45"/>
  <c r="P119" i="45"/>
  <c r="P121" i="45"/>
  <c r="P122" i="45"/>
  <c r="P123" i="45"/>
  <c r="P125" i="45"/>
  <c r="P124" i="45"/>
  <c r="P126" i="45"/>
  <c r="P127" i="45"/>
  <c r="P120" i="45"/>
  <c r="P111" i="45"/>
  <c r="P110" i="45"/>
  <c r="P112" i="45"/>
  <c r="P113" i="45"/>
  <c r="P109" i="45"/>
  <c r="P114" i="45"/>
  <c r="P108" i="45"/>
  <c r="P107" i="45"/>
  <c r="P104" i="45"/>
  <c r="P102" i="45"/>
  <c r="P100" i="45"/>
  <c r="P103" i="45"/>
  <c r="P105" i="45"/>
  <c r="P99" i="45"/>
  <c r="P101" i="45"/>
  <c r="P106" i="45"/>
  <c r="P98" i="45"/>
  <c r="P95" i="45"/>
  <c r="P94" i="45"/>
  <c r="P97" i="45"/>
  <c r="P96" i="45"/>
  <c r="P93" i="45"/>
  <c r="P92" i="45"/>
  <c r="P91" i="45"/>
  <c r="P90" i="45"/>
  <c r="P87" i="45"/>
  <c r="P88" i="45"/>
  <c r="P80" i="45"/>
  <c r="P84" i="45"/>
  <c r="P82" i="45"/>
  <c r="P81" i="45"/>
  <c r="P83" i="45"/>
  <c r="P85" i="45"/>
  <c r="P86" i="45"/>
  <c r="P79" i="45"/>
  <c r="P78" i="45"/>
  <c r="P77" i="45"/>
  <c r="P76" i="45"/>
  <c r="P75" i="45"/>
  <c r="P73" i="45"/>
  <c r="P74" i="45"/>
  <c r="P71" i="45"/>
  <c r="P72" i="45"/>
  <c r="P69" i="45"/>
  <c r="P70" i="45"/>
  <c r="P68" i="45"/>
  <c r="P66" i="45"/>
  <c r="P67" i="45"/>
  <c r="P65" i="45"/>
  <c r="P64" i="45"/>
  <c r="P63" i="45"/>
  <c r="P62" i="45"/>
  <c r="P60" i="45"/>
  <c r="P61" i="45"/>
  <c r="P59" i="45"/>
  <c r="P56" i="45"/>
  <c r="P58" i="45"/>
  <c r="P57" i="45"/>
  <c r="P55" i="45"/>
  <c r="P54" i="45"/>
  <c r="P53" i="45"/>
  <c r="P52" i="45"/>
  <c r="P49" i="45"/>
  <c r="P50" i="45"/>
  <c r="P48" i="45"/>
  <c r="P47" i="45"/>
  <c r="P51" i="45"/>
  <c r="P46" i="45"/>
  <c r="P45" i="45"/>
  <c r="P44" i="45"/>
  <c r="P40" i="45"/>
  <c r="P41" i="45"/>
  <c r="P42" i="45"/>
  <c r="P43" i="45"/>
  <c r="P39" i="45"/>
  <c r="P38" i="45"/>
  <c r="P37" i="45"/>
  <c r="P36" i="45"/>
  <c r="P34" i="45"/>
  <c r="P4" i="45"/>
  <c r="P35" i="45"/>
  <c r="P33" i="45"/>
  <c r="P32" i="45"/>
  <c r="P31" i="45"/>
  <c r="P30" i="45"/>
  <c r="P29" i="45"/>
  <c r="P28" i="45"/>
  <c r="P27" i="45"/>
  <c r="P24" i="45"/>
  <c r="P25" i="45"/>
  <c r="P26" i="45"/>
  <c r="P23" i="45"/>
  <c r="P22" i="45"/>
  <c r="P21" i="45"/>
  <c r="P20" i="45"/>
  <c r="P19" i="45"/>
  <c r="P16" i="45"/>
  <c r="P17" i="45"/>
  <c r="P15" i="45"/>
  <c r="P14" i="45"/>
  <c r="P18" i="45"/>
  <c r="P13" i="45"/>
  <c r="P12" i="45"/>
  <c r="P10" i="45"/>
  <c r="P11" i="45"/>
  <c r="P9" i="45"/>
  <c r="P8" i="45"/>
  <c r="P7" i="45"/>
  <c r="P6" i="45"/>
  <c r="P5" i="45"/>
  <c r="L152" i="45" l="1"/>
  <c r="L151" i="45" l="1"/>
  <c r="L150" i="45"/>
  <c r="L15" i="45" l="1"/>
  <c r="L13" i="45"/>
  <c r="L18" i="4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F.Perazzo</author>
  </authors>
  <commentList>
    <comment ref="N6" authorId="0" shapeId="0" xr:uid="{00000000-0006-0000-0200-000001000000}">
      <text>
        <r>
          <rPr>
            <b/>
            <sz val="9"/>
            <color indexed="81"/>
            <rFont val="Tahoma"/>
            <family val="2"/>
          </rPr>
          <t>F.Perazzo:</t>
        </r>
        <r>
          <rPr>
            <sz val="9"/>
            <color indexed="81"/>
            <rFont val="Tahoma"/>
            <family val="2"/>
          </rPr>
          <t xml:space="preserve">
Si es acreditado no requere silicitarse trazabilidad de sus patrones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F.Perazzo</author>
  </authors>
  <commentList>
    <comment ref="N6" authorId="0" shapeId="0" xr:uid="{00000000-0006-0000-0300-000001000000}">
      <text>
        <r>
          <rPr>
            <b/>
            <sz val="11"/>
            <color indexed="81"/>
            <rFont val="Tahoma"/>
            <family val="2"/>
          </rPr>
          <t>F.Perazzo:</t>
        </r>
        <r>
          <rPr>
            <sz val="11"/>
            <color indexed="81"/>
            <rFont val="Tahoma"/>
            <family val="2"/>
          </rPr>
          <t xml:space="preserve">
Si es acreditado no requere silicitarse trazabilidad de sus patrones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F.Perazzo</author>
  </authors>
  <commentList>
    <comment ref="N6" authorId="0" shapeId="0" xr:uid="{00000000-0006-0000-0500-000001000000}">
      <text>
        <r>
          <rPr>
            <b/>
            <sz val="9"/>
            <color indexed="81"/>
            <rFont val="Tahoma"/>
            <family val="2"/>
          </rPr>
          <t>F.Perazzo:</t>
        </r>
        <r>
          <rPr>
            <sz val="9"/>
            <color indexed="81"/>
            <rFont val="Tahoma"/>
            <family val="2"/>
          </rPr>
          <t xml:space="preserve">
Si es acreditado no requere silicitarse trazabilidad de sus patrones, ni registros de competencia del personal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Fabrizio</author>
    <author>Silvia Mezzano</author>
  </authors>
  <commentList>
    <comment ref="G4" authorId="0" shapeId="0" xr:uid="{00000000-0006-0000-0700-000001000000}">
      <text>
        <r>
          <rPr>
            <b/>
            <sz val="9"/>
            <color indexed="81"/>
            <rFont val="Tahoma"/>
            <family val="2"/>
          </rPr>
          <t>Fabrizio:
evaluación inicial en registros de eval de proveedores, SGC</t>
        </r>
      </text>
    </comment>
    <comment ref="C18" authorId="1" shapeId="0" xr:uid="{00000000-0006-0000-0700-000002000000}">
      <text>
        <r>
          <rPr>
            <b/>
            <sz val="10"/>
            <color indexed="81"/>
            <rFont val="Tahoma"/>
            <family val="2"/>
          </rPr>
          <t>Evaluacion de plazo de entrega para evaluacion Inicial y de Desempeño</t>
        </r>
        <r>
          <rPr>
            <sz val="10"/>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Fabrizio</author>
    <author>Silvia Mezzano</author>
  </authors>
  <commentList>
    <comment ref="G4" authorId="0" shapeId="0" xr:uid="{00000000-0006-0000-0800-000001000000}">
      <text>
        <r>
          <rPr>
            <b/>
            <sz val="9"/>
            <color indexed="81"/>
            <rFont val="Tahoma"/>
            <family val="2"/>
          </rPr>
          <t>Fabrizio:
evaluación inicial en registros de eval de proveedores, SGC</t>
        </r>
      </text>
    </comment>
    <comment ref="C16" authorId="1" shapeId="0" xr:uid="{00000000-0006-0000-0800-000002000000}">
      <text>
        <r>
          <rPr>
            <b/>
            <sz val="10"/>
            <color indexed="81"/>
            <rFont val="Tahoma"/>
            <family val="2"/>
          </rPr>
          <t>Evaluacion de plazo de entrega para evaluacion Inicial y de Desempeño</t>
        </r>
        <r>
          <rPr>
            <sz val="10"/>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Fabrizio</author>
    <author>Silvia Mezzano</author>
  </authors>
  <commentList>
    <comment ref="G4" authorId="0" shapeId="0" xr:uid="{00000000-0006-0000-0900-000001000000}">
      <text>
        <r>
          <rPr>
            <b/>
            <sz val="9"/>
            <color indexed="81"/>
            <rFont val="Tahoma"/>
            <family val="2"/>
          </rPr>
          <t>Fabrizio:
evaluación inicial en registros de eval de proveedores, SGC</t>
        </r>
      </text>
    </comment>
    <comment ref="C16" authorId="1" shapeId="0" xr:uid="{00000000-0006-0000-0900-000002000000}">
      <text>
        <r>
          <rPr>
            <b/>
            <sz val="10"/>
            <color indexed="81"/>
            <rFont val="Tahoma"/>
            <family val="2"/>
          </rPr>
          <t>Evaluacion de plazo de entrega para evaluacion Inicial y de Desempeño</t>
        </r>
        <r>
          <rPr>
            <sz val="10"/>
            <color indexed="81"/>
            <rFont val="Tahoma"/>
            <family val="2"/>
          </rPr>
          <t xml:space="preserve">
</t>
        </r>
      </text>
    </comment>
    <comment ref="E26" authorId="0" shapeId="0" xr:uid="{00000000-0006-0000-0900-000003000000}">
      <text>
        <r>
          <rPr>
            <b/>
            <sz val="9"/>
            <color indexed="81"/>
            <rFont val="Tahoma"/>
            <family val="2"/>
          </rPr>
          <t>Fabrizio:</t>
        </r>
        <r>
          <rPr>
            <sz val="9"/>
            <color indexed="81"/>
            <rFont val="Tahoma"/>
            <family val="2"/>
          </rPr>
          <t xml:space="preserve">
Jenck tiene ISO9001:15</t>
        </r>
      </text>
    </comment>
  </commentList>
</comments>
</file>

<file path=xl/sharedStrings.xml><?xml version="1.0" encoding="utf-8"?>
<sst xmlns="http://schemas.openxmlformats.org/spreadsheetml/2006/main" count="13182" uniqueCount="2571">
  <si>
    <t>proveedor</t>
  </si>
  <si>
    <t>elemento - especificación técnica -
servicio</t>
  </si>
  <si>
    <t>cantidad</t>
  </si>
  <si>
    <t>fecha 
de pago</t>
  </si>
  <si>
    <t>observaciones</t>
  </si>
  <si>
    <t>realiza 
pedido</t>
  </si>
  <si>
    <t>recibe 
pedido</t>
  </si>
  <si>
    <t>inspección recepción/
observaciones</t>
  </si>
  <si>
    <t>fecha
de
pedido</t>
  </si>
  <si>
    <t>aprueba
pedido</t>
  </si>
  <si>
    <t>entrega
pedido</t>
  </si>
  <si>
    <t>Ruth</t>
  </si>
  <si>
    <t>Medrano</t>
  </si>
  <si>
    <t>Repartidor</t>
  </si>
  <si>
    <t>Ok</t>
  </si>
  <si>
    <t>Chemical Center</t>
  </si>
  <si>
    <t xml:space="preserve">Alcohol etílico </t>
  </si>
  <si>
    <t>cepillos para matraces de 50 y 100 ml</t>
  </si>
  <si>
    <t>cepillo para matraces de 250 ml</t>
  </si>
  <si>
    <t>cepillos para pipetas super finos</t>
  </si>
  <si>
    <t>factura nº</t>
  </si>
  <si>
    <t>probetas de 250 ml</t>
  </si>
  <si>
    <t>matraces de 50 ml</t>
  </si>
  <si>
    <t>matraces de 100 ml</t>
  </si>
  <si>
    <t xml:space="preserve">Pack por 2 rollos Servital x 250 m </t>
  </si>
  <si>
    <t>bidones</t>
  </si>
  <si>
    <t>Costo Unitario</t>
  </si>
  <si>
    <t>Papelera Godoy Cruz</t>
  </si>
  <si>
    <t>Base</t>
  </si>
  <si>
    <t>María L.</t>
  </si>
  <si>
    <t>Jorge</t>
  </si>
  <si>
    <t>María E.</t>
  </si>
  <si>
    <t>Alejandra</t>
  </si>
  <si>
    <t>Cristóbal</t>
  </si>
  <si>
    <t>Instrumental</t>
  </si>
  <si>
    <t>Otros</t>
  </si>
  <si>
    <t>termómetros comunes de -10 a +110 ºC</t>
  </si>
  <si>
    <t>termómetro ASTM 5C</t>
  </si>
  <si>
    <t>Hidróxido de sodio........500 g.</t>
  </si>
  <si>
    <t>Andesmar</t>
  </si>
  <si>
    <t>Abril</t>
  </si>
  <si>
    <t>Aristóbulo</t>
  </si>
  <si>
    <t>Artesanía Integral del Vidrio</t>
  </si>
  <si>
    <t>Centro Enológico Rivadavia</t>
  </si>
  <si>
    <t>FIGMAY</t>
  </si>
  <si>
    <t>Full Mecanizados</t>
  </si>
  <si>
    <t>Integral Instrument</t>
  </si>
  <si>
    <t>INTI</t>
  </si>
  <si>
    <t>Jenck S.A.</t>
  </si>
  <si>
    <t>Librería Universitaria</t>
  </si>
  <si>
    <t>Linde Gas</t>
  </si>
  <si>
    <t>Odontología Mauri</t>
  </si>
  <si>
    <t>Paam Instrumental</t>
  </si>
  <si>
    <t>Power</t>
  </si>
  <si>
    <t>Propack S.A.</t>
  </si>
  <si>
    <t>Siafa</t>
  </si>
  <si>
    <t>Suri S.A.</t>
  </si>
  <si>
    <t>Vega y Camji
SAIC</t>
  </si>
  <si>
    <t>Xilix</t>
  </si>
  <si>
    <t>Z envases</t>
  </si>
  <si>
    <t>Baldor S.R.L.</t>
  </si>
  <si>
    <t>Biofarma S.A.</t>
  </si>
  <si>
    <t>Chem LAB</t>
  </si>
  <si>
    <t>Chemeia S.A.</t>
  </si>
  <si>
    <t>Cosmobio</t>
  </si>
  <si>
    <t>Sintorgan S.A</t>
  </si>
  <si>
    <t>Sanico</t>
  </si>
  <si>
    <t>Rodin SRL</t>
  </si>
  <si>
    <t>Sartorius</t>
  </si>
  <si>
    <t>Fram</t>
  </si>
  <si>
    <t>Omnilab SRL.</t>
  </si>
  <si>
    <t>Next Lab SRL.</t>
  </si>
  <si>
    <t>Sice</t>
  </si>
  <si>
    <t>Lemyc</t>
  </si>
  <si>
    <t>Labsa</t>
  </si>
  <si>
    <t>Laboratorio Andes</t>
  </si>
  <si>
    <t>LA Química Quirúrgica Saci</t>
  </si>
  <si>
    <t>Mag SRL.</t>
  </si>
  <si>
    <t>Dols</t>
  </si>
  <si>
    <t>Fite SAC</t>
  </si>
  <si>
    <t>Icon Argentina</t>
  </si>
  <si>
    <t>Indura</t>
  </si>
  <si>
    <t>Industria y Medicina</t>
  </si>
  <si>
    <t>Instrument</t>
  </si>
  <si>
    <t>Iram</t>
  </si>
  <si>
    <t>Papel de filtro cualitativo grado 391 diámetro 125 mm Sartorius (100)</t>
  </si>
  <si>
    <t>Papel de filtro cualitativo grado 388 diámetro 125 mm Sartorius (100)</t>
  </si>
  <si>
    <t>Papel de filtro cualitativo grado 389 diámetro 125 mm Sartorius (100)</t>
  </si>
  <si>
    <t>Perkin Elmer</t>
  </si>
  <si>
    <t xml:space="preserve">Cepillo para probeta mediana </t>
  </si>
  <si>
    <t xml:space="preserve">Cepillo para probeta chica </t>
  </si>
  <si>
    <t>Cepillo para probetaGrande</t>
  </si>
  <si>
    <t>Vaso de precipitado forma baja de 1000 ml graduados Simax</t>
  </si>
  <si>
    <t>Vaso de precipitado forma baja de 1000 ml graduados IVA</t>
  </si>
  <si>
    <t>Vaso de precipitado forma baja de 1000 ml graduados Glasco</t>
  </si>
  <si>
    <t>Vaso de precipitado forma baja de 50 ml graduados Simax</t>
  </si>
  <si>
    <t>Vaso de precipitado forma baja de 100 ml graduados Simax</t>
  </si>
  <si>
    <t>Vaso de precipitado forma baja de 150 ml graduados Simax</t>
  </si>
  <si>
    <t>Vaso de precipitado forma baja de 250 ml graduados Simax</t>
  </si>
  <si>
    <t>Vaso de precipitado forma baja de 400 ml graduados Simax</t>
  </si>
  <si>
    <t>Vaso de precipitado forma baja de 500 ml graduados Simax</t>
  </si>
  <si>
    <t>Vaso de precipitado forma baja de 600 ml graduados Simax</t>
  </si>
  <si>
    <t>Vaso de precipitado forma baja de 2000 ml graduados Simax</t>
  </si>
  <si>
    <t>Vaso de precipitado forma baja de 4000 ml graduados Simax</t>
  </si>
  <si>
    <t>Vaso de precipitado forma baja de 50 ml graduados IVA</t>
  </si>
  <si>
    <t>Vaso de precipitado forma baja de 100 ml graduados IVA</t>
  </si>
  <si>
    <t>Vaso de precipitado forma baja de 150 ml graduados IVA</t>
  </si>
  <si>
    <t>Vaso de precipitado forma baja de 250 ml graduados IVA</t>
  </si>
  <si>
    <t>Vaso de precipitado forma baja de 400 ml graduados IVA</t>
  </si>
  <si>
    <t>Vaso de precipitado forma baja de 500 ml graduados IVA</t>
  </si>
  <si>
    <t>Vaso de precipitado forma baja de 600 ml graduados IVA</t>
  </si>
  <si>
    <t>Vaso de precipitado forma baja de 2000 ml graduados IVA</t>
  </si>
  <si>
    <t>Vaso de precipitado forma baja de 4000 ml graduados IVA</t>
  </si>
  <si>
    <t>Vaso de precipitado forma baja de 50 ml graduados Glasco</t>
  </si>
  <si>
    <t>Vaso de precipitado forma baja de 100 ml graduados Glasco</t>
  </si>
  <si>
    <t>Vaso de precipitado forma baja de 150 ml graduados Glasco</t>
  </si>
  <si>
    <t>Vaso de precipitado forma baja de 250 ml graduados Glasco</t>
  </si>
  <si>
    <t>Vaso de precipitado forma baja de 400 ml graduados Glasco</t>
  </si>
  <si>
    <t>Vaso de precipitado forma baja de 500 ml graduados Glasco</t>
  </si>
  <si>
    <t>Vaso de precipitado forma baja de 600 ml graduados Glasco</t>
  </si>
  <si>
    <t>Vaso de precipitado forma baja de 2000 ml graduados Glasco</t>
  </si>
  <si>
    <t>Vaso de precipitado forma alta (berselius) de 100 ml graduados</t>
  </si>
  <si>
    <t>Vaso de precipitado forma alta (berselius) de 400 ml graduados</t>
  </si>
  <si>
    <t>Vaso de precipitado forma alta (berselius) de 600 ml graduados</t>
  </si>
  <si>
    <t>cepillo para matraces de 1000 ml</t>
  </si>
  <si>
    <t xml:space="preserve">Probetas graduadas base plástica sin tapa Glasco de 10 ml.  </t>
  </si>
  <si>
    <t xml:space="preserve">Probetas graduadas base plástica sin tapa IVA de 10 ml. </t>
  </si>
  <si>
    <t xml:space="preserve">Probetas graduadas base plástica sin tapa Glasco de 100 ml. </t>
  </si>
  <si>
    <t xml:space="preserve">Probetas graduadas base plástica sin tapa IVA de 100 ml.  </t>
  </si>
  <si>
    <t xml:space="preserve">Probetas graduadas base plástica sin tapa Glasco de 1000 ml. </t>
  </si>
  <si>
    <t>Probetas graduadas base plástica sin tapa  IVA de 1000 ml.</t>
  </si>
  <si>
    <t xml:space="preserve">Probetas graduadas base plástica sin tapa Glasco de 250 ml.  </t>
  </si>
  <si>
    <t>Probetas graduadas base plástica sin tapa  IVA de 250 ml.</t>
  </si>
  <si>
    <t xml:space="preserve">Probetas graduadas base plástica sin tapa Glasco de 50 ml.  </t>
  </si>
  <si>
    <t xml:space="preserve">Probetas graduadas base plástica sin tapa  Glasco de 500 ml. </t>
  </si>
  <si>
    <t>Soportes para envudos de 4 unidades</t>
  </si>
  <si>
    <t>Soportes para envudos de 6 unidades</t>
  </si>
  <si>
    <t>Guantes Latex Chicos x 100 uni</t>
  </si>
  <si>
    <t>Guantes Latex Grandes x 100 uni</t>
  </si>
  <si>
    <t>Guantes Nitrilo Chicos x 100 uni</t>
  </si>
  <si>
    <t>Guantes Nitrilo Grandes x 100 uni</t>
  </si>
  <si>
    <t>Guantes latex medianos x 100 uni</t>
  </si>
  <si>
    <t>Guantes Nitrilo Medianos x 100 uni</t>
  </si>
  <si>
    <t>---</t>
  </si>
  <si>
    <t>Nitrógeno Extra puro grado 4,8  - 9,42 m3</t>
  </si>
  <si>
    <t>repartidor</t>
  </si>
  <si>
    <t>Hidróxido de sodio PA biopack........1000 g.</t>
  </si>
  <si>
    <t>Bario Cloruro Dihidrato PA Alkemit ……. 500 g.</t>
  </si>
  <si>
    <t>Membrana Sartolon 47 mm 0.45um Sartorius caja x 100 unidades</t>
  </si>
  <si>
    <t>Solución Buffer pH 7 Anedra x 1 l</t>
  </si>
  <si>
    <t>Solución Buffer pH 4 Anedra x 1 l</t>
  </si>
  <si>
    <t>Solución Buffer pH 10 Anedra x 1 l</t>
  </si>
  <si>
    <t>Solución Buffer pH 7 Merck  x 1 l</t>
  </si>
  <si>
    <t>Solución Buffer pH 4 Merck  x 1 l</t>
  </si>
  <si>
    <t>Solución Buffer pH 10 Merck x 1 l</t>
  </si>
  <si>
    <t>Nitrato de plata...........50 g. PA</t>
  </si>
  <si>
    <t>Goma Latex 10 x 15</t>
  </si>
  <si>
    <t>Goma Latex 6 x 9</t>
  </si>
  <si>
    <t>Goma Latex 5 x 8</t>
  </si>
  <si>
    <t>Aceite Patrón de Viscosidad S3 c/ certificado trazable al NIST Cannon 9727-c25,016</t>
  </si>
  <si>
    <t>Aceite Patrón de Viscosidad S6 c/ certificado trazable al NIST Cannon 9727-c30,016</t>
  </si>
  <si>
    <t>Aceite Patrón de Viscosidad S2000 c/ certificado trazable al NIST Cannon 9727-c55,016</t>
  </si>
  <si>
    <t>Aceite Patrón de Viscosidad S8000 c/ certificado trazable al NIST Cannon 9727-c60,016</t>
  </si>
  <si>
    <t>Kit de partes de repuestos p/calorímetro 1341. Marca Parr, modelo # 1349B</t>
  </si>
  <si>
    <t>Trietanolamina x L</t>
  </si>
  <si>
    <t>n- Butanol pa x L</t>
  </si>
  <si>
    <t>Sulfanilamida x 25 gr</t>
  </si>
  <si>
    <t>Ácido Fosfórico pa x L</t>
  </si>
  <si>
    <t>Etilendiamina dihidrocloruro x 1 gr</t>
  </si>
  <si>
    <t>Nitrito de sodio pa x 100 gr</t>
  </si>
  <si>
    <t>Cloruro Mercurioso x 25 gr</t>
  </si>
  <si>
    <t>Cloruro de Sodio pa x 250 gr</t>
  </si>
  <si>
    <t>Pararrosanilina Hidrocloruro x 25 gr</t>
  </si>
  <si>
    <t>Ácido Clorhídrico pa x L</t>
  </si>
  <si>
    <t>Ácido Sulfámico pa x 100 gr</t>
  </si>
  <si>
    <t>Sulfito de Sodio x 250 gr</t>
  </si>
  <si>
    <t>Goma Latex 8 x 11</t>
  </si>
  <si>
    <t>Propipetas de Caucho con tres válvulas Vicking</t>
  </si>
  <si>
    <t>Piseta Plástica x 500 ml</t>
  </si>
  <si>
    <t>Silicagel 10%  azul diám. 2-5 mm x 1000 gr</t>
  </si>
  <si>
    <t>Balones x 1000 ml</t>
  </si>
  <si>
    <t>Tubos Cónicos 50 ml pp t/r c/ faldón</t>
  </si>
  <si>
    <t xml:space="preserve">Probetas graduadas base plástica sin tapa IVA de 500 ml. </t>
  </si>
  <si>
    <t xml:space="preserve">Probetas graduadas base plástica sin tapa IVA de 50 ml. </t>
  </si>
  <si>
    <t xml:space="preserve">Probetas graduadas base plástica sin tapa IVA de 25 ml. </t>
  </si>
  <si>
    <t>Electrodo de pH HANNA</t>
  </si>
  <si>
    <t>Instrumentalia S.A.</t>
  </si>
  <si>
    <t xml:space="preserve">Probetas graduadas base plástica sin tapa Glasco de 25 ml.  </t>
  </si>
  <si>
    <t>Tapopnes de goma Nº 17 Pablodsky</t>
  </si>
  <si>
    <t xml:space="preserve">Probetas de vidrio de 500 ml graduada sin tapa marca BT </t>
  </si>
  <si>
    <t xml:space="preserve">Pipetas graduadas serológicas de 10 ml al 1/10 ml Marca BT </t>
  </si>
  <si>
    <t>Vasos de precipitados forma baja de 100 ml Marca BT</t>
  </si>
  <si>
    <t>Vasos de precipitados forma baja de 600 ml Marca BT</t>
  </si>
  <si>
    <t>Vasos de precipitados forma baja de 2000 ml Marca BT</t>
  </si>
  <si>
    <r>
      <rPr>
        <sz val="10"/>
        <rFont val="Times New Roman"/>
        <family val="1"/>
      </rPr>
      <t xml:space="preserve">Acetona PA ACS Sintorgan (1 L) </t>
    </r>
    <r>
      <rPr>
        <sz val="10"/>
        <color rgb="FF000000"/>
        <rFont val="Arial"/>
        <family val="2"/>
      </rPr>
      <t/>
    </r>
  </si>
  <si>
    <t>Erlenmeyer boca común de 250 ml graduados simax</t>
  </si>
  <si>
    <t>Balón de destilación Engler 125 ml con unión 19/26 ASTM D-86 IVA</t>
  </si>
  <si>
    <t>Embudos separadoresSquibb con tapa plástica de 250 ml c/m/teflón glassco</t>
  </si>
  <si>
    <t>Embudos separadoresSquibb con tapa plástica de 500 ml c/m/teflón glassco</t>
  </si>
  <si>
    <t>Embudos separadoresSquibb con tapa plástica de 1000 ml c/m/teflón glassco</t>
  </si>
  <si>
    <t>Anisol x 500 ml</t>
  </si>
  <si>
    <t>Tiras indicadoras del pH de 0 - 14 Merck</t>
  </si>
  <si>
    <t>Embudos estriados tallo largo 75 mm Ø</t>
  </si>
  <si>
    <t>Acetato de sodio  PA  x1000 g.</t>
  </si>
  <si>
    <t>Agua Destilada con CE &lt; 4µS/cm x L</t>
  </si>
  <si>
    <t>Placas de toque de porcelana para 6 determinaciones</t>
  </si>
  <si>
    <t>Placas de toque de porcelana para12 determinaciones</t>
  </si>
  <si>
    <t>Agua Oxigenada PA x L</t>
  </si>
  <si>
    <r>
      <t xml:space="preserve">Agua Destilada con CE &lt;5 </t>
    </r>
    <r>
      <rPr>
        <sz val="9"/>
        <rFont val="Calibri"/>
        <family val="2"/>
      </rPr>
      <t>µ</t>
    </r>
    <r>
      <rPr>
        <sz val="9"/>
        <rFont val="Copperplate Gothic Light"/>
        <family val="2"/>
      </rPr>
      <t>S/cm x L</t>
    </r>
  </si>
  <si>
    <t>Probetas de vidrio de 1000 ml graduada sin tapa marca BT</t>
  </si>
  <si>
    <t xml:space="preserve">Vasos de precipitados forma baja de 1000 ml Marca BT  </t>
  </si>
  <si>
    <t>Vasos de precipitados forma baja de 150 ml Marca BT</t>
  </si>
  <si>
    <t>Vasos de precipitados forma baja de 250 ml Marca BT</t>
  </si>
  <si>
    <t xml:space="preserve">Vasos de precipitados forma baja de 400 ml Marca BT </t>
  </si>
  <si>
    <t xml:space="preserve">Xileno PA Sintorgan  (1 L) </t>
  </si>
  <si>
    <t>n-Pentano PA x L</t>
  </si>
  <si>
    <t>ok</t>
  </si>
  <si>
    <t>ENERO</t>
  </si>
  <si>
    <t>.</t>
  </si>
  <si>
    <t>Compra</t>
  </si>
  <si>
    <t>Presupuesto</t>
  </si>
  <si>
    <t>Se reciben solo 140L, CE Leandro OK
18/02/16 se recibe el resto</t>
  </si>
  <si>
    <t>Control CE Cristobal ok</t>
  </si>
  <si>
    <t>0002 -000779104</t>
  </si>
  <si>
    <t>ok factura a nombre de Alicia Chaparin</t>
  </si>
  <si>
    <t>chemical center</t>
  </si>
  <si>
    <t xml:space="preserve">Barbijos estandar tricapa x 50 </t>
  </si>
  <si>
    <t>Adriana</t>
  </si>
  <si>
    <t>Rivagas</t>
  </si>
  <si>
    <t xml:space="preserve">Tubo de gas 10 kg </t>
  </si>
  <si>
    <t>94606 , 94607</t>
  </si>
  <si>
    <t>Control CE Leandro OK</t>
  </si>
  <si>
    <t>Fabrizio</t>
  </si>
  <si>
    <t>Silicagel 60</t>
  </si>
  <si>
    <t>Impac</t>
  </si>
  <si>
    <t>Instrulab</t>
  </si>
  <si>
    <t>Servicio de calibracion balanzas</t>
  </si>
  <si>
    <t>Servicio de calibracion termometro</t>
  </si>
  <si>
    <t>Mac</t>
  </si>
  <si>
    <t>Termometro ASTM 8C</t>
  </si>
  <si>
    <t>Columnas cromatográficas</t>
  </si>
  <si>
    <t>ok. El termómetro se envio a MAC</t>
  </si>
  <si>
    <t>Envio</t>
  </si>
  <si>
    <t>Papel de filtro Cuantitativo 1246. Diametro 125 mm. Filter Lab. (100)</t>
  </si>
  <si>
    <t>Ok. En condiciones</t>
  </si>
  <si>
    <t>Mario</t>
  </si>
  <si>
    <t xml:space="preserve">Se controla CE, N.- Batistelli, valores aceptados. </t>
  </si>
  <si>
    <t>Leandro</t>
  </si>
  <si>
    <t>Natacha</t>
  </si>
  <si>
    <t>factura fecha 07/04/16</t>
  </si>
  <si>
    <t>04/04/16 se reclamo por la demora. Quedan en traelo 05/04/16. Recepción 05/04/16 OK.</t>
  </si>
  <si>
    <t xml:space="preserve">1.09701.0001 spectroquant, cyanide test 0,002-0,5 mg/l 100 tests </t>
  </si>
  <si>
    <t>1.14800.0001 cyanide test 0,0002-0,5 mgL CN 200</t>
  </si>
  <si>
    <t>6399+IVA</t>
  </si>
  <si>
    <t>Aceite Patrón de Viscosidad S2000 c/ certificado trazable al NIST Cannon 9727-c55,017</t>
  </si>
  <si>
    <t>Aceite Patrón de Viscosidad S3 c/ certificado trazable al NIST Cannon 9727-c25,017</t>
  </si>
  <si>
    <r>
      <t>Se controla CE inferior a 4</t>
    </r>
    <r>
      <rPr>
        <sz val="10"/>
        <rFont val="Calibri"/>
        <family val="2"/>
      </rPr>
      <t>µ</t>
    </r>
    <r>
      <rPr>
        <sz val="11.5"/>
        <rFont val="Copperplate Gothic Light"/>
        <family val="2"/>
      </rPr>
      <t>S</t>
    </r>
    <r>
      <rPr>
        <sz val="10"/>
        <rFont val="Copperplate Gothic Light"/>
        <family val="2"/>
      </rPr>
      <t xml:space="preserve">, L.- Coria, valores aceptados. </t>
    </r>
  </si>
  <si>
    <t>Se reciben 2 packs el dia 24/05/16 y los 2 restantes el dia 26/05/16</t>
  </si>
  <si>
    <t>Recepción OK</t>
  </si>
  <si>
    <t>Correo</t>
  </si>
  <si>
    <t>Ver en cuaderno Instr</t>
  </si>
  <si>
    <t>Pedidos verbalmente a Mario</t>
  </si>
  <si>
    <t>Control CE ok</t>
  </si>
  <si>
    <t>Van a enviar presupuesto al mail de Ruth</t>
  </si>
  <si>
    <t>Vidrio reloj x 8 cm. Marca bt</t>
  </si>
  <si>
    <t>Espátula analitica cuchara y pala, de Ac. Inox Leone grande</t>
  </si>
  <si>
    <t>Espátula analitica cuchara y pala, de Ac. Inox Leone chica</t>
  </si>
  <si>
    <t>Chemical center</t>
  </si>
  <si>
    <t>Control CE, valores dentro de lo aceptado</t>
  </si>
  <si>
    <t>0007-00020239</t>
  </si>
  <si>
    <t>0007-00020230</t>
  </si>
  <si>
    <t>Ok. En condicones</t>
  </si>
  <si>
    <t>El Rey del Papel</t>
  </si>
  <si>
    <t>Grado de cumplimiento</t>
  </si>
  <si>
    <t>Dias de Atraso</t>
  </si>
  <si>
    <t>Se devuelve el pedido, por no pasar control CE</t>
  </si>
  <si>
    <t xml:space="preserve">Mortero de porcelana </t>
  </si>
  <si>
    <t>Maria E.</t>
  </si>
  <si>
    <t>0007/00020477</t>
  </si>
  <si>
    <t>Papel de filtro 3 m/n uso general 58 x 58 sartorius</t>
  </si>
  <si>
    <t>0007/00020482</t>
  </si>
  <si>
    <t>9997/00004442</t>
  </si>
  <si>
    <t>Cristalizadores de 95mm x 55mm. Schott</t>
  </si>
  <si>
    <t>Cristalizadores de 115mm x 65mm. Schott</t>
  </si>
  <si>
    <t>Pinza para refrigerante con nuez protección de goma. Leone</t>
  </si>
  <si>
    <t>Maria L.</t>
  </si>
  <si>
    <t>Capsulas de porcelana, totalmente esmaltada 100ml. Gunther</t>
  </si>
  <si>
    <t>Capsulas de porcelana, totalmente esmaltada 50ml. Gunther</t>
  </si>
  <si>
    <t xml:space="preserve">Capsulas de porcelana, esmaltada solo por el inrterior 100ml. </t>
  </si>
  <si>
    <t>0007-00020513</t>
  </si>
  <si>
    <t>0007-00020564</t>
  </si>
  <si>
    <t>0007/00020564</t>
  </si>
  <si>
    <t>Vasos de vidrio precipitado x 150ml. Marca BT</t>
  </si>
  <si>
    <t>De los 10 vasos solo 1 tenía grabada la marca. Se controla resistencia a temperatura a 550C. Ok</t>
  </si>
  <si>
    <t>Vasos de vidrio precipitado x 250ml. Marca BT</t>
  </si>
  <si>
    <t>Tubo de ensayo PP 50 ml con faldón steril. DELTALAB (100 un)</t>
  </si>
  <si>
    <t>0007-00020589</t>
  </si>
  <si>
    <t>2 pinzas entregadas el 15/09/16. Las 4 faltantes llegan el 28/09/16</t>
  </si>
  <si>
    <t>0007-00020615</t>
  </si>
  <si>
    <t>Aquaplast</t>
  </si>
  <si>
    <t>0004-00000598</t>
  </si>
  <si>
    <t>0001-00001451</t>
  </si>
  <si>
    <t>Ok. En condiciones. Revisa Leandro</t>
  </si>
  <si>
    <t>Vasos de vidrio precipitado x 250ml. Marca SIMAX</t>
  </si>
  <si>
    <t>Ok.En condiciones</t>
  </si>
  <si>
    <t>0007-00020788</t>
  </si>
  <si>
    <t>9997-00004530</t>
  </si>
  <si>
    <t>Ok. En condiciones. Revisa Alejandra</t>
  </si>
  <si>
    <t>0002-00000187</t>
  </si>
  <si>
    <t>Rollos de bolsas de 15x25</t>
  </si>
  <si>
    <t>Rollos de bolsas de 20x30</t>
  </si>
  <si>
    <t>Bandejas plásticas sin tapa x100</t>
  </si>
  <si>
    <t>0004-00000631</t>
  </si>
  <si>
    <t>Diversy. Aconcagua Distribuciones</t>
  </si>
  <si>
    <t>Bobina de papel Elegante 20x400 mts</t>
  </si>
  <si>
    <t>Solo presentaron 2 de las 3 bobinas encargadas</t>
  </si>
  <si>
    <t>0007-00011251</t>
  </si>
  <si>
    <t>0004-00002788</t>
  </si>
  <si>
    <t>Necho Bolsa Residuo Inst x 50 unidades. 60x90</t>
  </si>
  <si>
    <t>Alargadera simple para destilación hembra 19/38</t>
  </si>
  <si>
    <t>Crisol de niquel 50 ml. 45 mm de diam supx 35 mm de diam infx 48 mm de alto</t>
  </si>
  <si>
    <t>20/10/16. Se reclamaron 30 vasos. Dicen que no tienen registrado el pedido. Se piden 40 vasos, quedan en traerlo el 01/11/16</t>
  </si>
  <si>
    <t>0007-00020907</t>
  </si>
  <si>
    <t>9997-00004578</t>
  </si>
  <si>
    <t>Ok. En condiciones. Controla CE Leandro.</t>
  </si>
  <si>
    <t>Ácido Perclórico x 1Lt. Cicarelli</t>
  </si>
  <si>
    <t>Ácido Fluorhídrico x 1Lt. Biopack</t>
  </si>
  <si>
    <t>0001-00179281</t>
  </si>
  <si>
    <t>0003-00005811</t>
  </si>
  <si>
    <t>0001-00179434</t>
  </si>
  <si>
    <t>0003-00005833</t>
  </si>
  <si>
    <t>0007-00020983</t>
  </si>
  <si>
    <t>9997-00004600</t>
  </si>
  <si>
    <t>Bobina de papel Elegante 25x400 mts</t>
  </si>
  <si>
    <t>Ok. En condiciones.</t>
  </si>
  <si>
    <t>Bolsas de 45x60.Transparentes</t>
  </si>
  <si>
    <t>0004-00000659</t>
  </si>
  <si>
    <t>0002-00000239</t>
  </si>
  <si>
    <t>0007-00021033</t>
  </si>
  <si>
    <t>Entregan 5 cajas el día 16/11/16</t>
  </si>
  <si>
    <t>Entregan 7 cajas el día 16/11/16</t>
  </si>
  <si>
    <t>0007-00021083</t>
  </si>
  <si>
    <t>9997-00004632</t>
  </si>
  <si>
    <t>mopa</t>
  </si>
  <si>
    <t>0004-00000667</t>
  </si>
  <si>
    <t>OK. En condiciones.</t>
  </si>
  <si>
    <t>0004-00000694</t>
  </si>
  <si>
    <t>0003-00005898</t>
  </si>
  <si>
    <t>0001-00179982</t>
  </si>
  <si>
    <t>Entregan 3 cajas el día 16/11/16. Entregan 3 cajas el día 24/11/16. 2 Cajas 22/12/16</t>
  </si>
  <si>
    <t>Remito:0007-00021268. Factura:9997-00004703</t>
  </si>
  <si>
    <t>- N-(1-NAFTIL) ETILENDIAMINA DICLOR. PA BIOPACK (10 G)</t>
  </si>
  <si>
    <t>TUBOS PARA ENSAYO ASTM D-97 Y D-2500 TIPO POUR POINT AFORADO BORDE MARCA: IVA</t>
  </si>
  <si>
    <t>PICNOMETROS SEGUN HUBBARD CILINDRICO DE 24 ML MARCA: IVA</t>
  </si>
  <si>
    <t>0007-00021354</t>
  </si>
  <si>
    <t>9997-00004729</t>
  </si>
  <si>
    <t>POTASIO CLORURO CRISTAL PA ACS BAKER (1 KG)</t>
  </si>
  <si>
    <t>0007-00021526</t>
  </si>
  <si>
    <t>9997-00004759</t>
  </si>
  <si>
    <t>0007-00021527</t>
  </si>
  <si>
    <t>9997-00004760</t>
  </si>
  <si>
    <t>maria L.</t>
  </si>
  <si>
    <t>Ok. En condiciones. Controla CE Renzo.</t>
  </si>
  <si>
    <t>0002-00000379</t>
  </si>
  <si>
    <t>MERCURIO (II) CLORURO PA ACS BIOPACK (250 gr)</t>
  </si>
  <si>
    <t>Ok. En condiciones. Por error de la empresa se facturó en dos veces. Los 4 packs se presentaron el dia 14/02/17</t>
  </si>
  <si>
    <t>0004-00000775/0004-00000776</t>
  </si>
  <si>
    <t>Balde Romyl con escurridor</t>
  </si>
  <si>
    <t>235 x rollo</t>
  </si>
  <si>
    <t>0004-00000775</t>
  </si>
  <si>
    <t>Cabo madera</t>
  </si>
  <si>
    <t>Mopas Rep</t>
  </si>
  <si>
    <t>Desodorante para piso x5lt</t>
  </si>
  <si>
    <t>Bidón 20 lts con canilla</t>
  </si>
  <si>
    <t>12 x litro</t>
  </si>
  <si>
    <t>Entregan 2 tubos el 06/02/17.Reprogramado para el 16/02/17 Entregan los 6 tubos faltantes el 16/02/17</t>
  </si>
  <si>
    <t>06/02/17. Reprogramado para el 16/02/17.</t>
  </si>
  <si>
    <t>0007-00021527/0007-00021584</t>
  </si>
  <si>
    <t>9997-00004760/9997-00004785</t>
  </si>
  <si>
    <t>9997-00004785</t>
  </si>
  <si>
    <t>0007-00021584</t>
  </si>
  <si>
    <t>Nitrato de plata x 100 gr. Biopack</t>
  </si>
  <si>
    <t>0007-00021757</t>
  </si>
  <si>
    <t>9997-00004812</t>
  </si>
  <si>
    <t>0003-00006196</t>
  </si>
  <si>
    <t>0001-00183177</t>
  </si>
  <si>
    <t>Agitador magnetico con calefacción BS- 2H BIO</t>
  </si>
  <si>
    <t>Guantes de Nitrilo Grandes</t>
  </si>
  <si>
    <t>Guantes de Nitrilo Medianos</t>
  </si>
  <si>
    <t>Papel de filtro banda azul 125mm. Marca Whatman</t>
  </si>
  <si>
    <t>Nancy Bertagna</t>
  </si>
  <si>
    <t>No és la marca cotizada</t>
  </si>
  <si>
    <t>Propipetas de Caucho con tres válvulas. Viking</t>
  </si>
  <si>
    <t>0001-00027934</t>
  </si>
  <si>
    <t>0009-00000973</t>
  </si>
  <si>
    <t>Manto calefactor para balones de 1lt.</t>
  </si>
  <si>
    <t>CLORURO DE BENZALCONIO AL 80% BIOPACK (500 ml)</t>
  </si>
  <si>
    <t>GUANTES EXAMEN NITRILO S/POLVO CHICO PRINTEX (100 UN)</t>
  </si>
  <si>
    <t>GUANTES EXAMEN NITRILO S/POLVO MEDIANO PRINTEX (100 UN)</t>
  </si>
  <si>
    <t>GUANTES EXAMEN NITRILO S/POLVO GRANDE PRINTEX (100 UN)</t>
  </si>
  <si>
    <t>PAPEL DE FILTRO CUANTITATIVO GRADO 389 DIAMETRO 125 MM SARTORIUS (100)</t>
  </si>
  <si>
    <t>PAPEL DE FILTRO CUANTITATIVO GRADO 388 DIAMETRO 125 MM SARTORIUS (100)</t>
  </si>
  <si>
    <t>PAPEL DE FILTRO CUANTITATIVO GRADO 391 DIAMETRO 125 MM SARTORIUS (100)</t>
  </si>
  <si>
    <t>SOLUCION DE CONDUCTIVIDAD 84U US/CM (500 ML). Hanna</t>
  </si>
  <si>
    <t>Cepillos de 25 mm de diámetro.</t>
  </si>
  <si>
    <t>cepillos para pipetas super finos.</t>
  </si>
  <si>
    <t>Cepillos de 35 mm de diámetro.</t>
  </si>
  <si>
    <t>Medrano (Aparicio María Belén)</t>
  </si>
  <si>
    <t>0007-00021926</t>
  </si>
  <si>
    <t>9997-00004859</t>
  </si>
  <si>
    <t>Solo presentaron 100 lts. CE: OK. Presentan los 100 lta faltantes el 28/03/17</t>
  </si>
  <si>
    <t>438/ 440</t>
  </si>
  <si>
    <t>Rollo Elegante 25x400 mts</t>
  </si>
  <si>
    <t>Rollo Elegante 30x300 mts</t>
  </si>
  <si>
    <t>Porta rollo</t>
  </si>
  <si>
    <t>0004-00000846</t>
  </si>
  <si>
    <t>0009-00000983</t>
  </si>
  <si>
    <t>0007-00022051</t>
  </si>
  <si>
    <t>9997-00004887</t>
  </si>
  <si>
    <t>Entregan 2 - 22/03/17. Entregan 6 - 05/04/17.</t>
  </si>
  <si>
    <t>0007-00021926/22051</t>
  </si>
  <si>
    <t>9997-00004859/4887</t>
  </si>
  <si>
    <t>0002-00000455</t>
  </si>
  <si>
    <t>Se reclama telefónicamente el pedido. No lo han registrado (correo ESALVI@MAGSRL.COM.AR 16/03/17). Se da de baja</t>
  </si>
  <si>
    <t>Maria. E</t>
  </si>
  <si>
    <t>16/12/16 se devuelve por CE elevada (entre 7,8 y 10,1 uS). 05/01/16 Ok. En cocndiciones</t>
  </si>
  <si>
    <t>Entregan 3 cajas 22/03/17. Entregan 1 caja 28/03/17. Ok. En condiciones</t>
  </si>
  <si>
    <t>Entregan 5 cajas 22/03/17. Entregan 5 cajas 28/03/17. Ok. En condiciones</t>
  </si>
  <si>
    <t>0007-00021926/21989</t>
  </si>
  <si>
    <t>0007-00021989</t>
  </si>
  <si>
    <t>9997-00004859/4868</t>
  </si>
  <si>
    <t>9997-00004868</t>
  </si>
  <si>
    <t>Alejandra/Cristóbal</t>
  </si>
  <si>
    <t>Ok. En condiciones. Entregan 1 03/04/17. 11/04/17 ENTREGAN EL FALTANTE</t>
  </si>
  <si>
    <t>0001-00027993/ 0001-00001757</t>
  </si>
  <si>
    <t>0001-00184882</t>
  </si>
  <si>
    <t>0003-00006331</t>
  </si>
  <si>
    <t>Ok. En condiciones. Facturado a 232,32$</t>
  </si>
  <si>
    <t>ACIDO CLORHIDRICO 36.5-38% PA CICARELLI (1 l)</t>
  </si>
  <si>
    <t>ACIDO NITRICO PA BAKER (1 l)</t>
  </si>
  <si>
    <t>XILENO PA ACS SINTORGAN (1 L)</t>
  </si>
  <si>
    <t>ACETONA PA ACS SINTORGAN (1 L)</t>
  </si>
  <si>
    <t>24/04/17 Se reclama el agua destilada, quedan en traerla el 25/04/17. 25/04/17 Ok. En condiciones.</t>
  </si>
  <si>
    <t>0004-00000802</t>
  </si>
  <si>
    <t xml:space="preserve">Maria E. </t>
  </si>
  <si>
    <t>Propipeta de caucho con 3 valvulas Diam 3/11. Marca alla</t>
  </si>
  <si>
    <t>0001-00185114</t>
  </si>
  <si>
    <t>0003-00006379</t>
  </si>
  <si>
    <t>ACETONA PA ACS ANEDRA(1 L)</t>
  </si>
  <si>
    <t>12Lt.</t>
  </si>
  <si>
    <t>02/05/17 El proveedor avisa que cambiará la marca cotizada por ANEDRA. Por no tener materia prima SINTORGAN. Aprueba Maria L. Barbeito.</t>
  </si>
  <si>
    <t>Proveedor</t>
  </si>
  <si>
    <t>LABSA</t>
  </si>
  <si>
    <t>Servicio de calibracion Balanzas Analiticas</t>
  </si>
  <si>
    <t>Servicio de calibracion Balanzas granataria</t>
  </si>
  <si>
    <t>Servicio de calibracion Balanzas Estufas</t>
  </si>
  <si>
    <t>Servicio de calibracion Balanzas Muflas</t>
  </si>
  <si>
    <t>100 Lt.</t>
  </si>
  <si>
    <t xml:space="preserve">Adriana </t>
  </si>
  <si>
    <t>CE: OK</t>
  </si>
  <si>
    <t>0004-00000826</t>
  </si>
  <si>
    <t>Renzo</t>
  </si>
  <si>
    <t>ESPATULA ANALITICA CUCHARA Y PALA DE 180MM LARGO LEONE</t>
  </si>
  <si>
    <t>ACIDO SULFAMICO PA ACS BIOPACK (250 g)</t>
  </si>
  <si>
    <t>Piseta. 500ml</t>
  </si>
  <si>
    <t>Tapones de silicona.</t>
  </si>
  <si>
    <t>Aristobulo</t>
  </si>
  <si>
    <t>Balon de 500 ml con tres bocas esmeriladas, tapón para boca central, tubo recto de conexión en macho 24-7401 y esferico, columna vigreax con cabezal y robinete de descarga del solvente. Construido según croquis enviado.</t>
  </si>
  <si>
    <t>385 Usd$</t>
  </si>
  <si>
    <t>386 Usd$</t>
  </si>
  <si>
    <t xml:space="preserve">MEDIDOR DE PH PARA MESADA CON AMPLIO CDIS HANNA HI2211-02 </t>
  </si>
  <si>
    <t>0007-00022421</t>
  </si>
  <si>
    <t>9997-00022421</t>
  </si>
  <si>
    <t>Empresa de transporte</t>
  </si>
  <si>
    <t>Rodriguez Hnos. TTES. S.A</t>
  </si>
  <si>
    <t>0003-00224353</t>
  </si>
  <si>
    <t>9995-00004271</t>
  </si>
  <si>
    <t>0004-0000870</t>
  </si>
  <si>
    <t>No informan fecha de entrega. Ok. En condiciones.</t>
  </si>
  <si>
    <t>0001-00185902</t>
  </si>
  <si>
    <t>0003-00006428</t>
  </si>
  <si>
    <t>0007-00022486</t>
  </si>
  <si>
    <t>9997-00005019</t>
  </si>
  <si>
    <t>10/05/17 Entregan 1 lt. 26/05/17 Entregan 1 lt faltante.</t>
  </si>
  <si>
    <t>0007-00022321/22486</t>
  </si>
  <si>
    <t>9997-00004964/5019</t>
  </si>
  <si>
    <t>F. Perazzo</t>
  </si>
  <si>
    <t>No aplica</t>
  </si>
  <si>
    <t>Unidad</t>
  </si>
  <si>
    <t xml:space="preserve"> Costo Total</t>
  </si>
  <si>
    <t>Fecha de entrega real</t>
  </si>
  <si>
    <t>pack</t>
  </si>
  <si>
    <t>L</t>
  </si>
  <si>
    <t>EVALUACION INICIAL</t>
  </si>
  <si>
    <t>EVALUACION SEGUIMIENTO 2010</t>
  </si>
  <si>
    <t>EVALUACION SEGUIMIENTO 2011</t>
  </si>
  <si>
    <t>EVALUACION SEGUIMIENTO 2012</t>
  </si>
  <si>
    <t>EVALUACION SEGUIMIENTO 2013</t>
  </si>
  <si>
    <t>EVALUACION SEGUIMIENTO 2014</t>
  </si>
  <si>
    <t>EVALUACION SEGUIMIENTO 2015</t>
  </si>
  <si>
    <t>EVALUACION SEGUIMIENTO 2016</t>
  </si>
  <si>
    <t>EVALUACION SEGUIMIENTO 2017</t>
  </si>
  <si>
    <t>Contacto
Función</t>
  </si>
  <si>
    <t>Mail</t>
  </si>
  <si>
    <t>Dirección</t>
  </si>
  <si>
    <t>Teléfono</t>
  </si>
  <si>
    <t>Productos / Servicios</t>
  </si>
  <si>
    <t>CERTIFICADOS A SOLICITAR</t>
  </si>
  <si>
    <t>REQUIERE EVALUACION</t>
  </si>
  <si>
    <t xml:space="preserve">Fecha de incorporación </t>
  </si>
  <si>
    <t>Calificación</t>
  </si>
  <si>
    <t>Fecha</t>
  </si>
  <si>
    <t>Cecilia
Bonatto</t>
  </si>
  <si>
    <t>turismo@andesmar.com.ar
tursimo.bonatto@andesmar.com.ar
www.andesmar.com</t>
  </si>
  <si>
    <t>Espejo 189 - Cdad. Mza</t>
  </si>
  <si>
    <t>54-261-4050800 Int.132
Fax 405801-30</t>
  </si>
  <si>
    <t>Empresa de viaje y turismo</t>
  </si>
  <si>
    <t>IATA</t>
  </si>
  <si>
    <t>NO</t>
  </si>
  <si>
    <t>sin dato</t>
  </si>
  <si>
    <t>--</t>
  </si>
  <si>
    <t>Juan Navarro</t>
  </si>
  <si>
    <t>abrilequipamientos@abrilequipamientos.com.ar</t>
  </si>
  <si>
    <t>011-42082010</t>
  </si>
  <si>
    <t>Calibración de equipos y materiales</t>
  </si>
  <si>
    <t>De Instrumental</t>
  </si>
  <si>
    <t>Muy Bueno</t>
  </si>
  <si>
    <t>Se evalúa con la sgte. Compra</t>
  </si>
  <si>
    <t>Aprobado</t>
  </si>
  <si>
    <t>No se realizaron compras</t>
  </si>
  <si>
    <t>Carlos Sanfelippo</t>
  </si>
  <si>
    <t>ventas@aristobulo.com.ar
carlos@aristobulo.com.ar
www.aristobulo.com.ar</t>
  </si>
  <si>
    <t>Vallejos 4526. Buenos Aires.</t>
  </si>
  <si>
    <t>011-4501-0061 (int. 155)</t>
  </si>
  <si>
    <t>Insumos de Laboratorio</t>
  </si>
  <si>
    <t>Carlos
Rúffolo</t>
  </si>
  <si>
    <t>Comandante Fossa 303 Cdad.</t>
  </si>
  <si>
    <t>0261 4241924</t>
  </si>
  <si>
    <t>Material de Vidrio</t>
  </si>
  <si>
    <t xml:space="preserve">                                </t>
  </si>
  <si>
    <t>BALDOR S.R.L.</t>
  </si>
  <si>
    <t>info@baldorsrl.com.ar</t>
  </si>
  <si>
    <t>Av.Federico Lacroze 2648 - 4°C-C1426CPY Cap. Federal</t>
  </si>
  <si>
    <t>011-4554-2778</t>
  </si>
  <si>
    <t>Suministros Hig Laboral</t>
  </si>
  <si>
    <t>BIOFARMA S.A.</t>
  </si>
  <si>
    <t>Daniel Tapia</t>
  </si>
  <si>
    <t xml:space="preserve">dtapia@biofarmalab.com.ar
</t>
  </si>
  <si>
    <t xml:space="preserve">Avda. Bandera de los Andes 217 - (5519) San José Guymallén </t>
  </si>
  <si>
    <t>(0261) 432 2885</t>
  </si>
  <si>
    <t>Reactivos, instrumental, equipamiento, Balón, tapón.
Vidrios de Reloj</t>
  </si>
  <si>
    <t xml:space="preserve">Pedir certificado de productos
</t>
  </si>
  <si>
    <t>De quimica</t>
  </si>
  <si>
    <t>Bueno</t>
  </si>
  <si>
    <t>Ricardo Golsac</t>
  </si>
  <si>
    <t>0261-155346167</t>
  </si>
  <si>
    <t>Insumos de laboratorio</t>
  </si>
  <si>
    <t>SI</t>
  </si>
  <si>
    <t>Regular</t>
  </si>
  <si>
    <t>CHEM LAB</t>
  </si>
  <si>
    <t>Cristian Popescu</t>
  </si>
  <si>
    <t>ventas@chem-lab.com.ar   exports@chem-lab.com.ar</t>
  </si>
  <si>
    <t xml:space="preserve">Pasaje Bollini 2218 PB Depto. "B" CP: 1425 Cap.Fed </t>
  </si>
  <si>
    <t xml:space="preserve">Tel./Fax. +54 -11-4806-5276 </t>
  </si>
  <si>
    <t>Estandares</t>
  </si>
  <si>
    <t>Trazabilidad</t>
  </si>
  <si>
    <t>CHEMEIA S.A.</t>
  </si>
  <si>
    <t xml:space="preserve">chemeia2003@yahoo.com.ar  
</t>
  </si>
  <si>
    <t>Alvarez Condarco 2032 - (5539)- Parque Industrial "Eje Norte" - Las Heras - Mza</t>
  </si>
  <si>
    <t xml:space="preserve">0261-4482638 / 4481864
</t>
  </si>
  <si>
    <t>Productos químicos, equipos de laboratorio, reactivos análiticos, química fina</t>
  </si>
  <si>
    <t>CHEMICAL CENTER</t>
  </si>
  <si>
    <t>Marcelo 
Zanfagnini</t>
  </si>
  <si>
    <t>mzanfagnini@chemicalcenter.com.ar</t>
  </si>
  <si>
    <t xml:space="preserve">Bolivia 576
Godoy Cruz - Pcia. de Mendoza
</t>
  </si>
  <si>
    <t>0261-156250500
0261-4527866</t>
  </si>
  <si>
    <t>Insumos para análisis (drogas, material de vidrio, equipos, etc.)</t>
  </si>
  <si>
    <t>COSMOBIO</t>
  </si>
  <si>
    <t>Alejandro Ramirez</t>
  </si>
  <si>
    <t>info@cosmobio.com.ar</t>
  </si>
  <si>
    <t>España 4017 CP 1636 Olivos. Bs As</t>
  </si>
  <si>
    <t>011 47113233</t>
  </si>
  <si>
    <t>Equipos para Laboratorios</t>
  </si>
  <si>
    <t>DOLS</t>
  </si>
  <si>
    <t>dolzhnos@speedy.com.ar</t>
  </si>
  <si>
    <t>Fonrouge 1867. CF</t>
  </si>
  <si>
    <t>011 46353159</t>
  </si>
  <si>
    <t>Servicio de calibracion de Pesas y Balanzas</t>
  </si>
  <si>
    <t>Con el proximo servicio</t>
  </si>
  <si>
    <t>www.figmay.com.ar/contacto.htm</t>
  </si>
  <si>
    <t>Tenerife 3286 Bº Ciudadela
C.P 5016 - Córdoba Argentina.</t>
  </si>
  <si>
    <t>351 4618093 | 4616029</t>
  </si>
  <si>
    <t>Celdas de Cuarzo</t>
  </si>
  <si>
    <t>FITE SAC</t>
  </si>
  <si>
    <t>Cuba 3538 (1429) Bs As</t>
  </si>
  <si>
    <t>011-4701-2093  / 4702-5138</t>
  </si>
  <si>
    <t>Fabricación de termómetros y densímetros de precisión</t>
  </si>
  <si>
    <t>Solicitar trazabilidad</t>
  </si>
  <si>
    <t>Ángel
 Funes</t>
  </si>
  <si>
    <t>Carril A. Gómez 795 (5511)
Gral. Gutierrez-Maipú-Mza</t>
  </si>
  <si>
    <t>0261 4977901</t>
  </si>
  <si>
    <t>Tapas de teflón</t>
  </si>
  <si>
    <t>ICON ARGENTINA</t>
  </si>
  <si>
    <t>iconargentina@gmail.com</t>
  </si>
  <si>
    <t>Virrey Ceballos 248 P.B. -  C1077AAF- Cap. Federal</t>
  </si>
  <si>
    <t xml:space="preserve"> 011-4375-2160/4381-2902</t>
  </si>
  <si>
    <t>Elementos para toma de muestras</t>
  </si>
  <si>
    <t>Martín Almar</t>
  </si>
  <si>
    <t>Pavón 1577 Avellaneda. Bs As</t>
  </si>
  <si>
    <t>011 - 42185675</t>
  </si>
  <si>
    <t>Calibración de monitor de Chimeneas</t>
  </si>
  <si>
    <t>INDURA</t>
  </si>
  <si>
    <t>mendoza@indura.net</t>
  </si>
  <si>
    <t>Acceso Sur Lateral Oeste 130.  C.P. 5501 - Godoy Cruz - Mendoza</t>
  </si>
  <si>
    <t>(0261) 4312682
08108106003</t>
  </si>
  <si>
    <t>Gases (N2O3 – C2H2 – H2 – He – Ar – N2 y gases especiales)</t>
  </si>
  <si>
    <t>aprobado</t>
  </si>
  <si>
    <t>INDUSTRIA Y MEDICINA</t>
  </si>
  <si>
    <t>industriamedicina@speedy.com.ar</t>
  </si>
  <si>
    <t>Aristóbulo del Valle 406
Benegas (5501) G. Cruz - Mza</t>
  </si>
  <si>
    <t>0261 439 7892</t>
  </si>
  <si>
    <t>Caja membrana</t>
  </si>
  <si>
    <t>Pedir certificado de productos</t>
  </si>
  <si>
    <t>INSTRUTEC</t>
  </si>
  <si>
    <t>instrumentacion@instrutec.com.ar</t>
  </si>
  <si>
    <t>Crisólogo Larralde 6288 - C1431AQF, Capital Federal - Argentina</t>
  </si>
  <si>
    <t>(11) 4574-2124//4571-7201</t>
  </si>
  <si>
    <t>Suministros para laboratorio</t>
  </si>
  <si>
    <t>IRAM</t>
  </si>
  <si>
    <t xml:space="preserve">Cecilia
</t>
  </si>
  <si>
    <t>San Lorenzo 473 - Cdad - Mza</t>
  </si>
  <si>
    <t>0261-4297343
0261-4294837</t>
  </si>
  <si>
    <t>Ensayos Interlaboratorios</t>
  </si>
  <si>
    <t>No se realizaron interlabs</t>
  </si>
  <si>
    <t>Ana Hernandez</t>
  </si>
  <si>
    <t>011-47246200 int 6323 (aguas)</t>
  </si>
  <si>
    <t>Bueno a regular</t>
  </si>
  <si>
    <t>jenck@jenck.com</t>
  </si>
  <si>
    <t>Alvares Thomas 228 - Cap. Fed. (1427)</t>
  </si>
  <si>
    <t>011 4014-5300  
 011 4014-5353 (fax)</t>
  </si>
  <si>
    <t>Equipos e Insumos para análisis instrumental: CG, AA, IR</t>
  </si>
  <si>
    <t>LA QUÍMICA
QUIRÚRGICA SACI</t>
  </si>
  <si>
    <t>Orlando 
Naves</t>
  </si>
  <si>
    <r>
      <t xml:space="preserve">Saavedra 247 (1083)
Bs As
</t>
    </r>
    <r>
      <rPr>
        <b/>
        <sz val="11"/>
        <rFont val="Arial"/>
        <family val="2"/>
      </rPr>
      <t>25 de Mayo 948 - 2º P
Depto A Cdad-Mza</t>
    </r>
  </si>
  <si>
    <r>
      <t xml:space="preserve">951-1802 / 2692
952-8751 / 1563
54-1-952-2470
</t>
    </r>
    <r>
      <rPr>
        <b/>
        <sz val="11"/>
        <rFont val="Arial"/>
        <family val="2"/>
      </rPr>
      <t>4293042</t>
    </r>
  </si>
  <si>
    <t>Equipamiento Integral
de Laboratorios Químicos
Estándares</t>
  </si>
  <si>
    <t>LABORATORIO
 ANDES</t>
  </si>
  <si>
    <t>www.emprezas.com/index.php?empresa_id=12537&amp;q=laboratorio</t>
  </si>
  <si>
    <t>J. Batista Alberdi 1094 - Godoy Cruz/ 
Alem 1383 - G. Cruz</t>
  </si>
  <si>
    <t>Fax 0261-4520457
Tel 0261-4520476</t>
  </si>
  <si>
    <t>Equipos y suministros para laboratorio</t>
  </si>
  <si>
    <t>labsa@speedy.com.ar</t>
  </si>
  <si>
    <t>Reconquista 95 esquina.  Güemes 294 - Maipú- Mendoza</t>
  </si>
  <si>
    <t>0261-4978605</t>
  </si>
  <si>
    <t>Analisis- Calibraciones- Servicios</t>
  </si>
  <si>
    <t>LEMYC</t>
  </si>
  <si>
    <t>Marcelo Miranda</t>
  </si>
  <si>
    <t>marcelo.mario.miranda@gmail.com</t>
  </si>
  <si>
    <t>Echeverría 1133 Godoy Cruz – Mza.-   CP: 5501</t>
  </si>
  <si>
    <t>4249699
261 156546600</t>
  </si>
  <si>
    <t>Service Equipos Instrumentales</t>
  </si>
  <si>
    <t>----</t>
  </si>
  <si>
    <t xml:space="preserve">Comedor Universitario </t>
  </si>
  <si>
    <t>int 4016</t>
  </si>
  <si>
    <t>Elementos de librería</t>
  </si>
  <si>
    <r>
      <t>www.</t>
    </r>
    <r>
      <rPr>
        <b/>
        <sz val="11"/>
        <color indexed="12"/>
        <rFont val="Arial"/>
        <family val="2"/>
      </rPr>
      <t>linde</t>
    </r>
    <r>
      <rPr>
        <sz val="11"/>
        <color indexed="12"/>
        <rFont val="Arial"/>
        <family val="2"/>
      </rPr>
      <t>-</t>
    </r>
    <r>
      <rPr>
        <b/>
        <sz val="11"/>
        <color indexed="12"/>
        <rFont val="Arial"/>
        <family val="2"/>
      </rPr>
      <t>gas</t>
    </r>
    <r>
      <rPr>
        <sz val="11"/>
        <color indexed="12"/>
        <rFont val="Arial"/>
        <family val="2"/>
      </rPr>
      <t>.com.ar</t>
    </r>
  </si>
  <si>
    <t>Besares 229 Chacras de Coria - Luján de Cuyo</t>
  </si>
  <si>
    <t xml:space="preserve">0261 4960408 / 4960605 / 4962252              </t>
  </si>
  <si>
    <t>MAG SRL.</t>
  </si>
  <si>
    <t>www.magsrl.com.ar/contacto.aspx</t>
  </si>
  <si>
    <t xml:space="preserve">Rodríguez Peña 2390 – Godoy Cruz </t>
  </si>
  <si>
    <t xml:space="preserve">4315358 - 4315284        
Mario: 155097307         </t>
  </si>
  <si>
    <t>Drogas. Material de Laboratorio. Equipos y Servicio Técnico</t>
  </si>
  <si>
    <t>MAC</t>
  </si>
  <si>
    <t>ventas@macsrl.com.ar</t>
  </si>
  <si>
    <t>avenida 7 y ruta 10, Berisso. Bs As</t>
  </si>
  <si>
    <t>Calibración termómetros</t>
  </si>
  <si>
    <t>Muy bueno</t>
  </si>
  <si>
    <t>MEDRANO</t>
  </si>
  <si>
    <t>Olascoaga 136 – Ciudad – Mza.</t>
  </si>
  <si>
    <t>Agua Destilada</t>
  </si>
  <si>
    <t>NEXT LAB  SRL.</t>
  </si>
  <si>
    <t>admventas@nextlabsrl.com.ar</t>
  </si>
  <si>
    <t>Av. España 263 Bº Bombal
Stos. Dumont 474 G. Cruz</t>
  </si>
  <si>
    <t>0261 4240500 / 424 8810
155080734 / 156573602</t>
  </si>
  <si>
    <t>Drogas y Materiales para laboratorio</t>
  </si>
  <si>
    <t>Oscar
Mauri</t>
  </si>
  <si>
    <t>odontologiamauri@arlinkbbt.com.ar
www.odontologiamauri.com</t>
  </si>
  <si>
    <t>Necochea 523 - Cdad. Mza.</t>
  </si>
  <si>
    <t>423-0812 / 425-9444
Fax 425-0461</t>
  </si>
  <si>
    <t>Guantes, algodón</t>
  </si>
  <si>
    <t>OMNILAB SRL.</t>
  </si>
  <si>
    <t>omnilab.com.ar/contacto.htm</t>
  </si>
  <si>
    <t xml:space="preserve">Virrey Arredondo 2850 CP: 1426 </t>
  </si>
  <si>
    <t>Estándares</t>
  </si>
  <si>
    <t>Ariel Grillo</t>
  </si>
  <si>
    <t>info@paam.com.ar</t>
  </si>
  <si>
    <t>Honduras 5849 2ª B 
Bs As</t>
  </si>
  <si>
    <t>11 47787234</t>
  </si>
  <si>
    <t>Service de Equipos - Instrumental</t>
  </si>
  <si>
    <t>Evaluación con la proxima compra</t>
  </si>
  <si>
    <t>FRAM</t>
  </si>
  <si>
    <t>ariel.j.grillo@gmail.com</t>
  </si>
  <si>
    <t>Colombia 914 , Bahia Blanca, Bs As</t>
  </si>
  <si>
    <t>0291-155036687</t>
  </si>
  <si>
    <t>PERKIN ELMER</t>
  </si>
  <si>
    <t>helga.carballo@perkinelmer.com.ar
  noelia.bartncki@perkinelmer.com.ar</t>
  </si>
  <si>
    <t>Tornador 620 – C1427CRN - Buenos Aires</t>
  </si>
  <si>
    <t>011-455-4004/2807 (fax)</t>
  </si>
  <si>
    <t>Service Oficial Equipos Perkin Elmer- Insumos</t>
  </si>
  <si>
    <t>Mensajeria</t>
  </si>
  <si>
    <t>www.propacksa.com.ar
ventas@propacksa.com.ar</t>
  </si>
  <si>
    <t>Zapala 318 (5519) Dorrego - Guaymallén</t>
  </si>
  <si>
    <t>0261 4319689
Fax 0261 4320168</t>
  </si>
  <si>
    <t>Sellos mecánicos, teflón, grilón, retenes y o`rings</t>
  </si>
  <si>
    <t>RODIN SRL</t>
  </si>
  <si>
    <t>Fernando 
Gómez</t>
  </si>
  <si>
    <t>fgomez@rodinsrl.com.ar
www.rodinsrl.com.ar</t>
  </si>
  <si>
    <t>Pellegrini 1096 esq. Mármol
Godoy Cruz (5501) Mza</t>
  </si>
  <si>
    <t>261-155750371
54-261-4285999/42</t>
  </si>
  <si>
    <t>Servicio Oficial de TESTO</t>
  </si>
  <si>
    <t>SANICO</t>
  </si>
  <si>
    <t>Marcelo
Miranda</t>
  </si>
  <si>
    <t>sanico@sanicoarg.com.ar
mfernandez@sanicoarg.com.ar
ventas@sanicoarg.com.ar</t>
  </si>
  <si>
    <t>Av. Belgrano 990, Piso 4º (C1092AAB) Buenos Aires</t>
  </si>
  <si>
    <t xml:space="preserve"> +54 11 4343-6080/9449 4345
Fax 54 11 43455490
261 156546600</t>
  </si>
  <si>
    <t xml:space="preserve">Acreditado </t>
  </si>
  <si>
    <t>SARTORIUS</t>
  </si>
  <si>
    <t>service@sartorius.com.ar</t>
  </si>
  <si>
    <t>Avalos 4251 B1605ECS-Munro-Argentina</t>
  </si>
  <si>
    <t>54-11 4721,0505    FAX 54-11 4762,2333</t>
  </si>
  <si>
    <t>Calibración de Balanzas</t>
  </si>
  <si>
    <t>ventas@siafa.com.ar</t>
  </si>
  <si>
    <t xml:space="preserve">Av. Rivadavia 9609 – Bs. As. </t>
  </si>
  <si>
    <t>011 46842232</t>
  </si>
  <si>
    <t>Equipamiento para Higiene y Seg. e Instrumentos para medición y control y tomas de muestras.</t>
  </si>
  <si>
    <t>SICE</t>
  </si>
  <si>
    <t>Natalia</t>
  </si>
  <si>
    <t>Habana 2986 Dto. 2 - 1419 
Cap. Federal</t>
  </si>
  <si>
    <t>011-45722762</t>
  </si>
  <si>
    <t>SINTORGAN S.A</t>
  </si>
  <si>
    <t>silvina@sintorgan.com.ar</t>
  </si>
  <si>
    <t>French 320 -(B1603BNQ) - Villa Martelli-Buenos Aires</t>
  </si>
  <si>
    <t>011 4709 1228 (tel/fax)</t>
  </si>
  <si>
    <t>Carbono Tetracloruro</t>
  </si>
  <si>
    <t>San Martín 2871 Capital Mza.</t>
  </si>
  <si>
    <t>0261 430 4102</t>
  </si>
  <si>
    <t>Elementos de seguridad industrial (Anteojos)</t>
  </si>
  <si>
    <t>camji@fibertel.com.ar</t>
  </si>
  <si>
    <t>14 de Julio 344 / 48 - 1427
Bs As</t>
  </si>
  <si>
    <t>4552 - 3873 / 4223
4551 - 3750 / 3790
Fax 4552 - 1606 / 4551 - 3783</t>
  </si>
  <si>
    <t>Industria Metalúrgica - Química
y Refinería de metales preciosos</t>
  </si>
  <si>
    <t>Beruti 4883 CF</t>
  </si>
  <si>
    <t>011-47747200</t>
  </si>
  <si>
    <t>Equipos de laboratorio</t>
  </si>
  <si>
    <t>en la proxima compra</t>
  </si>
  <si>
    <t>ventas@zenvases.com</t>
  </si>
  <si>
    <t>Don Bosco 103. Ciudad - Mendoza</t>
  </si>
  <si>
    <t>0261 - 4237699</t>
  </si>
  <si>
    <t>Material Plastico y derivados</t>
  </si>
  <si>
    <t>Realiza Requerimiento</t>
  </si>
  <si>
    <t>tipo de servicio</t>
  </si>
  <si>
    <r>
      <t xml:space="preserve">
remito nº
</t>
    </r>
    <r>
      <rPr>
        <b/>
        <sz val="7"/>
        <color theme="1"/>
        <rFont val="Copperplate Gothic Light"/>
        <family val="2"/>
      </rPr>
      <t>(si corresponde)</t>
    </r>
  </si>
  <si>
    <t>Total general</t>
  </si>
  <si>
    <t>mes</t>
  </si>
  <si>
    <t>año</t>
  </si>
  <si>
    <t>Etiquetas de columna</t>
  </si>
  <si>
    <t>Cuenta de cantidad</t>
  </si>
  <si>
    <t>Bobina de papel, doble hoja. 25x400. Marca: ELEGANTE</t>
  </si>
  <si>
    <t>Bobina de papel, doble hoja. 20x300. Marca: ELEGANTE</t>
  </si>
  <si>
    <t>Rollos</t>
  </si>
  <si>
    <t>Oquplast</t>
  </si>
  <si>
    <t>Insumo</t>
  </si>
  <si>
    <t>PAPEL DE FILTRO 3 m/N USO GENERAL 58 X 58 SARTORIUS (unid.)</t>
  </si>
  <si>
    <t>pliegos</t>
  </si>
  <si>
    <t>Adrián</t>
  </si>
  <si>
    <t>ACIDO NITRICO 65% PA CICARELLI (1 L)</t>
  </si>
  <si>
    <t>ACIDO SULFURICO PA ACS 95-98% CICARELLI (1 L)</t>
  </si>
  <si>
    <t>Droga</t>
  </si>
  <si>
    <t>Litros</t>
  </si>
  <si>
    <t>Bolsas de consorcio. 60x90. 50 unidades</t>
  </si>
  <si>
    <t>Pack</t>
  </si>
  <si>
    <t>Miguel</t>
  </si>
  <si>
    <t>Frascos para uso biológico por 300 cc, estéril. Con caja. Marca: Gasana.</t>
  </si>
  <si>
    <t>Unidades</t>
  </si>
  <si>
    <t>Medical Gloves</t>
  </si>
  <si>
    <t>Kit de 100 Tapas de Aluminio (20mm) con septa de Silicone/PTFE- ULTRACLEAN, para viales 20ml de capacidad, para muestreador por Head Space. N/P 20030142x100</t>
  </si>
  <si>
    <t>Jenck</t>
  </si>
  <si>
    <t>Un Tubo de bomba para reactivos, color naranja, para generador de hidruros marca Shimadzu modelo HVG-1. N/P 208-90038-08x1 (reemplaza al N/P 200-54612-08x1) Orden Mínima: dos unidades</t>
  </si>
  <si>
    <t>Un Tubo de bomba para muestra, color azul, para Generador de hidruros marca Shimadzu modelo HVG-1. N/P 208-90038-13x1 (Reemplaza al N/P 200-54612-13x1) Orden Mínima: dos unidades</t>
  </si>
  <si>
    <t>Tubería de plástico fluorocarbonado de 400mm, marca Shimadzu. N/P 206-60250-01.</t>
  </si>
  <si>
    <t>Celda de cuarzo, de absorción, para Generador de vapores de hidruros 54.059,19 marca Shimadzu modelo HVG-1. N/P 206-77607</t>
  </si>
  <si>
    <t>Marcela</t>
  </si>
  <si>
    <t>Ruth  Cristóbal</t>
  </si>
  <si>
    <t>27,029,60</t>
  </si>
  <si>
    <t>adrián</t>
  </si>
  <si>
    <t>Potasio persulfato p.a x 250 gr</t>
  </si>
  <si>
    <t>Ácido Nítrico 65% Pro- análisis x 1 lt</t>
  </si>
  <si>
    <t>Agua oxigenada 100 vol. P.a x 1000cc.</t>
  </si>
  <si>
    <t>unidad</t>
  </si>
  <si>
    <t>unidades</t>
  </si>
  <si>
    <t>0001-00186379</t>
  </si>
  <si>
    <t>0001-00186380</t>
  </si>
  <si>
    <t>0001-00186381</t>
  </si>
  <si>
    <t>0003-00006485</t>
  </si>
  <si>
    <t>0003-00006486</t>
  </si>
  <si>
    <t>0003-00006487</t>
  </si>
  <si>
    <t>Material de vidrio</t>
  </si>
  <si>
    <t>Nº de cliente ACOFI: 2006006</t>
  </si>
  <si>
    <t>Julieta</t>
  </si>
  <si>
    <t>Controla pedido Adriana.</t>
  </si>
  <si>
    <t>Carolina N.</t>
  </si>
  <si>
    <t>Tubos</t>
  </si>
  <si>
    <t>Tubo de acetileno para AA.</t>
  </si>
  <si>
    <t>Compra de gases.</t>
  </si>
  <si>
    <t>Cristóbal/Caro N.</t>
  </si>
  <si>
    <t>345,8 x kg</t>
  </si>
  <si>
    <t>Equipo</t>
  </si>
  <si>
    <t>Expreso Luján.</t>
  </si>
  <si>
    <t>0001-00182357</t>
  </si>
  <si>
    <t>0004-00000893</t>
  </si>
  <si>
    <t>Envase</t>
  </si>
  <si>
    <t>Ok. EN condiciones</t>
  </si>
  <si>
    <t>0007-00022574</t>
  </si>
  <si>
    <t>9997-00005051</t>
  </si>
  <si>
    <t>ana Maco</t>
  </si>
  <si>
    <t>ACIDO FOSFORICO 85% PA SINTORGAN (1 L)</t>
  </si>
  <si>
    <t>0050-00007039</t>
  </si>
  <si>
    <t>Atención: Diego. Nºde pedido: 120371975. Ok. En condiciones.</t>
  </si>
  <si>
    <t>Pedro</t>
  </si>
  <si>
    <t>Servicio</t>
  </si>
  <si>
    <t xml:space="preserve">Rodríguez Hnos. Transporte. </t>
  </si>
  <si>
    <t>Ok. En codiciones</t>
  </si>
  <si>
    <t>0003-00224939</t>
  </si>
  <si>
    <t>Transporte</t>
  </si>
  <si>
    <t>Flete /seguro/entrega</t>
  </si>
  <si>
    <t>no aplica</t>
  </si>
  <si>
    <t>Rodríguez Hnos. Transporte S.A.</t>
  </si>
  <si>
    <t>Transportista</t>
  </si>
  <si>
    <t>0001-01873025</t>
  </si>
  <si>
    <t>Flete /seguro/otros</t>
  </si>
  <si>
    <t>Expreso Luján DE Cuyo</t>
  </si>
  <si>
    <t>Controla, bulto, Julieta</t>
  </si>
  <si>
    <t>0003-00811060</t>
  </si>
  <si>
    <t>1001-00010988</t>
  </si>
  <si>
    <t>Magucha</t>
  </si>
  <si>
    <t>Drum brother dr420 hl 2240/2270dw/hl2130/dcp</t>
  </si>
  <si>
    <t>Pieza</t>
  </si>
  <si>
    <t>JBInsumos de Buttini Alfredo Javier</t>
  </si>
  <si>
    <t>Gerardo</t>
  </si>
  <si>
    <t>Compra realizada por Gerardo. Responde a pedido de impresora HP.</t>
  </si>
  <si>
    <t>0004-00000672</t>
  </si>
  <si>
    <t>Repuesto</t>
  </si>
  <si>
    <t>0034-00001306</t>
  </si>
  <si>
    <t>No informa</t>
  </si>
  <si>
    <t>Cristóbal  Caro N.</t>
  </si>
  <si>
    <t>Controla Caro Narvarte. Ok. En condiciones</t>
  </si>
  <si>
    <t>0001-00035435</t>
  </si>
  <si>
    <t>0003-00003898</t>
  </si>
  <si>
    <t>0001-00035434</t>
  </si>
  <si>
    <t xml:space="preserve">Ok. </t>
  </si>
  <si>
    <t>0009-00011216</t>
  </si>
  <si>
    <t>Flete/Seguro (mismo flete Módulo de adquisición de datos/kit 100 tapas con septa/ Set de tubos y celdas de cuarzo)</t>
  </si>
  <si>
    <t>0003-00003900</t>
  </si>
  <si>
    <t>Servicio de calibración CG Perkin Elmer Autosystem XL Arnel</t>
  </si>
  <si>
    <t>Servicio calibración Espectrofotómetro Shimadzu UV 160 A</t>
  </si>
  <si>
    <t>Servicio de calibración Espectrofotómetro IR Perkin Elmer Spectrum 1000</t>
  </si>
  <si>
    <t>Servicio de Calibración CG Perkin Elmer Clarus 500</t>
  </si>
  <si>
    <t>Servicio de Calibración PH metro Hanna HI 2211</t>
  </si>
  <si>
    <t>Servicio de Calibración Conductivimetro Termo Orion 145</t>
  </si>
  <si>
    <t>Servicio de Calibración KArl Fisher Kent</t>
  </si>
  <si>
    <t>Ok. Realizado conforme a lo establecido</t>
  </si>
  <si>
    <t>L.A.M</t>
  </si>
  <si>
    <t>0001-00000053</t>
  </si>
  <si>
    <t>0001-00000052</t>
  </si>
  <si>
    <t>Servidor Instrumental.
2x HDD 2 TB SATA3 64MB WD PURPLE
INTEL DUAL CORE 3.5 1151 G4560 MB 1151
MB 1151 GIGABYTE H110M-H DDR4
DDR-4 8GB 2133 CRUCUIAL 12.V CL 15
GAB SENTEY A20 BX2_4293 560W V2.0</t>
  </si>
  <si>
    <t>Módulo de adquisición de datos, e interfase de red de sistema cromatográfico, modelo CBM-102. marca Shimadzu, N/P 223-04860-38
Incluye un cable para señal analógica.</t>
  </si>
  <si>
    <t>75 879.34</t>
  </si>
  <si>
    <t>(en blanco)</t>
  </si>
  <si>
    <t>PROVEEDOR</t>
  </si>
  <si>
    <t>Probeta de 250 ml de vidrio. Sin tapa.</t>
  </si>
  <si>
    <t>Probeta de 500 ml de vidrio. Sin tapa.</t>
  </si>
  <si>
    <t>Probeta de 1000 ml de vidrio. Sin tapa.</t>
  </si>
  <si>
    <t>Probeta de 1000 ml de vidrio. Con tapa.</t>
  </si>
  <si>
    <t>Probeta de 500 ml de vidrio. Con tapa.</t>
  </si>
  <si>
    <t>Pipetas graduadas de 25 ml</t>
  </si>
  <si>
    <t>En empresa</t>
  </si>
  <si>
    <t>Provisorio 0001-00001838</t>
  </si>
  <si>
    <t>M L Barbeito</t>
  </si>
  <si>
    <t>Agua Destilada.</t>
  </si>
  <si>
    <t>Ok. En condiciones. Controla CE Pablo:OK.</t>
  </si>
  <si>
    <t>0004-00000953</t>
  </si>
  <si>
    <t>0004-00000952</t>
  </si>
  <si>
    <t>Cristóbal
Adrián</t>
  </si>
  <si>
    <t xml:space="preserve">Botiquín: Termómetro </t>
  </si>
  <si>
    <t>Botiquín: Gasa</t>
  </si>
  <si>
    <t>envases</t>
  </si>
  <si>
    <t>Cajas</t>
  </si>
  <si>
    <t>Packs</t>
  </si>
  <si>
    <t>Botiquín: Iodo (pervinox)</t>
  </si>
  <si>
    <t>Botiquín: cinta adhesiva de tela antilérgica.</t>
  </si>
  <si>
    <t>Botiquín: Apositos curitas.</t>
  </si>
  <si>
    <t>Botiquín: Crema sulfamida. Platsul.</t>
  </si>
  <si>
    <t>rollo</t>
  </si>
  <si>
    <t>cajas</t>
  </si>
  <si>
    <t>pomo</t>
  </si>
  <si>
    <t>Alejandra Somonte</t>
  </si>
  <si>
    <t>Florero 9x25</t>
  </si>
  <si>
    <t>Florero 10x20</t>
  </si>
  <si>
    <t>Farmacity</t>
  </si>
  <si>
    <t>El almácen del artesano</t>
  </si>
  <si>
    <t>caja</t>
  </si>
  <si>
    <t>Caja</t>
  </si>
  <si>
    <t>Botiquín: Vendas 10cmx3m</t>
  </si>
  <si>
    <t>Botiquín: Vendas 5cmx3m</t>
  </si>
  <si>
    <t>Botiquín: Agua oxigenada</t>
  </si>
  <si>
    <t>envase</t>
  </si>
  <si>
    <t>En comercio</t>
  </si>
  <si>
    <t>0008-00533080</t>
  </si>
  <si>
    <t>0005-00071412</t>
  </si>
  <si>
    <t>Ok. En condiciones. Responde a pedido de vaso de precipitado Berzelius de 1Lt.</t>
  </si>
  <si>
    <t>NO APLICA</t>
  </si>
  <si>
    <t>A confirmar</t>
  </si>
  <si>
    <t>Sujeto a pago y a Aduana</t>
  </si>
  <si>
    <t>Ok, se recibe bulto. Debe abririlo el técnico.</t>
  </si>
  <si>
    <t>KG</t>
  </si>
  <si>
    <t>TUBO</t>
  </si>
  <si>
    <t>Gramos</t>
  </si>
  <si>
    <t>litros</t>
  </si>
  <si>
    <t>Pliegos</t>
  </si>
  <si>
    <t>Litro</t>
  </si>
  <si>
    <t>UNIDAD</t>
  </si>
  <si>
    <t>uNIDADES</t>
  </si>
  <si>
    <t>No entregan</t>
  </si>
  <si>
    <t>28/06/16 A espera de entrega del pedido. 01/07/16 Pedido desestimado</t>
  </si>
  <si>
    <t>Laboratorios General</t>
  </si>
  <si>
    <t>Ricaro Fernández
Autosrvicio integral mayorista</t>
  </si>
  <si>
    <t>Bibliorato ONIX A4.PVC LOOMO 7CM (VERDE/AZUL/NEGRO/naranja)</t>
  </si>
  <si>
    <t>Cuchilla Cutter</t>
  </si>
  <si>
    <t>Cinta adhesiva condor 48x100 transparente</t>
  </si>
  <si>
    <t>Cinta adhesiva stiko 48x100 transparente</t>
  </si>
  <si>
    <t>Goma maped mini technic 300 011300 c/u</t>
  </si>
  <si>
    <t>Adhesivo barra pizzini 36 gr.</t>
  </si>
  <si>
    <t xml:space="preserve">Cinta adhesiva stiko 18x50 </t>
  </si>
  <si>
    <t>Corrector paper mate líquido p/met c/u</t>
  </si>
  <si>
    <t>Marcador edding permanente E-400 Negro x10</t>
  </si>
  <si>
    <t>Regla Pizzini 1702 20 cm fume c/u</t>
  </si>
  <si>
    <t>Tijera Maped Advanced 21cm 49911D</t>
  </si>
  <si>
    <t>Folio LUMA EQ. COMERCIAL OF. REF X100</t>
  </si>
  <si>
    <t>Etiquetapegasola A4 x10 8950</t>
  </si>
  <si>
    <t>Papel fax husares 210x25mt</t>
  </si>
  <si>
    <t>Abrochadora kangora HP-45</t>
  </si>
  <si>
    <t>Marcador pizzini p/pizara 1250( Azul/rojo/verde)</t>
  </si>
  <si>
    <t>Resma papel autor A4 75 GR.500HJX10</t>
  </si>
  <si>
    <t>Boligrafo bic trazo grueso x50</t>
  </si>
  <si>
    <t>Andrea</t>
  </si>
  <si>
    <t>0023-00018775</t>
  </si>
  <si>
    <t xml:space="preserve">Leandro </t>
  </si>
  <si>
    <t>Elemento de seguridad</t>
  </si>
  <si>
    <t>Guardapolvo hombre azul. Talla 46</t>
  </si>
  <si>
    <t>Los tres gorditos</t>
  </si>
  <si>
    <t>Ok. En condiciones. Compra Leandro, autorizó la compra de guardapolvos para uso personal Ruth.</t>
  </si>
  <si>
    <t>0007-00010657</t>
  </si>
  <si>
    <t>06/06/17. Entregan 2lt en coniciones. 
21/06/17 Entregan 1Lt en condiciones.</t>
  </si>
  <si>
    <t>0007-00022574
0007-00022676</t>
  </si>
  <si>
    <t>9997-00005051
9997-00022676</t>
  </si>
  <si>
    <t>Esmalte sintético aerosol. Kuwaitt</t>
  </si>
  <si>
    <t>Pinceleta tigre N01</t>
  </si>
  <si>
    <t>Pinceleta tigre N02</t>
  </si>
  <si>
    <t>UHU Super glue x 3gr</t>
  </si>
  <si>
    <t>0005-00071718</t>
  </si>
  <si>
    <t>Ok. En condiciones. Responde a pedido de vaso de precipitado Berzelius de 1Lt. Cambiar por un florero de 9x25</t>
  </si>
  <si>
    <t>Ok. En condiciones. Responde a pedido de vaso de precipitado Berzelius de 1Lt. Es el cambio del florero 10X20</t>
  </si>
  <si>
    <t>Ok. En condiciones, Se utilizó nota de credito por cambio de florero 10x20. Nota de crédito: 0005-00000316</t>
  </si>
  <si>
    <t>Ok. En condiciones, Se utilizó nota de credito por cambio de florero 10x20. 
Nota de crédito: 0005-00000316</t>
  </si>
  <si>
    <t>Cristobal</t>
  </si>
  <si>
    <t>Laura Meneces</t>
  </si>
  <si>
    <t xml:space="preserve">Marcela </t>
  </si>
  <si>
    <t>Se pidió con urgencia, por falta de droga. 
Recepción: Ok, en condiciones.</t>
  </si>
  <si>
    <t xml:space="preserve">Potasio ioduro PA X 1000. Alkemit. </t>
  </si>
  <si>
    <t>Magnesio cloruro 6- Hidrato Puro x 1000gr.</t>
  </si>
  <si>
    <t>0001-00186984</t>
  </si>
  <si>
    <t>0003-00006559</t>
  </si>
  <si>
    <t>Susana</t>
  </si>
  <si>
    <t>M E Barbeito</t>
  </si>
  <si>
    <t>Guantes negros par (med 8 1/2)</t>
  </si>
  <si>
    <t>Pares</t>
  </si>
  <si>
    <t>Cepillo para bureta, mango galvanizado- Diámetro 25. Leone</t>
  </si>
  <si>
    <t>Cepillo para probeta chica, mango galvanizado- Diámetro 25. Leone</t>
  </si>
  <si>
    <t>16/06/17 No informan fecha de entrega.
21/06/17 Reclamó Susana. Comunicación teefónica con Mario, queda en entregarlo el 22/06/17
23/06/17. Recepción Ok, en condiciones.</t>
  </si>
  <si>
    <t>0001-00186991</t>
  </si>
  <si>
    <t>0003-00006560</t>
  </si>
  <si>
    <t>0007-00022771</t>
  </si>
  <si>
    <t>9997-00005135</t>
  </si>
  <si>
    <t>9995-00004317</t>
  </si>
  <si>
    <t>Barbeito M. Luisa</t>
  </si>
  <si>
    <t>Frascos x 100 cc. Con tapa</t>
  </si>
  <si>
    <t>Cristóbal David.</t>
  </si>
  <si>
    <t xml:space="preserve">Ok. En condiciones. </t>
  </si>
  <si>
    <t>0003-00040303</t>
  </si>
  <si>
    <t>9995-00004408</t>
  </si>
  <si>
    <t>Rodriguez Hnos Transporte.</t>
  </si>
  <si>
    <t>0003-00226070</t>
  </si>
  <si>
    <t>Flete/ Seguro/ Entrega</t>
  </si>
  <si>
    <t>Rodriguez HNOS. Transportes S.A.</t>
  </si>
  <si>
    <t>Servicio contratado y pagado por chemical center</t>
  </si>
  <si>
    <t>0001-01880506</t>
  </si>
  <si>
    <t>Análisis de uranio en muestras de líquidos industriales - s.a nº 16021 (Cadena de custodia DETI I-11223)</t>
  </si>
  <si>
    <t>UNIDADES</t>
  </si>
  <si>
    <t>0002-00000077</t>
  </si>
  <si>
    <t>Facultad De ciencias Aplicadas</t>
  </si>
  <si>
    <t>Análisis de uranio en muestras de agua - S. A Nº 16054 (Cadena de custodia DETI I-11236)</t>
  </si>
  <si>
    <t>0002-00000076</t>
  </si>
  <si>
    <t>Vino- cromatografía cuantica de alcoholes.</t>
  </si>
  <si>
    <t>INV</t>
  </si>
  <si>
    <t>Ok. EN condiciones.</t>
  </si>
  <si>
    <t>Gases</t>
  </si>
  <si>
    <t>Acetileno para Absorción Atómica. X Kg</t>
  </si>
  <si>
    <t>Kg</t>
  </si>
  <si>
    <t>Pedido el viernes 30/06/17, por teléfono. Se confirmo el lunes 03/07/17</t>
  </si>
  <si>
    <t>Carolina Narvarte</t>
  </si>
  <si>
    <t>Estándar</t>
  </si>
  <si>
    <t>5190-8279, Copper, 1000 ug/ml, 100ml</t>
  </si>
  <si>
    <t>Omnilab</t>
  </si>
  <si>
    <t>5190-8295, Mercury, 1000 ug/ml, 100ml</t>
  </si>
  <si>
    <t>5190-8309, Silver, 1000 ug/ml, 100ml</t>
  </si>
  <si>
    <t>AA04N-1, Barium AA Standard (Cantidad: 100 mL) (Concentración: 1000 µg/mL in 2-5% Nitric Acid) Marca: Accustandard</t>
  </si>
  <si>
    <t>AA33N-1, Manganese AA Standard (Cantidad: 100 mL) (Concentración: 1000 µg/mL in 2-5% Nitric Acid) Marca: Accustandard</t>
  </si>
  <si>
    <t>AA37N-1, Nickel AA Standard (Cantidad: 100 mL) (Concentración: 1000 µg/mL in 2-5% Nitric Acid) Marca: Accustandard</t>
  </si>
  <si>
    <t>AA07W-1. Boron AA Standard (Cantidad: 100 mL) (Concentración: 1000 µg/mL in Water, tr Ammonium hydroxide) Marca: Accustandard</t>
  </si>
  <si>
    <t>AA70N-1, Zinc AA Standard (Cantidad: 100 mL)
(Concentración: 1000 µg/mL in 2-5% Nitric Acid)
Marca: Accustandard</t>
  </si>
  <si>
    <t>AA14N-1,Cobalt AA Standard (Cantidad: 100 mL) (Concentración: 1000 µg/mL in 2-5% Nitric Acid) Marca: Accustandard</t>
  </si>
  <si>
    <t>AA30N-1, Lithium AA Standard (Cantidad: 100 mL) (Concentración: 1000 µg/mL in 2-5% Nitric Acid) Marca: Accustandard</t>
  </si>
  <si>
    <t>AA54N-1. Sodium AA Standard (Cantidad: 100 mL)
(Concentración: 1000 µg/mL in 2-5% Nitric Acid)
Marca: Accustandard</t>
  </si>
  <si>
    <t>Rodriguez Hermanos transportes</t>
  </si>
  <si>
    <t>Cristóbal
Caro N</t>
  </si>
  <si>
    <t>0001-00094117</t>
  </si>
  <si>
    <t>0003-00004109</t>
  </si>
  <si>
    <t>Cotizados en dolares estadounidenses.
Ok. En condiciones. 
Vencen en febrero 2018, se reclamará.</t>
  </si>
  <si>
    <t>Cotizados en dolares estadounidenses.
Ok. En condiciones.</t>
  </si>
  <si>
    <t>58,08 usd</t>
  </si>
  <si>
    <t>Flete</t>
  </si>
  <si>
    <t>Flete/seguro/entrega</t>
  </si>
  <si>
    <t>0009-00011739</t>
  </si>
  <si>
    <t>Maria E</t>
  </si>
  <si>
    <t>Insumos</t>
  </si>
  <si>
    <t>Agua destilada</t>
  </si>
  <si>
    <r>
      <t>Agua destilada. CE inferior a 4</t>
    </r>
    <r>
      <rPr>
        <sz val="10"/>
        <rFont val="Calibri"/>
        <family val="2"/>
      </rPr>
      <t>μ</t>
    </r>
    <r>
      <rPr>
        <sz val="9"/>
        <rFont val="Copperplate Gothic Light"/>
        <family val="2"/>
      </rPr>
      <t>S.</t>
    </r>
  </si>
  <si>
    <t>Adrián
Cristóbal</t>
  </si>
  <si>
    <t>0004-00000973</t>
  </si>
  <si>
    <t>0004-00000977</t>
  </si>
  <si>
    <t>B0005-00005207</t>
  </si>
  <si>
    <t>Cerrajeria. Apertura puerta Lecor.</t>
  </si>
  <si>
    <t>servicio</t>
  </si>
  <si>
    <t>Cerrajeria Gustavo</t>
  </si>
  <si>
    <t>Cerrajero</t>
  </si>
  <si>
    <t>Maria L</t>
  </si>
  <si>
    <t>Molde de llave, con 3 copias</t>
  </si>
  <si>
    <t>Juego</t>
  </si>
  <si>
    <t>0002-00000281</t>
  </si>
  <si>
    <t>Denimed</t>
  </si>
  <si>
    <t>Compresor 2HP.Código de artículo: CW 1060. Denimed.</t>
  </si>
  <si>
    <t>0002-00007311</t>
  </si>
  <si>
    <t>0009-00003363</t>
  </si>
  <si>
    <t>Balón de 500 ml con tres bocas esmeriladas, con tapón para boca central de 29/42 y una boca lateral 24/40 y otra esferica 35/20.</t>
  </si>
  <si>
    <t>MEDIDOR MULTIPARAMETRICO DE pH/ORP/CE/OD/Pre</t>
  </si>
  <si>
    <t>Instrumentacion cientifica S.A.</t>
  </si>
  <si>
    <t>0003-00007087</t>
  </si>
  <si>
    <t>Rollo Film 40x1000 mts.</t>
  </si>
  <si>
    <t>Rollo</t>
  </si>
  <si>
    <t>Protector Auditivo Copa L 320 22 db. Libus</t>
  </si>
  <si>
    <t>Renzo/Fabrizio.</t>
  </si>
  <si>
    <t>Mascara respiratoria COMFOS II sin filtros 5330 Fravida.</t>
  </si>
  <si>
    <t>SUrI S.A.</t>
  </si>
  <si>
    <t>Filtro p/partículas - IRAM 140 CC. Fravida.</t>
  </si>
  <si>
    <t>Filtro p/vapores org - IRAM 140 CC. Fravida.</t>
  </si>
  <si>
    <t>Guante Kevlar forrado Lana p/descarne Gamisol</t>
  </si>
  <si>
    <t>Guante Terrycloth forte 28 cm gamisol</t>
  </si>
  <si>
    <t>0006-00003091</t>
  </si>
  <si>
    <t>0003-00007166</t>
  </si>
  <si>
    <t>0004-00000962</t>
  </si>
  <si>
    <t>15/06/17
Responde  a cambio de item anterior</t>
  </si>
  <si>
    <t>26/05/17
no aplica</t>
  </si>
  <si>
    <t>16/05/17
no aplica</t>
  </si>
  <si>
    <t>19/04/17
no aplica</t>
  </si>
  <si>
    <t>AGUA OXIGENADA 30% 100 VOLUMENES RA ANEDRA (1 l)</t>
  </si>
  <si>
    <t>PISETA PP DE 500 ML BOCA ANGOSTA VITLAB</t>
  </si>
  <si>
    <t>ACIDO NITRICO 65% RA ANEDRA (1 L)</t>
  </si>
  <si>
    <t>PAPEL DE FILTRO CUANTITATIVO GRADO 391 DIAMETRO 125 MM SARTORIUS (100 UNID)</t>
  </si>
  <si>
    <t>Mechero Meker</t>
  </si>
  <si>
    <t>Papel de filtro 202 de 11cm.</t>
  </si>
  <si>
    <t>Carolina Quevedo</t>
  </si>
  <si>
    <t>Carolina Quevedo/ Cristóbal</t>
  </si>
  <si>
    <t>A confimar</t>
  </si>
  <si>
    <t>Servicio de mantenimiento de bomba de vacío modelo Edwards rv3 consistente en: -desarme y limpieza general -ajuste de paletas -cambio de kit original de sellos, juntas, retenes y o´rings N/P A65201131 -cambio de aceite - bobinado de motor - pruebas de recuperación y vacío final</t>
  </si>
  <si>
    <t>Spares Kit CO RV3/5/8/12</t>
  </si>
  <si>
    <t>Service</t>
  </si>
  <si>
    <t>Service/insumos</t>
  </si>
  <si>
    <t>Acetileno extra puro, para Absorción Atómica. X Kg</t>
  </si>
  <si>
    <t>Repartidor.</t>
  </si>
  <si>
    <t>Botiquín. Solución fisiológica</t>
  </si>
  <si>
    <t>Tubos de centrifuga según A.S.T.M. D-91 de 100ml</t>
  </si>
  <si>
    <t>Paola</t>
  </si>
  <si>
    <t>Adriana Narvarte</t>
  </si>
  <si>
    <t>Balones de destilación engler con uniones 19/26 ASTM D-86 125ml</t>
  </si>
  <si>
    <t>Cristóbal
Leandro</t>
  </si>
  <si>
    <t>Ok. Falta tapón de balón.</t>
  </si>
  <si>
    <t>Ok. Faltan tapónes</t>
  </si>
  <si>
    <t>0001-00183349</t>
  </si>
  <si>
    <t>Flete/Seguro</t>
  </si>
  <si>
    <t>Andrea
Cristóbal</t>
  </si>
  <si>
    <t>Bulto en condiciones</t>
  </si>
  <si>
    <t>1001-00012420</t>
  </si>
  <si>
    <t>0003-00826514</t>
  </si>
  <si>
    <t>0050-00007966</t>
  </si>
  <si>
    <t>Magucha
Cristóbal</t>
  </si>
  <si>
    <t>Sonda Fluke. Modelo: 5616-12-P. PROBE. SECON. PRT. 100 OHM (1/4 X 12 INCH)</t>
  </si>
  <si>
    <t>Elind. Elementos Industriales</t>
  </si>
  <si>
    <t>USD 2053 +iva</t>
  </si>
  <si>
    <t>0034-00001324</t>
  </si>
  <si>
    <t>Se recibieron 2 tubos x 15,40 kg. Lo facturado corresponde a los kg recibidos.</t>
  </si>
  <si>
    <t>Flete Gases</t>
  </si>
  <si>
    <t>0009-00001087</t>
  </si>
  <si>
    <t>Análisis de uranio en muestras de agua - S. A Nº 16152 (Cadena de custodia DETI I-11326)</t>
  </si>
  <si>
    <t>Asociación cooperadora Facultad de Ciencias Aplicadas a la Industria</t>
  </si>
  <si>
    <t>0002-00000162</t>
  </si>
  <si>
    <t xml:space="preserve">ACIDO NITRICO 65% PA CICARELLI (1 L)  </t>
  </si>
  <si>
    <t>Magucha
Carolina Quevedo</t>
  </si>
  <si>
    <t>VARILLAS INDICADORAS DE PH 0-14. GRAD MERCK (100 VAR)</t>
  </si>
  <si>
    <t xml:space="preserve">CRISTALIZADORES DIAM. 115MM X 65MM. IVA </t>
  </si>
  <si>
    <t>MEMBRANA NC BL C/RET 0.45UM 47MM ESTERILES SARTORIUS (100 UN)</t>
  </si>
  <si>
    <t xml:space="preserve">CRISTALIZADORES DIAM. 150MM X 75MM. </t>
  </si>
  <si>
    <t>0004-00001041</t>
  </si>
  <si>
    <t>0004-00001042</t>
  </si>
  <si>
    <t>Ok. En condiciones. CE: Inferior a 4microS. Controla Leandro</t>
  </si>
  <si>
    <t>Arreglo puerta de administración</t>
  </si>
  <si>
    <t>0002-00000287</t>
  </si>
  <si>
    <t>9997-00005215</t>
  </si>
  <si>
    <t>0007-00023017</t>
  </si>
  <si>
    <t>9997-00005209</t>
  </si>
  <si>
    <t>0007-00022988</t>
  </si>
  <si>
    <t>9997-00005208</t>
  </si>
  <si>
    <t>0007-00022987</t>
  </si>
  <si>
    <t>9997-00005197</t>
  </si>
  <si>
    <t>0007-00022954</t>
  </si>
  <si>
    <t>PAPEL DE FILTRO CUANTITATIVO GRADO 388 DIAMETRO 125 MM SARTORIUS (100 UNID)</t>
  </si>
  <si>
    <t>Calibración del equipo FLUKE 1524-S/Nº9840049; en tres puntos (100ºC, 200ºC y 300ºC). Plazo de entrega 20 días hábiles, sujetos a ingreso de sonda nueva FLUKE 5616.</t>
  </si>
  <si>
    <t>525 USD + IVA</t>
  </si>
  <si>
    <t>Ok. En condiciones. Revisa Caro Quevedo por Instrumental</t>
  </si>
  <si>
    <t>Fecha de entrega sujeta a llegada de sonda nueva.</t>
  </si>
  <si>
    <t>Percloroetileno PA, para uso IR (a chequear el grado de purificación con el uso)</t>
  </si>
  <si>
    <t xml:space="preserve">Celda de cuarzo, de absorción, para Generador de vapores de hidruros marca Shimadzu modelo HVG-1. N/P 206-77607 </t>
  </si>
  <si>
    <t>Cepillos de 25 mm, para probetas</t>
  </si>
  <si>
    <t>Sodio Hidróxido x 250gr. Alkemit.</t>
  </si>
  <si>
    <t>Sodio Cloruro x 1Kg. Biopack.</t>
  </si>
  <si>
    <t>Permanganto de potasio x 2Kg. Biopack.</t>
  </si>
  <si>
    <t>Ácido Sulfámico x 250gr. Alkemit.</t>
  </si>
  <si>
    <t>Ioduro de Potasio x 500gr P.A. Alkemit.</t>
  </si>
  <si>
    <t>TOLUENO PA ACS SINTORGAN (1 L)</t>
  </si>
  <si>
    <t>jorge</t>
  </si>
  <si>
    <t>AIRE EXTRA PURO 10M3 (CL 22 NU 1002)</t>
  </si>
  <si>
    <t>HELIO ULTRA PURO 8 M3 (CL 22 NU 1046)</t>
  </si>
  <si>
    <t>M3</t>
  </si>
  <si>
    <t>0034-00001333</t>
  </si>
  <si>
    <t xml:space="preserve">9997-00005197
9997-00005215
9997-00005220
</t>
  </si>
  <si>
    <t>26/07/17 - Entregan 2 lt
08/08/17- Entregan 2 lt faltantes</t>
  </si>
  <si>
    <t>0007-00022954
0007-00023017
0007-00023044</t>
  </si>
  <si>
    <t>9997-00005221</t>
  </si>
  <si>
    <t>0007-00023047</t>
  </si>
  <si>
    <t>Resma papel autor A4 80 GR.AM.250HJ</t>
  </si>
  <si>
    <t>Folio Simbaal A4 REF. Cristal x 100</t>
  </si>
  <si>
    <t>Papel Nopa Color a4 120gr.7880 100HJ</t>
  </si>
  <si>
    <t>Marcador Uni PX-20 paint rojo</t>
  </si>
  <si>
    <t>Etiqueta Pegasola caja 3025</t>
  </si>
  <si>
    <t>Repuesto Cutter gde 18mmx10 ONIX</t>
  </si>
  <si>
    <t>Broche p/maq Mit 24/8 x5000</t>
  </si>
  <si>
    <t>Chinches</t>
  </si>
  <si>
    <t>Boligrafo bic trazo grueso</t>
  </si>
  <si>
    <t>0023-00020570</t>
  </si>
  <si>
    <t>0001-00029292</t>
  </si>
  <si>
    <t>Ok. En condiciones. Se entrega factura A Ruth.</t>
  </si>
  <si>
    <t>0009-00001118</t>
  </si>
  <si>
    <t>0004-00001101</t>
  </si>
  <si>
    <t>0004-00001102</t>
  </si>
  <si>
    <t>Ok. En condiciones. CE: OK</t>
  </si>
  <si>
    <t>Agua destilada. CE inferior a 4μS.</t>
  </si>
  <si>
    <t>Adrian</t>
  </si>
  <si>
    <t>Facturado a Sandra Ibañez (Proyecto Sectyp)
26/07/16. Se reciben 5 tubos de centrifuga.
15/08/17. Se recibe tubo faltante.</t>
  </si>
  <si>
    <t>0007-00022940
0007-00023086</t>
  </si>
  <si>
    <t>9997-00005193
9997-00005240</t>
  </si>
  <si>
    <t xml:space="preserve">0007-00023081
0007-00023082
</t>
  </si>
  <si>
    <t>9997-00005236
9997-00005237</t>
  </si>
  <si>
    <t xml:space="preserve">Facturado a Ruth Clausen (Proyecto Sectyp)
Ok. En condiciones.
</t>
  </si>
  <si>
    <t>0007-00023087</t>
  </si>
  <si>
    <t>9997-00005241</t>
  </si>
  <si>
    <t>0007-00023088</t>
  </si>
  <si>
    <t>9997-00005242</t>
  </si>
  <si>
    <t>9995-00004545</t>
  </si>
  <si>
    <t>0003-00228198</t>
  </si>
  <si>
    <t>Droga controlada por SEDRONAR</t>
  </si>
  <si>
    <t>XILENO PA ACS SINTORGAN</t>
  </si>
  <si>
    <t>0003-00228199</t>
  </si>
  <si>
    <t>9995-00004544</t>
  </si>
  <si>
    <t>GL-130.202.03 MATRAZ AFORADO VOLUMÉTRICO GLASSCO CLASE A INCOLORO 25 ML CON TAPA PLÁSTICA CON CERTIFICADO DE LOTE Despacho 16 092 IC04 014460 T</t>
  </si>
  <si>
    <t>GL-130.202.04 MATRAZ AFORADO VOLUMÉTRICO GLASSCO CLASE A INCOLORO 50 ML CON TAPA PLÁSTICA CON CERTIFICADO DE LOTE Despacho 16 092 IC04 014460 T</t>
  </si>
  <si>
    <t>ARISTOBULO GOMEZ RUPEREZ S.A</t>
  </si>
  <si>
    <t>0003-00007232</t>
  </si>
  <si>
    <t>0001-00184083</t>
  </si>
  <si>
    <t>Tapones de encapsulado con septa de PTFE, 185,13 370,26 transparente/goma roja, Aluminio plateado (caja x 1000 unidades) Marca Agilent</t>
  </si>
  <si>
    <t>0001-00188497</t>
  </si>
  <si>
    <t>0001-00188498</t>
  </si>
  <si>
    <t>0003-00006714</t>
  </si>
  <si>
    <t>0003-00006713</t>
  </si>
  <si>
    <t>Juan Pablo</t>
  </si>
  <si>
    <t>Droga Sedronar</t>
  </si>
  <si>
    <t>Acetileno extrapuro para AA</t>
  </si>
  <si>
    <t>0034-00001335</t>
  </si>
  <si>
    <t>CARBONO DISULFURO PA (ACS) CICARELLI (1L)</t>
  </si>
  <si>
    <t>Lt</t>
  </si>
  <si>
    <t>MEMBRANA NYLON 0,45UM 47 MM (100) WHATMAN</t>
  </si>
  <si>
    <t>Carolina
Cristóbal</t>
  </si>
  <si>
    <t>Interlaboratorio</t>
  </si>
  <si>
    <t>AGUAS - Parámetros básicos 2017.</t>
  </si>
  <si>
    <t>Ruth
Análisi Químicos.</t>
  </si>
  <si>
    <t>Se cambia fecha de envío de muestra, la primera fecha correspondía a 14/08/17</t>
  </si>
  <si>
    <t>0616-00100308</t>
  </si>
  <si>
    <t>0003-00004089</t>
  </si>
  <si>
    <t>0050-00008424
0050-00008611</t>
  </si>
  <si>
    <t>rollos</t>
  </si>
  <si>
    <t>Pack bolsa de residuos x 100</t>
  </si>
  <si>
    <t>Pack bolsa de consorcio x 100</t>
  </si>
  <si>
    <t>Camionera Mendocina</t>
  </si>
  <si>
    <t>Ok. En condiciones. El equipo venía sin embalar.</t>
  </si>
  <si>
    <t>0003-00072478</t>
  </si>
  <si>
    <t>Transporte de equipo/seguro</t>
  </si>
  <si>
    <t>El servicio se solicitó el día 11/08/17</t>
  </si>
  <si>
    <t>0017-00007586</t>
  </si>
  <si>
    <t>0001-00036311</t>
  </si>
  <si>
    <t xml:space="preserve">Adrián </t>
  </si>
  <si>
    <t>0004-00001123</t>
  </si>
  <si>
    <t>Controla CE, En condiciones.</t>
  </si>
  <si>
    <t>0004-00001124</t>
  </si>
  <si>
    <t>Servicio contratado por Jenck</t>
  </si>
  <si>
    <t>0009-00035577</t>
  </si>
  <si>
    <t>0006-00002947</t>
  </si>
  <si>
    <t>0007-00023143
0007-00023187</t>
  </si>
  <si>
    <t>23/08/17 Se reciben 4 cajas del pedido. En condiciones.
29/08/17 Se recibe el resto del pedido.</t>
  </si>
  <si>
    <t>9997-00005261
9997-00005283</t>
  </si>
  <si>
    <t>0004-00001015</t>
  </si>
  <si>
    <t>Mopa blanca repuesto</t>
  </si>
  <si>
    <t>Ok. En condiciones. Cristóbal</t>
  </si>
  <si>
    <t>0009-00001138</t>
  </si>
  <si>
    <t>0001-00029485</t>
  </si>
  <si>
    <t>Acetileno</t>
  </si>
  <si>
    <t>tubos</t>
  </si>
  <si>
    <t xml:space="preserve">Cristóbal </t>
  </si>
  <si>
    <t xml:space="preserve">Jorge </t>
  </si>
  <si>
    <t>Aire extra puro</t>
  </si>
  <si>
    <t>Análisis de Uranio sobre muestras de agua, Protocolo N°16217</t>
  </si>
  <si>
    <t>0002-00000218</t>
  </si>
  <si>
    <t>Kilogramos</t>
  </si>
  <si>
    <t>0050-00008682</t>
  </si>
  <si>
    <t>0034- 00001340</t>
  </si>
  <si>
    <t>Adrián 
Cristóbal</t>
  </si>
  <si>
    <t>Nro de pedido: 120813277.
Ok, en condiciones.</t>
  </si>
  <si>
    <t>0050-00008843</t>
  </si>
  <si>
    <t>Rodriguez hnos. transportes S.A.</t>
  </si>
  <si>
    <t>0001-00095771</t>
  </si>
  <si>
    <t>0003-00004269</t>
  </si>
  <si>
    <t>Cotizado en dolares. Pesos Argentinos: $6427,72</t>
  </si>
  <si>
    <t>Flete/Seguro/Entrega</t>
  </si>
  <si>
    <t>0010-00002828</t>
  </si>
  <si>
    <t>17/08/17 Se recibe 1 tubo por 6 Kg. Ok. En condiciones.
25/08/17 Se reciben 2 tubos por 10 kg. Ok, en condiciones. Adrián.
30/08/17 AA informa que el tubo 1576-OSOZ, presenta carga, pero no encienden los equipos. Se reclama por correo al proveedor.
Los analistas de AA deciden que por no haber mejoras en el funcionamiento de los equipos, se vovlerá a utilizar acetileno común. (No observan ninguna diferencia en las absorbancias. Además la aureola que deja la llama sigue siendo la misma, y la celda no ha presentado mejoras. 
Remito de tubo devuelto: 00009605.</t>
  </si>
  <si>
    <t>Maria E
Barbeito</t>
  </si>
  <si>
    <t>Ok, en condiciones. CE: &lt;4microS.</t>
  </si>
  <si>
    <t>0004-00001179</t>
  </si>
  <si>
    <t>Xileno Para Análisis A.C.S. Sintorgan SIN-130003-01</t>
  </si>
  <si>
    <t>Tolueno Para Análisis A.C.S. Sintorgan SIN-120003-01</t>
  </si>
  <si>
    <t>Acetona Para Análisis A.C.S. Sintorgan SIN-027003-01</t>
  </si>
  <si>
    <t>Diclorometano Para Análisis A.C.S. Sintorgan SIN-102003-01</t>
  </si>
  <si>
    <t>Sintorgan</t>
  </si>
  <si>
    <t>0002 - 00002150</t>
  </si>
  <si>
    <t>0002 - 00002151</t>
  </si>
  <si>
    <t>0001-00044101</t>
  </si>
  <si>
    <t>0001-00044102</t>
  </si>
  <si>
    <t>23/08/17 Se reciben 4 cajas del pedido. En condiciones.
20/09/17 Se recibe lo que falta del pedido.</t>
  </si>
  <si>
    <t>23/08/17 Se reciben 5 cajas del pedido. En condiciones.
20/09/17 Se recibe el resto del pedido.</t>
  </si>
  <si>
    <t>9997-00005261
9997-00005355</t>
  </si>
  <si>
    <t xml:space="preserve">0007-00023143
0007-00023384
</t>
  </si>
  <si>
    <t>0009-00013842</t>
  </si>
  <si>
    <t>0009-00013841</t>
  </si>
  <si>
    <t>0004-00001208</t>
  </si>
  <si>
    <t>Ok. En condiciones.
12/09/17 Se reciben 80 lts de agua destilada.
15/09/17 Se reciben 70 lts de agua destilada.</t>
  </si>
  <si>
    <t>General</t>
  </si>
  <si>
    <t>Uniforme</t>
  </si>
  <si>
    <t>Guardapolvos con bordado en bolsillo</t>
  </si>
  <si>
    <t>RO-BOT S.R.L.
Los tres gorditos</t>
  </si>
  <si>
    <t>Ácido clorhídrico x 25 Litros. Marca Merck.</t>
  </si>
  <si>
    <t>Bidón</t>
  </si>
  <si>
    <t>Propipetas de caucho. Marca Viking</t>
  </si>
  <si>
    <t>ácido Clorhídrico x 2,5 Litros. Marca Merck.</t>
  </si>
  <si>
    <t>Uniidades</t>
  </si>
  <si>
    <t>Botellones</t>
  </si>
  <si>
    <t>Análisis de Uranio sobre muestras de agua, Protocolo N°16315</t>
  </si>
  <si>
    <t>Muestras</t>
  </si>
  <si>
    <t>0002-00000286</t>
  </si>
  <si>
    <t>Asociación Cooperadora Facultad de ciencias aplicadas a la industria.</t>
  </si>
  <si>
    <t>MEMBRANA SARTOLON NY POLIAMIDA 0.45 UM 47 MM SARTORIUS (100 UN)</t>
  </si>
  <si>
    <t>Nro de pedido: 120928452.
Ok. En condiciones.</t>
  </si>
  <si>
    <t>0050-00009318,</t>
  </si>
  <si>
    <t>0034-00001363</t>
  </si>
  <si>
    <t>0007-00023476</t>
  </si>
  <si>
    <t>9997-00005388</t>
  </si>
  <si>
    <t>Adrián Quiroga</t>
  </si>
  <si>
    <t>Ok. En condiciones. Controla CE Leandr, en condiciones.</t>
  </si>
  <si>
    <t>0004-00001280</t>
  </si>
  <si>
    <t>0004-00001281</t>
  </si>
  <si>
    <t>0007-00023555</t>
  </si>
  <si>
    <t>9997-00005415</t>
  </si>
  <si>
    <t>0001-00190079</t>
  </si>
  <si>
    <t>0003-00006877</t>
  </si>
  <si>
    <t>0001-00190078</t>
  </si>
  <si>
    <t>0003-00006876</t>
  </si>
  <si>
    <t>0001-00190077</t>
  </si>
  <si>
    <t>0003-00006875</t>
  </si>
  <si>
    <t>TUBOS PARA ENSAYO POUR PION ASTM D-97 Y D-2500 AFORADOS IVA (4UN)</t>
  </si>
  <si>
    <t>MAGNESIO CLORURO 6-HIDRATO BIOPACK (1 KG)</t>
  </si>
  <si>
    <t>Hidróxido de Amonio. Alkemit (1 L)</t>
  </si>
  <si>
    <t>Probetas graduadas base plástica tapa de plástico de 100 ML. IVA</t>
  </si>
  <si>
    <t>Vaso de precipitado forma baja de 30 ml graduados</t>
  </si>
  <si>
    <t>Vaso de precipitado forma baja de 50 ml graduados</t>
  </si>
  <si>
    <t>Vaso de precipitado forma baja de 100 ml graduados</t>
  </si>
  <si>
    <t>Vaso de precipitado forma baja de 150 ml graduados</t>
  </si>
  <si>
    <t>33806 Vaso HPV-100 de TFM, de 100 ml de
capacidad, para rotor HPR 1000/10.</t>
  </si>
  <si>
    <t>DD00040 Vaso HPV-100 de TFM, de 100 ml de
capacidad, para rotor HPR 1000/10.</t>
  </si>
  <si>
    <t>34048 Protection Shield para rotor HPR 1000/10.</t>
  </si>
  <si>
    <t>34056 Anillo Protector PR-56</t>
  </si>
  <si>
    <t>Tapa de teflón termo resistente completa para recipiente de referencia con control de temperatura (incluye tapa, vaina cerámica, disco adaptador, resorte y herramienta para ajuste de sellos).</t>
  </si>
  <si>
    <t>Insulating plate</t>
  </si>
  <si>
    <t>Del Carpio</t>
  </si>
  <si>
    <t>0007-00023619</t>
  </si>
  <si>
    <t>9997-00005435</t>
  </si>
  <si>
    <t>Acetileno comun</t>
  </si>
  <si>
    <t>atención: Diego. Nºde pedido: 120371975.
Controla Adrián, en condiciones.</t>
  </si>
  <si>
    <t>0007-00023665</t>
  </si>
  <si>
    <t>9997-00005454</t>
  </si>
  <si>
    <t>MEDIDOR DE PH PARA MESADA CON AMPLIO CDIS HANNA.</t>
  </si>
  <si>
    <t>0007-00023666</t>
  </si>
  <si>
    <t>9997-00005402</t>
  </si>
  <si>
    <t>0050-00009731</t>
  </si>
  <si>
    <t>Bobina de papel Elite 25x400 mts</t>
  </si>
  <si>
    <t>Bobinas</t>
  </si>
  <si>
    <t>Film rollo x 250mts</t>
  </si>
  <si>
    <t>0004-00001090</t>
  </si>
  <si>
    <t>Silvia</t>
  </si>
  <si>
    <t>0001-00190420</t>
  </si>
  <si>
    <t>0003-00006907</t>
  </si>
  <si>
    <t>0001-00190452</t>
  </si>
  <si>
    <t>0003-00006912</t>
  </si>
  <si>
    <t>0001-00190421</t>
  </si>
  <si>
    <t>0003-00006908</t>
  </si>
  <si>
    <t>Ok. Cambiaron a marca Alkemit.</t>
  </si>
  <si>
    <t>0001-00190459</t>
  </si>
  <si>
    <t>0007-00023258</t>
  </si>
  <si>
    <t>9997-00005308</t>
  </si>
  <si>
    <t>0007-00023259</t>
  </si>
  <si>
    <t>9997-00005309</t>
  </si>
  <si>
    <t>RESMA PAPEL LED. AUTOR A4 75GR.500HJ X10</t>
  </si>
  <si>
    <t>Ricardo Fernandez Autoservicio Integral..</t>
  </si>
  <si>
    <t>RESMA PAPEL AUTOR A4 80GR.AMARILLO 250HJ</t>
  </si>
  <si>
    <t>RESMA PAPEL AUTOR A4 80GR.VERDE 250HJ</t>
  </si>
  <si>
    <t>PAPEL NOPA COLOR A4 120GR.7880 100HJ</t>
  </si>
  <si>
    <t>SOBRE BOLSA MANILA 27X37 X100 2629</t>
  </si>
  <si>
    <t>SOBRE BOLSA MANILA 24X30 X100 2667</t>
  </si>
  <si>
    <t>FOLIO LUMA EQ.COMERCIAL A4 REF.X100</t>
  </si>
  <si>
    <t>CINTA ADHESIVA AJEC 306 PAPEL 18X50</t>
  </si>
  <si>
    <t>CINTA ADHES.CONDOR 48X40 TRANSPARENTE</t>
  </si>
  <si>
    <t>TINTA PELIKAN P/SELLOS 28CC.4K NEGRA</t>
  </si>
  <si>
    <t>TINTA PELIKAN P/SELLOS 28CC.4K VERDE</t>
  </si>
  <si>
    <t>BOLIGRAFO BIC TRAZO MEDIO AZUL X50</t>
  </si>
  <si>
    <t>BOLIGRAFO BIC TRAZO MEDIO ROJA C/U</t>
  </si>
  <si>
    <t>MARCADOR EDDING PERM.E-400 NEGRO X10</t>
  </si>
  <si>
    <t>MARCADOR FABER RESALTADOR T49 VERDE C/U</t>
  </si>
  <si>
    <t>MARCADOR FABER RESALTADOR T49 NARANJA</t>
  </si>
  <si>
    <t>MARCADOR FABER RESALTADOR T49 AMARILLO</t>
  </si>
  <si>
    <t>TIJERA MAPED ADVANCED 21CM 499110</t>
  </si>
  <si>
    <t>TIJERA MAPED ADVANCED 17CM 496110</t>
  </si>
  <si>
    <t>SACAPUNTAS MAPED METAL 506600 C/U</t>
  </si>
  <si>
    <t>APRIETA PAPELES NEGRO 25MM LIGGO X12</t>
  </si>
  <si>
    <t>APRIETA PAPELES NEGRO 32MM LIGGO X12</t>
  </si>
  <si>
    <t>APRIETA PAPELES NEGRO 41MM LIGGO X12</t>
  </si>
  <si>
    <t>CARPETA TAPA TRANSPARENTE A4 1</t>
  </si>
  <si>
    <t>CARPETA PLASTICA 20 FOLIOS A4</t>
  </si>
  <si>
    <t>CARPETA PLASTICA 30 FOLIOS A4 LIGGO</t>
  </si>
  <si>
    <t>ETIQUETA PEGASOLA CAJA 3015</t>
  </si>
  <si>
    <t>CUADERNO TRIUNFANTE T/D 100HJ FORR. 1 azul, 1 verde, 1 rojo,1 anaranjado y 6 variados.</t>
  </si>
  <si>
    <t>CUADERNO TRIUNFANTE C/ESP A4 120HJ T/C 2 verde, 1 bordo, 1 anaranjado, 1 de letras, 1 de números y 3 variados</t>
  </si>
  <si>
    <t>BANDA ELASTICA 100GR.CREDENCIAL</t>
  </si>
  <si>
    <t>BIBLIORATO LIGGO A4 PVC LOMO 7CM NEGRO</t>
  </si>
  <si>
    <t>LAPIZ BIC GRAFITO EVOLUT.NEGRO C/U</t>
  </si>
  <si>
    <t>CINTA ADHES.STIKO DUCT TAPE 48X9MT AMAR.</t>
  </si>
  <si>
    <t>LIBRETA S.VERDE 4060/660</t>
  </si>
  <si>
    <t>PAPEL ADHESIVO AMARILLO 7X7 X100</t>
  </si>
  <si>
    <t>PAPEL ADHESIVO FLUOR 7X7 X80</t>
  </si>
  <si>
    <t>Contaduria</t>
  </si>
  <si>
    <t>0001-00033718</t>
  </si>
  <si>
    <t>0023-00022847</t>
  </si>
  <si>
    <t>CUADERNO TRIUNFANTE C/ESP A4 120HJ T/C SDC</t>
  </si>
  <si>
    <t>Block Triunfante A5 C/Esp 80 Hj</t>
  </si>
  <si>
    <t>0023-00023026</t>
  </si>
  <si>
    <t>0003-00006951</t>
  </si>
  <si>
    <t>Lts</t>
  </si>
  <si>
    <t>Bidón virgen</t>
  </si>
  <si>
    <t>0004-00001389</t>
  </si>
  <si>
    <t>Nitrogeno gaseoso 9.42 M3</t>
  </si>
  <si>
    <t>Tubo</t>
  </si>
  <si>
    <t>0050-00010075</t>
  </si>
  <si>
    <t>0034-00001382</t>
  </si>
  <si>
    <t>Inndura</t>
  </si>
  <si>
    <t>0007-00023876</t>
  </si>
  <si>
    <t>9997-00005525</t>
  </si>
  <si>
    <t>0034-00001369</t>
  </si>
  <si>
    <t>0050-00007552</t>
  </si>
  <si>
    <t>0034-00001319</t>
  </si>
  <si>
    <t>0050-00008245</t>
  </si>
  <si>
    <t>0034- 00001349</t>
  </si>
  <si>
    <t>Carolina N</t>
  </si>
  <si>
    <t>Óxido nitroso</t>
  </si>
  <si>
    <t>Celda de cuarzo, de absorción, para Generador de vapores de hidruros. Marca: Shimadzu, modelo HVG-1. N/P 206-77607</t>
  </si>
  <si>
    <t>Un Tubo de bomba para reactivos, color naranja, para generador de hidruros. Marca: Shimadzu, modelo HVG-1. N/P 208-90038-08x1 (reemplaza al N/P 200-54612-08x1).</t>
  </si>
  <si>
    <t>Un Tubo de bomba para muestra, color azul, para Generador de hidruros. Marca Shimadzu, modelo HVG-1. N/P 208-90038-13x1 (Reemplaza al N/P 200-54612-13x1).</t>
  </si>
  <si>
    <t>Tubería de plástico fluorocarbonado de 400mm. Marca: Shimadzu. N/P 206 60250-01.</t>
  </si>
  <si>
    <t>Jenck.</t>
  </si>
  <si>
    <t>0001-00037244</t>
  </si>
  <si>
    <t>0003-00004321</t>
  </si>
  <si>
    <t>Hidroxilamina clorhidrato x Kg. Marca Tetrahedron.</t>
  </si>
  <si>
    <t>Laboratorio Andes.</t>
  </si>
  <si>
    <t>Miguel
Retira en laboratorio</t>
  </si>
  <si>
    <t>0002-00000227</t>
  </si>
  <si>
    <t>Maria E. Barbeito</t>
  </si>
  <si>
    <t>Potasio bromuro para espectroscopia IR Uvasol®. ENV. 100 G.</t>
  </si>
  <si>
    <t>Innopack S.A</t>
  </si>
  <si>
    <t>Tolueno Para Análisis A.C.S. Botella x1 L. Marca: Sintorgan®</t>
  </si>
  <si>
    <t>Xileno Para Análisis A.C.S. Botella x1 L. Marca: Sintorgan®</t>
  </si>
  <si>
    <t>Acetona Para Análisis A.C.S. Botella x1 L. Marca: Sintorgan®</t>
  </si>
  <si>
    <t>Percloroetileno Para Análisis A.C.S. Botella x1 L. Marca: Sintorgan®</t>
  </si>
  <si>
    <t>0034-00001384</t>
  </si>
  <si>
    <t>0050-00010309</t>
  </si>
  <si>
    <t>408.87</t>
  </si>
  <si>
    <t>22,079.04</t>
  </si>
  <si>
    <t>357.62</t>
  </si>
  <si>
    <t>3,754.97</t>
  </si>
  <si>
    <t>ACIDO CLORHIDRICO 36.5-38% PA CICARELLI (1 L)</t>
  </si>
  <si>
    <t>Bidones</t>
  </si>
  <si>
    <t>ACIDO CLORHIDRICO PA ACS BAKER (2,5 L)</t>
  </si>
  <si>
    <t>PAPEL DE FILTRO 3 m/N USO GENERAL 58 X 58 SARTORIUS</t>
  </si>
  <si>
    <t>Ok. En condiciones. Controla Renzo</t>
  </si>
  <si>
    <t>0004-00001412</t>
  </si>
  <si>
    <t>Ok. En condiciones. Adrián avisa que los pliegos vienen con manchas de humedad.</t>
  </si>
  <si>
    <t>0007-00023998</t>
  </si>
  <si>
    <t>9997-00005570</t>
  </si>
  <si>
    <t>Vaso vidrio precipitado X 400ML Marca: BT</t>
  </si>
  <si>
    <t xml:space="preserve">Ok, en condiciones. </t>
  </si>
  <si>
    <t>0001-00030437</t>
  </si>
  <si>
    <t>0009-00001235</t>
  </si>
  <si>
    <t>19/10/17. Entregan 2 unidades, en condiciones.
06/12/17. Entregan 23 unidades, en condiciones.</t>
  </si>
  <si>
    <t>0007-00023617
0007-00024040</t>
  </si>
  <si>
    <t>9997-00005433
9997-00005585</t>
  </si>
  <si>
    <t>0007-00024038</t>
  </si>
  <si>
    <t>9997-00005584</t>
  </si>
  <si>
    <t>Caro N
Marcela</t>
  </si>
  <si>
    <t>AA03N-1.Arsenic AA Standard (Cantidad: 100 mL) (Concentración: 1000 µg/mL in 2-5% Nitric Acid) Marca: Accustandard</t>
  </si>
  <si>
    <t>AA29N-1.Lead AA Standard (Cantidad: 100 mL)
(Concentración: 1000 µg/mL in 2-5% Nitric Acid)
Marca: Accustandard</t>
  </si>
  <si>
    <t>AA02N-. Antimony AA Standard (Cantidad: 100 mL)
(Concentración: 1000 µg/mL in 2-5% Nitric Acid, tr
Tartaric acid) 
Marca: Accustandard</t>
  </si>
  <si>
    <t>AA34N-1. Mercury AA Standard (Cantidad: 100 mL) (Concentración: 1000 µg/mL in 2-5% Nitric Acid) Marca: Accustandard</t>
  </si>
  <si>
    <t>AA01N-1. Aluminum AA Standard (Cantidad: 100 mL) (Concentración: 1000 µg/mL in 2-5% Nitric Acid) Marca: Accustandard</t>
  </si>
  <si>
    <t>AA15N-1. Copper AA Standard (Cantidad: 100 mL) (Concentración: 1000 µg/mL in 2-5% Nitric Acid) Marca: Accustandard</t>
  </si>
  <si>
    <t>AA27N-1. Iron AA Standard (Cantidad: 100 mL) (Concentración: 1000 µg/mL in 2-5% Nitric Acid) Marca: Accustandard</t>
  </si>
  <si>
    <t>AA43N-1. Potassium AA Standard (Cantidad: 100 mL) (Concentración: 1000 µg/mL in 2-5% Nitric Acid) Marca: Accustandard</t>
  </si>
  <si>
    <t>AA53N-1. Silver AA Standard (Cantidad: 100 mL) (Concentración: 1000 µg/mL in 2-5% Nitric Acid) Marca: Accustandard</t>
  </si>
  <si>
    <t>Caro N</t>
  </si>
  <si>
    <t>Celda de cuarzo, de absorción, para Generador de vapores de hidruros
Marca: Shimadzu.
Modelo: HVG-1. N/P 206-77607</t>
  </si>
  <si>
    <t>Un Tubo de bomba para reactivos, color naranja, para generador de hidruros.
Marca: Shimadzu.
Modelo:  HVG-1. N/P 208-90038-08x1 (reemplaza al N/P 200-54612-08x1).</t>
  </si>
  <si>
    <t>Material calibrado</t>
  </si>
  <si>
    <t>Termómetro para punto de escurrimiento ASTM 5C.</t>
  </si>
  <si>
    <t>Matraz de 250ml</t>
  </si>
  <si>
    <t>Unidades.</t>
  </si>
  <si>
    <t>Responde a pago de servicio prestado a Efluentes.
Factura a nombre de Maria Cristina Quiroga.</t>
  </si>
  <si>
    <t xml:space="preserve">0009-00001191
0009-00001192
</t>
  </si>
  <si>
    <t>30110
30111</t>
  </si>
  <si>
    <t>Ruth
Cristóbal</t>
  </si>
  <si>
    <t>Equipo Soxhlet completo (matraz, cuerpo, condensador)
Marca: Glassco.</t>
  </si>
  <si>
    <t>Oil ultragrade 19 rotary pump. Bidón x 4 Lts.</t>
  </si>
  <si>
    <t>AADEE S.A.</t>
  </si>
  <si>
    <t>Sujeto a Importación</t>
  </si>
  <si>
    <t>En comerio.
Retira David</t>
  </si>
  <si>
    <t>15 Días luego de realizado el pago.
Los bordados quedaron desprolijos.</t>
  </si>
  <si>
    <t>0014-00006448</t>
  </si>
  <si>
    <t>0002-00000209
0002-00000229</t>
  </si>
  <si>
    <t>0004-00001153</t>
  </si>
  <si>
    <t>0004-00001462</t>
  </si>
  <si>
    <t>0004-00001461</t>
  </si>
  <si>
    <t>0007-00024099</t>
  </si>
  <si>
    <t>9997-00005603</t>
  </si>
  <si>
    <t>Caro Q.
Ruth</t>
  </si>
  <si>
    <t>0001-0044529</t>
  </si>
  <si>
    <t>0002 - 00002248</t>
  </si>
  <si>
    <t>Referido a entrega de Xileno, Tolueno, Acetona</t>
  </si>
  <si>
    <t>0009-00016672</t>
  </si>
  <si>
    <t xml:space="preserve">Caro Q. </t>
  </si>
  <si>
    <t>Test de cianuros 0,002-0,500 mg/l Merck.</t>
  </si>
  <si>
    <t>Kit</t>
  </si>
  <si>
    <t>0009-00001221</t>
  </si>
  <si>
    <t>Reproggraman la fecha para mediados de noviembre
Ok. En condiciones</t>
  </si>
  <si>
    <t>La factura viene a nombre de UNC, se reclama a Jenck.</t>
  </si>
  <si>
    <t>0009-00015844</t>
  </si>
  <si>
    <t>gramos</t>
  </si>
  <si>
    <t>0001-00192212</t>
  </si>
  <si>
    <t>Argon</t>
  </si>
  <si>
    <t>Oxido Nitroso</t>
  </si>
  <si>
    <t>0050-00010608</t>
  </si>
  <si>
    <t>M. L. Barbeito</t>
  </si>
  <si>
    <t>CRISOL DE HIERRO 70ML</t>
  </si>
  <si>
    <t>Undidades</t>
  </si>
  <si>
    <t>ACIDO SULFURICO PA ACS (2,5 L) Marca: Baker</t>
  </si>
  <si>
    <t>Hidróxido de sodio PA (250gr) Marca: Alkemit</t>
  </si>
  <si>
    <t>Pote</t>
  </si>
  <si>
    <t>Adríián</t>
  </si>
  <si>
    <t>0009-00017167</t>
  </si>
  <si>
    <t>0001-00037697</t>
  </si>
  <si>
    <t>PAPEL DE FILTRO CUANTITATIVO GRADO 388 DIAMETRO 125 MM SARTORIUS (100 UN)</t>
  </si>
  <si>
    <t>PAPEL DE FILTRO CUANTITATIVO GRADO 389 DIAMETRO 125 MM SARTORIUS (100 UN)</t>
  </si>
  <si>
    <t>PAPEL DE FILTRO CUANTITATIVO GRADO 391 DIAMETRO 125 MM SARTORIUS (100 UN)</t>
  </si>
  <si>
    <t>ALARGADERAS SIMPLES PARA DESTILACIóN HEMBRA 19/38</t>
  </si>
  <si>
    <t>0003-00004417</t>
  </si>
  <si>
    <t>Controla CE Renzo: Ok</t>
  </si>
  <si>
    <t>0004-00001483</t>
  </si>
  <si>
    <t>Soporte de 6 embudos con pie, de 55 de diametros, con una separación entre cada soporte (centro/centro) de 10cm</t>
  </si>
  <si>
    <t>0001-00030639</t>
  </si>
  <si>
    <t>0009-00001258</t>
  </si>
  <si>
    <t>0007-00024227</t>
  </si>
  <si>
    <t>9997-00005642</t>
  </si>
  <si>
    <t>Responde a pago por cadena I-11806.
Orden de compra 17074.</t>
  </si>
  <si>
    <t>Ok, en condiciones.</t>
  </si>
  <si>
    <t>0007-00024481</t>
  </si>
  <si>
    <t>9997-00005724</t>
  </si>
  <si>
    <t>GUANTES EXAMEN NITRILO S/POLVO CHICO PRINTEX (100 UN).</t>
  </si>
  <si>
    <t>GUANTES EXAMEN NITRILO S/POLVO MEDIANO PRINTEX (100 UN).</t>
  </si>
  <si>
    <t>GUANTES EXAMEN NITRILO S/POLVO GRANDE PRINTEX (100 UN).</t>
  </si>
  <si>
    <t xml:space="preserve">
0007-00024482</t>
  </si>
  <si>
    <t>9997-00005725</t>
  </si>
  <si>
    <t>9997-00005726</t>
  </si>
  <si>
    <t xml:space="preserve">Potasio Ioduro PA (ACS) Cicarelli. 500 gr </t>
  </si>
  <si>
    <t>0007-00024483</t>
  </si>
  <si>
    <t>Carbonio Tetracloruro Carlo Erba PA xL.</t>
  </si>
  <si>
    <t>Decibelímetro - TES - 1353S</t>
  </si>
  <si>
    <t>BALDOR SRL</t>
  </si>
  <si>
    <t>Service Hanna HI 9828/4</t>
  </si>
  <si>
    <t>0002-00000240</t>
  </si>
  <si>
    <t>0003-00007204</t>
  </si>
  <si>
    <t>0001-00192631</t>
  </si>
  <si>
    <t>Juan Pablo (Repartidor)</t>
  </si>
  <si>
    <t>0001-00004021</t>
  </si>
  <si>
    <t xml:space="preserve">Calibración con emisión de certificado, con trazabilidad PTB - TRANSMISORES y SONDAS DE PUNTO DE ROCÍO 1 Punto cercano a -35 Ctdp 2 Puntos entre -10 y 0 Ctdp Código: C13 C. 
Equipo: Transmisor de punto de rocío
Marca: CS - ITEC.
Modelo: 0699 0402 CS 200.
Nro de serie: 4814 8794.
</t>
  </si>
  <si>
    <t>Testo argentino S.A.</t>
  </si>
  <si>
    <t>Cristóbal 
Alejandra</t>
  </si>
  <si>
    <t>Tapa con encastre. Diámetro superior 32 mm,
diámetro inferior 30 mm, altura 5 mm.</t>
  </si>
  <si>
    <t>pieza</t>
  </si>
  <si>
    <t>VEGA Y CAMJI S.A.I.C.</t>
  </si>
  <si>
    <t>A convenir</t>
  </si>
  <si>
    <t>T2800-25G - O-TERPHENYL 99% SIGMA (25GR).</t>
  </si>
  <si>
    <t>Baño de Arena para laboratorio con temporizador, sensor y equipo de control de temperatura ajustable digital</t>
  </si>
  <si>
    <t>Adrián 
Carolina Q.</t>
  </si>
  <si>
    <t>Haarth Roberto</t>
  </si>
  <si>
    <t>3372-07 - FLORISIL (60-100 MESH) ACTIV.675 P/ANALISIS RES.PEST.BAKER (4UN X500 G)</t>
  </si>
  <si>
    <t>Expresado en dolares estadounidenses.</t>
  </si>
  <si>
    <t>0005-00013790</t>
  </si>
  <si>
    <t>0004-00002006</t>
  </si>
  <si>
    <t>Testo Argentina S.A.</t>
  </si>
  <si>
    <t>1001-00018661</t>
  </si>
  <si>
    <t>0003-00893414</t>
  </si>
  <si>
    <t>CUMPLIÓ</t>
  </si>
  <si>
    <t>NO CONCRETADO</t>
  </si>
  <si>
    <t>NO CUMPLIÓ</t>
  </si>
  <si>
    <t>Requiere Evaluación</t>
  </si>
  <si>
    <t>Entrega productos certificados</t>
  </si>
  <si>
    <t>Precio</t>
  </si>
  <si>
    <t xml:space="preserve"> Sus tiempos de respuesta ante requerimientos se adecuan a nuestras necesidades</t>
  </si>
  <si>
    <t>Brinda Asistencia Técnica</t>
  </si>
  <si>
    <t>Puntaje Maximo</t>
  </si>
  <si>
    <t>Puntaje</t>
  </si>
  <si>
    <t>Acción a Tomar</t>
  </si>
  <si>
    <t>APTO</t>
  </si>
  <si>
    <t>Se continúa contratando sus servicios.</t>
  </si>
  <si>
    <t>AADE S.A</t>
  </si>
  <si>
    <t>Se evaluarán disposición de insumos y, se tratará con el proveedor para llegar a un acuerdo, de lo contrario se busca otro proveedor.</t>
  </si>
  <si>
    <t>No se solicitarán más sus servicios, se buscará otro proveedor.</t>
  </si>
  <si>
    <t>OQUPLAST</t>
  </si>
  <si>
    <t>CAMIONERA MENDOCINA</t>
  </si>
  <si>
    <t>DEL CARPIO</t>
  </si>
  <si>
    <t>DENIMED</t>
  </si>
  <si>
    <t>Calibracion de Pesas y Balanzas</t>
  </si>
  <si>
    <t>EL REY DEL PAPEL</t>
  </si>
  <si>
    <t>ELIND. ELEMENTOS INDUSTRIALES</t>
  </si>
  <si>
    <t>FARMACITY</t>
  </si>
  <si>
    <t>Service y Calibración de Equipos</t>
  </si>
  <si>
    <t>HAARTH ROBERTO</t>
  </si>
  <si>
    <t>INNOPACK</t>
  </si>
  <si>
    <t>INSTRUMENCACION CIENTIFICA SA</t>
  </si>
  <si>
    <t>JB INSUMOS</t>
  </si>
  <si>
    <t>Calibración Balanzas, termómetros</t>
  </si>
  <si>
    <t>TESTO</t>
  </si>
  <si>
    <t>AQUAPLAST</t>
  </si>
  <si>
    <t>NO APTO.</t>
  </si>
  <si>
    <t>EVALUACION DE PROVEEDORES</t>
  </si>
  <si>
    <t>Actualizado:</t>
  </si>
  <si>
    <t>Actualiza:</t>
  </si>
  <si>
    <t>REGISTRO</t>
  </si>
  <si>
    <t>Camionera mendocina</t>
  </si>
  <si>
    <t>0001-00098781</t>
  </si>
  <si>
    <t>0003-00004534</t>
  </si>
  <si>
    <t>0053-00000227</t>
  </si>
  <si>
    <t>REpartidor</t>
  </si>
  <si>
    <t>0003-00007369</t>
  </si>
  <si>
    <t>0001-00194393</t>
  </si>
  <si>
    <t>Eter terc-butilmetilico x 1000cc. Marca: Merck</t>
  </si>
  <si>
    <t>0001-00194410</t>
  </si>
  <si>
    <t>0003-00007374</t>
  </si>
  <si>
    <t>0003-00007371</t>
  </si>
  <si>
    <t>0003-00007370</t>
  </si>
  <si>
    <t>0001-00194394</t>
  </si>
  <si>
    <t>0001-00194395</t>
  </si>
  <si>
    <t>0001-00194396</t>
  </si>
  <si>
    <t>0003-00007372</t>
  </si>
  <si>
    <t>Bobina de papel y bolsa de residuos</t>
  </si>
  <si>
    <t>Diego</t>
  </si>
  <si>
    <t>Ok.En condiciones. CE en condiciones</t>
  </si>
  <si>
    <t>0004-00001619</t>
  </si>
  <si>
    <t>0004-00001618</t>
  </si>
  <si>
    <t>Realiza</t>
  </si>
  <si>
    <t>F.Perazzo</t>
  </si>
  <si>
    <t>OBSERVACIONES</t>
  </si>
  <si>
    <t>2018</t>
  </si>
  <si>
    <t>Ejecuta</t>
  </si>
  <si>
    <t>Inicial</t>
  </si>
  <si>
    <t>Seguimiento</t>
  </si>
  <si>
    <t>Servicio de Calibración</t>
  </si>
  <si>
    <t>Servicio de transporte</t>
  </si>
  <si>
    <t>C. Belmar</t>
  </si>
  <si>
    <t>C.Belmar</t>
  </si>
  <si>
    <t>No se realizaron pedidos en este periodo</t>
  </si>
  <si>
    <t>G. Dragón</t>
  </si>
  <si>
    <t>Servicio de calibración</t>
  </si>
  <si>
    <t>APROBADO CON SEGUIMIENTO</t>
  </si>
  <si>
    <t>Información del Proveedor</t>
  </si>
  <si>
    <t>Contacto</t>
  </si>
  <si>
    <t>Telefono</t>
  </si>
  <si>
    <t>LABORATORIO DE ANÁLISIS INSTRUMENTAL
LABORATORIO DE ANÁLISIS QUÍMICOS</t>
  </si>
  <si>
    <t>PLANILLA</t>
  </si>
  <si>
    <t>EVALUACIÓN DE PROVEEDORES</t>
  </si>
  <si>
    <t>DATOS DEL PROVEEDOR</t>
  </si>
  <si>
    <t>Razón social</t>
  </si>
  <si>
    <t>Servicio / Producto</t>
  </si>
  <si>
    <t>Ensayos de intercomparaciones</t>
  </si>
  <si>
    <t xml:space="preserve">EVALUACIÓN COMERCIAL </t>
  </si>
  <si>
    <t>VALORACION</t>
  </si>
  <si>
    <t>IMPORTANCIA RELATIVA</t>
  </si>
  <si>
    <t>PORCENTAJE</t>
  </si>
  <si>
    <t>#</t>
  </si>
  <si>
    <t>ITEM</t>
  </si>
  <si>
    <t>ninguna</t>
  </si>
  <si>
    <t>poca</t>
  </si>
  <si>
    <t>media</t>
  </si>
  <si>
    <t>mayor</t>
  </si>
  <si>
    <t>%</t>
  </si>
  <si>
    <t>Valor esperado</t>
  </si>
  <si>
    <t>Valor real</t>
  </si>
  <si>
    <t>VALORACIÓN</t>
  </si>
  <si>
    <t>Tiempo de cotización</t>
  </si>
  <si>
    <t>X</t>
  </si>
  <si>
    <t>Facilidad de comunicación</t>
  </si>
  <si>
    <t>Atención recibida</t>
  </si>
  <si>
    <t xml:space="preserve">Plazo de entrega ofrecido </t>
  </si>
  <si>
    <t>Sistema de Calidad Certificado</t>
  </si>
  <si>
    <t>Sistema de Calidad Acreditado</t>
  </si>
  <si>
    <t>Resultado Eval. Com.:</t>
  </si>
  <si>
    <t>Calificación obtenida:</t>
  </si>
  <si>
    <t>Realiza:</t>
  </si>
  <si>
    <t>J. Guzman</t>
  </si>
  <si>
    <t>Fecha ejecución:</t>
  </si>
  <si>
    <t>EVALUACIÓN TÉCNICA</t>
  </si>
  <si>
    <t>Calidad del producto/servicio entregado</t>
  </si>
  <si>
    <t>Cumplimiento de fecha entregas</t>
  </si>
  <si>
    <t>Cumplimiento de garantías</t>
  </si>
  <si>
    <t>Atención de reclamos</t>
  </si>
  <si>
    <t>Organización y diseño de logística</t>
  </si>
  <si>
    <t>Preparación de los ítems de ensayo</t>
  </si>
  <si>
    <t>Ensayos de homogeneidad y estabilidad</t>
  </si>
  <si>
    <t>Envases, etiquetado</t>
  </si>
  <si>
    <t>Distribución de muestras</t>
  </si>
  <si>
    <t>Diseño estadístico</t>
  </si>
  <si>
    <t>Instrucciones a los participantes</t>
  </si>
  <si>
    <t>Análisis de datos e Interpretación de Resultados</t>
  </si>
  <si>
    <t>Informe</t>
  </si>
  <si>
    <t>Comunicación</t>
  </si>
  <si>
    <t>Confidencialidad</t>
  </si>
  <si>
    <t>Resultado Eval. Téc.:</t>
  </si>
  <si>
    <t>Jorge Guzman</t>
  </si>
  <si>
    <t>RESULTADO GENERAL:</t>
  </si>
  <si>
    <t xml:space="preserve">Fecha evaluación Gral: </t>
  </si>
  <si>
    <t>ACCIONES A TOMAR:</t>
  </si>
  <si>
    <t>Se continuará trabajando con este proveedor</t>
  </si>
  <si>
    <t>Nota: Los items 5 a 14 correpondiente a la evaluación técnica, sólo aplican en los casos de proveedores de ensayos de aptitud /comparaciones interlaboratorio.</t>
  </si>
  <si>
    <t>A: excelente</t>
  </si>
  <si>
    <t xml:space="preserve"> entre 100 y 86%</t>
  </si>
  <si>
    <t>B: muy bueno</t>
  </si>
  <si>
    <t xml:space="preserve"> entre 85 y 71%</t>
  </si>
  <si>
    <t>C: bueno a regular</t>
  </si>
  <si>
    <t>entre 70 y 46%</t>
  </si>
  <si>
    <t>No califica</t>
  </si>
  <si>
    <t xml:space="preserve"> menor de 46%</t>
  </si>
  <si>
    <t>J. Guzmán</t>
  </si>
  <si>
    <t>No se realizaron interlaboratorios en 2017</t>
  </si>
  <si>
    <t>Ver Evaluación</t>
  </si>
  <si>
    <t>Carolina Q.</t>
  </si>
  <si>
    <t>Marcela L</t>
  </si>
  <si>
    <t>PROBETAS GRADUADAS BASE PLáSTICA SIN TAPA DE 10 ML. MARCA: IVA</t>
  </si>
  <si>
    <t>Salper</t>
  </si>
  <si>
    <t>SILICAGEL 10% AZUL (ESFERICA 2-5MM) Env x 1kg</t>
  </si>
  <si>
    <t>0001-00000007</t>
  </si>
  <si>
    <t>0002-00000055</t>
  </si>
  <si>
    <t xml:space="preserve">Agua destilada </t>
  </si>
  <si>
    <t>0004-00001674</t>
  </si>
  <si>
    <t>0004-00001675</t>
  </si>
  <si>
    <t>Cristóbal 
Adrián</t>
  </si>
  <si>
    <t>Bobina de papel 20 x 400. Marca: Elegante.</t>
  </si>
  <si>
    <t>Bolsa superconsorcio x 100</t>
  </si>
  <si>
    <t>bobinas</t>
  </si>
  <si>
    <t>0004-00001270</t>
  </si>
  <si>
    <t>Matraz vidrio tapa plástica x 25 ml. MARCA: BT</t>
  </si>
  <si>
    <t>Matraz vidrio tapa plástica x 50 ml. MARCA: BT</t>
  </si>
  <si>
    <t>0001-00195244</t>
  </si>
  <si>
    <t>0003-00007439</t>
  </si>
  <si>
    <t>0001-00195286
0001-00195289</t>
  </si>
  <si>
    <t>Caro Narvarte</t>
  </si>
  <si>
    <t>Celda de cuarzo, de absorción, para Generador de vapores de hidruros modelo HVG-1. N/P 206-77607. Marca: Shimadzu</t>
  </si>
  <si>
    <t>0003-00004573</t>
  </si>
  <si>
    <t>0001-00038659</t>
  </si>
  <si>
    <t>0009-00019053</t>
  </si>
  <si>
    <t>AMONIO MOLIBDATO 4-Hidrato p.a. (A.C.S.) Env x 100 gr. Marca: BIOPACK</t>
  </si>
  <si>
    <t>Envases</t>
  </si>
  <si>
    <t>ACIDO FLUORHIDRICO 40% p.a. Env x 1 litro. Marca: BIOPACK</t>
  </si>
  <si>
    <t>0007-00024773</t>
  </si>
  <si>
    <t>9997-00005824</t>
  </si>
  <si>
    <t>Nro de pedido 121740994</t>
  </si>
  <si>
    <t>0003-00007468
0003-00007469</t>
  </si>
  <si>
    <t>0050-00012252</t>
  </si>
  <si>
    <t>HI7033L - SOLUCION DE CONDUCTIVIDAD 84U US/CM (500 ML)</t>
  </si>
  <si>
    <t>HI7031L - SOLUCION DE CONDUCTIVIDAD 1.413 HANNA (500 ML)</t>
  </si>
  <si>
    <t>HI7030L - SOLUCION DE CONDUCTIVIDAD 12.880 US/CM HANNA (500 ML)</t>
  </si>
  <si>
    <t>HI7032L - SOLUCION TDS 1382 PPM (MG/L) HANNA (460 ML)</t>
  </si>
  <si>
    <t>HI70300L - SOLUCION DE ALMACENAMIENTO HANNA (500 ML)</t>
  </si>
  <si>
    <t>HI7040L - SOLUCION CERO OXIGENOHANNA (500 ML)</t>
  </si>
  <si>
    <t>0007-00024786</t>
  </si>
  <si>
    <t>9997-00005828</t>
  </si>
  <si>
    <t>FT2305580580 - PAPEL DE FILTRO 3 m/N USO GENERAL 58 X 58 (100 UN) Marca: SARTORIUS.</t>
  </si>
  <si>
    <t>Paquete</t>
  </si>
  <si>
    <t>0007-00024788</t>
  </si>
  <si>
    <t>9997-00005830</t>
  </si>
  <si>
    <t>0007-00024711</t>
  </si>
  <si>
    <t>1560 - SOLUCION BUFFER PH 7 CICARELLI (1 L)</t>
  </si>
  <si>
    <t>1550 - SOLUCION BUFFER PH 4 CICARELLI (1 L)</t>
  </si>
  <si>
    <t>0007-00024712</t>
  </si>
  <si>
    <t>9997-00005806</t>
  </si>
  <si>
    <t>9997-00005805</t>
  </si>
  <si>
    <t>0007-00024787</t>
  </si>
  <si>
    <t>9997-00005829</t>
  </si>
  <si>
    <t>09/03/18. Entregan 6 unidades.
28/03/18. Entregan 14 unidades.</t>
  </si>
  <si>
    <t>0002-00000055
0002-00000114</t>
  </si>
  <si>
    <t>0001-00000007
0001-00000027</t>
  </si>
  <si>
    <t>Esteban</t>
  </si>
  <si>
    <t>Vasos de precipitado forma baja de 10 ml. sin graduar Marca: IVA</t>
  </si>
  <si>
    <t>Vasos de precipitado forma baja de 30 ml. Graduados . Marca: IVA</t>
  </si>
  <si>
    <t>Cristalizadores Ø 115 mm. x 65 mm. de 500 ml. Marca: IVA</t>
  </si>
  <si>
    <t>Alcohol etílico x Lt. Marca: Inocenti</t>
  </si>
  <si>
    <t>Ok. Cambian la marca del alcohol por Purocol.</t>
  </si>
  <si>
    <t>0001-00195998</t>
  </si>
  <si>
    <t>0001-00196000</t>
  </si>
  <si>
    <t>0003-00007512</t>
  </si>
  <si>
    <t>0003-00007511</t>
  </si>
  <si>
    <t>0002-00000131</t>
  </si>
  <si>
    <t>0001-00000030</t>
  </si>
  <si>
    <t>Ácido sulfámico. 250 gr. Marca: Alkemit</t>
  </si>
  <si>
    <t>Persulfato de potasio. 250 gr. Marca: Biopack.</t>
  </si>
  <si>
    <t>Agua oxigenada 100 volúmenes 30%. Marca: No informa.</t>
  </si>
  <si>
    <t>MAG S.R.L.</t>
  </si>
  <si>
    <t>0001-00195834</t>
  </si>
  <si>
    <t>0003-00007498</t>
  </si>
  <si>
    <t>0002-00001682</t>
  </si>
  <si>
    <t>0004-00000090</t>
  </si>
  <si>
    <t>Precio en dolares.
Controla la pieza: Cristóbal. Ok, en condiciones.</t>
  </si>
  <si>
    <t>Ruth
Maria E</t>
  </si>
  <si>
    <t>Reparación de cápsula de platino. Mano de obra</t>
  </si>
  <si>
    <t>Gramos adicionales de platino para reparación de capsula 2,76gr.</t>
  </si>
  <si>
    <t>Controla pieza: Cristóbal. Ok, En condiciones.</t>
  </si>
  <si>
    <t>0002-00001760</t>
  </si>
  <si>
    <t>0004-00000091</t>
  </si>
  <si>
    <t>Corresponde a la entrega de las tres piezas solicitadas a Vega y Camji</t>
  </si>
  <si>
    <t>0002-00001655</t>
  </si>
  <si>
    <t>0009-00019660</t>
  </si>
  <si>
    <t>Par de ventanas circulares de KBr, para celda Omnicell desmontable Marca : Specac. N/P 1831. Para Omnicell N/P 1800.</t>
  </si>
  <si>
    <t>Mortero y pilón de ágata, de aproximadamente 39mm de diámetro interno, para preparación de muestras sólidas para IR/FTIR Marca: Graseby-Specac. N/P 3600.</t>
  </si>
  <si>
    <t>Pastillero evacuable, de 13mm de diámetro para FTIR. Marca: Graseby-Specac. N/P 3000. Requiere portapastillas N/P 3410.</t>
  </si>
  <si>
    <t>0009-00019579</t>
  </si>
  <si>
    <t>0001-00038825</t>
  </si>
  <si>
    <t>0003-00004458</t>
  </si>
  <si>
    <t>0003-00004455</t>
  </si>
  <si>
    <t>0034-00001441</t>
  </si>
  <si>
    <t>905 - ACIDO NITRICO 65% PA (1 L)
Marca: CICARELLI.</t>
  </si>
  <si>
    <t>Sulfanilamida pa x 250 gramos. Marca: Tetrahedron</t>
  </si>
  <si>
    <t>Ok. En condiciones. CE: Inferior a 4microS. Controla Renzo</t>
  </si>
  <si>
    <t>0004-00001693</t>
  </si>
  <si>
    <t>0004-00001692</t>
  </si>
  <si>
    <t>PROPIPETA DE GOMA LAB. Marca: KLASS.</t>
  </si>
  <si>
    <t>VARILLAS INDICADORAS DE PH 0-14.GRAD Caja x 100 tiras Marca: MERCK.</t>
  </si>
  <si>
    <t>Propipeta de caucho. Marca: Viking.</t>
  </si>
  <si>
    <t>Fecha entrega pactada</t>
  </si>
  <si>
    <t>Controla Cristóbal. Ok, en condiciones</t>
  </si>
  <si>
    <t>0001-00196436</t>
  </si>
  <si>
    <t>0003-00007540</t>
  </si>
  <si>
    <t>0002-00000164</t>
  </si>
  <si>
    <t>0001-0000033</t>
  </si>
  <si>
    <t>0001-0000034</t>
  </si>
  <si>
    <t>0001-000006090</t>
  </si>
  <si>
    <t>0002-00000091</t>
  </si>
  <si>
    <t>0001-00006089</t>
  </si>
  <si>
    <t>0002-00000092</t>
  </si>
  <si>
    <t>METANOL PA ACS Env x 1 litro. Código: 00027-003. Marca: SINTORGAN</t>
  </si>
  <si>
    <t>CLOROFORMO PA Env x 1 litro. Código: 00051-005. Marca: SINTORGAN.</t>
  </si>
  <si>
    <t>AZUL DE BROMOFENOL (Indicador) p.a. (A.C.S.) 
Env x 25 gr. Código: 2000962203. Marca: BIOPACK</t>
  </si>
  <si>
    <t xml:space="preserve">VERDE BROMOCRESOL (Indicador) p.a. (A.C.S.)
Env x 100 gr Código: 2000967805. Marca: BIOPACK.
</t>
  </si>
  <si>
    <t xml:space="preserve">SODIO FOSFATO MONOBASICO (Anhidro) p.a. 
Env x 250 gr. Código: 2000164006. Marca: BIOPACK
</t>
  </si>
  <si>
    <t xml:space="preserve">ACIDO CITRICO (Anhidro) p.a. Env x 500 gr 
Código: 2000160307. Marca: BIOPACK.
</t>
  </si>
  <si>
    <t>Ampolla de decantación de 250ml con robinete de teflón
Marca: BT.</t>
  </si>
  <si>
    <t>Mag S.R.L.</t>
  </si>
  <si>
    <t>Matraz de 25 ml. Marca: BT</t>
  </si>
  <si>
    <t>Maria E. Barbeito
Juan Pablo</t>
  </si>
  <si>
    <t>Matraz de 50 ml. Marca: BT</t>
  </si>
  <si>
    <t>Repuesto O.D. para sonda HI 769828 Código: HI769828-2.
Marca: Hanna.</t>
  </si>
  <si>
    <t>INSTRUMENTACIÓN CINETÍFICA S.A.</t>
  </si>
  <si>
    <t>Ok.  En condiciones.</t>
  </si>
  <si>
    <t>0007-00024870</t>
  </si>
  <si>
    <t>9997-00005858</t>
  </si>
  <si>
    <t>Gerardo
Cristóbal</t>
  </si>
  <si>
    <t xml:space="preserve">Holder doble para Tubos Adsorbentes.
Código: 224-26-02 </t>
  </si>
  <si>
    <t>PFA Impinger con dos puertos verticales 60ml 
PFA Impinger, 60 ml, con tapón de transporte al puerto que incluye dos
Código: 225-0021</t>
  </si>
  <si>
    <t>Ciclón de Aluminio, 37mm 
Especificado en Métodos NIOSH para fracciones respirables de polvo
Código: 225-01-02</t>
  </si>
  <si>
    <t>Impinger Midget, 25 ml, resistente a derrames, boquilla standard.
Código:  225-36-4 .</t>
  </si>
  <si>
    <t>Impinger Midget, 25 ml, fritted nozzle, 170 to 220 micron frit.
Código: 225-36-5</t>
  </si>
  <si>
    <t>Bomba Universal PCXR4 para muestreo de aire.
Incluye: batería NiMH, Cargador, Cable de Conexión.
Código: 224-PCXR4-S.</t>
  </si>
  <si>
    <t>. Comercializadora Genesys Analítica Ltda</t>
  </si>
  <si>
    <t>Papel de filtro separador de fases Whatman 1PS
Diámetro: 125 mm. Paquete de 100 unidades NP 2200-
125</t>
  </si>
  <si>
    <t>Papel de filtro cuantitativo banda azul WHATMAN sin
cenizas Grado 589/3, Diámetro: 125 mm; retención: 2
micras, Paquete de 100 unidades NP 10300211.</t>
  </si>
  <si>
    <t>Papel de filtro de fibra de vidrio sin aglutinante Whatman
Grado GF/C Diámetro: 110 mm Tamaño de poro: 1.2µm
Paquete de 100 unidades NP 1822-110 .</t>
  </si>
  <si>
    <t>María E Barbeito.</t>
  </si>
  <si>
    <t>María L Barbeito
Carolina N.</t>
  </si>
  <si>
    <t xml:space="preserve">Micropipeta de volumen variable de 500-5000 µl, incremento de 50 µl. Marca: GLASSCO. Código: GP-500.303.10
</t>
  </si>
  <si>
    <t>María E. Barbeito</t>
  </si>
  <si>
    <t>Tips para micropipetas, 5000 μl Pack x 100 unidades.
Código: GP-964.</t>
  </si>
  <si>
    <t>Facturado a Movilidad Sustentable. En concepto de parte de pago de trabajo I-11646. OC 18035</t>
  </si>
  <si>
    <t>Aire extra puro 110m3 (cl. 2.2 un 1002)</t>
  </si>
  <si>
    <t>0050-00012662</t>
  </si>
  <si>
    <t>0034-00001463</t>
  </si>
  <si>
    <t>Tubo Colorimétrico para Ozone, 0.025-3.0 ppm
Código: 182U</t>
  </si>
  <si>
    <t>Tubo Colorimétrico Kitagawa paradióxido de azufre
0.25-10 ppm. Caja 10 unidades.
Código: 103SE</t>
  </si>
  <si>
    <t>Tubo Colorimétrico, Kitagawa, para ácido sulfhídrico,
1-60 PPM.
Código: 120SD.</t>
  </si>
  <si>
    <t>Tubo Colorimétrico para Hydrogen Sulphide, rango
0,2 - 6 ppm.
Marca: Kitagawa.
Código: 120U.</t>
  </si>
  <si>
    <t>0002-00000190</t>
  </si>
  <si>
    <t>0001-00000044</t>
  </si>
  <si>
    <t>Kit de 100 Tapas de Aluminio (20mm) con septa de Silicone/PTFE-ULTRACLEAN, para viales 20ml de capacidad, para muestreador por Head
Space. N/P 20030142x100</t>
  </si>
  <si>
    <t>Kits</t>
  </si>
  <si>
    <t>0003-00004730</t>
  </si>
  <si>
    <t>0004-00001721</t>
  </si>
  <si>
    <t>0004-00001722</t>
  </si>
  <si>
    <t>CE: OK. Controla Leandro</t>
  </si>
  <si>
    <t>Ácido sulfámico. 250 gr. Marca: Alkemit.</t>
  </si>
  <si>
    <t>A convenir.</t>
  </si>
  <si>
    <t>RESMA PAPEL LEDESMA AUTOR A4 75GR.500HJ X10</t>
  </si>
  <si>
    <t>Resma</t>
  </si>
  <si>
    <t>Block</t>
  </si>
  <si>
    <t>SOBRE BOLSA MANILA 25X35 X100 2667</t>
  </si>
  <si>
    <t xml:space="preserve">FOLIO SIMBALL A4 REFORZADO CRISTAL X100 </t>
  </si>
  <si>
    <t>MARCADOR FABER RESALTADOR T49 REDONDO VERDE C/U</t>
  </si>
  <si>
    <t>CINTA ADHESIVA CONDOR 48X40 TRANSPARENTE</t>
  </si>
  <si>
    <t>MARCADOR FABER RESALTADOR T49 REDONDO NARANJA C/U</t>
  </si>
  <si>
    <t>MARCADOR FABER RESALTADOR T49 REDONDO AMARILLO C/U</t>
  </si>
  <si>
    <t>MARCADOR FABER RESALTADOR T49 REDONDO
CELESTE C/U</t>
  </si>
  <si>
    <t xml:space="preserve">CARPETA T/CRISTAL PAGODA A4 </t>
  </si>
  <si>
    <t>CINTA ADHESIVA STIKO DUCT TAPE 48X9MT AMARILLA</t>
  </si>
  <si>
    <t>BLOCK TRIUNFANTE A5 C/ESPIRAL 80HJ CUADRO</t>
  </si>
  <si>
    <t>ADHESIVO BARRA PIZZINI 21 GR.</t>
  </si>
  <si>
    <t>MARCADOR TRABI PIZARRA 450 RECARG.C/U VERDE</t>
  </si>
  <si>
    <t>MARCADOR TRABI PIZARRA 450 RECARG.C/U ROJO</t>
  </si>
  <si>
    <t xml:space="preserve">MARCADOR TRABI PIZARRA 450 RECARG.C/U AMARILLO </t>
  </si>
  <si>
    <t>MARCADOR UNI PX-20 PAINT ROJO</t>
  </si>
  <si>
    <t>PAPEL FAX HUSARES 210 X25MT.*</t>
  </si>
  <si>
    <t xml:space="preserve">APRIETA PAPELES NEGRO 41MM LIGGO X12 </t>
  </si>
  <si>
    <t>CAJA ARCHIVO PLASTICA 12CM.</t>
  </si>
  <si>
    <t>BROCHE P/MAQUINA EZCO 10X1000</t>
  </si>
  <si>
    <t>BROCHE P/MAQ.GRAP 24/6 X 1000</t>
  </si>
  <si>
    <t>RICARDO FERNANDEZ, AUTOSERVICIO INTEGRAL MAYORISTA.</t>
  </si>
  <si>
    <t>MAGNESIO CLORURO 6-HIDRATO Env x 1 kg . Marca: BIOPACK</t>
  </si>
  <si>
    <t>PROBETAS GRADUADAS BASE PLáSTICA TAPA DE
PLASTICO DE 100 ML. MARCA: IVA.</t>
  </si>
  <si>
    <t>Placa de presión para tubo de muestra, para bomba
peristáltica del generador de vapores de hidruros.
Marca: Shimadzu. Modelo HVG-1. N/P 206-17123.</t>
  </si>
  <si>
    <t xml:space="preserve"> Placa de presión para tubos de reactivos (NaBH4 &amp;
HCL), de la bomba peristáltica del generador de
vapores de hidruros.
Marca: Shimadzu. Modelo: HVG1. N/P 206-17124.</t>
  </si>
  <si>
    <t>Celda de cuarzo, de absorción, para Generador de
vapores de hidruros.
Marca: Shimadzu. Modelo: HVG-1. N/P 206-77607</t>
  </si>
  <si>
    <t>Adrian Quiroga</t>
  </si>
  <si>
    <t>0002-00000230</t>
  </si>
  <si>
    <t>0001-00000065</t>
  </si>
  <si>
    <t>0006-00003273</t>
  </si>
  <si>
    <t>0003-00004750</t>
  </si>
  <si>
    <t>Se pidieron 5 y solo se recibieron 4. No se reclamara, ya que no se considera necesario.</t>
  </si>
  <si>
    <t>No los entregan en el pedido</t>
  </si>
  <si>
    <t>No presentaron en el pedido, no  se reclamará por no considerarlo necesario.</t>
  </si>
  <si>
    <t>Se pidieron 5 y solo se recibieron 3. No se reclamara, ya que no se considera necesario.</t>
  </si>
  <si>
    <t>0001-00034943</t>
  </si>
  <si>
    <t>0023-00028305</t>
  </si>
  <si>
    <t>0001-00034911</t>
  </si>
  <si>
    <t>0023-00028253</t>
  </si>
  <si>
    <t>Litrso</t>
  </si>
  <si>
    <t>Kit para determinación de Cloro Total por el método DPD con cumplimiento EPA de aguas de red potable (drinking water) usando método Hach 8167.  Paquete de 100 sobres de reactivo en polvo.  Volumen de muestra: 10 mL. Rango: 0.02 to 2.00 mg/L Cl2
Se utiliza también para la determinación de Yodo según método HACH 8031 y Bromo según método HACH 8016.
Marca: HACH, N/P 2105669</t>
  </si>
  <si>
    <t>Kit para determinación de Cloro Libre por el método DPD con cumplimiento EPA de aguas de red potable (drinking water) usando método Hach 8021. Paquete de 100 sobres de reactivo en polvo. Volumen de muestra: 10 mL. Rango: 0.02 to 2.00 mg/L
Marca: HACH, N/P 2105569.</t>
  </si>
  <si>
    <t>0050-00012972</t>
  </si>
  <si>
    <t>0003-0007636</t>
  </si>
  <si>
    <t>0003-00007636</t>
  </si>
  <si>
    <t>0001-00197500</t>
  </si>
  <si>
    <t>0001-00197493</t>
  </si>
  <si>
    <t>0001-00048516</t>
  </si>
  <si>
    <t>0002 - 00002974</t>
  </si>
  <si>
    <t>Instrumentación Cinetifica</t>
  </si>
  <si>
    <t>La Camionera Mendocina</t>
  </si>
  <si>
    <t>0053-00000245</t>
  </si>
  <si>
    <t>No se recibio</t>
  </si>
  <si>
    <t>16/03/18. Entrega 5 matraces, en condiciones.
11/05/18. Entregan el matraz restante.</t>
  </si>
  <si>
    <t>0001-00195244
0001-00197492</t>
  </si>
  <si>
    <t>0003-00007439
0003-00007640</t>
  </si>
  <si>
    <t>0003-00007628</t>
  </si>
  <si>
    <t>0001-00197447</t>
  </si>
  <si>
    <t>0003-00007639</t>
  </si>
  <si>
    <t>0001-00197494</t>
  </si>
  <si>
    <t>Ok. En condiciones. CE inferior a 4 microS (controla Renzo)</t>
  </si>
  <si>
    <t>0003-00007637</t>
  </si>
  <si>
    <t>0001-00197499</t>
  </si>
  <si>
    <t>Julieta Giménez</t>
  </si>
  <si>
    <t>Precio expresado en dólares.
Pedido en condiciones. Se reclama por el remitente al que viene dirigida la factura del transporte.</t>
  </si>
  <si>
    <t>0001-00039318</t>
  </si>
  <si>
    <t>Ok. En condiciones.
Se reclama a proveedor por el remitente al que viene dirigida la factura del transporte.</t>
  </si>
  <si>
    <t>0001-00039317</t>
  </si>
  <si>
    <t>0003-00004755</t>
  </si>
  <si>
    <t>Productos en condiciones. Corresponde a pedido de papeles de filtros whatman y celdas de cuarzo. Error en remitente, se reclama a Jenck.</t>
  </si>
  <si>
    <t>0009-00020820</t>
  </si>
  <si>
    <t>0002-00000257</t>
  </si>
  <si>
    <t>0001-00000294</t>
  </si>
  <si>
    <t>Marcela Lopez</t>
  </si>
  <si>
    <t>Rollo Elegante 25*400</t>
  </si>
  <si>
    <t>Rollo elegante 19*200</t>
  </si>
  <si>
    <t>0004-00001407</t>
  </si>
  <si>
    <t>No entregó</t>
  </si>
  <si>
    <t>Ok. En condiciones. CE &lt; 4 microS (controla Renzo)</t>
  </si>
  <si>
    <t>No presentó</t>
  </si>
  <si>
    <t>0004-00001744</t>
  </si>
  <si>
    <t>0004-00001743</t>
  </si>
  <si>
    <t>Ok. En condiciones. CE: Ok, controla Pablo</t>
  </si>
  <si>
    <t>No se presentó</t>
  </si>
  <si>
    <t>Busqueda en comercio</t>
  </si>
  <si>
    <t>18/12/17- Realizan entrega parcial 11l.
19/04/18. Realizan entrega parcial 12L.</t>
  </si>
  <si>
    <t>Ok. En condiciones. Controla Andrea</t>
  </si>
  <si>
    <t>12/07/18. En comunicaciòn telefónica informan que el material llegara fuera del plazo previsto. Confirmaran la nueva fecha de entrega.
01/08/17 Ok. En condiciones</t>
  </si>
  <si>
    <t>Revisa Carolina Narvarte, en condiciones.</t>
  </si>
  <si>
    <t>Ok. En condiciones. CE inferior a 4 microS, controla Renzo</t>
  </si>
  <si>
    <t xml:space="preserve">Cristóbal
</t>
  </si>
  <si>
    <t>17/10/17 Presentan 15 litros. Ok. En condiciones.
03/11/17. Comunicación telefónica. Se consulta por los 3 litros faltantes, asumen error. Quedan desestimados, se realizara en el próximo pedido</t>
  </si>
  <si>
    <t>El reparto dejo el material en edificio de gobierno.
Ok. En condiciones.</t>
  </si>
  <si>
    <t>No aplica.</t>
  </si>
  <si>
    <t>Fecha de entrega no informada. Se le dan 15 días desde OC.
Ok. En condiciones.</t>
  </si>
  <si>
    <t>0004-00001390</t>
  </si>
  <si>
    <t>Ok. En condiciones. Controla Caro Q.</t>
  </si>
  <si>
    <t>15/02/18. Se reclamo a Innopack por la calidad del producto, Presenta humedad. Harán el reclamo a Merck</t>
  </si>
  <si>
    <t>9997-00005626</t>
  </si>
  <si>
    <t>0007-00024173</t>
  </si>
  <si>
    <t>Controla Alejandra</t>
  </si>
  <si>
    <t>Responde a pago de servicio prestado a Teresa Rauek .
Orden de compra OC 17069
Controla Alejandra</t>
  </si>
  <si>
    <t>Responde a pago de servicio prestado a Teresa Rauek .
Orden de compra OC 17070
Controla Alejandra</t>
  </si>
  <si>
    <t>Responde a pago de servicio prestado a Teresa Rauek .
Orden de compra OC 1707.
Controla Alejandra</t>
  </si>
  <si>
    <t>Controla Caro Q. Ok. En condiciones</t>
  </si>
  <si>
    <t>Ok. En condiciones. CE inferior a 4 microS, controla Leandro</t>
  </si>
  <si>
    <t xml:space="preserve">
Cristóbal</t>
  </si>
  <si>
    <t>9997-00005649</t>
  </si>
  <si>
    <t>0007-00024253</t>
  </si>
  <si>
    <t>0007-00024249</t>
  </si>
  <si>
    <t>9997-00005647</t>
  </si>
  <si>
    <t>En comercio Miguel</t>
  </si>
  <si>
    <t>0004-00001599</t>
  </si>
  <si>
    <t>14/05/18. Se consulta por material. Contestan que la vidriera esta demorada, hicieron el reclamo</t>
  </si>
  <si>
    <t>Ok.En condiciones. Controla Pedido M E Barbeito</t>
  </si>
  <si>
    <t>Ok. En condiciones. Retira Ruth de comercio.</t>
  </si>
  <si>
    <t>Ok, en condiciones</t>
  </si>
  <si>
    <t>Maria E Barbeito</t>
  </si>
  <si>
    <t xml:space="preserve">ETER DE PETROLEO 60-80°C p.a. Env x 1 litro
Marca: BIOPACK.
Código: 2000968008 </t>
  </si>
  <si>
    <t>SALPER</t>
  </si>
  <si>
    <t>0001-0044530</t>
  </si>
  <si>
    <t>0002 - 00002249</t>
  </si>
  <si>
    <t>N° Orden de Compra</t>
  </si>
  <si>
    <t>18010-1</t>
  </si>
  <si>
    <t>18029-1</t>
  </si>
  <si>
    <t>Cristóbal
Gerardo</t>
  </si>
  <si>
    <t>1 palets de Botella Beer 1lt. (450 unidades con tapa)</t>
  </si>
  <si>
    <t>Palets</t>
  </si>
  <si>
    <t>STARPLASTIC S.A.</t>
  </si>
  <si>
    <t>0002-00000273</t>
  </si>
  <si>
    <t>0001-00000080</t>
  </si>
  <si>
    <t>0001-00000092</t>
  </si>
  <si>
    <t>0002-00000282</t>
  </si>
  <si>
    <t>0002-00000283</t>
  </si>
  <si>
    <t>0001-00000093</t>
  </si>
  <si>
    <t>0001-00000094</t>
  </si>
  <si>
    <t>0002-00000284</t>
  </si>
  <si>
    <t>En la cotización Informan que la fecha de entrega del producto esta sujeta a la importación del mismo.
Precio en dolares.
Información deficiente, no informan nuevos plazos, se debió llamar en reiteradas oportunidades para saber del estado del aceite..</t>
  </si>
  <si>
    <t>0003-00074769</t>
  </si>
  <si>
    <t>0053-00000525</t>
  </si>
  <si>
    <t>0002-00000313</t>
  </si>
  <si>
    <t>0001-00000104</t>
  </si>
  <si>
    <t>Acetileno común</t>
  </si>
  <si>
    <t>Test cianuros CN libre y fácil/ liberado. Spectro
Marca: Merck.
Código: 1097010001.</t>
  </si>
  <si>
    <t>VARILLAS INDICADORAS DE PH 0-14.GRAD Caja x
100 tiras.
Marca: Merck.
Código: 1095350001</t>
  </si>
  <si>
    <t xml:space="preserve">Cotizado en dolares. </t>
  </si>
  <si>
    <r>
      <t xml:space="preserve">OK. Controla CE: Victoria, inferior a 4 </t>
    </r>
    <r>
      <rPr>
        <sz val="10"/>
        <rFont val="Calibri"/>
        <family val="2"/>
      </rPr>
      <t>µ</t>
    </r>
    <r>
      <rPr>
        <sz val="10"/>
        <rFont val="Copperplate Gothic Light"/>
        <family val="2"/>
      </rPr>
      <t>S.</t>
    </r>
  </si>
  <si>
    <t>0004-00001795</t>
  </si>
  <si>
    <t>0004-00001794</t>
  </si>
  <si>
    <t>Rollo de limpieza Elegante, doble hoja 25x400mts.</t>
  </si>
  <si>
    <t>Rollo de limpieza Elegante, doble hoja 20x200mts.</t>
  </si>
  <si>
    <t>Bolsas de residuo.</t>
  </si>
  <si>
    <t>Bolsas</t>
  </si>
  <si>
    <t>0004-00001463</t>
  </si>
  <si>
    <t>Adaptador de Venteo para Pirolizador p/N M 4502280
Reemplaza al N/P MS 402180.</t>
  </si>
  <si>
    <t>Servicio Courier para achicar el plazo de entrega en 60
días aproximadamente</t>
  </si>
  <si>
    <t xml:space="preserve">Gases </t>
  </si>
  <si>
    <t>0050-00014142</t>
  </si>
  <si>
    <t xml:space="preserve">ETER ETILICO PA ACS (900 ML)
Marca: SINTORGAN
Código: 00068-003 </t>
  </si>
  <si>
    <t>Botella</t>
  </si>
  <si>
    <t>ACIDO FOSFORICO PA (1L)
Marca: SINTORGAN
Código: 00013-005</t>
  </si>
  <si>
    <t>Sello de aluminio, plateado, 20 mm de diámetro NO MAGNÉTICO, con septa de PTFE/silicona, para viales Headspace de 20 mm de diámetro, paquete por 100 unidades.
Código: AR0-5250-12 S</t>
  </si>
  <si>
    <t>Cosmobio S.R.L.</t>
  </si>
  <si>
    <t>18049-1</t>
  </si>
  <si>
    <t>Kit de 100 Tapas de Aluminio (20mm) con septa de Silicone/PTFE- ULTRACLEAN, para viales 20ml de capacidad, para muestreador por Head Space. N/P: 20030142x100</t>
  </si>
  <si>
    <t>Kit de 100 viales de vidrio incoloro, de 20ml de capacidad (75.5 x 23mm), para muestreador por head-sapce Tekmar modelo HT3. N/P: 20090297x100.</t>
  </si>
  <si>
    <t xml:space="preserve">Marcela L </t>
  </si>
  <si>
    <t>Un Tubo de bomba para muestra, color azul, para Generador de hidruros. Marca : Shimadzu. Modelo: HVG-1. N/P 208-90038-13x1 (Reemplaza al N/P 200-54612-13x1).</t>
  </si>
  <si>
    <t>Un Tubo de bomba para reactivos, color naranja, para generador de hidruros. Marca: Shimadzu. Modelo: HVG-1. N/P 208-90038-08x1 (reemplaza al N/P
200-54612-08x1).</t>
  </si>
  <si>
    <t>Tubería de plástico fluorocarbonado de 400mm.
Marca: Shimadzu. N/P: 206-60250-01.</t>
  </si>
  <si>
    <t>Celda de cuarzo, de absorción, para Generador de vapores de hidruros. Marca: Shimadzu. Modelo: HVG-1. N/P 206-77607 .</t>
  </si>
  <si>
    <t>Controla Marcela L.. Ok, en condiciones.</t>
  </si>
  <si>
    <t>Marcela L Carolina Q</t>
  </si>
  <si>
    <t>Estandar</t>
  </si>
  <si>
    <t>Vanadium AA Standard 100 mL 1000 µg/mL in 2-5%
Nitric Acid. Marca: AccuStandard. Código: AA67N-1</t>
  </si>
  <si>
    <t>Selenium AA Standard 100 mL 1000 µg/mL in 2-5% Nitric Acid Marca: AccuStandard. Código: AA51N-1.</t>
  </si>
  <si>
    <t>Molybdenum AA Standard 100 mL 1000 µg/mL in Water, tr Ammonium hydroxide Marca: AccuStandard.Código: AA35W-1</t>
  </si>
  <si>
    <t xml:space="preserve">Magnesium AA Standard 100 mL 1000 µg/mL in 2-5% Nitric Acid. Marca: AccuStandard. Código: AA32N-1
</t>
  </si>
  <si>
    <t>Calcium AA Standard 100 mL 1000 µg/mL in 2-5% Nitric Acid. Marca: AccuStandard. Código: AA09N-1</t>
  </si>
  <si>
    <t>Beryllium ICP Standard 100 mL 1000 µg/mL in 2-5% Nitric Acid. Marca: AccuStandard. Código: ICP-05N-1</t>
  </si>
  <si>
    <t>Silicon AA Standard 100 mL 1000 µg/mL in Water, tr Hydrofluoric acid. Marca: AccuStandard. Código: AA52W-1</t>
  </si>
  <si>
    <t>Tin AA Standard 100 mL 1000 µg/mL in 2-5% Nitric Acid, tr Hydrofluoric acid. Marca: AccuStandard. Código: AA63N-1</t>
  </si>
  <si>
    <t>Sodium AA Standard 100 mL 1000 µg/mL in 2-5% Nitric Acid
Marca: AccuStandard. Código: AA54N-1</t>
  </si>
  <si>
    <t>Omnilab S.R.L</t>
  </si>
  <si>
    <t>m-Xileno. Frasco de vidrio 1 lt. Código: 8223371000</t>
  </si>
  <si>
    <t>o-Xileno. Frasco de vidrio 1 lt. Código: 8086971000.</t>
  </si>
  <si>
    <t>p-Xileno. Frasco de vidrio 1 lt. Código: 8086911000.</t>
  </si>
  <si>
    <t>Etilbenceno. Frasco de vidrio 100 ml. Código: 8013720100.</t>
  </si>
  <si>
    <t>Tiras indicadoras del pH pH 0 - 14 Indicador universal
Caja de plástico, 100 strips. Código: 1095350001.</t>
  </si>
  <si>
    <t>Merck Argentina</t>
  </si>
  <si>
    <t>Cotizado en dolares</t>
  </si>
  <si>
    <t>Cubetas de cuarzo de 10 mm. Marca: No especifica.</t>
  </si>
  <si>
    <t>Cubetas de vidrio de 10 mm. Marca: No especifica.</t>
  </si>
  <si>
    <t>Par</t>
  </si>
  <si>
    <t>Susana
Lara</t>
  </si>
  <si>
    <t>Cepillos para pipetas.</t>
  </si>
  <si>
    <t>Cepillos de 20 mm.</t>
  </si>
  <si>
    <t>Cepillos de 35 mm.</t>
  </si>
  <si>
    <t>Cepillos de 45 mm.</t>
  </si>
  <si>
    <t>CURCUMINA (C.I. 75300) Env x 5 gramos. Marca: BIOPACK. Código: 2000963701</t>
  </si>
  <si>
    <t>0002-00000517</t>
  </si>
  <si>
    <t>0001-00000175</t>
  </si>
  <si>
    <t>María Esther Barbeito</t>
  </si>
  <si>
    <t>Controla CE Leandro: Ok, en condiciones.</t>
  </si>
  <si>
    <t>0004-00001858</t>
  </si>
  <si>
    <t>0004-00001859</t>
  </si>
  <si>
    <t>María Luisa Barbeito</t>
  </si>
  <si>
    <t>Calibración (Requerimiento 17025- OAA) DE LA Indicación de temperatura, de dos (2) termómetros líquido en vidrio, ASTM 8C, en siete (7) puntos: 0; 100; 200; 300; 330; 350 y 370°C, en cada uno de ellos.</t>
  </si>
  <si>
    <t>Servicios</t>
  </si>
  <si>
    <t>MAC S.R.L.</t>
  </si>
  <si>
    <t>Calibración (Requerimiento 17025- OAA) de la Indicación devolumen (enrase) a contener a 20°C, de una (1) probeta de vidrio borosilicato, de 100 ml, en dies (10) puntos: 10; 20; 30; 40; 50; 60; 70; 80; 90 y 100 ml.</t>
  </si>
  <si>
    <t>Ácido clorhídrico fumante 37%. Bidón 25 Lts. Marca: Merck. Código: 100317.</t>
  </si>
  <si>
    <t>Ácido nítrico. Marca: Cicarelli.</t>
  </si>
  <si>
    <t>Botellas</t>
  </si>
  <si>
    <t>Balones de destilación Engler 19/26 D-86 125ml (UN). Código: 200608 Marca: IVA.</t>
  </si>
  <si>
    <t>Probetas graduadas base plástica sin tapa de 250 ml. Código: 020106.
Marca: IVA.</t>
  </si>
  <si>
    <t>Cotizado en dólares. 
ORDEN ANULADA, CONTABAMOS CON EL MATERIAL EN EL DEPÓSITO.</t>
  </si>
  <si>
    <t>Guantes examen nitrilo s/polvo chico (100 un). Código: 82775. Marca: Printex.</t>
  </si>
  <si>
    <t>Guantes examen nitrilo s/polvo MEDIANO (100 un). Código: 82783.
Marca: Printex.</t>
  </si>
  <si>
    <t>Guantes examen nitrilo s/polvo grande (100 un). Código: 82791.
Marca: Printex.</t>
  </si>
  <si>
    <t>Papel de filtro cuantitativo grado 391 diámetro 125 mm (100 un). Código: FT3104125. Marca: Sartorius.</t>
  </si>
  <si>
    <t>Papel de filtro cuantitativo grado 389 diámetro 125 mm (100 un). Código: FT3102125.  Marca: Sartorius.</t>
  </si>
  <si>
    <t>PAPEL DE FILTRO 3 m/N USO GENERAL 58 X 58 (100 UN). Código: FT2305580580. Marca: Sartorius.</t>
  </si>
  <si>
    <t>Placa de control para sistema de cerrado de recipientes Twister de Milestone. Código: 92050. Marca: Milestone. Número de serie de Twister: 102900014.</t>
  </si>
  <si>
    <t>Placa</t>
  </si>
  <si>
    <t>Cotizado en euros.</t>
  </si>
  <si>
    <t>VELOCITE NO 6 PAIL 18.9L/5USG x 18,9 Marca: Mobil</t>
  </si>
  <si>
    <t>SANDURI S.A.</t>
  </si>
  <si>
    <t>HYDRANAL-Coloumat ag reagent for coulom (1 L). Código: 34836-1L . Marca: Fluka.</t>
  </si>
  <si>
    <t>Propipeta de caucho. Marca: Vicking.</t>
  </si>
  <si>
    <t>EDTA P.A. x 1 kg. Marca: Alkemit.</t>
  </si>
  <si>
    <t>Carbonato de sodio P.A. x 1 Kg.  Marca: Alkemit.</t>
  </si>
  <si>
    <t>Potasio cloruro PA env x 1 kg. Código: 2000163108. Marca: Biopack.</t>
  </si>
  <si>
    <t>Potasio persulfato PA Env x 250gr. Código: 2000988906. Marca: Biopack.</t>
  </si>
  <si>
    <t>9997-00006055</t>
  </si>
  <si>
    <t>0007-00025448</t>
  </si>
  <si>
    <t>0001-00200359</t>
  </si>
  <si>
    <t>0003-00007916</t>
  </si>
  <si>
    <t>0001-00200360</t>
  </si>
  <si>
    <t>0003-00007917</t>
  </si>
  <si>
    <t>0003-00007914</t>
  </si>
  <si>
    <t>0001-00200364</t>
  </si>
  <si>
    <t>0003-00007915</t>
  </si>
  <si>
    <t>MAG S.R.L</t>
  </si>
  <si>
    <t>0001-00200362</t>
  </si>
  <si>
    <t>Item 1.- Mezcla gaseosa patrón certificada.
Composición (% molar)
Monóxido de carbono 200 ppm
Dióxido de Nitrógeno 200 ppm
Dióxido de azufre 200 ppm
Nitrógeno Balance
Tolerancia de preparación: + / - 6 %
Incertidumbre de análisis: + / - 2 %
Mezcla a proveer en cilindro de aluminio de 6 l con
válvula CGA-660
Presión de llenado: 150 bara.
Volumen gaseoso: 0.9 m3.
Vida útil: 12 meses.</t>
  </si>
  <si>
    <t xml:space="preserve">Grupo Linde Gas Argentina S.A. </t>
  </si>
  <si>
    <t>Item 2.- Mezcla gaseosa patrón certificada.
Composición (% molar)
Isobutileno 200 ppm
Sulfuro de hidrógeno 100 ppm
Nitrógeno Balance
Tolerancia de preparación: + / - 6 %
Incertidumbre de análisis: + / - 2 %
Mezcla a proveer en cilindro de aluminio de 6 l con
válvula CGA-660
Presión de llenado: 150 bara.
Volumen gaseoso: 0.9 m3.
Vida útil: 12 meses.</t>
  </si>
  <si>
    <t>Ítem 3.- Cilindro de aluminio de 6 litros de volumen
hidráulico para venta.
Tamaño del cilindro: 0.175 m de diámetro.
 0.59 m de altura. (alquiler)
 0.62 m de altura. (venta)
 10.2 Kg de peso.
Con válvula de acero inoxidable.</t>
  </si>
  <si>
    <t>Celda de cuarzo, de absorción, para Generador de
vapores de hidruros.
Marca: Shimadzu.
Modelo: HVG-1. N/P 206-77607 .</t>
  </si>
  <si>
    <t>Kit de 100 Tapas de Aluminio (20mm) con septa de
Silicone/PTFE- ULTRACLEAN, para viales 20ml de
capacidad, para muestreador por Head Space.
N/P: 20030142x100</t>
  </si>
  <si>
    <t>PROBETAS GRADUADAS BASE PLáSTICA SIN TAPA DE 10
ML. C/CERT INDIVIDUAL.
Marca: IVA.</t>
  </si>
  <si>
    <t>Cotizado en dolares.</t>
  </si>
  <si>
    <t>18080-1</t>
  </si>
  <si>
    <t>18081-1</t>
  </si>
  <si>
    <t>Sodio hidróxido PA (perlas) (250 G).
Código: 2000982606
Marca: Biopack.</t>
  </si>
  <si>
    <t>Magnesio cloruro 6-hidrato (1 KG)
Código: 2000962008.
Marca: Biopack.</t>
  </si>
  <si>
    <t>UREA PA Env x 1 kg
Código: 2000960808.
Marca: BIOPACK</t>
  </si>
  <si>
    <t>MERCURIO (II) CLORURO PA ACS Env x 250 gr
Código: 2000980506
Marca: BIOPACK</t>
  </si>
  <si>
    <t>17/08/18. Entrega parcial 5 cajas.
22/08/18. Entrega parcial 8 cajas.</t>
  </si>
  <si>
    <t>0007-0002447
0007-0002546</t>
  </si>
  <si>
    <t>9997-00006054
9997-00006061</t>
  </si>
  <si>
    <t>17/08/18. Entrega parcial 3 cajas.
22/08/18. Entrega parcial de 7 cajas.</t>
  </si>
  <si>
    <t xml:space="preserve">
0007-0002546</t>
  </si>
  <si>
    <t xml:space="preserve">
9997-00006061</t>
  </si>
  <si>
    <t>REGISTRO DE COMPRAS</t>
  </si>
  <si>
    <t>C Belmar</t>
  </si>
  <si>
    <t>Cotizado en dólares.
Ok, rn condiciones.</t>
  </si>
  <si>
    <t>0001-00200566</t>
  </si>
  <si>
    <t>0003-00007935</t>
  </si>
  <si>
    <t>Rodriguez Hnos Transportes S.A.</t>
  </si>
  <si>
    <t>0001-00040646</t>
  </si>
  <si>
    <t>0009-00023736</t>
  </si>
  <si>
    <t>Fundación Química Argentina</t>
  </si>
  <si>
    <t>ME Barbeito</t>
  </si>
  <si>
    <t>Interlaboratorios@cofilab.org.ar</t>
  </si>
  <si>
    <t>0005-00000181</t>
  </si>
  <si>
    <t>Cotizado en dólares.
Ok, en condiciones.</t>
  </si>
  <si>
    <t>0002-00000589</t>
  </si>
  <si>
    <t>0001-00000204</t>
  </si>
  <si>
    <t>0004-00003153</t>
  </si>
  <si>
    <t>9997-00006084</t>
  </si>
  <si>
    <t>0007-00025494</t>
  </si>
  <si>
    <t>0003-00005025</t>
  </si>
  <si>
    <t>9997-00005944</t>
  </si>
  <si>
    <t>0007-00025141</t>
  </si>
  <si>
    <t>0050-00013496</t>
  </si>
  <si>
    <t>0034-00001503</t>
  </si>
  <si>
    <t>Orden de compra anulada. Se pedirá eter sulfúrico.</t>
  </si>
  <si>
    <t>Ok, en condiciones. Controla CE: Leandro.</t>
  </si>
  <si>
    <t>FACTURA DE EXPORTACIÓN
ELECTRÓNICA
Nº 159</t>
  </si>
  <si>
    <t>FACTURA DE EXPORTACIÓN
ELECTRÓNICA
Nº 160</t>
  </si>
  <si>
    <t>Entrega en local</t>
  </si>
  <si>
    <t>Precio expresado en dólares.
Ok, en condiciones.</t>
  </si>
  <si>
    <t>0003-00004904</t>
  </si>
  <si>
    <t>0003-00004932</t>
  </si>
  <si>
    <t xml:space="preserve">0005-00000156
</t>
  </si>
  <si>
    <t xml:space="preserve">0001-00004113
</t>
  </si>
  <si>
    <t>----------</t>
  </si>
  <si>
    <t>0007-00025466</t>
  </si>
  <si>
    <t>0007-00024466</t>
  </si>
  <si>
    <t>7507-75027466</t>
  </si>
  <si>
    <t>7307-73020466</t>
  </si>
  <si>
    <t>0007-0002NO CONCRETADO466</t>
  </si>
  <si>
    <t>9997-00006061</t>
  </si>
  <si>
    <t>3107-3102466</t>
  </si>
  <si>
    <t>POTASIO IODURO PA (ACS) (500 G).
Código: 806212.
Marca: Cicarrelli.</t>
  </si>
  <si>
    <t>María E Barbeito.
Cristóbal</t>
  </si>
  <si>
    <t>Mano de obra sobre: Reparacion en taller y
reinstalacion en vuestro laboratorio sobre
instrumento GC-MS marca Perkin Elmer.
Cubre en taller hasta 1 jornada de labor de 8
horas. Incluye gastos de pasaje aéreo y
hospedaje (cubre hasta 1 jornada de labor de
8 horas, incluyendo horas de viaje).</t>
  </si>
  <si>
    <t>PELKIN ELMER S.R.L.</t>
  </si>
  <si>
    <t>PCB ASSY - OSISCR INTERFACE /
Número Parte: N6470435</t>
  </si>
  <si>
    <t>PWR SPLY-SWITCHING 5/7.5/18/18.
Número Parte: 09290234</t>
  </si>
  <si>
    <t xml:space="preserve">FILAMENT ASSY-RHENIUM 0.008.
Número Parte: N6470012.
</t>
  </si>
  <si>
    <t>Bonificado en la contratación del servicio</t>
  </si>
  <si>
    <t>Cristóbal Belmar</t>
  </si>
  <si>
    <t>Medrano - María Gabriela Aparicio</t>
  </si>
  <si>
    <t>0004-00001873</t>
  </si>
  <si>
    <t>0004-00001874</t>
  </si>
  <si>
    <t>30/08/18- Entrega parcial de 100 lts. Controla Renzo CE: Ok, en condiciones.
Informa que traera el resto del pedido en el transcurso del día.</t>
  </si>
  <si>
    <t>Maria Esther Barbeito</t>
  </si>
  <si>
    <t xml:space="preserve"> Membrana de ESTERES MIXTOS, tamaño de poro 0,8µm ,
diámetro 47 mm, caja x 100 unidades , blancas lisas , no
estériles. Marca: Microclar.</t>
  </si>
  <si>
    <t>9997-00006091</t>
  </si>
  <si>
    <t>0007-00025522</t>
  </si>
  <si>
    <t>Nro de pedido: 122758569. Fecha de entrega sujeta a disponibilidad del gas en depósito.</t>
  </si>
  <si>
    <t>Bobina doble hoja 19*200.
Marca: Elegante</t>
  </si>
  <si>
    <t>Bobina doble hoja 25*400. 
Marca: Elegante.</t>
  </si>
  <si>
    <t>Bolsa de residuos 50x70 x 50 unidades
Marca: No informa.</t>
  </si>
  <si>
    <t>Valerina x 3 unidades.
Marca: No informa.</t>
  </si>
  <si>
    <t>Susana
Cristóbal</t>
  </si>
  <si>
    <t>Ok, En condiciones.</t>
  </si>
  <si>
    <t>0004-00001915</t>
  </si>
  <si>
    <t>Un Tubo de bomba para muestra, color azul, para
Generador de hidruros.
Marca : Shimadzu.
Modelo: HVG-1. N/P 208-90038-13x1 (Reemplaza al
N/P 200-54612-13x1).</t>
  </si>
  <si>
    <t>Insumos 
Seguridad</t>
  </si>
  <si>
    <t>Guardapolvo poliéster - algodón dama largo.
T. 38 AL 56 BLANCO.
Marca: Los Tres Gorditos.
Código: 200.
Talles (cantidades): 42 (1), 44(2), 46 (3), 50 (1).</t>
  </si>
  <si>
    <t>Guardapolvo poliéster - algodón dama largo.
T. 38 AL 56 COLOR
Marca: Los Tres Gorditos.
Código: 2001.
Talles (cantidades): 38(1), 42(3), 46(1), 48(1).</t>
  </si>
  <si>
    <t>Guardapolvo poliéster - algodón hombre largo.
T. 48 AL 56 BLANCO.
Marca: Los Tres Gorditos.
Código: 601.
Talles (cantidades): 56(1).</t>
  </si>
  <si>
    <t>Guardapolvo poliéster - algodón hombre largo.
T. 48 AL 56 COLOR.
Marca: Los Tres Gorditos.
Código: 6011.
Talles (cantidades): 46(5).</t>
  </si>
  <si>
    <t>Guardapolvo poliéster - algodón hombre largo.
T. 48 AL 56 COLOR.
Marca: Los Tres Gorditos.
Código: Referencia 6011, recargo del 10% (según
información entregada telefónicamente)
Talles (cantidades): 58(3), 60(1).</t>
  </si>
  <si>
    <t>Pack de vial 18 x 40 boca 13 incoloro. 304 unidades.
Código: F 1840</t>
  </si>
  <si>
    <t>Lumen glass S.R.L.</t>
  </si>
  <si>
    <t>Kit de 100 Tapas de Aluminio (20mm) con septa de
Silicone/PTFE-ULTRACLEAN, para viales 20ml de
capacidad, para muestreador por Head Space.
Parte Número: 20030142x1000.</t>
  </si>
  <si>
    <t>Ana Maco
Jorge Guzmán</t>
  </si>
  <si>
    <t>ACIDO NITRICO 65% PA ACS Env x 1 litro.
Marca: Biopack.
Código: 2000993808</t>
  </si>
  <si>
    <t>ACIDO NITRICO 65% PA CICARELLI (1 L)
Marca: Cicarrelli.
Código: 905</t>
  </si>
  <si>
    <t>Marcela
Carolina</t>
  </si>
  <si>
    <t>Standard AA</t>
  </si>
  <si>
    <t>Cadmium AA Standard 100 mL 1000 µg/mL in 2-5%
Nitric Acid
Marca: Accustandard.
Código: AA08N-1.</t>
  </si>
  <si>
    <t>Chromium AA Standard 100 mL 1000 µg/mL in 2-5%
Nitric Acid
Marca: Accustandard.
Código: AA13N-1</t>
  </si>
  <si>
    <t>Thallium AA Standard 100 mL 1000 µg/mL in 2-5%
Nitric Acid
Marca: Accustandard.
Código: AA60N-1</t>
  </si>
  <si>
    <t>Strontium AA Standard 100 mL 1000 µg/mL in 2-5%
Nitric Acid
Marca: Accustandard.
Código: AA55N-1</t>
  </si>
  <si>
    <t>Cámara Neubauer, doble retículo, profundidad: 0,1
mm.
Marca: Marienfeld.
Código: PM-0610110</t>
  </si>
  <si>
    <t>Portaobjetos bordes pulidos 25,4 x 76,2 cm.
Caja x 50 unidades.
MARCA: Slides.
Código: 61IP</t>
  </si>
  <si>
    <t>Cubreobjetos 20x20 mm. Caja x 200 unidades.
MARCA: Glass Klass.
Código: CP0151</t>
  </si>
  <si>
    <t>Victoria Mestres</t>
  </si>
  <si>
    <t>Plata nitrato PA Env x 100 gr
Marca: Biopack.
Código: 2000162905</t>
  </si>
  <si>
    <t>Piseta PP de 500 ml
Marca: Prolab.
Código: JP-58450500</t>
  </si>
  <si>
    <t>Varillas indicadoras de pH 0- 14.GRAD Caja x 100
tiras.
Marca: MERCK.
Código: 1095350001.</t>
  </si>
  <si>
    <t>Sodio peróxido p.a. (A.C.S.) Env x 100 gr.
Marca: Biopack.
Código: 2000954305</t>
  </si>
  <si>
    <t>Precio expresado en dolares estadounidenses</t>
  </si>
  <si>
    <t>Percloroetileno IR
Marca: Sintorgan®.
Código: SIN-143005-01</t>
  </si>
  <si>
    <t>Diclorometano Para Análisis A.C.S.
MARCA: Sintorgan®.
Código: SIN-130003-01</t>
  </si>
  <si>
    <t>Cristóbal Belmar
María Esther Barbeito</t>
  </si>
  <si>
    <t xml:space="preserve">Cristóbal Belmar
</t>
  </si>
  <si>
    <t>Xileno Para Análisis A.C.S.
MARCA: Sintorgan®.
Código: SIN-130003-01.</t>
  </si>
  <si>
    <t>Tolueno Para Análisis A.C.S.
Marca: Sintorgan®.
Código: SIN-120003-01.</t>
  </si>
  <si>
    <t>Acetona Para Análisis A.C.S.
MARCA: Sintorgan ®.
Código: SIN-027003-01</t>
  </si>
  <si>
    <t xml:space="preserve"> n-Pentano Para Uso Cromatográfico.
MARCA: Sintorgan ®.
Código: SIN-027003-01</t>
  </si>
  <si>
    <t>Entrega de producto pendiente a envío de certificado de RNPQ vigente.</t>
  </si>
  <si>
    <t>Papel de filtro 3 m/N uso general 58 X 58 (100 UN)
Marca: Sartorius.
Código: FT2305580580.</t>
  </si>
  <si>
    <t>Amonio Hidroxido 28-30% PA ACS (1 L)
Marca: Cicarrelli.
Código: 845.</t>
  </si>
  <si>
    <t>Varillas indicadoras de pH 0- 14. GRAD Caja x 100
tiras.
Marca: MERCK.
Código: 1095350001.</t>
  </si>
  <si>
    <t>Cloroformo PA (1 L)
Marca: Sintorgan.
Código: 00051-005</t>
  </si>
  <si>
    <t>Rodríguez Hnos. Transportes S.A.</t>
  </si>
  <si>
    <t>Ruth Clausen</t>
  </si>
  <si>
    <t>Ok. En concidiciones.</t>
  </si>
  <si>
    <t>Transporte de material/seguro</t>
  </si>
  <si>
    <t>0009-00000561</t>
  </si>
  <si>
    <t>0003-00005439</t>
  </si>
  <si>
    <t>0001-00042506</t>
  </si>
  <si>
    <t>0014-00007651</t>
  </si>
  <si>
    <t>18103-1</t>
  </si>
  <si>
    <t>Cristóbal
María Esther Barbeito</t>
  </si>
  <si>
    <t>Espectrofotómetro UV-Visible modelo UV-1900,
origen Japón. Óptica de doble haz real, ancho de
banda espectral 1 nm, rango de longitud de onda
de 190 a 1100 nm. Velocidad de escaneo hasta
29.000 nm/min. Incluye pantalla táctil color para
uso stand-alone y Software UV-PROBE para su
conexión opcional adicional a una computadora
externa bajo ambiente Windows y conexión USB
(requiere computadora con puerto USB)
Requiere cable USB para conexión a impresora o
computadora.
P/N: 207-23100-58.
Marca: Shimadzu.</t>
  </si>
  <si>
    <t>Cable de 2.4 m para 240 V para AS-10 y UV-1900,
origen Japón.
N/P: 071-60825-51.
Marca: Shimadzu.</t>
  </si>
  <si>
    <t xml:space="preserve">Software de control y procesamiento de datos
LabSolutions UV-Vis, origen Japón.
N/P: 207-24525-92.
Marca: Shimadzu. </t>
  </si>
  <si>
    <t xml:space="preserve">Equipo </t>
  </si>
  <si>
    <t xml:space="preserve">FAC B 0003-00005411
ND 0003-00000121 </t>
  </si>
  <si>
    <t>FAC B 0003-00005411
ND 0003-00000122</t>
  </si>
  <si>
    <t>FAC B 0003-00005411
ND 0003-00000123</t>
  </si>
  <si>
    <t>Empresa transportista</t>
  </si>
  <si>
    <t xml:space="preserve">Cristóbal /
Marcela </t>
  </si>
  <si>
    <t xml:space="preserve">0003-00005037 </t>
  </si>
  <si>
    <t>0003-00005037</t>
  </si>
  <si>
    <t>0001-00104957</t>
  </si>
  <si>
    <t>18111-1</t>
  </si>
  <si>
    <t>Columna Cap. Rtx-2887, 10 m, 0.53 mm ID, 2.65 um.
Aplicación: columna específica para destilación
simulada.
Marca: Restek.
NP: 10199.</t>
  </si>
  <si>
    <t>0003-00005425</t>
  </si>
  <si>
    <t>18107-1</t>
  </si>
  <si>
    <t>Gas</t>
  </si>
  <si>
    <t xml:space="preserve">Mix 5 o mas comp var bal.var.-Cert.
698470 </t>
  </si>
  <si>
    <t>Cilindro</t>
  </si>
  <si>
    <t>Grupo Linde Gas Argentina S.A</t>
  </si>
  <si>
    <t>Precio expresado en dólares.
A la espera de la instalación</t>
  </si>
  <si>
    <t>(0261) 4321080
08108106003</t>
  </si>
  <si>
    <t>Precio expresado en dólares.
Se verificara la calidad del gas al usarse.</t>
  </si>
  <si>
    <t>0162-00004896</t>
  </si>
  <si>
    <t xml:space="preserve">CILINDRO ACERO 110 LTS. 
709620 </t>
  </si>
  <si>
    <t>0162-00004891</t>
  </si>
  <si>
    <t>Retiro en Bs As de 2 cajas de las siguientes características:
Caja 1 24 kg 66cm x 62cm x 37cm
Caja 2 1 kg 15cm x 20cm x 15cm</t>
  </si>
  <si>
    <t xml:space="preserve">Mantenimiento Preventivo y Certificación sobre un (1)
equipo AA-7000 (A30664700648) Shimadzu. </t>
  </si>
  <si>
    <t>Mantenimiento Preventivo sobre un (1) equipo HVG-1
(A30294703075) Shimadzu.
Mantenimiento Preventivo sobre un (1) equipo HVG-1
(A35029020329) Shimad</t>
  </si>
  <si>
    <t>Viáticos y Estadía necesarios para la realización de los
servicios previamente detallados.</t>
  </si>
  <si>
    <t>Personal Idoneo</t>
  </si>
  <si>
    <t>Hidrogeno peróxido 30% (100 VOL) PA Env x 1 litro
(AGUA OXIGENADA).
Código: 2000980308.
Marca: Biopack.</t>
  </si>
  <si>
    <t>Agua oxigenada de 100 volúmenes al 30%. PA x L
Marca: Alkemit</t>
  </si>
  <si>
    <t>O'ring set de goma fluorada (Standard) para AA-7000
Marca: Shimadzu.
Parte Número: 206- 77620-91</t>
  </si>
  <si>
    <t>Tubería para bomba, para ASC-6100/7000.
Marca: Shimadzu.
N/P: 042-00405-24</t>
  </si>
  <si>
    <t>Chichi</t>
  </si>
  <si>
    <t>Corresponde a pieza utilizado en service especificado en orden de compra OC 18087</t>
  </si>
  <si>
    <t>Bobina doble hoja 25*400.
Marca: Elegante</t>
  </si>
  <si>
    <t>Bobina doble hoja 25*400. 
Marca: Elegante</t>
  </si>
  <si>
    <t>Bobina elegante 19*200.
Marca: Elegante.</t>
  </si>
  <si>
    <t>Se factura parte de la bobina</t>
  </si>
  <si>
    <t xml:space="preserve"> Pack de 3 valerinas.</t>
  </si>
  <si>
    <t>Se factura la parte faltante de la
bobina facturada a Susana Rovira</t>
  </si>
  <si>
    <t>POTASIO PERSULFATO p.a. Env x 250 gr
Marca: Biopack.
Código: 2000988906.</t>
  </si>
  <si>
    <t>SODIO CLORURO PA Env x 1 kg.
Marca: Biopack.
Código: 2000164608.</t>
  </si>
  <si>
    <t>AMONIO MOLIBDATO 4-HIDRATO (100 G)
Marca: Biopack.
Código: 2000977705.</t>
  </si>
  <si>
    <t>azanon@chemicalcenter.com.ar</t>
  </si>
  <si>
    <t>Analía Zanon</t>
  </si>
  <si>
    <t>ventas@salper.com.ar</t>
  </si>
  <si>
    <t>Juan Patricio Pérsico</t>
  </si>
  <si>
    <t>Insumos generales de laboratorio.</t>
  </si>
  <si>
    <t>v</t>
  </si>
  <si>
    <t>No se realizaron compras en este periodo.</t>
  </si>
  <si>
    <t xml:space="preserve">Facundo </t>
  </si>
  <si>
    <t>RESMA PAPEL LEDESMA AUTOR A4 75GR.500HJ
X10</t>
  </si>
  <si>
    <t>RESMA PAPEL AUTOR A4 80GR.AM.250HJ</t>
  </si>
  <si>
    <t>RESMA PAPEL AUTOR A4 80GR.VER.250HJ P</t>
  </si>
  <si>
    <t>BOLIG.BIC TRAZO GRUESO AZUL X50</t>
  </si>
  <si>
    <t>ESCUADRA MAPED 146124 START 26X60CM</t>
  </si>
  <si>
    <t>PORTAMINAS MICRO EXECUTIVE 0.5 META</t>
  </si>
  <si>
    <t xml:space="preserve"> GOMA MAPED MINI TECHNIC 300 011300 C/U </t>
  </si>
  <si>
    <t>BROCHE CLIP N 5 X 100 HEPTA</t>
  </si>
  <si>
    <t>BROCHE P/MAQ.ONIX 23/10 X 1000</t>
  </si>
  <si>
    <t>BROCHE P/MAQ.MIT 10 X1000</t>
  </si>
  <si>
    <t>BANDERITA INFO ADHES.5 COLORES FLUO</t>
  </si>
  <si>
    <t xml:space="preserve">CARPETA UO OF.2.40 F.NEGRA </t>
  </si>
  <si>
    <t>CUAD.TRIUNF.C/ESP A4 120HJ T/C SDC #</t>
  </si>
  <si>
    <t>MARCADOR EDDING PERMANENTE E-400 NEGRO
X10</t>
  </si>
  <si>
    <t>ABROCHADORA GRAP 10/50 PINTADA</t>
  </si>
  <si>
    <t>GUARDAPOLVO POLIESTER-ALGODON DAMA LARGO T. 38 AL 56 BLANCO Código: 200 Talles: 46 (uno)</t>
  </si>
  <si>
    <t>GUARDAPOLVO POLIESTER-ALGODON DAMA LARGO
T. 38 AL 56 COLOR.
Código: 2001
Talles: 38 (uno), 42 (uno), 44 (uno).</t>
  </si>
  <si>
    <t>GUARDAPOLVO POLIESTER-ALGODON HOMBRE
LARGO T. 48 AL 56 COLOR.
Código: 6011.
Talles: 46 (uno).</t>
  </si>
  <si>
    <t>Electrodo combinado de pH uso generales cuerpo de
vidrio.
Código: HI1131B.
Marca: HANNA</t>
  </si>
  <si>
    <t>Comprada en conjunto con Cristina Quiroga, para cobrar dinero de su proyecto.</t>
  </si>
  <si>
    <t>Servicio de reparación de columnas de nuestra
propiedad con esmeriles 24/40</t>
  </si>
  <si>
    <t>Aristóbulo Gomez Ruperez S.A.</t>
  </si>
  <si>
    <t>Cristíóbal</t>
  </si>
  <si>
    <t>PAPEL DE FILTRO CUANTITATIVO GRADO 388 DIAMETRO 125 MM (100 UN).
Marca: SARTORIUS.
Código: FT3101125</t>
  </si>
  <si>
    <t>PAPEL DE FILTRO CUANTITATIVO GRADO 389 DIAMETRO
125 MM SARTORIUS (100 UN)
Marca: SARTORIUS.
Código: FT3102125.</t>
  </si>
  <si>
    <t xml:space="preserve">PAPEL DE FILTRO CUANTITATIVO GRADO 391 DIAMETRO 125 MM (100 UN).
Marca: SARTORIUS.
Código: FT3104125. </t>
  </si>
  <si>
    <t>POTASIO IODURO PA (1 KG)
Código: 806/1000.
Marca: CICARELLI.</t>
  </si>
  <si>
    <t>18108-1</t>
  </si>
  <si>
    <t>Papel de filtro separador de fases 1PS Diámetro: 125
mm. Paquete de 100 unidades.
Marca: Whatman.
N/P: 2200-125.</t>
  </si>
  <si>
    <t>N-Pentano uso cromatografico (1 L)
Marca: Sintorgan.
Código: 00111-007.</t>
  </si>
  <si>
    <t>1,5-Difenilcarbazida p.a. (A.C.S.) Env x 10 gr.
Marca: Biopack.
Código: 2000956302</t>
  </si>
  <si>
    <t xml:space="preserve">Guantes de lavado, negros (L)
</t>
  </si>
  <si>
    <t>Varillas indicadoras de pH 0- 14. Grad Caja x 100
tiras.
Marca: MERCK.
Código: 1095350001.</t>
  </si>
  <si>
    <t>18114-1</t>
  </si>
  <si>
    <t>18114-2</t>
  </si>
  <si>
    <t>Tubo de monóxido de carbono de 10 Kg, embalado
en una caja de cartón de 230 x 230 x 660 mm</t>
  </si>
  <si>
    <t>Seguro de transporte.
Observación: Igual al 7%0del valor declarado por el
producto. Sujeto a modificaciones por variaciones en el
tipo cambiario</t>
  </si>
  <si>
    <t>Andreu</t>
  </si>
  <si>
    <t>Standard</t>
  </si>
  <si>
    <t>D-2887 Calibration Mix 1 g
Marca: Acusstandard.
Código: DRH-002N-10X</t>
  </si>
  <si>
    <t>0001-00105691</t>
  </si>
  <si>
    <t>Seguro</t>
  </si>
  <si>
    <t>Tubo de monóxido de carbono de 10 Kg, embalado
en una caja de cartón de 230 x 230 x 660 mm.
Plazo del servicio: Servicio ya realizado..</t>
  </si>
  <si>
    <t>Seguro de transporte.
Observación: Igual al 7%0del valor declarado por el
producto. Sujeto a modificaciones por variaciones en el
tipo cambiario.</t>
  </si>
  <si>
    <t>La orden se realizó luego para subsanar el pedido informal realizado.</t>
  </si>
  <si>
    <t>0002-00000247</t>
  </si>
  <si>
    <t>ver en registro nuevo</t>
  </si>
  <si>
    <t>Ok, En condiciones</t>
  </si>
  <si>
    <t>0007-00025142</t>
  </si>
  <si>
    <t>9997-00005945</t>
  </si>
  <si>
    <t>Critóbal</t>
  </si>
  <si>
    <t>B3-4870</t>
  </si>
  <si>
    <t>Cotizado en dolares.
NO RECIBIMOS NINÚN TIPO DE RESPUESTA POR LOS PEDIDOS</t>
  </si>
  <si>
    <t>Ok, en condicones</t>
  </si>
  <si>
    <t>0004-00001805</t>
  </si>
  <si>
    <t>0004-00001804</t>
  </si>
  <si>
    <t>CANCELADO</t>
  </si>
  <si>
    <t>15/11/18. Se descarta pedido por falta de respuesta</t>
  </si>
  <si>
    <t xml:space="preserve">Repartidor </t>
  </si>
  <si>
    <t>9997-00005984</t>
  </si>
  <si>
    <t>0001-00000229</t>
  </si>
  <si>
    <t>0162-00004805</t>
  </si>
  <si>
    <t>0162-00004803</t>
  </si>
  <si>
    <t>0027-00001208</t>
  </si>
  <si>
    <t>0001-00000235</t>
  </si>
  <si>
    <t>0162-00004809</t>
  </si>
  <si>
    <t>9997-00006097</t>
  </si>
  <si>
    <t>0001-00000250</t>
  </si>
  <si>
    <t>0003-00005035</t>
  </si>
  <si>
    <t>Proveedor de Interlabs</t>
  </si>
  <si>
    <t>Proveedor de Servicios calibracion</t>
  </si>
  <si>
    <t>Servicio de mantenimiento y reparación</t>
  </si>
  <si>
    <t>Calibración de termómetros ASTM 8C</t>
  </si>
  <si>
    <t>I.V.A</t>
  </si>
  <si>
    <t>Calibración material de Vidrio</t>
  </si>
  <si>
    <t>calidad@ivasa.com</t>
  </si>
  <si>
    <t>M.E Barbeito</t>
  </si>
  <si>
    <t>DIC</t>
  </si>
  <si>
    <t>Marcos</t>
  </si>
  <si>
    <t>0261 493-2484
0261 493-3261</t>
  </si>
  <si>
    <t>dicgases@speedy.com.ar</t>
  </si>
  <si>
    <t xml:space="preserve">La calidad de las especificaciones  del producto,   cumple con lo requerido </t>
  </si>
  <si>
    <t xml:space="preserve">Puede suministrar las cantidades requeridas </t>
  </si>
  <si>
    <t>Posee un SGC</t>
  </si>
  <si>
    <t>Entrega certificados</t>
  </si>
  <si>
    <t xml:space="preserve">La calidad del servicio  cumple con lo requerido </t>
  </si>
  <si>
    <t xml:space="preserve">Dispone de los servicios requeridos  </t>
  </si>
  <si>
    <t>Laboratorio Efluentes</t>
  </si>
  <si>
    <t>Laboratorio Biotecnología</t>
  </si>
  <si>
    <t>Laboratorio Fluidos complejos</t>
  </si>
  <si>
    <t>ACOFI</t>
  </si>
  <si>
    <t>Servicios analíticos</t>
  </si>
  <si>
    <t>Servicios contables</t>
  </si>
  <si>
    <t>Cristina Quiroga</t>
  </si>
  <si>
    <t>Belén Rodriguez</t>
  </si>
  <si>
    <t>Silvia Maturano</t>
  </si>
  <si>
    <t>Emanuel Conti</t>
  </si>
  <si>
    <t>cristina.quiroga@ingenieria.uncuyo.edu.ar</t>
  </si>
  <si>
    <t>silvia.maturano@ingenieria.uncuyo.edu.ar</t>
  </si>
  <si>
    <t>emanuel.conti@ingenieria.uncuyo.edu.ar</t>
  </si>
  <si>
    <t>belen10rodriguez@hotmail.com</t>
  </si>
  <si>
    <t>FCAI</t>
  </si>
  <si>
    <t>SISTEMA DE CALIDAD LAILAQ</t>
  </si>
  <si>
    <t>Proveedor que no cumple con los requisitos. Buscar alternativos</t>
  </si>
  <si>
    <t>NO ACEPTABLE</t>
  </si>
  <si>
    <t>00-45</t>
  </si>
  <si>
    <t>Informar al proveedor sobre los puntos a mejorar, y establecer cómo y en qué 
aspectos/parámetros se hará seguimiento</t>
  </si>
  <si>
    <t>ACEPTABLE CONDICIONAL</t>
  </si>
  <si>
    <t>46-70</t>
  </si>
  <si>
    <t xml:space="preserve">Proveedor que cumple con los requisitos. </t>
  </si>
  <si>
    <t>CALIFICADO</t>
  </si>
  <si>
    <t>71-85</t>
  </si>
  <si>
    <t>Proveedor que genera confianza para asegurar la calidad de productos y servicios que ofrece</t>
  </si>
  <si>
    <t>EXCELENTE</t>
  </si>
  <si>
    <t>86-100</t>
  </si>
  <si>
    <t>ACCIÓN A SEGUIR</t>
  </si>
  <si>
    <t>TIPO DE PROVEEDOR</t>
  </si>
  <si>
    <t>CALIFICACIÓN FINAL</t>
  </si>
  <si>
    <t>ACCIÓN TOMADA:</t>
  </si>
  <si>
    <t>CALIFICACIÓN FINAL DEL PROVEEDOR</t>
  </si>
  <si>
    <t>PUNTAJE:</t>
  </si>
  <si>
    <t>Cumple todos los requerimientos</t>
  </si>
  <si>
    <t>Cumple parcialmente con los requerimientos</t>
  </si>
  <si>
    <t xml:space="preserve">No cumple con los requerimientos </t>
  </si>
  <si>
    <t>Certificado de calibración</t>
  </si>
  <si>
    <t xml:space="preserve">Provee evidencias suficientes de la competencia del personal </t>
  </si>
  <si>
    <t xml:space="preserve">Provee evidencias parciales de la competencia del personal </t>
  </si>
  <si>
    <t xml:space="preserve">No Provee evidencias de la competencia del personal </t>
  </si>
  <si>
    <t>Competencia del personal que realiza el servicio</t>
  </si>
  <si>
    <t>Tiene SGC  certificado/ acreditado con alcance adecuado</t>
  </si>
  <si>
    <t>Tiene SGC  certificado/ acreditado con alcance que no incluye los parametros requeridos</t>
  </si>
  <si>
    <t>Empresa sin Certificación /ni acreditación</t>
  </si>
  <si>
    <t>SGC</t>
  </si>
  <si>
    <t>Hace referencia en el certificado y entrega procedimiento utilizado</t>
  </si>
  <si>
    <t>Hace referencia en el certificado pero no entrega procedimiento utilizado</t>
  </si>
  <si>
    <t>No hace referencia en el certificado ni entrega el procedimiento utilizado</t>
  </si>
  <si>
    <t>Informa /entrega procedimiento de calibración</t>
  </si>
  <si>
    <t>Provee copias de los certificados de los equipos utilizados en la calibración</t>
  </si>
  <si>
    <t>Provee copias de los certificados de los equipos utilizados en la calibracion con trazabilidad incompleta</t>
  </si>
  <si>
    <t>No provee copias de certificados de calibracion de instrumentos</t>
  </si>
  <si>
    <t>Certificados de trazabilidad de equipos</t>
  </si>
  <si>
    <t>Provee copias de los certificados de los patrones /MRC utilizados en la calibración</t>
  </si>
  <si>
    <t>Provee copias de los certificados de los patrones /MRC utilizados en la calibracion con trazabilidad incompleta</t>
  </si>
  <si>
    <t>No provee copias de certificados de patrones /MRC utilizados</t>
  </si>
  <si>
    <t>Trazabilidad de patrones utilizados</t>
  </si>
  <si>
    <t xml:space="preserve">Están completos los datos de items calibrados (identificacion, fechas de recepcion, sitio, etc.) en el certificado </t>
  </si>
  <si>
    <t>No están completos los datos de items calibrados (identificacion, fechas de recepcion, sitio, etc.) en el Certificado</t>
  </si>
  <si>
    <t>Identificacion de los items de calibración</t>
  </si>
  <si>
    <t>CALIDAD Y TECNICO</t>
  </si>
  <si>
    <t>Responde en el tiempo requerido</t>
  </si>
  <si>
    <t xml:space="preserve">Cumple parcialmente con el tiempo entrega </t>
  </si>
  <si>
    <t>No cumple con los tiempos</t>
  </si>
  <si>
    <t>Cumplimiento Plazo Entrega (Disponibilidad del producto o rapidez ejecución servicio)</t>
  </si>
  <si>
    <t>Ofrece soporte y garantia</t>
  </si>
  <si>
    <t>Ofrece soporte o garantia parcial</t>
  </si>
  <si>
    <t>No ofrece soporte ni garantia</t>
  </si>
  <si>
    <t>Servicio/atención al cliente</t>
  </si>
  <si>
    <t>Más de cinco años</t>
  </si>
  <si>
    <t>Entre dos y cinco años</t>
  </si>
  <si>
    <t>Menos de dos años</t>
  </si>
  <si>
    <t>Experiencia en el Mercado</t>
  </si>
  <si>
    <t>Menor al promedio del mercado</t>
  </si>
  <si>
    <t>Igual al promedio del mercado</t>
  </si>
  <si>
    <t>Mayor al promedio del mercado</t>
  </si>
  <si>
    <t>Competitividad de Precios</t>
  </si>
  <si>
    <t>Proveedor inscripto (más de dos años experiencia)</t>
  </si>
  <si>
    <t>Inscripción en tramite</t>
  </si>
  <si>
    <t>Proveedor nuevo</t>
  </si>
  <si>
    <t>Proveedor inscripto en el Registro Nacional
(excepto compras por Caja Chica)</t>
  </si>
  <si>
    <t>COMERCIAL</t>
  </si>
  <si>
    <t>ESPERADO</t>
  </si>
  <si>
    <t>REAL</t>
  </si>
  <si>
    <t>ACUMULADO EVALUACIÓN</t>
  </si>
  <si>
    <t>PONDERACIÓN</t>
  </si>
  <si>
    <t>ESCALA DE EVALUACION</t>
  </si>
  <si>
    <t>PARAMETRO</t>
  </si>
  <si>
    <t>PUNTAJE MAXIMO</t>
  </si>
  <si>
    <t>ASPECTO</t>
  </si>
  <si>
    <t>Belmar/ Perazzo</t>
  </si>
  <si>
    <t>DESEMPEÑO:</t>
  </si>
  <si>
    <t>Servicio Técnico oficial de equipos Shimadzu, venta y reparación</t>
  </si>
  <si>
    <t>F .Perazzo</t>
  </si>
  <si>
    <t>EVALUACIÓN INICIAL:</t>
  </si>
  <si>
    <t>JENCK S.A.</t>
  </si>
  <si>
    <t>Razón Social</t>
  </si>
  <si>
    <t>Solicitar al proveedor las evaluaciónes de competencia del personal técnico enviado..</t>
  </si>
  <si>
    <t>MCF Service S.R.L</t>
  </si>
  <si>
    <t>Pesas con certificado de calibración</t>
  </si>
  <si>
    <t>Micaela Wietz</t>
  </si>
  <si>
    <t>(011) 5197-1535</t>
  </si>
  <si>
    <t>ingenieria@ipeco.com.ar</t>
  </si>
  <si>
    <t>Qualitycheck Srls</t>
  </si>
  <si>
    <t>Interlaboratorios</t>
  </si>
  <si>
    <t>No registra</t>
  </si>
  <si>
    <t>0039 06 21127870</t>
  </si>
  <si>
    <t>info@qualitychecksrl.com</t>
  </si>
  <si>
    <t>Tienen demoras entiempos de respuesta en diferentes tiempos de la gestión. Pero no tenemos otro proveedor que ofrezca sus servicios.</t>
  </si>
  <si>
    <t>Tiene precios elevados, pero no encontramos a otro proveedor con los mismos insumos.</t>
  </si>
  <si>
    <t xml:space="preserve"> Tiempos de respuesta adecuados</t>
  </si>
  <si>
    <t>Tiene demoras en respuestas de pedidos.</t>
  </si>
  <si>
    <t>No se realizaron compras en este periodo</t>
  </si>
  <si>
    <t>No se realizaron compras en ete periodo</t>
  </si>
  <si>
    <t>No se han realizado compras en este periodo. Sin embargo, adeudan una cotización por un service, solicitado en 2018.</t>
  </si>
  <si>
    <t>inicial</t>
  </si>
  <si>
    <t xml:space="preserve">No se han realizado compras en este periodo. </t>
  </si>
  <si>
    <t>No se han realizado compras por segundo periodo.</t>
  </si>
  <si>
    <t>Si bien el sistema es demasiado burocrático, brindan buena asistencia técnica y son repesntantes oficiales de Merck</t>
  </si>
  <si>
    <t>Se dejarán de contratar sus servicios, al menos temporalmente.</t>
  </si>
  <si>
    <t>Oxisol</t>
  </si>
  <si>
    <t>Gases (C2H2)</t>
  </si>
  <si>
    <t>Javier</t>
  </si>
  <si>
    <t>oxisoldgases@gmail.com</t>
  </si>
  <si>
    <t>Se dejan de contratar sus servicios por mala atención</t>
  </si>
  <si>
    <t>Productos certificados</t>
  </si>
  <si>
    <t xml:space="preserve"> Asistencia Técnica</t>
  </si>
  <si>
    <t>Tiempos de Respuesta</t>
  </si>
  <si>
    <t xml:space="preserve">La calidad del producto </t>
  </si>
  <si>
    <t xml:space="preserve">Dispone las cantidades requeridas </t>
  </si>
  <si>
    <t>Tipo de Evaluación</t>
  </si>
  <si>
    <t>Requisitos a Evaluar</t>
  </si>
  <si>
    <t>REGISTRO DE EVALUACION DE PROVEEDORES</t>
  </si>
  <si>
    <t xml:space="preserve">La calidad del servicio </t>
  </si>
  <si>
    <t>Requisitos a evaluar</t>
  </si>
  <si>
    <t>Se continuará trabajando con este proveedor
05/05/21: mantiene calificación</t>
  </si>
  <si>
    <t>Tiene SGC  certificado/ acreditado pero el alcance que no incluye los parametros requeridos</t>
  </si>
  <si>
    <t>Se continúa contratando los servicios</t>
  </si>
  <si>
    <t>Actualiza</t>
  </si>
  <si>
    <t>EN SEGUIMIENTO</t>
  </si>
  <si>
    <t>DESAPROBADO</t>
  </si>
  <si>
    <t>APROBADO</t>
  </si>
  <si>
    <t>Services oficiales de equipos acreditados</t>
  </si>
  <si>
    <t>Proveedor de Interlaboratorios</t>
  </si>
  <si>
    <t>Se continuará trabajando con este proveedor
05/05/21: mantiene calificación
20/04/22: mantiene calificación</t>
  </si>
  <si>
    <t>Se continuará trabajando con este proveedor
05/05/21: mantiene calificación
20/04/22: Mantiene califiación. ( evaluar nuevamente luego del programa Abril/Mayo 2022)</t>
  </si>
  <si>
    <t>Proveedor 1</t>
  </si>
  <si>
    <t>Proveedor 2</t>
  </si>
  <si>
    <t>Proveedor 3</t>
  </si>
  <si>
    <t>Proveedor 4</t>
  </si>
  <si>
    <t>Estándares y reactivos</t>
  </si>
  <si>
    <t>Gases especiales</t>
  </si>
  <si>
    <t>@</t>
  </si>
  <si>
    <t>Nombre</t>
  </si>
  <si>
    <t>Servicio de Calibración de balanzas</t>
  </si>
  <si>
    <t>F.PERAZZO</t>
  </si>
  <si>
    <t>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</si>
</sst>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 #,##0.00;[Red]\-&quot;$&quot;\ #,##0.00"/>
    <numFmt numFmtId="164" formatCode="_-* #,##0.00\ &quot;Pts&quot;_-;\-* #,##0.00\ &quot;Pts&quot;_-;_-* &quot;-&quot;??\ &quot;Pts&quot;_-;_-@_-"/>
    <numFmt numFmtId="165" formatCode="_ [$$-2C0A]\ * #,##0.00_ ;_ [$$-2C0A]\ * \-#,##0.00_ ;_ [$$-2C0A]\ * &quot;-&quot;??_ ;_ @_ "/>
    <numFmt numFmtId="166" formatCode="dd/mm/yyyy;@"/>
  </numFmts>
  <fonts count="10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Copperplate Gothic Light"/>
      <family val="2"/>
    </font>
    <font>
      <b/>
      <sz val="11"/>
      <name val="Copperplate Gothic Light"/>
      <family val="2"/>
    </font>
    <font>
      <sz val="8"/>
      <name val="Copperplate Gothic Light"/>
      <family val="2"/>
    </font>
    <font>
      <sz val="10"/>
      <name val="Arial"/>
      <family val="2"/>
    </font>
    <font>
      <sz val="9"/>
      <name val="Copperplate Gothic Light"/>
      <family val="2"/>
    </font>
    <font>
      <sz val="9"/>
      <name val="Calibri"/>
      <family val="2"/>
    </font>
    <font>
      <sz val="10"/>
      <name val="Times New Roman"/>
      <family val="1"/>
    </font>
    <font>
      <sz val="10"/>
      <color rgb="FF000000"/>
      <name val="Arial"/>
      <family val="2"/>
    </font>
    <font>
      <sz val="10"/>
      <name val="Calibri"/>
      <family val="2"/>
    </font>
    <font>
      <sz val="11.5"/>
      <name val="Copperplate Gothic Light"/>
      <family val="2"/>
    </font>
    <font>
      <sz val="11"/>
      <name val="Arial"/>
      <family val="2"/>
    </font>
    <font>
      <b/>
      <sz val="11"/>
      <name val="Arial"/>
      <family val="2"/>
    </font>
    <font>
      <sz val="12"/>
      <name val="Arial"/>
      <family val="2"/>
    </font>
    <font>
      <sz val="11"/>
      <color indexed="12"/>
      <name val="Arial"/>
      <family val="2"/>
    </font>
    <font>
      <u/>
      <sz val="10"/>
      <color indexed="12"/>
      <name val="Arial"/>
      <family val="2"/>
    </font>
    <font>
      <b/>
      <sz val="11"/>
      <color indexed="10"/>
      <name val="Arial"/>
      <family val="2"/>
    </font>
    <font>
      <sz val="9"/>
      <name val="Arial"/>
      <family val="2"/>
    </font>
    <font>
      <u/>
      <sz val="11"/>
      <color indexed="12"/>
      <name val="Arial"/>
      <family val="2"/>
    </font>
    <font>
      <u/>
      <sz val="11"/>
      <name val="Arial"/>
      <family val="2"/>
    </font>
    <font>
      <b/>
      <sz val="11"/>
      <color indexed="12"/>
      <name val="Arial"/>
      <family val="2"/>
    </font>
    <font>
      <sz val="8"/>
      <name val="Arial"/>
      <family val="2"/>
    </font>
    <font>
      <sz val="10"/>
      <color theme="1"/>
      <name val="Copperplate Gothic Light"/>
      <family val="2"/>
    </font>
    <font>
      <b/>
      <sz val="11"/>
      <color theme="1"/>
      <name val="Copperplate Gothic Light"/>
      <family val="2"/>
    </font>
    <font>
      <b/>
      <sz val="10"/>
      <color theme="1"/>
      <name val="Copperplate Gothic Light"/>
      <family val="2"/>
    </font>
    <font>
      <b/>
      <sz val="9"/>
      <color theme="1"/>
      <name val="Copperplate Gothic Light"/>
      <family val="2"/>
    </font>
    <font>
      <b/>
      <sz val="7"/>
      <color theme="1"/>
      <name val="Copperplate Gothic Light"/>
      <family val="2"/>
    </font>
    <font>
      <sz val="10"/>
      <name val="Copperplate Gothic Light"/>
      <family val="2"/>
    </font>
    <font>
      <sz val="10"/>
      <color theme="1"/>
      <name val="Copperplate Gothic Light"/>
      <family val="2"/>
    </font>
    <font>
      <sz val="10"/>
      <name val="Copperplate Gothic Light"/>
      <family val="2"/>
    </font>
    <font>
      <sz val="10"/>
      <name val="Copperplate Gothic Light"/>
      <family val="2"/>
    </font>
    <font>
      <sz val="10"/>
      <name val="Copperplate Gothic Light"/>
      <family val="2"/>
    </font>
    <font>
      <sz val="10"/>
      <name val="Copperplate Gothic Light"/>
      <family val="2"/>
    </font>
    <font>
      <sz val="10"/>
      <name val="Copperplate Gothic Light"/>
      <family val="2"/>
    </font>
    <font>
      <sz val="10"/>
      <name val="Copperplate Gothic Light"/>
      <family val="2"/>
    </font>
    <font>
      <sz val="10"/>
      <name val="Copperplate Gothic Light"/>
      <family val="2"/>
    </font>
    <font>
      <sz val="10"/>
      <name val="Copperplate Gothic Light"/>
      <family val="2"/>
    </font>
    <font>
      <sz val="10"/>
      <name val="Copperplate Gothic Light"/>
      <family val="2"/>
    </font>
    <font>
      <sz val="10"/>
      <name val="Copperplate Gothic Light"/>
      <family val="2"/>
    </font>
    <font>
      <sz val="10"/>
      <name val="Copperplate Gothic Light"/>
      <family val="2"/>
    </font>
    <font>
      <sz val="10"/>
      <name val="Copperplate Gothic Light"/>
      <family val="2"/>
    </font>
    <font>
      <b/>
      <sz val="12"/>
      <name val="Arial"/>
      <family val="2"/>
    </font>
    <font>
      <sz val="12"/>
      <color indexed="22"/>
      <name val="Arial"/>
      <family val="2"/>
    </font>
    <font>
      <sz val="12"/>
      <color theme="1"/>
      <name val="Calibri"/>
      <family val="2"/>
      <scheme val="minor"/>
    </font>
    <font>
      <b/>
      <sz val="14"/>
      <name val="Arial"/>
      <family val="2"/>
    </font>
    <font>
      <b/>
      <sz val="20"/>
      <name val="Arial"/>
      <family val="2"/>
    </font>
    <font>
      <b/>
      <sz val="5"/>
      <name val="Book Antiqua"/>
      <family val="1"/>
    </font>
    <font>
      <b/>
      <sz val="14"/>
      <name val="Book Antiqua"/>
      <family val="1"/>
    </font>
    <font>
      <b/>
      <sz val="8"/>
      <name val="Book Antiqua"/>
      <family val="1"/>
    </font>
    <font>
      <b/>
      <sz val="8"/>
      <color indexed="8"/>
      <name val="Book Antiqua"/>
      <family val="1"/>
    </font>
    <font>
      <sz val="8"/>
      <color indexed="8"/>
      <name val="Book Antiqua"/>
      <family val="1"/>
    </font>
    <font>
      <sz val="8"/>
      <name val="Book Antiqua"/>
      <family val="1"/>
    </font>
    <font>
      <b/>
      <sz val="10"/>
      <name val="Book Antiqua"/>
      <family val="1"/>
    </font>
    <font>
      <sz val="12"/>
      <name val="Book Antiqua"/>
      <family val="1"/>
    </font>
    <font>
      <sz val="14"/>
      <name val="Book Antiqua"/>
      <family val="1"/>
    </font>
    <font>
      <sz val="8"/>
      <color indexed="14"/>
      <name val="Book Antiqua"/>
      <family val="1"/>
    </font>
    <font>
      <sz val="7"/>
      <name val="Book Antiqua"/>
      <family val="1"/>
    </font>
    <font>
      <sz val="10"/>
      <name val="Book Antiqua"/>
      <family val="1"/>
    </font>
    <font>
      <b/>
      <sz val="10"/>
      <color indexed="8"/>
      <name val="Book Antiqua"/>
      <family val="1"/>
    </font>
    <font>
      <sz val="10"/>
      <color indexed="8"/>
      <name val="Book Antiqua"/>
      <family val="1"/>
    </font>
    <font>
      <sz val="9"/>
      <color indexed="8"/>
      <name val="Book Antiqua"/>
      <family val="1"/>
    </font>
    <font>
      <sz val="9"/>
      <name val="Book Antiqua"/>
      <family val="1"/>
    </font>
    <font>
      <b/>
      <sz val="9"/>
      <color indexed="8"/>
      <name val="Book Antiqua"/>
      <family val="1"/>
    </font>
    <font>
      <b/>
      <sz val="9"/>
      <name val="Book Antiqua"/>
      <family val="1"/>
    </font>
    <font>
      <u/>
      <sz val="12"/>
      <color indexed="12"/>
      <name val="Arial"/>
      <family val="2"/>
    </font>
    <font>
      <sz val="10"/>
      <name val="Copperplate Gothic Light"/>
      <family val="2"/>
    </font>
    <font>
      <sz val="10"/>
      <name val="Copperplate Gothic Light"/>
      <family val="2"/>
    </font>
    <font>
      <sz val="10"/>
      <color rgb="FF000000"/>
      <name val="Copperplate Gothic Light"/>
      <family val="2"/>
    </font>
    <font>
      <b/>
      <sz val="16"/>
      <name val="Arial"/>
      <family val="2"/>
    </font>
    <font>
      <sz val="10"/>
      <name val="Copperplate Gothic Light"/>
      <family val="2"/>
    </font>
    <font>
      <sz val="10"/>
      <name val="Copperplate Gothic Light"/>
      <family val="2"/>
    </font>
    <font>
      <b/>
      <sz val="20"/>
      <name val="Copperplate Gothic Light"/>
      <family val="2"/>
    </font>
    <font>
      <b/>
      <sz val="16"/>
      <name val="Copperplate Gothic Light"/>
      <family val="2"/>
    </font>
    <font>
      <b/>
      <sz val="18"/>
      <name val="Copperplate Gothic Light"/>
      <family val="2"/>
    </font>
    <font>
      <sz val="9"/>
      <color indexed="81"/>
      <name val="Tahoma"/>
      <family val="2"/>
    </font>
    <font>
      <b/>
      <sz val="9"/>
      <color indexed="81"/>
      <name val="Tahoma"/>
      <family val="2"/>
    </font>
    <font>
      <b/>
      <sz val="5"/>
      <name val="Arial"/>
      <family val="2"/>
    </font>
    <font>
      <b/>
      <sz val="8"/>
      <name val="Arial"/>
      <family val="2"/>
    </font>
    <font>
      <b/>
      <sz val="8"/>
      <color indexed="8"/>
      <name val="Arial"/>
      <family val="2"/>
    </font>
    <font>
      <sz val="8"/>
      <color indexed="8"/>
      <name val="Arial"/>
      <family val="2"/>
    </font>
    <font>
      <b/>
      <sz val="10"/>
      <name val="Arial"/>
      <family val="2"/>
    </font>
    <font>
      <sz val="14"/>
      <name val="Arial"/>
      <family val="2"/>
    </font>
    <font>
      <sz val="8"/>
      <color indexed="14"/>
      <name val="Arial"/>
      <family val="2"/>
    </font>
    <font>
      <sz val="7"/>
      <name val="Arial"/>
      <family val="2"/>
    </font>
    <font>
      <b/>
      <sz val="10"/>
      <color indexed="8"/>
      <name val="Arial"/>
      <family val="2"/>
    </font>
    <font>
      <sz val="10"/>
      <color indexed="8"/>
      <name val="Arial"/>
      <family val="2"/>
    </font>
    <font>
      <sz val="9"/>
      <color indexed="8"/>
      <name val="Arial"/>
      <family val="2"/>
    </font>
    <font>
      <b/>
      <sz val="9"/>
      <color indexed="8"/>
      <name val="Arial"/>
      <family val="2"/>
    </font>
    <font>
      <b/>
      <sz val="9"/>
      <name val="Arial"/>
      <family val="2"/>
    </font>
    <font>
      <b/>
      <sz val="11"/>
      <color indexed="81"/>
      <name val="Tahoma"/>
      <family val="2"/>
    </font>
    <font>
      <sz val="11"/>
      <color indexed="81"/>
      <name val="Tahoma"/>
      <family val="2"/>
    </font>
    <font>
      <sz val="12"/>
      <name val="Calibri"/>
      <family val="2"/>
      <scheme val="minor"/>
    </font>
    <font>
      <sz val="11"/>
      <name val="Calibri"/>
      <family val="2"/>
      <scheme val="minor"/>
    </font>
    <font>
      <b/>
      <sz val="10"/>
      <color indexed="81"/>
      <name val="Tahoma"/>
      <family val="2"/>
    </font>
    <font>
      <sz val="10"/>
      <color indexed="81"/>
      <name val="Tahoma"/>
      <family val="2"/>
    </font>
    <font>
      <sz val="12"/>
      <color theme="1"/>
      <name val="Arial"/>
      <family val="2"/>
    </font>
    <font>
      <sz val="8"/>
      <name val="Arial"/>
    </font>
  </fonts>
  <fills count="29">
    <fill>
      <patternFill patternType="none"/>
    </fill>
    <fill>
      <patternFill patternType="gray125"/>
    </fill>
    <fill>
      <patternFill patternType="solid">
        <fgColor indexed="52"/>
        <bgColor indexed="64"/>
      </patternFill>
    </fill>
    <fill>
      <patternFill patternType="solid">
        <fgColor indexed="43"/>
        <bgColor indexed="64"/>
      </patternFill>
    </fill>
    <fill>
      <patternFill patternType="solid">
        <fgColor indexed="42"/>
        <bgColor indexed="64"/>
      </patternFill>
    </fill>
    <fill>
      <patternFill patternType="gray0625">
        <bgColor indexed="48"/>
      </patternFill>
    </fill>
    <fill>
      <patternFill patternType="solid">
        <fgColor indexed="9"/>
        <bgColor indexed="64"/>
      </patternFill>
    </fill>
    <fill>
      <patternFill patternType="solid">
        <fgColor rgb="FFFF0000"/>
        <bgColor indexed="64"/>
      </patternFill>
    </fill>
    <fill>
      <patternFill patternType="solid">
        <fgColor theme="4"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indexed="22"/>
        <bgColor indexed="64"/>
      </patternFill>
    </fill>
    <fill>
      <patternFill patternType="solid">
        <fgColor indexed="48"/>
        <bgColor indexed="64"/>
      </patternFill>
    </fill>
    <fill>
      <patternFill patternType="solid">
        <fgColor indexed="44"/>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59999389629810485"/>
        <bgColor indexed="64"/>
      </patternFill>
    </fill>
    <fill>
      <patternFill patternType="solid">
        <fgColor indexed="47"/>
        <bgColor indexed="64"/>
      </patternFill>
    </fill>
    <fill>
      <patternFill patternType="solid">
        <fgColor indexed="10"/>
        <bgColor indexed="64"/>
      </patternFill>
    </fill>
    <fill>
      <patternFill patternType="solid">
        <fgColor rgb="FFFFFF00"/>
        <bgColor indexed="64"/>
      </patternFill>
    </fill>
    <fill>
      <patternFill patternType="solid">
        <fgColor rgb="FF00B050"/>
        <bgColor indexed="64"/>
      </patternFill>
    </fill>
    <fill>
      <patternFill patternType="solid">
        <fgColor theme="0" tint="-0.499984740745262"/>
        <bgColor indexed="64"/>
      </patternFill>
    </fill>
    <fill>
      <patternFill patternType="solid">
        <fgColor rgb="FFFF3737"/>
        <bgColor indexed="64"/>
      </patternFill>
    </fill>
    <fill>
      <patternFill patternType="solid">
        <fgColor theme="5" tint="0.59999389629810485"/>
        <bgColor indexed="64"/>
      </patternFill>
    </fill>
    <fill>
      <patternFill patternType="solid">
        <fgColor theme="0"/>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7" tint="0.39997558519241921"/>
        <bgColor indexed="64"/>
      </patternFill>
    </fill>
  </fills>
  <borders count="54">
    <border>
      <left/>
      <right/>
      <top/>
      <bottom/>
      <diagonal/>
    </border>
    <border>
      <left/>
      <right style="medium">
        <color indexed="64"/>
      </right>
      <top style="medium">
        <color indexed="64"/>
      </top>
      <bottom style="medium">
        <color indexed="64"/>
      </bottom>
      <diagonal/>
    </border>
    <border>
      <left style="thin">
        <color indexed="55"/>
      </left>
      <right style="thin">
        <color indexed="55"/>
      </right>
      <top style="medium">
        <color indexed="64"/>
      </top>
      <bottom style="thin">
        <color indexed="55"/>
      </bottom>
      <diagonal/>
    </border>
    <border>
      <left style="thin">
        <color indexed="55"/>
      </left>
      <right style="thin">
        <color indexed="55"/>
      </right>
      <top style="thin">
        <color indexed="55"/>
      </top>
      <bottom style="thin">
        <color indexed="55"/>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55"/>
      </left>
      <right style="thin">
        <color indexed="55"/>
      </right>
      <top/>
      <bottom style="thin">
        <color indexed="55"/>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thin">
        <color indexed="55"/>
      </left>
      <right style="thin">
        <color indexed="55"/>
      </right>
      <top/>
      <bottom/>
      <diagonal/>
    </border>
    <border>
      <left style="thin">
        <color indexed="55"/>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diagonalUp="1">
      <left/>
      <right/>
      <top/>
      <bottom/>
      <diagonal style="thin">
        <color auto="1"/>
      </diagonal>
    </border>
    <border>
      <left/>
      <right/>
      <top style="medium">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right style="thin">
        <color indexed="64"/>
      </right>
      <top/>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3">
    <xf numFmtId="0" fontId="0" fillId="0" borderId="0"/>
    <xf numFmtId="164" fontId="9" fillId="0" borderId="0" applyFont="0" applyFill="0" applyBorder="0" applyAlignment="0" applyProtection="0"/>
    <xf numFmtId="0" fontId="8" fillId="0" borderId="0"/>
    <xf numFmtId="0" fontId="9" fillId="0" borderId="0"/>
    <xf numFmtId="0" fontId="24" fillId="0" borderId="0" applyNumberFormat="0" applyFill="0" applyBorder="0" applyAlignment="0" applyProtection="0">
      <alignment vertical="top"/>
      <protection locked="0"/>
    </xf>
    <xf numFmtId="0" fontId="7" fillId="0" borderId="0"/>
    <xf numFmtId="0" fontId="6" fillId="0" borderId="0"/>
    <xf numFmtId="9" fontId="6" fillId="0" borderId="0" applyFont="0" applyFill="0" applyBorder="0" applyAlignment="0" applyProtection="0"/>
    <xf numFmtId="0" fontId="5" fillId="0" borderId="0"/>
    <xf numFmtId="0" fontId="4" fillId="0" borderId="0"/>
    <xf numFmtId="9" fontId="9" fillId="0" borderId="0" applyFont="0" applyFill="0" applyBorder="0" applyAlignment="0" applyProtection="0"/>
    <xf numFmtId="0" fontId="2" fillId="0" borderId="0"/>
    <xf numFmtId="9" fontId="2" fillId="0" borderId="0" applyFont="0" applyFill="0" applyBorder="0" applyAlignment="0" applyProtection="0"/>
  </cellStyleXfs>
  <cellXfs count="947">
    <xf numFmtId="0" fontId="0" fillId="0" borderId="0" xfId="0"/>
    <xf numFmtId="0" fontId="10" fillId="0" borderId="0" xfId="0" applyFont="1"/>
    <xf numFmtId="0" fontId="13" fillId="0" borderId="0" xfId="0" applyFont="1"/>
    <xf numFmtId="14" fontId="0" fillId="0" borderId="0" xfId="0" applyNumberFormat="1"/>
    <xf numFmtId="0" fontId="10" fillId="0" borderId="0" xfId="0" applyFont="1" applyAlignment="1">
      <alignment wrapText="1"/>
    </xf>
    <xf numFmtId="0" fontId="14" fillId="0" borderId="3" xfId="0" applyFont="1" applyBorder="1"/>
    <xf numFmtId="0" fontId="14" fillId="0" borderId="3" xfId="0" applyFont="1" applyBorder="1" applyAlignment="1">
      <alignment horizontal="left" vertical="center"/>
    </xf>
    <xf numFmtId="0" fontId="14" fillId="0" borderId="10" xfId="0" applyFont="1" applyBorder="1" applyAlignment="1">
      <alignment horizontal="left" vertical="center"/>
    </xf>
    <xf numFmtId="0" fontId="14" fillId="0" borderId="10" xfId="0" applyFont="1" applyBorder="1"/>
    <xf numFmtId="0" fontId="11" fillId="4" borderId="7" xfId="0" applyFont="1" applyFill="1" applyBorder="1" applyAlignment="1">
      <alignment horizontal="center" wrapText="1"/>
    </xf>
    <xf numFmtId="0" fontId="11" fillId="4" borderId="5" xfId="0" applyFont="1" applyFill="1" applyBorder="1" applyAlignment="1">
      <alignment horizontal="center"/>
    </xf>
    <xf numFmtId="0" fontId="14" fillId="0" borderId="0" xfId="0" applyFont="1" applyAlignment="1">
      <alignment horizontal="left" vertical="center"/>
    </xf>
    <xf numFmtId="0" fontId="14" fillId="0" borderId="6" xfId="0" applyFont="1" applyBorder="1" applyAlignment="1">
      <alignment horizontal="left" vertical="center"/>
    </xf>
    <xf numFmtId="0" fontId="0" fillId="0" borderId="0" xfId="0" quotePrefix="1" applyAlignment="1">
      <alignment horizontal="center"/>
    </xf>
    <xf numFmtId="0" fontId="0" fillId="0" borderId="0" xfId="0" applyAlignment="1">
      <alignment horizontal="center"/>
    </xf>
    <xf numFmtId="0" fontId="10" fillId="0" borderId="0" xfId="0" applyFont="1" applyAlignment="1">
      <alignment horizontal="left"/>
    </xf>
    <xf numFmtId="0" fontId="10" fillId="0" borderId="12" xfId="0" applyFont="1" applyBorder="1" applyAlignment="1">
      <alignment horizontal="left"/>
    </xf>
    <xf numFmtId="0" fontId="14" fillId="0" borderId="2" xfId="0" applyFont="1" applyBorder="1" applyAlignment="1">
      <alignment horizontal="left" vertical="center"/>
    </xf>
    <xf numFmtId="0" fontId="10" fillId="0" borderId="13" xfId="0" quotePrefix="1" applyFont="1" applyBorder="1"/>
    <xf numFmtId="0" fontId="10" fillId="0" borderId="13" xfId="0" applyFont="1" applyBorder="1"/>
    <xf numFmtId="14" fontId="10" fillId="0" borderId="13" xfId="0" applyNumberFormat="1" applyFont="1" applyBorder="1"/>
    <xf numFmtId="14" fontId="10" fillId="0" borderId="12" xfId="0" applyNumberFormat="1" applyFont="1" applyBorder="1" applyAlignment="1">
      <alignment horizontal="left"/>
    </xf>
    <xf numFmtId="14" fontId="10" fillId="0" borderId="0" xfId="0" applyNumberFormat="1" applyFont="1" applyAlignment="1">
      <alignment horizontal="left"/>
    </xf>
    <xf numFmtId="165" fontId="12" fillId="0" borderId="0" xfId="1" applyNumberFormat="1" applyFont="1" applyBorder="1" applyAlignment="1">
      <alignment horizontal="left" vertical="center"/>
    </xf>
    <xf numFmtId="0" fontId="10" fillId="0" borderId="0" xfId="0" applyFont="1" applyAlignment="1">
      <alignment horizontal="left" wrapText="1"/>
    </xf>
    <xf numFmtId="14" fontId="10" fillId="0" borderId="14" xfId="0" applyNumberFormat="1" applyFont="1" applyBorder="1" applyAlignment="1">
      <alignment horizontal="left"/>
    </xf>
    <xf numFmtId="0" fontId="10" fillId="0" borderId="0" xfId="0" quotePrefix="1" applyFont="1" applyAlignment="1">
      <alignment horizontal="left"/>
    </xf>
    <xf numFmtId="0" fontId="9" fillId="0" borderId="0" xfId="3" applyAlignment="1">
      <alignment horizontal="center" vertical="center" wrapText="1"/>
    </xf>
    <xf numFmtId="0" fontId="20" fillId="0" borderId="0" xfId="3" applyFont="1" applyAlignment="1">
      <alignment horizontal="center" vertical="center" wrapText="1"/>
    </xf>
    <xf numFmtId="0" fontId="9" fillId="6" borderId="0" xfId="3" applyFill="1" applyAlignment="1">
      <alignment horizontal="center" vertical="center" wrapText="1"/>
    </xf>
    <xf numFmtId="0" fontId="21" fillId="12" borderId="13" xfId="3" applyFont="1" applyFill="1" applyBorder="1" applyAlignment="1">
      <alignment horizontal="center" vertical="center" wrapText="1"/>
    </xf>
    <xf numFmtId="0" fontId="21" fillId="13" borderId="17" xfId="3" applyFont="1" applyFill="1" applyBorder="1" applyAlignment="1">
      <alignment horizontal="center" vertical="center" wrapText="1"/>
    </xf>
    <xf numFmtId="0" fontId="21" fillId="13" borderId="13" xfId="3" applyFont="1" applyFill="1" applyBorder="1" applyAlignment="1">
      <alignment horizontal="center" vertical="center" wrapText="1"/>
    </xf>
    <xf numFmtId="0" fontId="21" fillId="6" borderId="13" xfId="3" applyFont="1" applyFill="1" applyBorder="1" applyAlignment="1">
      <alignment horizontal="center" vertical="center" wrapText="1"/>
    </xf>
    <xf numFmtId="0" fontId="21" fillId="13" borderId="18" xfId="3" applyFont="1" applyFill="1" applyBorder="1" applyAlignment="1">
      <alignment horizontal="center" vertical="center" wrapText="1"/>
    </xf>
    <xf numFmtId="0" fontId="21" fillId="0" borderId="13" xfId="3" applyFont="1" applyBorder="1" applyAlignment="1">
      <alignment horizontal="center" vertical="center" wrapText="1"/>
    </xf>
    <xf numFmtId="0" fontId="20" fillId="0" borderId="13" xfId="3" applyFont="1" applyBorder="1" applyAlignment="1">
      <alignment horizontal="center" vertical="center" wrapText="1"/>
    </xf>
    <xf numFmtId="0" fontId="20" fillId="0" borderId="19" xfId="3" quotePrefix="1" applyFont="1" applyBorder="1" applyAlignment="1">
      <alignment horizontal="center" vertical="center" wrapText="1"/>
    </xf>
    <xf numFmtId="0" fontId="20" fillId="0" borderId="13" xfId="3" quotePrefix="1" applyFont="1" applyBorder="1" applyAlignment="1">
      <alignment horizontal="center" vertical="center" wrapText="1"/>
    </xf>
    <xf numFmtId="0" fontId="25" fillId="11" borderId="13" xfId="3" applyFont="1" applyFill="1" applyBorder="1" applyAlignment="1">
      <alignment horizontal="center" vertical="center" wrapText="1"/>
    </xf>
    <xf numFmtId="14" fontId="20" fillId="0" borderId="19" xfId="3" applyNumberFormat="1" applyFont="1" applyBorder="1" applyAlignment="1">
      <alignment horizontal="center" vertical="center" wrapText="1"/>
    </xf>
    <xf numFmtId="0" fontId="20" fillId="0" borderId="19" xfId="3" applyFont="1" applyBorder="1" applyAlignment="1">
      <alignment horizontal="center" vertical="center" wrapText="1"/>
    </xf>
    <xf numFmtId="14" fontId="20" fillId="0" borderId="16" xfId="3" quotePrefix="1" applyNumberFormat="1" applyFont="1" applyBorder="1" applyAlignment="1">
      <alignment horizontal="center" vertical="center" wrapText="1"/>
    </xf>
    <xf numFmtId="14" fontId="20" fillId="0" borderId="13" xfId="3" quotePrefix="1" applyNumberFormat="1" applyFont="1" applyBorder="1" applyAlignment="1">
      <alignment horizontal="center" vertical="center" wrapText="1"/>
    </xf>
    <xf numFmtId="0" fontId="20" fillId="14" borderId="13" xfId="3" applyFont="1" applyFill="1" applyBorder="1" applyAlignment="1">
      <alignment horizontal="center" vertical="center" wrapText="1"/>
    </xf>
    <xf numFmtId="14" fontId="20" fillId="0" borderId="13" xfId="3" applyNumberFormat="1" applyFont="1" applyBorder="1" applyAlignment="1">
      <alignment horizontal="center" vertical="center" wrapText="1"/>
    </xf>
    <xf numFmtId="14" fontId="20" fillId="0" borderId="20" xfId="3" applyNumberFormat="1" applyFont="1" applyBorder="1" applyAlignment="1">
      <alignment horizontal="center" vertical="center" wrapText="1"/>
    </xf>
    <xf numFmtId="0" fontId="20" fillId="0" borderId="13" xfId="3" quotePrefix="1" applyFont="1" applyBorder="1" applyAlignment="1" applyProtection="1">
      <alignment horizontal="center" vertical="center" wrapText="1"/>
      <protection locked="0"/>
    </xf>
    <xf numFmtId="14" fontId="20" fillId="0" borderId="13" xfId="3" quotePrefix="1" applyNumberFormat="1" applyFont="1" applyBorder="1" applyAlignment="1" applyProtection="1">
      <alignment horizontal="center" vertical="center" wrapText="1"/>
      <protection locked="0"/>
    </xf>
    <xf numFmtId="0" fontId="20" fillId="6" borderId="13" xfId="3" applyFont="1" applyFill="1" applyBorder="1" applyAlignment="1">
      <alignment horizontal="center" vertical="center" wrapText="1"/>
    </xf>
    <xf numFmtId="0" fontId="20" fillId="6" borderId="13" xfId="3" applyFont="1" applyFill="1" applyBorder="1" applyAlignment="1" applyProtection="1">
      <alignment horizontal="center" vertical="center" wrapText="1"/>
      <protection locked="0"/>
    </xf>
    <xf numFmtId="14" fontId="20" fillId="6" borderId="20" xfId="3" applyNumberFormat="1" applyFont="1" applyFill="1" applyBorder="1" applyAlignment="1" applyProtection="1">
      <alignment horizontal="center" vertical="center" wrapText="1"/>
      <protection locked="0"/>
    </xf>
    <xf numFmtId="14" fontId="20" fillId="6" borderId="13" xfId="3" applyNumberFormat="1" applyFont="1" applyFill="1" applyBorder="1" applyAlignment="1" applyProtection="1">
      <alignment horizontal="center" vertical="center" wrapText="1"/>
      <protection locked="0"/>
    </xf>
    <xf numFmtId="0" fontId="20" fillId="0" borderId="13" xfId="3" applyFont="1" applyBorder="1" applyAlignment="1" applyProtection="1">
      <alignment horizontal="center" vertical="center" wrapText="1"/>
      <protection locked="0"/>
    </xf>
    <xf numFmtId="0" fontId="9" fillId="0" borderId="13" xfId="3" applyBorder="1" applyAlignment="1">
      <alignment horizontal="center" vertical="center" wrapText="1"/>
    </xf>
    <xf numFmtId="0" fontId="26" fillId="0" borderId="13" xfId="3" applyFont="1" applyBorder="1" applyAlignment="1">
      <alignment horizontal="center" vertical="center" wrapText="1"/>
    </xf>
    <xf numFmtId="14" fontId="20" fillId="6" borderId="13" xfId="3" applyNumberFormat="1" applyFont="1" applyFill="1" applyBorder="1" applyAlignment="1">
      <alignment horizontal="center" vertical="center" wrapText="1"/>
    </xf>
    <xf numFmtId="14" fontId="20" fillId="0" borderId="13" xfId="3" applyNumberFormat="1" applyFont="1" applyBorder="1" applyAlignment="1" applyProtection="1">
      <alignment horizontal="center" vertical="center" wrapText="1"/>
      <protection locked="0"/>
    </xf>
    <xf numFmtId="14" fontId="9" fillId="0" borderId="13" xfId="3" applyNumberFormat="1" applyBorder="1" applyAlignment="1">
      <alignment horizontal="center" vertical="center" wrapText="1"/>
    </xf>
    <xf numFmtId="14" fontId="28" fillId="0" borderId="13" xfId="3" applyNumberFormat="1" applyFont="1" applyBorder="1" applyAlignment="1">
      <alignment horizontal="center" vertical="center" wrapText="1"/>
    </xf>
    <xf numFmtId="0" fontId="9" fillId="14" borderId="13" xfId="3" applyFill="1" applyBorder="1" applyAlignment="1">
      <alignment horizontal="center" vertical="center" wrapText="1"/>
    </xf>
    <xf numFmtId="0" fontId="24" fillId="0" borderId="13" xfId="4" applyFill="1" applyBorder="1" applyAlignment="1" applyProtection="1">
      <alignment horizontal="center" vertical="center" wrapText="1"/>
    </xf>
    <xf numFmtId="0" fontId="25" fillId="10" borderId="13" xfId="3" applyFont="1" applyFill="1" applyBorder="1" applyAlignment="1">
      <alignment horizontal="center" vertical="center" wrapText="1"/>
    </xf>
    <xf numFmtId="0" fontId="30" fillId="0" borderId="13" xfId="3" quotePrefix="1" applyFont="1" applyBorder="1" applyAlignment="1" applyProtection="1">
      <alignment horizontal="center" vertical="center" wrapText="1"/>
      <protection locked="0"/>
    </xf>
    <xf numFmtId="0" fontId="10" fillId="9" borderId="0" xfId="0" applyFont="1" applyFill="1"/>
    <xf numFmtId="0" fontId="10" fillId="0" borderId="12" xfId="0" applyFont="1" applyBorder="1" applyAlignment="1">
      <alignment horizontal="left" wrapText="1"/>
    </xf>
    <xf numFmtId="0" fontId="10" fillId="9" borderId="0" xfId="0" applyFont="1" applyFill="1" applyAlignment="1">
      <alignment wrapText="1"/>
    </xf>
    <xf numFmtId="0" fontId="32" fillId="4" borderId="7" xfId="0" applyFont="1" applyFill="1" applyBorder="1" applyAlignment="1">
      <alignment horizontal="center" wrapText="1"/>
    </xf>
    <xf numFmtId="0" fontId="33" fillId="4" borderId="7" xfId="0" applyFont="1" applyFill="1" applyBorder="1" applyAlignment="1">
      <alignment horizontal="center" wrapText="1"/>
    </xf>
    <xf numFmtId="0" fontId="32" fillId="8" borderId="7" xfId="0" applyFont="1" applyFill="1" applyBorder="1" applyAlignment="1">
      <alignment horizontal="center" wrapText="1"/>
    </xf>
    <xf numFmtId="0" fontId="32" fillId="9" borderId="8" xfId="0" applyFont="1" applyFill="1" applyBorder="1" applyAlignment="1">
      <alignment horizontal="center" wrapText="1"/>
    </xf>
    <xf numFmtId="0" fontId="32" fillId="3" borderId="7" xfId="0" applyFont="1" applyFill="1" applyBorder="1" applyAlignment="1">
      <alignment horizontal="center"/>
    </xf>
    <xf numFmtId="0" fontId="32" fillId="3" borderId="5" xfId="0" applyFont="1" applyFill="1" applyBorder="1" applyAlignment="1">
      <alignment horizontal="center"/>
    </xf>
    <xf numFmtId="0" fontId="34" fillId="3" borderId="4" xfId="0" applyFont="1" applyFill="1" applyBorder="1" applyAlignment="1">
      <alignment horizontal="center" vertical="center" wrapText="1"/>
    </xf>
    <xf numFmtId="0" fontId="34" fillId="3" borderId="4" xfId="0" applyFont="1" applyFill="1" applyBorder="1" applyAlignment="1">
      <alignment horizontal="center" vertical="center"/>
    </xf>
    <xf numFmtId="0" fontId="32" fillId="3" borderId="4" xfId="0" applyFont="1" applyFill="1" applyBorder="1" applyAlignment="1">
      <alignment horizontal="center" wrapText="1"/>
    </xf>
    <xf numFmtId="0" fontId="32" fillId="2" borderId="1" xfId="0" applyFont="1" applyFill="1" applyBorder="1" applyAlignment="1">
      <alignment horizontal="center" wrapText="1"/>
    </xf>
    <xf numFmtId="0" fontId="34" fillId="10" borderId="7" xfId="0" applyFont="1" applyFill="1" applyBorder="1" applyAlignment="1">
      <alignment horizontal="center" wrapText="1"/>
    </xf>
    <xf numFmtId="0" fontId="32" fillId="2" borderId="7" xfId="0" applyFont="1" applyFill="1" applyBorder="1" applyAlignment="1">
      <alignment horizontal="center" wrapText="1"/>
    </xf>
    <xf numFmtId="0" fontId="32" fillId="5" borderId="7" xfId="0" applyFont="1" applyFill="1" applyBorder="1" applyAlignment="1">
      <alignment wrapText="1"/>
    </xf>
    <xf numFmtId="0" fontId="32" fillId="5" borderId="7" xfId="0" applyFont="1" applyFill="1" applyBorder="1"/>
    <xf numFmtId="0" fontId="31" fillId="0" borderId="0" xfId="0" applyFont="1"/>
    <xf numFmtId="0" fontId="0" fillId="0" borderId="0" xfId="0" pivotButton="1"/>
    <xf numFmtId="0" fontId="0" fillId="0" borderId="0" xfId="0" applyAlignment="1">
      <alignment horizontal="left"/>
    </xf>
    <xf numFmtId="0" fontId="36" fillId="0" borderId="0" xfId="0" applyFont="1"/>
    <xf numFmtId="0" fontId="36" fillId="9" borderId="0" xfId="0" applyFont="1" applyFill="1"/>
    <xf numFmtId="0" fontId="37" fillId="0" borderId="0" xfId="0" applyFont="1"/>
    <xf numFmtId="14" fontId="10" fillId="9" borderId="0" xfId="0" applyNumberFormat="1" applyFont="1" applyFill="1"/>
    <xf numFmtId="14" fontId="10" fillId="0" borderId="0" xfId="0" applyNumberFormat="1" applyFont="1"/>
    <xf numFmtId="0" fontId="36" fillId="0" borderId="0" xfId="0" applyFont="1" applyAlignment="1">
      <alignment wrapText="1"/>
    </xf>
    <xf numFmtId="14" fontId="36" fillId="0" borderId="0" xfId="0" applyNumberFormat="1" applyFont="1"/>
    <xf numFmtId="4" fontId="0" fillId="0" borderId="0" xfId="0" applyNumberFormat="1"/>
    <xf numFmtId="4" fontId="36" fillId="0" borderId="0" xfId="0" applyNumberFormat="1" applyFont="1"/>
    <xf numFmtId="14" fontId="36" fillId="0" borderId="0" xfId="0" applyNumberFormat="1" applyFont="1" applyAlignment="1">
      <alignment horizontal="left" vertical="center"/>
    </xf>
    <xf numFmtId="0" fontId="36" fillId="0" borderId="0" xfId="0" applyFont="1" applyAlignment="1">
      <alignment horizontal="left" vertical="center"/>
    </xf>
    <xf numFmtId="0" fontId="36" fillId="0" borderId="0" xfId="0" applyFont="1" applyAlignment="1">
      <alignment horizontal="left" vertical="center" wrapText="1"/>
    </xf>
    <xf numFmtId="4" fontId="36" fillId="0" borderId="0" xfId="0" applyNumberFormat="1" applyFont="1" applyAlignment="1">
      <alignment horizontal="left" vertical="center"/>
    </xf>
    <xf numFmtId="0" fontId="10" fillId="0" borderId="0" xfId="0" applyFont="1" applyAlignment="1">
      <alignment horizontal="left" vertical="center"/>
    </xf>
    <xf numFmtId="0" fontId="36" fillId="0" borderId="0" xfId="0" applyFont="1" applyAlignment="1">
      <alignment horizontal="right" vertical="center"/>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Alignment="1">
      <alignment vertical="center"/>
    </xf>
    <xf numFmtId="0" fontId="10" fillId="0" borderId="0" xfId="0" applyFont="1" applyAlignment="1">
      <alignment horizontal="right"/>
    </xf>
    <xf numFmtId="4" fontId="10" fillId="0" borderId="0" xfId="0" applyNumberFormat="1" applyFont="1" applyAlignment="1">
      <alignment horizontal="right"/>
    </xf>
    <xf numFmtId="0" fontId="38" fillId="0" borderId="0" xfId="0" applyFont="1"/>
    <xf numFmtId="0" fontId="38" fillId="0" borderId="0" xfId="0" applyFont="1" applyAlignment="1">
      <alignment wrapText="1"/>
    </xf>
    <xf numFmtId="14" fontId="38" fillId="0" borderId="0" xfId="0" applyNumberFormat="1" applyFont="1"/>
    <xf numFmtId="49" fontId="10" fillId="0" borderId="0" xfId="0" applyNumberFormat="1" applyFont="1"/>
    <xf numFmtId="14" fontId="39" fillId="0" borderId="0" xfId="0" applyNumberFormat="1" applyFont="1" applyAlignment="1">
      <alignment horizontal="left"/>
    </xf>
    <xf numFmtId="0" fontId="39" fillId="0" borderId="0" xfId="0" applyFont="1" applyAlignment="1">
      <alignment horizontal="left"/>
    </xf>
    <xf numFmtId="0" fontId="39" fillId="0" borderId="0" xfId="0" applyFont="1" applyAlignment="1">
      <alignment wrapText="1"/>
    </xf>
    <xf numFmtId="0" fontId="39" fillId="0" borderId="0" xfId="0" applyFont="1"/>
    <xf numFmtId="0" fontId="39" fillId="0" borderId="0" xfId="0" applyFont="1" applyAlignment="1">
      <alignment horizontal="center" vertical="center" wrapText="1"/>
    </xf>
    <xf numFmtId="14" fontId="39" fillId="0" borderId="0" xfId="0" applyNumberFormat="1" applyFont="1"/>
    <xf numFmtId="0" fontId="39" fillId="0" borderId="0" xfId="0" applyFont="1" applyAlignment="1">
      <alignment horizontal="left" wrapText="1"/>
    </xf>
    <xf numFmtId="0" fontId="10" fillId="0" borderId="14" xfId="0" applyFont="1" applyBorder="1" applyAlignment="1">
      <alignment horizontal="left" wrapText="1"/>
    </xf>
    <xf numFmtId="0" fontId="10" fillId="0" borderId="12" xfId="0" quotePrefix="1" applyFont="1" applyBorder="1" applyAlignment="1">
      <alignment horizontal="left" wrapText="1"/>
    </xf>
    <xf numFmtId="0" fontId="10" fillId="0" borderId="0" xfId="0" quotePrefix="1" applyFont="1" applyAlignment="1">
      <alignment horizontal="left" wrapText="1"/>
    </xf>
    <xf numFmtId="14" fontId="10" fillId="0" borderId="0" xfId="0" applyNumberFormat="1" applyFont="1" applyAlignment="1">
      <alignment horizontal="left" wrapText="1"/>
    </xf>
    <xf numFmtId="49" fontId="32" fillId="5" borderId="7" xfId="0" applyNumberFormat="1" applyFont="1" applyFill="1" applyBorder="1" applyAlignment="1">
      <alignment vertical="center" wrapText="1"/>
    </xf>
    <xf numFmtId="49" fontId="10" fillId="0" borderId="13" xfId="0" applyNumberFormat="1" applyFont="1" applyBorder="1"/>
    <xf numFmtId="49" fontId="39" fillId="0" borderId="0" xfId="0" applyNumberFormat="1" applyFont="1"/>
    <xf numFmtId="49" fontId="10" fillId="9" borderId="0" xfId="0" applyNumberFormat="1" applyFont="1" applyFill="1"/>
    <xf numFmtId="49" fontId="36" fillId="0" borderId="0" xfId="0" applyNumberFormat="1" applyFont="1"/>
    <xf numFmtId="0" fontId="10" fillId="0" borderId="0" xfId="0" applyFont="1" applyAlignment="1">
      <alignment horizontal="left" vertical="center" wrapText="1"/>
    </xf>
    <xf numFmtId="14" fontId="10" fillId="0" borderId="0" xfId="0" applyNumberFormat="1" applyFont="1" applyAlignment="1">
      <alignment horizontal="left" vertical="center"/>
    </xf>
    <xf numFmtId="0" fontId="10" fillId="0" borderId="0" xfId="0" applyFont="1" applyAlignment="1">
      <alignment horizontal="right" vertical="center"/>
    </xf>
    <xf numFmtId="4" fontId="10" fillId="0" borderId="0" xfId="0" applyNumberFormat="1" applyFont="1" applyAlignment="1">
      <alignment horizontal="left" vertical="center"/>
    </xf>
    <xf numFmtId="49" fontId="10" fillId="0" borderId="0" xfId="0" applyNumberFormat="1" applyFont="1" applyAlignment="1">
      <alignment horizontal="left" vertical="center"/>
    </xf>
    <xf numFmtId="0" fontId="32" fillId="3" borderId="7" xfId="0" applyFont="1" applyFill="1" applyBorder="1" applyAlignment="1">
      <alignment horizontal="center" wrapText="1"/>
    </xf>
    <xf numFmtId="0" fontId="20" fillId="9" borderId="13" xfId="3" applyFont="1" applyFill="1" applyBorder="1" applyAlignment="1">
      <alignment horizontal="center" vertical="center" wrapText="1"/>
    </xf>
    <xf numFmtId="0" fontId="0" fillId="0" borderId="0" xfId="0" applyAlignment="1">
      <alignment wrapText="1"/>
    </xf>
    <xf numFmtId="14" fontId="40" fillId="0" borderId="0" xfId="0" applyNumberFormat="1" applyFont="1"/>
    <xf numFmtId="0" fontId="40" fillId="0" borderId="0" xfId="0" applyFont="1"/>
    <xf numFmtId="0" fontId="40" fillId="0" borderId="0" xfId="0" applyFont="1" applyAlignment="1">
      <alignment wrapText="1"/>
    </xf>
    <xf numFmtId="49" fontId="40" fillId="0" borderId="0" xfId="0" applyNumberFormat="1" applyFont="1"/>
    <xf numFmtId="0" fontId="34" fillId="10" borderId="7" xfId="0" applyFont="1" applyFill="1" applyBorder="1" applyAlignment="1">
      <alignment horizontal="center" vertical="center" wrapText="1"/>
    </xf>
    <xf numFmtId="1" fontId="10" fillId="0" borderId="12" xfId="0" applyNumberFormat="1" applyFont="1" applyBorder="1" applyAlignment="1">
      <alignment horizontal="left" vertical="center" wrapText="1"/>
    </xf>
    <xf numFmtId="1" fontId="10" fillId="0" borderId="0" xfId="0" applyNumberFormat="1" applyFont="1" applyAlignment="1">
      <alignment horizontal="left" vertical="center" wrapText="1"/>
    </xf>
    <xf numFmtId="0" fontId="39" fillId="0" borderId="0" xfId="0" applyFont="1" applyAlignment="1">
      <alignment horizontal="left" vertical="center" wrapText="1"/>
    </xf>
    <xf numFmtId="0" fontId="10" fillId="9" borderId="0" xfId="0" applyFont="1" applyFill="1" applyAlignment="1">
      <alignment vertical="center" wrapText="1"/>
    </xf>
    <xf numFmtId="0" fontId="38" fillId="0" borderId="0" xfId="0" applyFont="1" applyAlignment="1">
      <alignment vertical="center" wrapText="1"/>
    </xf>
    <xf numFmtId="14" fontId="10" fillId="0" borderId="12" xfId="0" applyNumberFormat="1" applyFont="1" applyBorder="1" applyAlignment="1">
      <alignment horizontal="left" wrapText="1"/>
    </xf>
    <xf numFmtId="2" fontId="40" fillId="0" borderId="0" xfId="0" applyNumberFormat="1" applyFont="1"/>
    <xf numFmtId="14" fontId="41" fillId="0" borderId="0" xfId="0" applyNumberFormat="1" applyFont="1"/>
    <xf numFmtId="0" fontId="41" fillId="0" borderId="0" xfId="0" applyFont="1" applyAlignment="1">
      <alignment wrapText="1"/>
    </xf>
    <xf numFmtId="0" fontId="41" fillId="0" borderId="0" xfId="0" applyFont="1"/>
    <xf numFmtId="2" fontId="41" fillId="0" borderId="0" xfId="0" applyNumberFormat="1" applyFont="1"/>
    <xf numFmtId="49" fontId="10" fillId="0" borderId="0" xfId="0" applyNumberFormat="1" applyFont="1" applyAlignment="1">
      <alignment wrapText="1"/>
    </xf>
    <xf numFmtId="14" fontId="12" fillId="0" borderId="11" xfId="0" applyNumberFormat="1" applyFont="1" applyBorder="1" applyAlignment="1">
      <alignment horizontal="left" wrapText="1"/>
    </xf>
    <xf numFmtId="14" fontId="12" fillId="0" borderId="0" xfId="0" applyNumberFormat="1" applyFont="1" applyAlignment="1">
      <alignment horizontal="left" wrapText="1"/>
    </xf>
    <xf numFmtId="166" fontId="12" fillId="0" borderId="0" xfId="0" applyNumberFormat="1" applyFont="1" applyAlignment="1">
      <alignment horizontal="left" wrapText="1"/>
    </xf>
    <xf numFmtId="14" fontId="10" fillId="0" borderId="0" xfId="0" applyNumberFormat="1" applyFont="1" applyAlignment="1">
      <alignment wrapText="1"/>
    </xf>
    <xf numFmtId="14" fontId="10" fillId="0" borderId="0" xfId="0" applyNumberFormat="1" applyFont="1" applyAlignment="1">
      <alignment horizontal="left" vertical="center" wrapText="1"/>
    </xf>
    <xf numFmtId="14" fontId="38" fillId="0" borderId="0" xfId="0" applyNumberFormat="1" applyFont="1" applyAlignment="1">
      <alignment wrapText="1"/>
    </xf>
    <xf numFmtId="14" fontId="36" fillId="0" borderId="0" xfId="0" applyNumberFormat="1" applyFont="1" applyAlignment="1">
      <alignment horizontal="left" vertical="center" wrapText="1"/>
    </xf>
    <xf numFmtId="14" fontId="39" fillId="0" borderId="0" xfId="0" applyNumberFormat="1" applyFont="1" applyAlignment="1">
      <alignment wrapText="1"/>
    </xf>
    <xf numFmtId="14" fontId="40" fillId="0" borderId="0" xfId="0" applyNumberFormat="1" applyFont="1" applyAlignment="1">
      <alignment wrapText="1"/>
    </xf>
    <xf numFmtId="14" fontId="41" fillId="0" borderId="0" xfId="0" applyNumberFormat="1" applyFont="1" applyAlignment="1">
      <alignment wrapText="1"/>
    </xf>
    <xf numFmtId="49" fontId="41" fillId="0" borderId="0" xfId="0" applyNumberFormat="1" applyFont="1"/>
    <xf numFmtId="4" fontId="10" fillId="0" borderId="0" xfId="0" applyNumberFormat="1" applyFont="1"/>
    <xf numFmtId="14" fontId="42" fillId="0" borderId="0" xfId="0" applyNumberFormat="1" applyFont="1" applyAlignment="1">
      <alignment wrapText="1"/>
    </xf>
    <xf numFmtId="0" fontId="42" fillId="0" borderId="0" xfId="0" applyFont="1" applyAlignment="1">
      <alignment wrapText="1"/>
    </xf>
    <xf numFmtId="0" fontId="42" fillId="0" borderId="0" xfId="0" applyFont="1"/>
    <xf numFmtId="14" fontId="42" fillId="0" borderId="0" xfId="0" applyNumberFormat="1" applyFont="1"/>
    <xf numFmtId="0" fontId="42" fillId="0" borderId="0" xfId="0" applyFont="1" applyAlignment="1">
      <alignment vertical="center" wrapText="1"/>
    </xf>
    <xf numFmtId="49" fontId="42" fillId="0" borderId="0" xfId="0" applyNumberFormat="1" applyFont="1"/>
    <xf numFmtId="49" fontId="42" fillId="0" borderId="0" xfId="0" applyNumberFormat="1" applyFont="1" applyAlignment="1">
      <alignment wrapText="1"/>
    </xf>
    <xf numFmtId="0" fontId="42" fillId="0" borderId="0" xfId="0" applyFont="1" applyAlignment="1">
      <alignment horizontal="center" vertical="center" wrapText="1"/>
    </xf>
    <xf numFmtId="0" fontId="42" fillId="0" borderId="0" xfId="0" applyFont="1" applyAlignment="1">
      <alignment vertical="center"/>
    </xf>
    <xf numFmtId="0" fontId="42" fillId="0" borderId="0" xfId="0" applyFont="1" applyAlignment="1">
      <alignment horizontal="right"/>
    </xf>
    <xf numFmtId="4" fontId="42" fillId="0" borderId="0" xfId="0" applyNumberFormat="1" applyFont="1" applyAlignment="1">
      <alignment horizontal="right"/>
    </xf>
    <xf numFmtId="14" fontId="42" fillId="0" borderId="0" xfId="0" applyNumberFormat="1" applyFont="1" applyAlignment="1">
      <alignment horizontal="left" wrapText="1"/>
    </xf>
    <xf numFmtId="0" fontId="42" fillId="0" borderId="0" xfId="0" applyFont="1" applyAlignment="1">
      <alignment horizontal="left"/>
    </xf>
    <xf numFmtId="0" fontId="42" fillId="0" borderId="0" xfId="0" applyFont="1" applyAlignment="1">
      <alignment horizontal="left" wrapText="1"/>
    </xf>
    <xf numFmtId="14" fontId="42" fillId="0" borderId="0" xfId="0" applyNumberFormat="1" applyFont="1" applyAlignment="1">
      <alignment horizontal="left"/>
    </xf>
    <xf numFmtId="0" fontId="43" fillId="0" borderId="0" xfId="0" applyFont="1"/>
    <xf numFmtId="14" fontId="43" fillId="0" borderId="0" xfId="0" applyNumberFormat="1" applyFont="1" applyAlignment="1">
      <alignment wrapText="1"/>
    </xf>
    <xf numFmtId="0" fontId="43" fillId="0" borderId="0" xfId="0" applyFont="1" applyAlignment="1">
      <alignment wrapText="1"/>
    </xf>
    <xf numFmtId="14" fontId="43" fillId="0" borderId="0" xfId="0" applyNumberFormat="1" applyFont="1"/>
    <xf numFmtId="49" fontId="43" fillId="0" borderId="0" xfId="0" applyNumberFormat="1" applyFont="1"/>
    <xf numFmtId="4" fontId="10" fillId="0" borderId="0" xfId="0" applyNumberFormat="1" applyFont="1" applyAlignment="1">
      <alignment horizontal="right" vertical="center"/>
    </xf>
    <xf numFmtId="0" fontId="44" fillId="0" borderId="0" xfId="0" applyFont="1" applyAlignment="1">
      <alignment wrapText="1"/>
    </xf>
    <xf numFmtId="0" fontId="44" fillId="0" borderId="0" xfId="0" applyFont="1"/>
    <xf numFmtId="14" fontId="44" fillId="0" borderId="0" xfId="0" applyNumberFormat="1" applyFont="1"/>
    <xf numFmtId="49" fontId="44" fillId="0" borderId="0" xfId="0" applyNumberFormat="1" applyFont="1"/>
    <xf numFmtId="49" fontId="44" fillId="0" borderId="0" xfId="0" applyNumberFormat="1" applyFont="1" applyAlignment="1">
      <alignment horizontal="right"/>
    </xf>
    <xf numFmtId="14" fontId="44" fillId="0" borderId="0" xfId="0" applyNumberFormat="1" applyFont="1" applyAlignment="1">
      <alignment wrapText="1"/>
    </xf>
    <xf numFmtId="0" fontId="44" fillId="0" borderId="0" xfId="0" applyFont="1" applyAlignment="1">
      <alignment horizontal="left" vertical="center" wrapText="1"/>
    </xf>
    <xf numFmtId="0" fontId="44" fillId="0" borderId="0" xfId="0" applyFont="1" applyAlignment="1">
      <alignment horizontal="left" vertical="center"/>
    </xf>
    <xf numFmtId="0" fontId="44" fillId="0" borderId="0" xfId="0" applyFont="1" applyAlignment="1">
      <alignment horizontal="right" vertical="center"/>
    </xf>
    <xf numFmtId="4" fontId="44" fillId="0" borderId="0" xfId="0" applyNumberFormat="1" applyFont="1" applyAlignment="1">
      <alignment horizontal="right" vertical="center"/>
    </xf>
    <xf numFmtId="14" fontId="44" fillId="0" borderId="0" xfId="0" applyNumberFormat="1" applyFont="1" applyAlignment="1">
      <alignment horizontal="left" vertical="center"/>
    </xf>
    <xf numFmtId="49" fontId="44" fillId="0" borderId="0" xfId="0" applyNumberFormat="1" applyFont="1" applyAlignment="1">
      <alignment horizontal="left" vertical="center"/>
    </xf>
    <xf numFmtId="14" fontId="10" fillId="9" borderId="0" xfId="0" applyNumberFormat="1" applyFont="1" applyFill="1" applyAlignment="1">
      <alignment wrapText="1"/>
    </xf>
    <xf numFmtId="14" fontId="45" fillId="0" borderId="0" xfId="0" applyNumberFormat="1" applyFont="1" applyAlignment="1">
      <alignment wrapText="1"/>
    </xf>
    <xf numFmtId="0" fontId="45" fillId="0" borderId="0" xfId="0" applyFont="1" applyAlignment="1">
      <alignment wrapText="1"/>
    </xf>
    <xf numFmtId="0" fontId="45" fillId="0" borderId="0" xfId="0" applyFont="1" applyAlignment="1">
      <alignment horizontal="left" vertical="center" wrapText="1"/>
    </xf>
    <xf numFmtId="0" fontId="45" fillId="0" borderId="0" xfId="0" applyFont="1"/>
    <xf numFmtId="14" fontId="45" fillId="0" borderId="0" xfId="0" applyNumberFormat="1" applyFont="1"/>
    <xf numFmtId="49" fontId="45" fillId="0" borderId="0" xfId="0" applyNumberFormat="1" applyFont="1"/>
    <xf numFmtId="14" fontId="45" fillId="0" borderId="0" xfId="0" applyNumberFormat="1" applyFont="1" applyAlignment="1">
      <alignment vertical="center" wrapText="1"/>
    </xf>
    <xf numFmtId="0" fontId="45" fillId="0" borderId="0" xfId="0" applyFont="1" applyAlignment="1">
      <alignment vertical="center" wrapText="1"/>
    </xf>
    <xf numFmtId="0" fontId="44" fillId="0" borderId="0" xfId="0" applyFont="1" applyAlignment="1">
      <alignment vertical="center"/>
    </xf>
    <xf numFmtId="0" fontId="45" fillId="0" borderId="0" xfId="0" applyFont="1" applyAlignment="1">
      <alignment vertical="center"/>
    </xf>
    <xf numFmtId="4" fontId="10" fillId="0" borderId="0" xfId="0" applyNumberFormat="1" applyFont="1" applyAlignment="1">
      <alignment vertical="center"/>
    </xf>
    <xf numFmtId="2" fontId="45" fillId="0" borderId="0" xfId="0" applyNumberFormat="1" applyFont="1"/>
    <xf numFmtId="49" fontId="10" fillId="0" borderId="0" xfId="0" applyNumberFormat="1" applyFont="1" applyAlignment="1">
      <alignment horizontal="left" vertical="center" wrapText="1"/>
    </xf>
    <xf numFmtId="14" fontId="46" fillId="0" borderId="0" xfId="0" applyNumberFormat="1" applyFont="1" applyAlignment="1">
      <alignment wrapText="1"/>
    </xf>
    <xf numFmtId="0" fontId="46" fillId="0" borderId="0" xfId="0" applyFont="1" applyAlignment="1">
      <alignment wrapText="1"/>
    </xf>
    <xf numFmtId="0" fontId="46" fillId="0" borderId="0" xfId="0" applyFont="1"/>
    <xf numFmtId="14" fontId="46" fillId="0" borderId="0" xfId="0" applyNumberFormat="1" applyFont="1"/>
    <xf numFmtId="49" fontId="46" fillId="0" borderId="0" xfId="0" applyNumberFormat="1" applyFont="1"/>
    <xf numFmtId="0" fontId="46" fillId="0" borderId="0" xfId="0" applyFont="1" applyAlignment="1">
      <alignment vertical="center" wrapText="1"/>
    </xf>
    <xf numFmtId="4" fontId="46" fillId="0" borderId="0" xfId="0" applyNumberFormat="1" applyFont="1"/>
    <xf numFmtId="2" fontId="46" fillId="0" borderId="0" xfId="0" applyNumberFormat="1" applyFont="1"/>
    <xf numFmtId="2" fontId="45" fillId="0" borderId="0" xfId="0" applyNumberFormat="1" applyFont="1" applyAlignment="1">
      <alignment vertical="center"/>
    </xf>
    <xf numFmtId="0" fontId="46" fillId="0" borderId="0" xfId="0" applyFont="1" applyAlignment="1">
      <alignment vertical="center"/>
    </xf>
    <xf numFmtId="4" fontId="46" fillId="0" borderId="0" xfId="0" applyNumberFormat="1" applyFont="1" applyAlignment="1">
      <alignment vertical="center"/>
    </xf>
    <xf numFmtId="49" fontId="46" fillId="0" borderId="0" xfId="0" applyNumberFormat="1" applyFont="1" applyAlignment="1">
      <alignment wrapText="1"/>
    </xf>
    <xf numFmtId="14" fontId="46" fillId="0" borderId="0" xfId="0" applyNumberFormat="1" applyFont="1" applyAlignment="1">
      <alignment horizontal="left" vertical="center" wrapText="1"/>
    </xf>
    <xf numFmtId="0" fontId="46" fillId="0" borderId="0" xfId="0" applyFont="1" applyAlignment="1">
      <alignment horizontal="left" vertical="center" wrapText="1"/>
    </xf>
    <xf numFmtId="0" fontId="45" fillId="0" borderId="0" xfId="0" applyFont="1" applyAlignment="1">
      <alignment horizontal="left" vertical="center"/>
    </xf>
    <xf numFmtId="0" fontId="46" fillId="0" borderId="0" xfId="0" applyFont="1" applyAlignment="1">
      <alignment horizontal="left" vertical="center"/>
    </xf>
    <xf numFmtId="14" fontId="46" fillId="0" borderId="0" xfId="0" applyNumberFormat="1" applyFont="1" applyAlignment="1">
      <alignment horizontal="left" vertical="center"/>
    </xf>
    <xf numFmtId="0" fontId="38" fillId="0" borderId="0" xfId="0" applyFont="1" applyAlignment="1">
      <alignment horizontal="left" vertical="center" wrapText="1"/>
    </xf>
    <xf numFmtId="14" fontId="46" fillId="0" borderId="0" xfId="0" applyNumberFormat="1" applyFont="1" applyAlignment="1">
      <alignment vertical="center" wrapText="1"/>
    </xf>
    <xf numFmtId="14" fontId="46" fillId="0" borderId="0" xfId="0" applyNumberFormat="1" applyFont="1" applyAlignment="1">
      <alignment vertical="center"/>
    </xf>
    <xf numFmtId="49" fontId="46" fillId="0" borderId="0" xfId="0" applyNumberFormat="1" applyFont="1" applyAlignment="1">
      <alignment vertical="center"/>
    </xf>
    <xf numFmtId="14" fontId="39" fillId="0" borderId="0" xfId="0" applyNumberFormat="1" applyFont="1" applyAlignment="1">
      <alignment horizontal="left" wrapText="1"/>
    </xf>
    <xf numFmtId="0" fontId="44" fillId="0" borderId="0" xfId="0" applyFont="1" applyAlignment="1">
      <alignment vertical="center" wrapText="1"/>
    </xf>
    <xf numFmtId="2" fontId="46" fillId="0" borderId="0" xfId="0" applyNumberFormat="1" applyFont="1" applyAlignment="1">
      <alignment vertical="center"/>
    </xf>
    <xf numFmtId="2" fontId="10" fillId="0" borderId="0" xfId="0" applyNumberFormat="1" applyFont="1" applyAlignment="1">
      <alignment vertical="center"/>
    </xf>
    <xf numFmtId="14" fontId="47" fillId="0" borderId="0" xfId="0" applyNumberFormat="1" applyFont="1" applyAlignment="1">
      <alignment wrapText="1"/>
    </xf>
    <xf numFmtId="0" fontId="47" fillId="0" borderId="0" xfId="0" applyFont="1" applyAlignment="1">
      <alignment wrapText="1"/>
    </xf>
    <xf numFmtId="0" fontId="47" fillId="0" borderId="0" xfId="0" applyFont="1"/>
    <xf numFmtId="14" fontId="47" fillId="0" borderId="0" xfId="0" applyNumberFormat="1" applyFont="1"/>
    <xf numFmtId="49" fontId="47" fillId="0" borderId="0" xfId="0" applyNumberFormat="1" applyFont="1"/>
    <xf numFmtId="2" fontId="47" fillId="0" borderId="0" xfId="0" applyNumberFormat="1" applyFont="1"/>
    <xf numFmtId="4" fontId="47" fillId="0" borderId="0" xfId="0" applyNumberFormat="1" applyFont="1"/>
    <xf numFmtId="14" fontId="48" fillId="0" borderId="0" xfId="0" applyNumberFormat="1" applyFont="1" applyAlignment="1">
      <alignment wrapText="1"/>
    </xf>
    <xf numFmtId="0" fontId="48" fillId="0" borderId="0" xfId="0" applyFont="1" applyAlignment="1">
      <alignment wrapText="1"/>
    </xf>
    <xf numFmtId="0" fontId="48" fillId="0" borderId="0" xfId="0" applyFont="1"/>
    <xf numFmtId="14" fontId="48" fillId="0" borderId="0" xfId="0" applyNumberFormat="1" applyFont="1"/>
    <xf numFmtId="49" fontId="48" fillId="0" borderId="0" xfId="0" applyNumberFormat="1" applyFont="1"/>
    <xf numFmtId="14" fontId="49" fillId="0" borderId="0" xfId="0" applyNumberFormat="1" applyFont="1" applyAlignment="1">
      <alignment wrapText="1"/>
    </xf>
    <xf numFmtId="0" fontId="49" fillId="0" borderId="0" xfId="0" applyFont="1" applyAlignment="1">
      <alignment wrapText="1"/>
    </xf>
    <xf numFmtId="0" fontId="49" fillId="0" borderId="0" xfId="0" applyFont="1"/>
    <xf numFmtId="14" fontId="49" fillId="0" borderId="0" xfId="0" applyNumberFormat="1" applyFont="1"/>
    <xf numFmtId="49" fontId="49" fillId="0" borderId="0" xfId="0" applyNumberFormat="1" applyFont="1"/>
    <xf numFmtId="4" fontId="49" fillId="0" borderId="0" xfId="0" applyNumberFormat="1" applyFont="1"/>
    <xf numFmtId="0" fontId="49" fillId="0" borderId="0" xfId="0" applyFont="1" applyAlignment="1">
      <alignment vertical="center" wrapText="1"/>
    </xf>
    <xf numFmtId="2" fontId="49" fillId="0" borderId="0" xfId="0" applyNumberFormat="1" applyFont="1"/>
    <xf numFmtId="14" fontId="49" fillId="0" borderId="0" xfId="0" applyNumberFormat="1" applyFont="1" applyAlignment="1">
      <alignment vertical="top" wrapText="1"/>
    </xf>
    <xf numFmtId="0" fontId="49" fillId="0" borderId="0" xfId="0" applyFont="1" applyAlignment="1">
      <alignment vertical="top" wrapText="1"/>
    </xf>
    <xf numFmtId="0" fontId="49" fillId="0" borderId="0" xfId="0" applyFont="1" applyAlignment="1">
      <alignment vertical="top"/>
    </xf>
    <xf numFmtId="2" fontId="49" fillId="0" borderId="0" xfId="0" applyNumberFormat="1" applyFont="1" applyAlignment="1">
      <alignment vertical="top"/>
    </xf>
    <xf numFmtId="14" fontId="49" fillId="0" borderId="0" xfId="0" applyNumberFormat="1" applyFont="1" applyAlignment="1">
      <alignment vertical="top"/>
    </xf>
    <xf numFmtId="49" fontId="49" fillId="0" borderId="0" xfId="0" applyNumberFormat="1" applyFont="1" applyAlignment="1">
      <alignment vertical="top"/>
    </xf>
    <xf numFmtId="0" fontId="10" fillId="0" borderId="0" xfId="0" applyFont="1" applyAlignment="1">
      <alignment vertical="top"/>
    </xf>
    <xf numFmtId="2" fontId="47" fillId="0" borderId="0" xfId="0" applyNumberFormat="1" applyFont="1" applyAlignment="1">
      <alignment vertical="top"/>
    </xf>
    <xf numFmtId="0" fontId="0" fillId="0" borderId="13" xfId="0" applyBorder="1" applyAlignment="1">
      <alignment horizontal="left"/>
    </xf>
    <xf numFmtId="0" fontId="0" fillId="0" borderId="13" xfId="0" applyBorder="1"/>
    <xf numFmtId="0" fontId="0" fillId="0" borderId="0" xfId="0" applyAlignment="1">
      <alignment horizontal="left" indent="1"/>
    </xf>
    <xf numFmtId="0" fontId="22" fillId="0" borderId="13" xfId="3" applyFont="1" applyBorder="1" applyAlignment="1">
      <alignment horizontal="center" vertical="center" wrapText="1"/>
    </xf>
    <xf numFmtId="0" fontId="50" fillId="0" borderId="13" xfId="3" applyFont="1" applyBorder="1" applyAlignment="1">
      <alignment horizontal="center" vertical="center" wrapText="1"/>
    </xf>
    <xf numFmtId="0" fontId="50" fillId="0" borderId="13" xfId="3" applyFont="1" applyBorder="1" applyAlignment="1">
      <alignment horizontal="center" vertical="center"/>
    </xf>
    <xf numFmtId="0" fontId="50" fillId="0" borderId="13" xfId="4" applyFont="1" applyFill="1" applyBorder="1" applyAlignment="1" applyProtection="1">
      <alignment horizontal="center" vertical="center" wrapText="1"/>
    </xf>
    <xf numFmtId="0" fontId="9" fillId="0" borderId="19" xfId="3" applyBorder="1" applyAlignment="1">
      <alignment horizontal="center" vertical="center" wrapText="1"/>
    </xf>
    <xf numFmtId="0" fontId="20" fillId="0" borderId="20" xfId="3" quotePrefix="1" applyFont="1" applyBorder="1" applyAlignment="1" applyProtection="1">
      <alignment horizontal="center" vertical="center" wrapText="1"/>
      <protection locked="0"/>
    </xf>
    <xf numFmtId="0" fontId="20" fillId="6" borderId="20" xfId="3" quotePrefix="1" applyFont="1" applyFill="1" applyBorder="1" applyAlignment="1" applyProtection="1">
      <alignment horizontal="center" vertical="center" wrapText="1"/>
      <protection locked="0"/>
    </xf>
    <xf numFmtId="0" fontId="20" fillId="0" borderId="20" xfId="3" applyFont="1" applyBorder="1" applyAlignment="1">
      <alignment horizontal="center" vertical="center" wrapText="1"/>
    </xf>
    <xf numFmtId="0" fontId="25" fillId="10" borderId="0" xfId="3" applyFont="1" applyFill="1" applyAlignment="1">
      <alignment horizontal="center" vertical="center" wrapText="1"/>
    </xf>
    <xf numFmtId="14" fontId="20" fillId="0" borderId="0" xfId="3" applyNumberFormat="1" applyFont="1" applyAlignment="1">
      <alignment horizontal="center" vertical="center" wrapText="1"/>
    </xf>
    <xf numFmtId="0" fontId="20" fillId="0" borderId="0" xfId="3" applyFont="1" applyAlignment="1" applyProtection="1">
      <alignment horizontal="center" vertical="center" wrapText="1"/>
      <protection locked="0"/>
    </xf>
    <xf numFmtId="14" fontId="20" fillId="0" borderId="0" xfId="3" applyNumberFormat="1" applyFont="1" applyAlignment="1" applyProtection="1">
      <alignment horizontal="center" vertical="center" wrapText="1"/>
      <protection locked="0"/>
    </xf>
    <xf numFmtId="0" fontId="20" fillId="0" borderId="0" xfId="3" quotePrefix="1" applyFont="1" applyAlignment="1" applyProtection="1">
      <alignment horizontal="center" vertical="center" wrapText="1"/>
      <protection locked="0"/>
    </xf>
    <xf numFmtId="0" fontId="30" fillId="0" borderId="0" xfId="3" quotePrefix="1" applyFont="1" applyAlignment="1" applyProtection="1">
      <alignment horizontal="center" vertical="center" wrapText="1"/>
      <protection locked="0"/>
    </xf>
    <xf numFmtId="0" fontId="9" fillId="14" borderId="0" xfId="3" applyFill="1" applyAlignment="1">
      <alignment horizontal="center" vertical="center" wrapText="1"/>
    </xf>
    <xf numFmtId="14" fontId="9" fillId="0" borderId="0" xfId="3" applyNumberFormat="1" applyAlignment="1">
      <alignment horizontal="center" vertical="center" wrapText="1"/>
    </xf>
    <xf numFmtId="0" fontId="20" fillId="0" borderId="17" xfId="3" applyFont="1" applyBorder="1" applyAlignment="1">
      <alignment horizontal="center" vertical="center" wrapText="1"/>
    </xf>
    <xf numFmtId="0" fontId="21" fillId="0" borderId="0" xfId="3" applyFont="1" applyAlignment="1">
      <alignment horizontal="center" vertical="center" wrapText="1"/>
    </xf>
    <xf numFmtId="0" fontId="20" fillId="6" borderId="0" xfId="3" applyFont="1" applyFill="1" applyAlignment="1">
      <alignment horizontal="center" vertical="center" wrapText="1"/>
    </xf>
    <xf numFmtId="0" fontId="25" fillId="11" borderId="0" xfId="3" applyFont="1" applyFill="1" applyAlignment="1">
      <alignment horizontal="center" vertical="center" wrapText="1"/>
    </xf>
    <xf numFmtId="0" fontId="20" fillId="6" borderId="0" xfId="3" quotePrefix="1" applyFont="1" applyFill="1" applyAlignment="1">
      <alignment horizontal="center" vertical="center" wrapText="1"/>
    </xf>
    <xf numFmtId="0" fontId="21" fillId="6" borderId="0" xfId="3" applyFont="1" applyFill="1" applyAlignment="1">
      <alignment horizontal="center" vertical="center" wrapText="1"/>
    </xf>
    <xf numFmtId="0" fontId="20" fillId="0" borderId="0" xfId="3" quotePrefix="1" applyFont="1" applyAlignment="1">
      <alignment horizontal="center" vertical="center" wrapText="1"/>
    </xf>
    <xf numFmtId="14" fontId="20" fillId="6" borderId="0" xfId="3" applyNumberFormat="1" applyFont="1" applyFill="1" applyAlignment="1" applyProtection="1">
      <alignment horizontal="center" vertical="center" wrapText="1"/>
      <protection locked="0"/>
    </xf>
    <xf numFmtId="0" fontId="20" fillId="6" borderId="0" xfId="3" applyFont="1" applyFill="1" applyAlignment="1" applyProtection="1">
      <alignment horizontal="center" vertical="center" wrapText="1"/>
      <protection locked="0"/>
    </xf>
    <xf numFmtId="0" fontId="21" fillId="0" borderId="19" xfId="3" applyFont="1" applyBorder="1" applyAlignment="1">
      <alignment horizontal="center" vertical="center" wrapText="1"/>
    </xf>
    <xf numFmtId="0" fontId="9" fillId="6" borderId="17" xfId="3" applyFill="1" applyBorder="1" applyAlignment="1">
      <alignment horizontal="center" vertical="center" wrapText="1"/>
    </xf>
    <xf numFmtId="0" fontId="20" fillId="6" borderId="17" xfId="3" applyFont="1" applyFill="1" applyBorder="1" applyAlignment="1">
      <alignment horizontal="center" vertical="center" wrapText="1"/>
    </xf>
    <xf numFmtId="0" fontId="9" fillId="0" borderId="17" xfId="3" applyBorder="1" applyAlignment="1">
      <alignment horizontal="center" vertical="center" wrapText="1"/>
    </xf>
    <xf numFmtId="0" fontId="23" fillId="0" borderId="13" xfId="3" applyFont="1" applyBorder="1" applyAlignment="1">
      <alignment horizontal="center" vertical="center" wrapText="1"/>
    </xf>
    <xf numFmtId="0" fontId="23" fillId="0" borderId="13" xfId="3" quotePrefix="1" applyFont="1" applyBorder="1" applyAlignment="1">
      <alignment horizontal="center" vertical="center" wrapText="1"/>
    </xf>
    <xf numFmtId="0" fontId="24" fillId="0" borderId="13" xfId="4" applyFill="1" applyBorder="1" applyAlignment="1" applyProtection="1">
      <alignment horizontal="center" vertical="center"/>
    </xf>
    <xf numFmtId="0" fontId="23" fillId="0" borderId="13" xfId="3" applyFont="1" applyBorder="1" applyAlignment="1">
      <alignment horizontal="center" vertical="center"/>
    </xf>
    <xf numFmtId="0" fontId="23" fillId="0" borderId="13" xfId="3" quotePrefix="1" applyFont="1" applyBorder="1" applyAlignment="1">
      <alignment horizontal="center"/>
    </xf>
    <xf numFmtId="0" fontId="20" fillId="0" borderId="13" xfId="3" applyFont="1" applyBorder="1" applyAlignment="1">
      <alignment horizontal="center" vertical="center"/>
    </xf>
    <xf numFmtId="0" fontId="23" fillId="0" borderId="13" xfId="4" applyFont="1" applyFill="1" applyBorder="1" applyAlignment="1" applyProtection="1">
      <alignment horizontal="center" vertical="center" wrapText="1"/>
    </xf>
    <xf numFmtId="0" fontId="23" fillId="0" borderId="13" xfId="4" quotePrefix="1" applyFont="1" applyFill="1" applyBorder="1" applyAlignment="1" applyProtection="1">
      <alignment horizontal="center" vertical="center" wrapText="1"/>
    </xf>
    <xf numFmtId="0" fontId="23" fillId="0" borderId="13" xfId="3" applyFont="1" applyBorder="1" applyAlignment="1">
      <alignment horizontal="center"/>
    </xf>
    <xf numFmtId="0" fontId="27" fillId="0" borderId="13" xfId="4" quotePrefix="1" applyFont="1" applyFill="1" applyBorder="1" applyAlignment="1" applyProtection="1">
      <alignment horizontal="center" vertical="center" wrapText="1"/>
    </xf>
    <xf numFmtId="0" fontId="27" fillId="0" borderId="13" xfId="4" applyFont="1" applyFill="1" applyBorder="1" applyAlignment="1" applyProtection="1">
      <alignment horizontal="center" vertical="center" wrapText="1"/>
    </xf>
    <xf numFmtId="0" fontId="23" fillId="0" borderId="13" xfId="3" applyFont="1" applyBorder="1" applyAlignment="1">
      <alignment horizontal="center" wrapText="1"/>
    </xf>
    <xf numFmtId="0" fontId="50" fillId="12" borderId="13" xfId="3" applyFont="1" applyFill="1" applyBorder="1" applyAlignment="1">
      <alignment horizontal="center" vertical="center" wrapText="1"/>
    </xf>
    <xf numFmtId="0" fontId="50" fillId="13" borderId="17" xfId="3" applyFont="1" applyFill="1" applyBorder="1" applyAlignment="1">
      <alignment horizontal="center" vertical="center" wrapText="1"/>
    </xf>
    <xf numFmtId="0" fontId="50" fillId="13" borderId="13" xfId="3" applyFont="1" applyFill="1" applyBorder="1" applyAlignment="1">
      <alignment horizontal="center" vertical="center" wrapText="1"/>
    </xf>
    <xf numFmtId="0" fontId="50" fillId="13" borderId="18" xfId="3" applyFont="1" applyFill="1" applyBorder="1" applyAlignment="1">
      <alignment horizontal="center" vertical="center" wrapText="1"/>
    </xf>
    <xf numFmtId="0" fontId="50" fillId="9" borderId="13" xfId="3" applyFont="1" applyFill="1" applyBorder="1" applyAlignment="1">
      <alignment horizontal="center" vertical="center" wrapText="1"/>
    </xf>
    <xf numFmtId="0" fontId="50" fillId="15" borderId="13" xfId="3" applyFont="1" applyFill="1" applyBorder="1" applyAlignment="1">
      <alignment horizontal="center" vertical="center" wrapText="1"/>
    </xf>
    <xf numFmtId="0" fontId="22" fillId="0" borderId="0" xfId="3" applyFont="1" applyAlignment="1">
      <alignment horizontal="center" vertical="center" wrapText="1"/>
    </xf>
    <xf numFmtId="0" fontId="51" fillId="0" borderId="13" xfId="3" applyFont="1" applyBorder="1" applyAlignment="1">
      <alignment vertical="center" wrapText="1"/>
    </xf>
    <xf numFmtId="0" fontId="52" fillId="0" borderId="13" xfId="6" applyFont="1" applyBorder="1" applyAlignment="1">
      <alignment horizontal="center" vertical="center"/>
    </xf>
    <xf numFmtId="0" fontId="52" fillId="0" borderId="13" xfId="6" applyFont="1" applyBorder="1" applyAlignment="1">
      <alignment horizontal="center" vertical="center" wrapText="1"/>
    </xf>
    <xf numFmtId="9" fontId="22" fillId="0" borderId="13" xfId="7" applyFont="1" applyFill="1" applyBorder="1" applyAlignment="1">
      <alignment horizontal="center" vertical="center"/>
    </xf>
    <xf numFmtId="0" fontId="22" fillId="6" borderId="13" xfId="3" applyFont="1" applyFill="1" applyBorder="1" applyAlignment="1">
      <alignment horizontal="center" vertical="center" wrapText="1"/>
    </xf>
    <xf numFmtId="0" fontId="22" fillId="7" borderId="0" xfId="3" applyFont="1" applyFill="1" applyAlignment="1">
      <alignment horizontal="center" vertical="center" wrapText="1"/>
    </xf>
    <xf numFmtId="14" fontId="50" fillId="0" borderId="0" xfId="3" applyNumberFormat="1" applyFont="1" applyAlignment="1">
      <alignment horizontal="center" vertical="center" wrapText="1"/>
    </xf>
    <xf numFmtId="0" fontId="51" fillId="0" borderId="17" xfId="3" applyFont="1" applyBorder="1" applyAlignment="1">
      <alignment horizontal="center" vertical="center" wrapText="1"/>
    </xf>
    <xf numFmtId="0" fontId="50" fillId="16" borderId="13" xfId="3" applyFont="1" applyFill="1" applyBorder="1" applyAlignment="1">
      <alignment horizontal="center" vertical="center" wrapText="1"/>
    </xf>
    <xf numFmtId="0" fontId="0" fillId="16" borderId="0" xfId="0" applyFill="1"/>
    <xf numFmtId="0" fontId="0" fillId="16" borderId="13" xfId="0" applyFill="1" applyBorder="1"/>
    <xf numFmtId="0" fontId="20" fillId="0" borderId="13" xfId="4" applyFont="1" applyBorder="1" applyAlignment="1" applyProtection="1">
      <alignment horizontal="center" vertical="center" wrapText="1"/>
    </xf>
    <xf numFmtId="0" fontId="20" fillId="0" borderId="13" xfId="4" applyFont="1" applyFill="1" applyBorder="1" applyAlignment="1" applyProtection="1">
      <alignment horizontal="center" vertical="center" wrapText="1"/>
    </xf>
    <xf numFmtId="0" fontId="50" fillId="14" borderId="13" xfId="4" applyFont="1" applyFill="1" applyBorder="1" applyAlignment="1" applyProtection="1">
      <alignment horizontal="center" vertical="center" wrapText="1"/>
    </xf>
    <xf numFmtId="0" fontId="21" fillId="12" borderId="17" xfId="3" applyFont="1" applyFill="1" applyBorder="1" applyAlignment="1">
      <alignment horizontal="center" vertical="center" wrapText="1"/>
    </xf>
    <xf numFmtId="0" fontId="54" fillId="0" borderId="0" xfId="3" applyFont="1" applyAlignment="1">
      <alignment vertical="center" wrapText="1"/>
    </xf>
    <xf numFmtId="0" fontId="50" fillId="0" borderId="0" xfId="3" applyFont="1" applyAlignment="1">
      <alignment horizontal="center" vertical="center" wrapText="1"/>
    </xf>
    <xf numFmtId="14" fontId="3" fillId="0" borderId="13" xfId="6" applyNumberFormat="1" applyFont="1" applyBorder="1" applyAlignment="1">
      <alignment horizontal="center" vertical="center" wrapText="1"/>
    </xf>
    <xf numFmtId="14" fontId="58" fillId="0" borderId="0" xfId="0" applyNumberFormat="1" applyFont="1" applyAlignment="1" applyProtection="1">
      <alignment horizontal="center" vertical="center"/>
      <protection locked="0"/>
    </xf>
    <xf numFmtId="0" fontId="59" fillId="0" borderId="0" xfId="0" applyFont="1" applyAlignment="1" applyProtection="1">
      <alignment horizontal="center"/>
      <protection locked="0"/>
    </xf>
    <xf numFmtId="0" fontId="59" fillId="0" borderId="0" xfId="0" applyFont="1" applyProtection="1">
      <protection locked="0"/>
    </xf>
    <xf numFmtId="0" fontId="60" fillId="0" borderId="0" xfId="0" applyFont="1" applyProtection="1">
      <protection locked="0"/>
    </xf>
    <xf numFmtId="0" fontId="60" fillId="0" borderId="0" xfId="0" applyFont="1" applyAlignment="1" applyProtection="1">
      <alignment horizontal="center"/>
      <protection locked="0"/>
    </xf>
    <xf numFmtId="0" fontId="57" fillId="0" borderId="0" xfId="0" applyFont="1" applyAlignment="1" applyProtection="1">
      <alignment horizontal="center"/>
      <protection locked="0"/>
    </xf>
    <xf numFmtId="0" fontId="57" fillId="0" borderId="0" xfId="0" applyFont="1" applyAlignment="1" applyProtection="1">
      <alignment horizontal="center" vertical="center"/>
      <protection locked="0"/>
    </xf>
    <xf numFmtId="0" fontId="59" fillId="0" borderId="0" xfId="0" applyFont="1" applyAlignment="1" applyProtection="1">
      <alignment horizontal="center" vertical="center" wrapText="1"/>
      <protection locked="0"/>
    </xf>
    <xf numFmtId="0" fontId="59" fillId="0" borderId="0" xfId="0" applyFont="1" applyAlignment="1" applyProtection="1">
      <alignment horizontal="left" vertical="center" wrapText="1"/>
      <protection locked="0"/>
    </xf>
    <xf numFmtId="0" fontId="60" fillId="0" borderId="0" xfId="0" applyFont="1" applyAlignment="1" applyProtection="1">
      <alignment horizontal="left" vertical="center" wrapText="1"/>
      <protection locked="0"/>
    </xf>
    <xf numFmtId="0" fontId="57" fillId="0" borderId="0" xfId="0" applyFont="1" applyAlignment="1" applyProtection="1">
      <alignment horizontal="left"/>
      <protection locked="0"/>
    </xf>
    <xf numFmtId="0" fontId="60" fillId="0" borderId="18" xfId="0" applyFont="1" applyBorder="1" applyAlignment="1" applyProtection="1">
      <alignment horizontal="center" vertical="center"/>
      <protection locked="0"/>
    </xf>
    <xf numFmtId="0" fontId="60" fillId="0" borderId="13" xfId="0" applyFont="1" applyBorder="1" applyAlignment="1" applyProtection="1">
      <alignment horizontal="center"/>
      <protection locked="0"/>
    </xf>
    <xf numFmtId="0" fontId="57" fillId="0" borderId="13" xfId="0" applyFont="1" applyBorder="1" applyAlignment="1" applyProtection="1">
      <alignment horizontal="center" vertical="center" wrapText="1"/>
      <protection locked="0"/>
    </xf>
    <xf numFmtId="0" fontId="57" fillId="0" borderId="17" xfId="0" applyFont="1" applyBorder="1" applyAlignment="1" applyProtection="1">
      <alignment horizontal="center" vertical="center" wrapText="1"/>
      <protection locked="0"/>
    </xf>
    <xf numFmtId="0" fontId="60" fillId="0" borderId="13" xfId="0" applyFont="1" applyBorder="1" applyAlignment="1" applyProtection="1">
      <alignment horizontal="center" vertical="center" wrapText="1"/>
      <protection locked="0"/>
    </xf>
    <xf numFmtId="0" fontId="58" fillId="0" borderId="0" xfId="0" applyFont="1" applyAlignment="1" applyProtection="1">
      <alignment horizontal="center"/>
      <protection locked="0"/>
    </xf>
    <xf numFmtId="0" fontId="64" fillId="0" borderId="0" xfId="0" applyFont="1" applyProtection="1">
      <protection locked="0"/>
    </xf>
    <xf numFmtId="0" fontId="65" fillId="0" borderId="31" xfId="0" applyFont="1" applyBorder="1" applyAlignment="1" applyProtection="1">
      <alignment horizontal="center"/>
      <protection locked="0"/>
    </xf>
    <xf numFmtId="0" fontId="60" fillId="0" borderId="31" xfId="0" applyFont="1" applyBorder="1" applyAlignment="1" applyProtection="1">
      <alignment horizontal="center"/>
      <protection locked="0"/>
    </xf>
    <xf numFmtId="0" fontId="60" fillId="0" borderId="34" xfId="0" applyFont="1" applyBorder="1" applyAlignment="1" applyProtection="1">
      <alignment horizontal="center"/>
      <protection locked="0"/>
    </xf>
    <xf numFmtId="9" fontId="60" fillId="0" borderId="31" xfId="0" applyNumberFormat="1" applyFont="1" applyBorder="1" applyAlignment="1" applyProtection="1">
      <alignment horizontal="center"/>
      <protection locked="0"/>
    </xf>
    <xf numFmtId="0" fontId="59" fillId="0" borderId="29" xfId="0" applyFont="1" applyBorder="1" applyAlignment="1" applyProtection="1">
      <alignment horizontal="center"/>
      <protection locked="0"/>
    </xf>
    <xf numFmtId="0" fontId="59" fillId="0" borderId="22" xfId="0" applyFont="1" applyBorder="1" applyAlignment="1" applyProtection="1">
      <alignment horizontal="center"/>
      <protection locked="0"/>
    </xf>
    <xf numFmtId="0" fontId="58" fillId="0" borderId="18" xfId="0" applyFont="1" applyBorder="1" applyAlignment="1" applyProtection="1">
      <alignment horizontal="center"/>
      <protection locked="0"/>
    </xf>
    <xf numFmtId="0" fontId="65" fillId="0" borderId="35" xfId="0" applyFont="1" applyBorder="1" applyAlignment="1" applyProtection="1">
      <alignment horizontal="center"/>
      <protection locked="0"/>
    </xf>
    <xf numFmtId="0" fontId="60" fillId="0" borderId="35" xfId="0" applyFont="1" applyBorder="1" applyAlignment="1" applyProtection="1">
      <alignment horizontal="center"/>
      <protection locked="0"/>
    </xf>
    <xf numFmtId="0" fontId="60" fillId="0" borderId="38" xfId="0" applyFont="1" applyBorder="1" applyAlignment="1" applyProtection="1">
      <alignment horizontal="center"/>
      <protection locked="0"/>
    </xf>
    <xf numFmtId="9" fontId="60" fillId="0" borderId="35" xfId="0" applyNumberFormat="1" applyFont="1" applyBorder="1" applyAlignment="1" applyProtection="1">
      <alignment horizontal="center"/>
      <protection locked="0"/>
    </xf>
    <xf numFmtId="0" fontId="59" fillId="0" borderId="39" xfId="0" applyFont="1" applyBorder="1" applyAlignment="1" applyProtection="1">
      <alignment horizontal="center"/>
      <protection locked="0"/>
    </xf>
    <xf numFmtId="0" fontId="58" fillId="0" borderId="40" xfId="0" applyFont="1" applyBorder="1" applyAlignment="1" applyProtection="1">
      <alignment horizontal="center"/>
      <protection locked="0"/>
    </xf>
    <xf numFmtId="0" fontId="60" fillId="0" borderId="41" xfId="0" applyFont="1" applyBorder="1" applyAlignment="1" applyProtection="1">
      <alignment horizontal="center"/>
      <protection locked="0"/>
    </xf>
    <xf numFmtId="0" fontId="65" fillId="0" borderId="41" xfId="0" applyFont="1" applyBorder="1" applyAlignment="1" applyProtection="1">
      <alignment horizontal="center"/>
      <protection locked="0"/>
    </xf>
    <xf numFmtId="9" fontId="60" fillId="0" borderId="41" xfId="0" applyNumberFormat="1" applyFont="1" applyBorder="1" applyAlignment="1" applyProtection="1">
      <alignment horizontal="center"/>
      <protection locked="0"/>
    </xf>
    <xf numFmtId="0" fontId="59" fillId="0" borderId="16" xfId="0" applyFont="1" applyBorder="1" applyAlignment="1" applyProtection="1">
      <alignment horizontal="center"/>
      <protection locked="0"/>
    </xf>
    <xf numFmtId="0" fontId="59" fillId="0" borderId="21" xfId="0" applyFont="1" applyBorder="1" applyAlignment="1" applyProtection="1">
      <alignment horizontal="center"/>
      <protection locked="0"/>
    </xf>
    <xf numFmtId="0" fontId="58" fillId="0" borderId="20" xfId="0" applyFont="1" applyBorder="1" applyAlignment="1" applyProtection="1">
      <alignment horizontal="center"/>
      <protection locked="0"/>
    </xf>
    <xf numFmtId="9" fontId="57" fillId="0" borderId="5" xfId="0" applyNumberFormat="1" applyFont="1" applyBorder="1" applyAlignment="1" applyProtection="1">
      <alignment horizontal="center"/>
      <protection locked="0"/>
    </xf>
    <xf numFmtId="9" fontId="57" fillId="6" borderId="42" xfId="0" applyNumberFormat="1" applyFont="1" applyFill="1" applyBorder="1" applyAlignment="1" applyProtection="1">
      <alignment horizontal="center"/>
      <protection locked="0"/>
    </xf>
    <xf numFmtId="0" fontId="57" fillId="6" borderId="42" xfId="0" applyFont="1" applyFill="1" applyBorder="1" applyAlignment="1" applyProtection="1">
      <alignment horizontal="left"/>
      <protection locked="0"/>
    </xf>
    <xf numFmtId="0" fontId="67" fillId="0" borderId="0" xfId="0" applyFont="1" applyProtection="1">
      <protection locked="0"/>
    </xf>
    <xf numFmtId="0" fontId="67" fillId="0" borderId="0" xfId="0" applyFont="1" applyAlignment="1" applyProtection="1">
      <alignment horizontal="left"/>
      <protection locked="0"/>
    </xf>
    <xf numFmtId="0" fontId="61" fillId="0" borderId="0" xfId="0" applyFont="1" applyAlignment="1" applyProtection="1">
      <alignment horizontal="left"/>
      <protection locked="0"/>
    </xf>
    <xf numFmtId="0" fontId="66" fillId="0" borderId="0" xfId="0" applyFont="1" applyProtection="1">
      <protection locked="0"/>
    </xf>
    <xf numFmtId="0" fontId="60" fillId="0" borderId="0" xfId="0" applyFont="1" applyAlignment="1" applyProtection="1">
      <alignment horizontal="left"/>
      <protection locked="0"/>
    </xf>
    <xf numFmtId="14" fontId="60" fillId="0" borderId="42" xfId="0" applyNumberFormat="1" applyFont="1" applyBorder="1" applyAlignment="1" applyProtection="1">
      <alignment horizontal="left"/>
      <protection locked="0"/>
    </xf>
    <xf numFmtId="0" fontId="60" fillId="0" borderId="0" xfId="0" applyFont="1" applyAlignment="1" applyProtection="1">
      <alignment horizontal="center" vertical="center" wrapText="1"/>
      <protection locked="0"/>
    </xf>
    <xf numFmtId="0" fontId="58" fillId="0" borderId="43" xfId="0" applyFont="1" applyBorder="1" applyAlignment="1" applyProtection="1">
      <alignment horizontal="center"/>
      <protection locked="0"/>
    </xf>
    <xf numFmtId="0" fontId="60" fillId="0" borderId="44" xfId="0" applyFont="1" applyBorder="1" applyAlignment="1" applyProtection="1">
      <alignment horizontal="center"/>
      <protection locked="0"/>
    </xf>
    <xf numFmtId="0" fontId="58" fillId="0" borderId="21" xfId="0" applyFont="1" applyBorder="1" applyAlignment="1" applyProtection="1">
      <alignment horizontal="center"/>
      <protection locked="0"/>
    </xf>
    <xf numFmtId="0" fontId="58" fillId="0" borderId="45" xfId="0" applyFont="1" applyBorder="1" applyAlignment="1" applyProtection="1">
      <alignment horizontal="center"/>
      <protection locked="0"/>
    </xf>
    <xf numFmtId="9" fontId="59" fillId="0" borderId="0" xfId="0" applyNumberFormat="1" applyFont="1" applyProtection="1">
      <protection locked="0"/>
    </xf>
    <xf numFmtId="9" fontId="57" fillId="0" borderId="4" xfId="0" applyNumberFormat="1" applyFont="1" applyBorder="1" applyAlignment="1" applyProtection="1">
      <alignment horizontal="center"/>
      <protection locked="0"/>
    </xf>
    <xf numFmtId="0" fontId="58" fillId="0" borderId="0" xfId="0" applyFont="1" applyAlignment="1">
      <alignment horizontal="center"/>
    </xf>
    <xf numFmtId="0" fontId="64" fillId="0" borderId="0" xfId="0" applyFont="1" applyAlignment="1" applyProtection="1">
      <alignment horizontal="center"/>
      <protection locked="0"/>
    </xf>
    <xf numFmtId="0" fontId="70" fillId="0" borderId="0" xfId="0" applyFont="1" applyAlignment="1" applyProtection="1">
      <alignment vertical="center" wrapText="1"/>
      <protection locked="0"/>
    </xf>
    <xf numFmtId="0" fontId="58" fillId="0" borderId="0" xfId="0" applyFont="1" applyProtection="1">
      <protection locked="0"/>
    </xf>
    <xf numFmtId="0" fontId="70" fillId="0" borderId="0" xfId="0" applyFont="1" applyProtection="1">
      <protection locked="0"/>
    </xf>
    <xf numFmtId="0" fontId="69" fillId="0" borderId="0" xfId="0" applyFont="1" applyAlignment="1" applyProtection="1">
      <alignment horizontal="center"/>
      <protection locked="0"/>
    </xf>
    <xf numFmtId="0" fontId="69" fillId="0" borderId="0" xfId="0" applyFont="1" applyProtection="1">
      <protection locked="0"/>
    </xf>
    <xf numFmtId="0" fontId="59" fillId="0" borderId="0" xfId="0" applyFont="1" applyAlignment="1" applyProtection="1">
      <alignment horizontal="left"/>
      <protection locked="0"/>
    </xf>
    <xf numFmtId="14" fontId="59" fillId="0" borderId="0" xfId="0" applyNumberFormat="1" applyFont="1" applyProtection="1">
      <protection locked="0"/>
    </xf>
    <xf numFmtId="0" fontId="70" fillId="0" borderId="0" xfId="0" applyFont="1" applyAlignment="1" applyProtection="1">
      <alignment horizontal="right" vertical="center" wrapText="1"/>
      <protection locked="0"/>
    </xf>
    <xf numFmtId="0" fontId="60" fillId="6" borderId="0" xfId="0" applyFont="1" applyFill="1" applyProtection="1">
      <protection locked="0"/>
    </xf>
    <xf numFmtId="0" fontId="70" fillId="0" borderId="0" xfId="0" applyFont="1" applyAlignment="1" applyProtection="1">
      <alignment horizontal="right"/>
      <protection locked="0"/>
    </xf>
    <xf numFmtId="0" fontId="60" fillId="0" borderId="0" xfId="0" applyFont="1" applyAlignment="1" applyProtection="1">
      <alignment horizontal="right"/>
      <protection locked="0"/>
    </xf>
    <xf numFmtId="0" fontId="58" fillId="0" borderId="0" xfId="0" applyFont="1" applyAlignment="1" applyProtection="1">
      <alignment horizontal="left"/>
      <protection locked="0"/>
    </xf>
    <xf numFmtId="0" fontId="64" fillId="0" borderId="0" xfId="0" applyFont="1" applyAlignment="1" applyProtection="1">
      <alignment horizontal="left" vertical="center" wrapText="1"/>
      <protection locked="0"/>
    </xf>
    <xf numFmtId="0" fontId="59" fillId="0" borderId="0" xfId="0" applyFont="1" applyAlignment="1" applyProtection="1">
      <alignment horizontal="right"/>
      <protection locked="0"/>
    </xf>
    <xf numFmtId="14" fontId="74" fillId="0" borderId="0" xfId="0" applyNumberFormat="1" applyFont="1" applyAlignment="1">
      <alignment wrapText="1"/>
    </xf>
    <xf numFmtId="0" fontId="74" fillId="0" borderId="0" xfId="0" applyFont="1" applyAlignment="1">
      <alignment wrapText="1"/>
    </xf>
    <xf numFmtId="0" fontId="74" fillId="0" borderId="0" xfId="0" applyFont="1"/>
    <xf numFmtId="14" fontId="74" fillId="0" borderId="0" xfId="0" applyNumberFormat="1" applyFont="1"/>
    <xf numFmtId="49" fontId="74" fillId="0" borderId="0" xfId="0" applyNumberFormat="1" applyFont="1"/>
    <xf numFmtId="0" fontId="10" fillId="0" borderId="0" xfId="0" applyFont="1" applyAlignment="1">
      <alignment vertical="top" wrapText="1"/>
    </xf>
    <xf numFmtId="49" fontId="10" fillId="0" borderId="0" xfId="0" applyNumberFormat="1" applyFont="1" applyAlignment="1">
      <alignment vertical="top"/>
    </xf>
    <xf numFmtId="4" fontId="74" fillId="0" borderId="0" xfId="0" applyNumberFormat="1" applyFont="1"/>
    <xf numFmtId="0" fontId="75" fillId="0" borderId="0" xfId="0" applyFont="1" applyAlignment="1">
      <alignment wrapText="1"/>
    </xf>
    <xf numFmtId="0" fontId="75" fillId="0" borderId="0" xfId="0" applyFont="1"/>
    <xf numFmtId="14" fontId="75" fillId="0" borderId="0" xfId="0" applyNumberFormat="1" applyFont="1"/>
    <xf numFmtId="0" fontId="76" fillId="0" borderId="0" xfId="0" applyFont="1" applyAlignment="1">
      <alignment wrapText="1"/>
    </xf>
    <xf numFmtId="14" fontId="75" fillId="0" borderId="0" xfId="0" applyNumberFormat="1" applyFont="1" applyAlignment="1">
      <alignment wrapText="1"/>
    </xf>
    <xf numFmtId="0" fontId="52" fillId="0" borderId="13" xfId="6" quotePrefix="1" applyFont="1" applyBorder="1" applyAlignment="1">
      <alignment horizontal="center" vertical="center"/>
    </xf>
    <xf numFmtId="0" fontId="78" fillId="0" borderId="0" xfId="0" applyFont="1" applyAlignment="1">
      <alignment wrapText="1"/>
    </xf>
    <xf numFmtId="0" fontId="78" fillId="0" borderId="0" xfId="0" applyFont="1"/>
    <xf numFmtId="14" fontId="78" fillId="0" borderId="0" xfId="0" applyNumberFormat="1" applyFont="1"/>
    <xf numFmtId="49" fontId="78" fillId="0" borderId="0" xfId="0" applyNumberFormat="1" applyFont="1"/>
    <xf numFmtId="14" fontId="78" fillId="0" borderId="0" xfId="0" applyNumberFormat="1" applyFont="1" applyAlignment="1">
      <alignment wrapText="1"/>
    </xf>
    <xf numFmtId="8" fontId="78" fillId="0" borderId="0" xfId="0" applyNumberFormat="1" applyFont="1"/>
    <xf numFmtId="0" fontId="78" fillId="0" borderId="0" xfId="0" applyFont="1" applyAlignment="1">
      <alignment vertical="top" wrapText="1"/>
    </xf>
    <xf numFmtId="14" fontId="78" fillId="0" borderId="0" xfId="0" applyNumberFormat="1" applyFont="1" applyAlignment="1">
      <alignment vertical="top" wrapText="1"/>
    </xf>
    <xf numFmtId="0" fontId="78" fillId="0" borderId="0" xfId="0" applyFont="1" applyAlignment="1">
      <alignment vertical="top"/>
    </xf>
    <xf numFmtId="14" fontId="78" fillId="0" borderId="0" xfId="0" applyNumberFormat="1" applyFont="1" applyAlignment="1">
      <alignment vertical="top"/>
    </xf>
    <xf numFmtId="1" fontId="49" fillId="0" borderId="0" xfId="0" applyNumberFormat="1" applyFont="1" applyAlignment="1">
      <alignment wrapText="1"/>
    </xf>
    <xf numFmtId="1" fontId="49" fillId="0" borderId="0" xfId="0" applyNumberFormat="1" applyFont="1" applyAlignment="1">
      <alignment vertical="top" wrapText="1"/>
    </xf>
    <xf numFmtId="1" fontId="74" fillId="0" borderId="0" xfId="0" applyNumberFormat="1" applyFont="1" applyAlignment="1">
      <alignment wrapText="1"/>
    </xf>
    <xf numFmtId="1" fontId="10" fillId="0" borderId="0" xfId="0" applyNumberFormat="1" applyFont="1" applyAlignment="1">
      <alignment wrapText="1"/>
    </xf>
    <xf numFmtId="1" fontId="75" fillId="0" borderId="0" xfId="0" applyNumberFormat="1" applyFont="1" applyAlignment="1">
      <alignment wrapText="1"/>
    </xf>
    <xf numFmtId="1" fontId="78" fillId="0" borderId="0" xfId="0" applyNumberFormat="1" applyFont="1" applyAlignment="1">
      <alignment wrapText="1"/>
    </xf>
    <xf numFmtId="1" fontId="10" fillId="0" borderId="0" xfId="0" applyNumberFormat="1" applyFont="1" applyAlignment="1">
      <alignment vertical="top" wrapText="1"/>
    </xf>
    <xf numFmtId="1" fontId="10" fillId="0" borderId="0" xfId="0" applyNumberFormat="1" applyFont="1" applyAlignment="1">
      <alignment horizontal="right" wrapText="1"/>
    </xf>
    <xf numFmtId="1" fontId="78" fillId="0" borderId="0" xfId="0" applyNumberFormat="1" applyFont="1" applyAlignment="1">
      <alignment horizontal="right" vertical="top" wrapText="1"/>
    </xf>
    <xf numFmtId="49" fontId="78" fillId="0" borderId="0" xfId="0" applyNumberFormat="1" applyFont="1" applyAlignment="1">
      <alignment wrapText="1"/>
    </xf>
    <xf numFmtId="14" fontId="79" fillId="0" borderId="0" xfId="0" applyNumberFormat="1" applyFont="1" applyAlignment="1">
      <alignment wrapText="1"/>
    </xf>
    <xf numFmtId="0" fontId="79" fillId="0" borderId="0" xfId="0" applyFont="1" applyAlignment="1">
      <alignment wrapText="1"/>
    </xf>
    <xf numFmtId="0" fontId="79" fillId="0" borderId="0" xfId="0" applyFont="1"/>
    <xf numFmtId="14" fontId="79" fillId="0" borderId="0" xfId="0" applyNumberFormat="1" applyFont="1"/>
    <xf numFmtId="49" fontId="79" fillId="0" borderId="0" xfId="0" applyNumberFormat="1" applyFont="1"/>
    <xf numFmtId="1" fontId="79" fillId="0" borderId="0" xfId="0" applyNumberFormat="1" applyFont="1" applyAlignment="1">
      <alignment wrapText="1"/>
    </xf>
    <xf numFmtId="2" fontId="79" fillId="0" borderId="0" xfId="0" applyNumberFormat="1" applyFont="1"/>
    <xf numFmtId="0" fontId="10" fillId="0" borderId="0" xfId="0" applyFont="1" applyAlignment="1">
      <alignment horizontal="right" wrapText="1"/>
    </xf>
    <xf numFmtId="49" fontId="79" fillId="0" borderId="0" xfId="0" applyNumberFormat="1" applyFont="1" applyAlignment="1">
      <alignment wrapText="1"/>
    </xf>
    <xf numFmtId="0" fontId="22" fillId="0" borderId="13" xfId="3" quotePrefix="1" applyFont="1" applyBorder="1" applyAlignment="1">
      <alignment horizontal="center" vertical="center" wrapText="1"/>
    </xf>
    <xf numFmtId="4" fontId="79" fillId="0" borderId="0" xfId="0" applyNumberFormat="1" applyFont="1"/>
    <xf numFmtId="0" fontId="20" fillId="0" borderId="17" xfId="4" applyFont="1" applyBorder="1" applyAlignment="1" applyProtection="1">
      <alignment horizontal="center" vertical="center" wrapText="1"/>
    </xf>
    <xf numFmtId="0" fontId="79" fillId="0" borderId="0" xfId="0" quotePrefix="1" applyFont="1"/>
    <xf numFmtId="2" fontId="79" fillId="0" borderId="0" xfId="0" applyNumberFormat="1" applyFont="1" applyAlignment="1">
      <alignment wrapText="1"/>
    </xf>
    <xf numFmtId="14" fontId="10" fillId="0" borderId="0" xfId="0" applyNumberFormat="1" applyFont="1" applyAlignment="1">
      <alignment horizontal="right" wrapText="1"/>
    </xf>
    <xf numFmtId="0" fontId="24" fillId="0" borderId="13" xfId="4" applyBorder="1" applyAlignment="1" applyProtection="1">
      <alignment horizontal="center" vertical="center" wrapText="1"/>
    </xf>
    <xf numFmtId="2" fontId="10" fillId="0" borderId="0" xfId="0" applyNumberFormat="1" applyFont="1"/>
    <xf numFmtId="0" fontId="9" fillId="0" borderId="0" xfId="0" applyFont="1"/>
    <xf numFmtId="0" fontId="9" fillId="0" borderId="0" xfId="0" applyFont="1" applyAlignment="1">
      <alignment wrapText="1"/>
    </xf>
    <xf numFmtId="14" fontId="79" fillId="19" borderId="0" xfId="0" applyNumberFormat="1" applyFont="1" applyFill="1" applyAlignment="1">
      <alignment wrapText="1"/>
    </xf>
    <xf numFmtId="0" fontId="79" fillId="19" borderId="0" xfId="0" applyFont="1" applyFill="1" applyAlignment="1">
      <alignment wrapText="1"/>
    </xf>
    <xf numFmtId="0" fontId="79" fillId="19" borderId="0" xfId="0" applyFont="1" applyFill="1"/>
    <xf numFmtId="14" fontId="79" fillId="19" borderId="0" xfId="0" applyNumberFormat="1" applyFont="1" applyFill="1"/>
    <xf numFmtId="49" fontId="79" fillId="19" borderId="0" xfId="0" applyNumberFormat="1" applyFont="1" applyFill="1"/>
    <xf numFmtId="0" fontId="10" fillId="19" borderId="0" xfId="0" applyFont="1" applyFill="1"/>
    <xf numFmtId="14" fontId="79" fillId="20" borderId="0" xfId="0" applyNumberFormat="1" applyFont="1" applyFill="1" applyAlignment="1">
      <alignment wrapText="1"/>
    </xf>
    <xf numFmtId="0" fontId="79" fillId="20" borderId="0" xfId="0" applyFont="1" applyFill="1" applyAlignment="1">
      <alignment wrapText="1"/>
    </xf>
    <xf numFmtId="0" fontId="79" fillId="20" borderId="0" xfId="0" applyFont="1" applyFill="1"/>
    <xf numFmtId="14" fontId="79" fillId="20" borderId="0" xfId="0" applyNumberFormat="1" applyFont="1" applyFill="1"/>
    <xf numFmtId="0" fontId="79" fillId="20" borderId="0" xfId="0" applyFont="1" applyFill="1" applyAlignment="1">
      <alignment vertical="center" wrapText="1"/>
    </xf>
    <xf numFmtId="49" fontId="79" fillId="20" borderId="0" xfId="0" applyNumberFormat="1" applyFont="1" applyFill="1"/>
    <xf numFmtId="0" fontId="10" fillId="20" borderId="0" xfId="0" applyFont="1" applyFill="1"/>
    <xf numFmtId="14" fontId="82" fillId="20" borderId="0" xfId="0" applyNumberFormat="1" applyFont="1" applyFill="1" applyAlignment="1">
      <alignment wrapText="1"/>
    </xf>
    <xf numFmtId="0" fontId="81" fillId="20" borderId="0" xfId="0" applyFont="1" applyFill="1" applyAlignment="1">
      <alignment wrapText="1"/>
    </xf>
    <xf numFmtId="14" fontId="79" fillId="21" borderId="0" xfId="0" applyNumberFormat="1" applyFont="1" applyFill="1" applyAlignment="1">
      <alignment wrapText="1"/>
    </xf>
    <xf numFmtId="1" fontId="79" fillId="21" borderId="0" xfId="0" applyNumberFormat="1" applyFont="1" applyFill="1" applyAlignment="1">
      <alignment wrapText="1"/>
    </xf>
    <xf numFmtId="0" fontId="10" fillId="21" borderId="0" xfId="0" applyFont="1" applyFill="1" applyAlignment="1">
      <alignment wrapText="1"/>
    </xf>
    <xf numFmtId="0" fontId="10" fillId="21" borderId="0" xfId="0" applyFont="1" applyFill="1"/>
    <xf numFmtId="0" fontId="79" fillId="21" borderId="0" xfId="0" applyFont="1" applyFill="1"/>
    <xf numFmtId="14" fontId="79" fillId="21" borderId="0" xfId="0" applyNumberFormat="1" applyFont="1" applyFill="1"/>
    <xf numFmtId="0" fontId="38" fillId="21" borderId="0" xfId="0" applyFont="1" applyFill="1" applyAlignment="1">
      <alignment vertical="center" wrapText="1"/>
    </xf>
    <xf numFmtId="49" fontId="10" fillId="21" borderId="0" xfId="0" applyNumberFormat="1" applyFont="1" applyFill="1"/>
    <xf numFmtId="4" fontId="79" fillId="21" borderId="0" xfId="0" applyNumberFormat="1" applyFont="1" applyFill="1"/>
    <xf numFmtId="0" fontId="79" fillId="21" borderId="0" xfId="0" applyFont="1" applyFill="1" applyAlignment="1">
      <alignment wrapText="1"/>
    </xf>
    <xf numFmtId="0" fontId="10" fillId="21" borderId="0" xfId="0" applyFont="1" applyFill="1" applyAlignment="1">
      <alignment horizontal="left"/>
    </xf>
    <xf numFmtId="14" fontId="10" fillId="21" borderId="0" xfId="0" applyNumberFormat="1" applyFont="1" applyFill="1"/>
    <xf numFmtId="49" fontId="79" fillId="21" borderId="0" xfId="0" applyNumberFormat="1" applyFont="1" applyFill="1"/>
    <xf numFmtId="0" fontId="79" fillId="21" borderId="0" xfId="0" applyFont="1" applyFill="1" applyAlignment="1">
      <alignment horizontal="left" vertical="top" wrapText="1"/>
    </xf>
    <xf numFmtId="0" fontId="79" fillId="21" borderId="0" xfId="0" applyFont="1" applyFill="1" applyAlignment="1">
      <alignment horizontal="left" wrapText="1"/>
    </xf>
    <xf numFmtId="0" fontId="79" fillId="7" borderId="0" xfId="0" applyFont="1" applyFill="1"/>
    <xf numFmtId="49" fontId="79" fillId="7" borderId="0" xfId="0" applyNumberFormat="1" applyFont="1" applyFill="1"/>
    <xf numFmtId="0" fontId="10" fillId="7" borderId="0" xfId="0" applyFont="1" applyFill="1" applyAlignment="1">
      <alignment wrapText="1"/>
    </xf>
    <xf numFmtId="16" fontId="10" fillId="0" borderId="0" xfId="0" applyNumberFormat="1" applyFont="1"/>
    <xf numFmtId="0" fontId="79" fillId="7" borderId="0" xfId="0" applyFont="1" applyFill="1" applyAlignment="1">
      <alignment wrapText="1"/>
    </xf>
    <xf numFmtId="0" fontId="10" fillId="7" borderId="0" xfId="0" applyFont="1" applyFill="1"/>
    <xf numFmtId="2" fontId="47" fillId="7" borderId="0" xfId="0" applyNumberFormat="1" applyFont="1" applyFill="1"/>
    <xf numFmtId="14" fontId="10" fillId="7" borderId="0" xfId="0" applyNumberFormat="1" applyFont="1" applyFill="1"/>
    <xf numFmtId="14" fontId="10" fillId="22" borderId="0" xfId="0" applyNumberFormat="1" applyFont="1" applyFill="1" applyAlignment="1">
      <alignment wrapText="1"/>
    </xf>
    <xf numFmtId="1" fontId="10" fillId="22" borderId="0" xfId="0" applyNumberFormat="1" applyFont="1" applyFill="1" applyAlignment="1">
      <alignment wrapText="1"/>
    </xf>
    <xf numFmtId="0" fontId="10" fillId="22" borderId="0" xfId="0" applyFont="1" applyFill="1" applyAlignment="1">
      <alignment wrapText="1"/>
    </xf>
    <xf numFmtId="0" fontId="79" fillId="22" borderId="0" xfId="0" applyFont="1" applyFill="1" applyAlignment="1">
      <alignment wrapText="1"/>
    </xf>
    <xf numFmtId="0" fontId="10" fillId="22" borderId="0" xfId="0" applyFont="1" applyFill="1"/>
    <xf numFmtId="2" fontId="47" fillId="22" borderId="0" xfId="0" applyNumberFormat="1" applyFont="1" applyFill="1"/>
    <xf numFmtId="14" fontId="10" fillId="22" borderId="0" xfId="0" applyNumberFormat="1" applyFont="1" applyFill="1"/>
    <xf numFmtId="0" fontId="10" fillId="22" borderId="0" xfId="0" applyFont="1" applyFill="1" applyAlignment="1">
      <alignment vertical="center" wrapText="1"/>
    </xf>
    <xf numFmtId="49" fontId="10" fillId="22" borderId="0" xfId="0" applyNumberFormat="1" applyFont="1" applyFill="1"/>
    <xf numFmtId="1" fontId="79" fillId="19" borderId="0" xfId="0" applyNumberFormat="1" applyFont="1" applyFill="1" applyAlignment="1">
      <alignment wrapText="1"/>
    </xf>
    <xf numFmtId="2" fontId="47" fillId="19" borderId="0" xfId="0" applyNumberFormat="1" applyFont="1" applyFill="1"/>
    <xf numFmtId="0" fontId="38" fillId="19" borderId="0" xfId="0" applyFont="1" applyFill="1" applyAlignment="1">
      <alignment vertical="center" wrapText="1"/>
    </xf>
    <xf numFmtId="14" fontId="79" fillId="7" borderId="0" xfId="0" applyNumberFormat="1" applyFont="1" applyFill="1" applyAlignment="1">
      <alignment wrapText="1"/>
    </xf>
    <xf numFmtId="1" fontId="79" fillId="7" borderId="0" xfId="0" applyNumberFormat="1" applyFont="1" applyFill="1" applyAlignment="1">
      <alignment wrapText="1"/>
    </xf>
    <xf numFmtId="14" fontId="79" fillId="7" borderId="0" xfId="0" applyNumberFormat="1" applyFont="1" applyFill="1"/>
    <xf numFmtId="0" fontId="50" fillId="16" borderId="13" xfId="3" applyFont="1" applyFill="1" applyBorder="1" applyAlignment="1">
      <alignment horizontal="center" vertical="center"/>
    </xf>
    <xf numFmtId="0" fontId="22" fillId="16" borderId="13" xfId="3" applyFont="1" applyFill="1" applyBorder="1" applyAlignment="1">
      <alignment horizontal="center" vertical="center" wrapText="1"/>
    </xf>
    <xf numFmtId="0" fontId="20" fillId="16" borderId="13" xfId="3" applyFont="1" applyFill="1" applyBorder="1" applyAlignment="1">
      <alignment horizontal="center" vertical="center" wrapText="1"/>
    </xf>
    <xf numFmtId="0" fontId="20" fillId="16" borderId="13" xfId="4" applyFont="1" applyFill="1" applyBorder="1" applyAlignment="1" applyProtection="1">
      <alignment horizontal="center" vertical="center" wrapText="1"/>
    </xf>
    <xf numFmtId="0" fontId="52" fillId="16" borderId="13" xfId="6" quotePrefix="1" applyFont="1" applyFill="1" applyBorder="1" applyAlignment="1">
      <alignment horizontal="center" vertical="center"/>
    </xf>
    <xf numFmtId="0" fontId="52" fillId="16" borderId="13" xfId="6" quotePrefix="1" applyFont="1" applyFill="1" applyBorder="1" applyAlignment="1">
      <alignment horizontal="center" vertical="center" wrapText="1"/>
    </xf>
    <xf numFmtId="0" fontId="52" fillId="16" borderId="13" xfId="6" applyFont="1" applyFill="1" applyBorder="1" applyAlignment="1">
      <alignment horizontal="center" vertical="center" wrapText="1"/>
    </xf>
    <xf numFmtId="9" fontId="22" fillId="16" borderId="13" xfId="7" applyFont="1" applyFill="1" applyBorder="1" applyAlignment="1">
      <alignment horizontal="center" vertical="center"/>
    </xf>
    <xf numFmtId="14" fontId="3" fillId="16" borderId="13" xfId="6" applyNumberFormat="1" applyFont="1" applyFill="1" applyBorder="1" applyAlignment="1">
      <alignment horizontal="center" vertical="center" wrapText="1"/>
    </xf>
    <xf numFmtId="0" fontId="52" fillId="16" borderId="13" xfId="6" applyFont="1" applyFill="1" applyBorder="1" applyAlignment="1">
      <alignment horizontal="center" vertical="center"/>
    </xf>
    <xf numFmtId="0" fontId="22" fillId="16" borderId="13" xfId="3" quotePrefix="1" applyFont="1" applyFill="1" applyBorder="1" applyAlignment="1">
      <alignment horizontal="center" vertical="center" wrapText="1"/>
    </xf>
    <xf numFmtId="0" fontId="23" fillId="16" borderId="13" xfId="4" applyFont="1" applyFill="1" applyBorder="1" applyAlignment="1" applyProtection="1">
      <alignment horizontal="center" vertical="center" wrapText="1"/>
    </xf>
    <xf numFmtId="0" fontId="24" fillId="16" borderId="13" xfId="4" applyFill="1" applyBorder="1" applyAlignment="1" applyProtection="1">
      <alignment horizontal="center" vertical="center" wrapText="1"/>
    </xf>
    <xf numFmtId="0" fontId="23" fillId="16" borderId="13" xfId="3" applyFont="1" applyFill="1" applyBorder="1" applyAlignment="1">
      <alignment horizontal="center" vertical="center" wrapText="1"/>
    </xf>
    <xf numFmtId="0" fontId="50" fillId="23" borderId="13" xfId="4" applyFont="1" applyFill="1" applyBorder="1" applyAlignment="1" applyProtection="1">
      <alignment horizontal="center" vertical="center" wrapText="1"/>
    </xf>
    <xf numFmtId="0" fontId="22" fillId="23" borderId="13" xfId="3" applyFont="1" applyFill="1" applyBorder="1" applyAlignment="1">
      <alignment horizontal="center" vertical="center" wrapText="1"/>
    </xf>
    <xf numFmtId="0" fontId="20" fillId="23" borderId="13" xfId="3" applyFont="1" applyFill="1" applyBorder="1" applyAlignment="1">
      <alignment horizontal="center" vertical="center" wrapText="1"/>
    </xf>
    <xf numFmtId="0" fontId="23" fillId="23" borderId="13" xfId="3" quotePrefix="1" applyFont="1" applyFill="1" applyBorder="1" applyAlignment="1">
      <alignment horizontal="center"/>
    </xf>
    <xf numFmtId="0" fontId="20" fillId="23" borderId="13" xfId="4" applyFont="1" applyFill="1" applyBorder="1" applyAlignment="1" applyProtection="1">
      <alignment horizontal="center" vertical="center" wrapText="1"/>
    </xf>
    <xf numFmtId="0" fontId="73" fillId="23" borderId="13" xfId="4" applyFont="1" applyFill="1" applyBorder="1" applyAlignment="1" applyProtection="1">
      <alignment horizontal="center" vertical="center" wrapText="1"/>
    </xf>
    <xf numFmtId="0" fontId="24" fillId="23" borderId="13" xfId="4" quotePrefix="1" applyFill="1" applyBorder="1" applyAlignment="1" applyProtection="1">
      <alignment horizontal="center" vertical="center" wrapText="1"/>
    </xf>
    <xf numFmtId="0" fontId="20" fillId="16" borderId="17" xfId="4" applyFont="1" applyFill="1" applyBorder="1" applyAlignment="1" applyProtection="1">
      <alignment horizontal="center" vertical="center" wrapText="1"/>
    </xf>
    <xf numFmtId="0" fontId="50" fillId="16" borderId="13" xfId="4" applyFont="1" applyFill="1" applyBorder="1" applyAlignment="1" applyProtection="1">
      <alignment horizontal="center" vertical="center" wrapText="1"/>
    </xf>
    <xf numFmtId="0" fontId="24" fillId="16" borderId="13" xfId="4" quotePrefix="1" applyFill="1" applyBorder="1" applyAlignment="1" applyProtection="1">
      <alignment horizontal="center"/>
    </xf>
    <xf numFmtId="14" fontId="87" fillId="0" borderId="0" xfId="0" applyNumberFormat="1" applyFont="1" applyAlignment="1" applyProtection="1">
      <alignment horizontal="center" vertical="center"/>
      <protection locked="0"/>
    </xf>
    <xf numFmtId="0" fontId="88" fillId="0" borderId="0" xfId="0" applyFont="1" applyAlignment="1" applyProtection="1">
      <alignment horizontal="center"/>
      <protection locked="0"/>
    </xf>
    <xf numFmtId="0" fontId="88" fillId="0" borderId="0" xfId="0" applyFont="1" applyProtection="1">
      <protection locked="0"/>
    </xf>
    <xf numFmtId="0" fontId="30" fillId="0" borderId="0" xfId="0" applyFont="1" applyProtection="1">
      <protection locked="0"/>
    </xf>
    <xf numFmtId="0" fontId="30" fillId="0" borderId="0" xfId="0" applyFont="1" applyAlignment="1" applyProtection="1">
      <alignment horizontal="center"/>
      <protection locked="0"/>
    </xf>
    <xf numFmtId="0" fontId="86" fillId="0" borderId="0" xfId="0" applyFont="1" applyAlignment="1" applyProtection="1">
      <alignment horizontal="center"/>
      <protection locked="0"/>
    </xf>
    <xf numFmtId="0" fontId="86" fillId="0" borderId="0" xfId="0" applyFont="1" applyAlignment="1" applyProtection="1">
      <alignment horizontal="center" vertical="center"/>
      <protection locked="0"/>
    </xf>
    <xf numFmtId="0" fontId="88" fillId="0" borderId="0" xfId="0" applyFont="1" applyAlignment="1" applyProtection="1">
      <alignment horizontal="center" vertical="center" wrapText="1"/>
      <protection locked="0"/>
    </xf>
    <xf numFmtId="0" fontId="88" fillId="0" borderId="0" xfId="0" applyFont="1" applyAlignment="1" applyProtection="1">
      <alignment horizontal="left" vertical="center" wrapText="1"/>
      <protection locked="0"/>
    </xf>
    <xf numFmtId="0" fontId="30" fillId="0" borderId="0" xfId="0" applyFont="1" applyAlignment="1" applyProtection="1">
      <alignment horizontal="left" vertical="center" wrapText="1"/>
      <protection locked="0"/>
    </xf>
    <xf numFmtId="0" fontId="86" fillId="0" borderId="0" xfId="0" applyFont="1" applyAlignment="1" applyProtection="1">
      <alignment horizontal="left"/>
      <protection locked="0"/>
    </xf>
    <xf numFmtId="0" fontId="30" fillId="0" borderId="18" xfId="0" applyFont="1" applyBorder="1" applyAlignment="1" applyProtection="1">
      <alignment horizontal="center" vertical="center"/>
      <protection locked="0"/>
    </xf>
    <xf numFmtId="0" fontId="30" fillId="0" borderId="13" xfId="0" applyFont="1" applyBorder="1" applyAlignment="1" applyProtection="1">
      <alignment horizontal="center"/>
      <protection locked="0"/>
    </xf>
    <xf numFmtId="0" fontId="86" fillId="0" borderId="13" xfId="0" applyFont="1" applyBorder="1" applyAlignment="1" applyProtection="1">
      <alignment horizontal="center" vertical="center" wrapText="1"/>
      <protection locked="0"/>
    </xf>
    <xf numFmtId="0" fontId="86" fillId="0" borderId="17" xfId="0" applyFont="1" applyBorder="1" applyAlignment="1" applyProtection="1">
      <alignment horizontal="center" vertical="center" wrapText="1"/>
      <protection locked="0"/>
    </xf>
    <xf numFmtId="0" fontId="30" fillId="0" borderId="13" xfId="0" applyFont="1" applyBorder="1" applyAlignment="1" applyProtection="1">
      <alignment horizontal="center" vertical="center" wrapText="1"/>
      <protection locked="0"/>
    </xf>
    <xf numFmtId="0" fontId="87" fillId="0" borderId="0" xfId="0" applyFont="1" applyAlignment="1" applyProtection="1">
      <alignment horizontal="center"/>
      <protection locked="0"/>
    </xf>
    <xf numFmtId="0" fontId="91" fillId="0" borderId="0" xfId="0" applyFont="1" applyProtection="1">
      <protection locked="0"/>
    </xf>
    <xf numFmtId="0" fontId="92" fillId="0" borderId="31" xfId="0" applyFont="1" applyBorder="1" applyAlignment="1" applyProtection="1">
      <alignment horizontal="center"/>
      <protection locked="0"/>
    </xf>
    <xf numFmtId="0" fontId="30" fillId="0" borderId="31" xfId="0" applyFont="1" applyBorder="1" applyAlignment="1" applyProtection="1">
      <alignment horizontal="center"/>
      <protection locked="0"/>
    </xf>
    <xf numFmtId="0" fontId="30" fillId="0" borderId="34" xfId="0" applyFont="1" applyBorder="1" applyAlignment="1" applyProtection="1">
      <alignment horizontal="center"/>
      <protection locked="0"/>
    </xf>
    <xf numFmtId="9" fontId="30" fillId="0" borderId="31" xfId="0" applyNumberFormat="1" applyFont="1" applyBorder="1" applyAlignment="1" applyProtection="1">
      <alignment horizontal="center"/>
      <protection locked="0"/>
    </xf>
    <xf numFmtId="0" fontId="88" fillId="0" borderId="29" xfId="0" applyFont="1" applyBorder="1" applyAlignment="1" applyProtection="1">
      <alignment horizontal="center"/>
      <protection locked="0"/>
    </xf>
    <xf numFmtId="0" fontId="88" fillId="0" borderId="22" xfId="0" applyFont="1" applyBorder="1" applyAlignment="1" applyProtection="1">
      <alignment horizontal="center"/>
      <protection locked="0"/>
    </xf>
    <xf numFmtId="0" fontId="87" fillId="0" borderId="18" xfId="0" applyFont="1" applyBorder="1" applyAlignment="1" applyProtection="1">
      <alignment horizontal="center"/>
      <protection locked="0"/>
    </xf>
    <xf numFmtId="0" fontId="92" fillId="0" borderId="35" xfId="0" applyFont="1" applyBorder="1" applyAlignment="1" applyProtection="1">
      <alignment horizontal="center"/>
      <protection locked="0"/>
    </xf>
    <xf numFmtId="0" fontId="30" fillId="0" borderId="35" xfId="0" applyFont="1" applyBorder="1" applyAlignment="1" applyProtection="1">
      <alignment horizontal="center"/>
      <protection locked="0"/>
    </xf>
    <xf numFmtId="0" fontId="30" fillId="0" borderId="38" xfId="0" applyFont="1" applyBorder="1" applyAlignment="1" applyProtection="1">
      <alignment horizontal="center"/>
      <protection locked="0"/>
    </xf>
    <xf numFmtId="9" fontId="30" fillId="0" borderId="35" xfId="0" applyNumberFormat="1" applyFont="1" applyBorder="1" applyAlignment="1" applyProtection="1">
      <alignment horizontal="center"/>
      <protection locked="0"/>
    </xf>
    <xf numFmtId="0" fontId="88" fillId="0" borderId="39" xfId="0" applyFont="1" applyBorder="1" applyAlignment="1" applyProtection="1">
      <alignment horizontal="center"/>
      <protection locked="0"/>
    </xf>
    <xf numFmtId="0" fontId="87" fillId="0" borderId="40" xfId="0" applyFont="1" applyBorder="1" applyAlignment="1" applyProtection="1">
      <alignment horizontal="center"/>
      <protection locked="0"/>
    </xf>
    <xf numFmtId="0" fontId="30" fillId="0" borderId="41" xfId="0" applyFont="1" applyBorder="1" applyAlignment="1" applyProtection="1">
      <alignment horizontal="center"/>
      <protection locked="0"/>
    </xf>
    <xf numFmtId="0" fontId="92" fillId="0" borderId="41" xfId="0" applyFont="1" applyBorder="1" applyAlignment="1" applyProtection="1">
      <alignment horizontal="center"/>
      <protection locked="0"/>
    </xf>
    <xf numFmtId="9" fontId="30" fillId="0" borderId="41" xfId="0" applyNumberFormat="1" applyFont="1" applyBorder="1" applyAlignment="1" applyProtection="1">
      <alignment horizontal="center"/>
      <protection locked="0"/>
    </xf>
    <xf numFmtId="0" fontId="88" fillId="0" borderId="16" xfId="0" applyFont="1" applyBorder="1" applyAlignment="1" applyProtection="1">
      <alignment horizontal="center"/>
      <protection locked="0"/>
    </xf>
    <xf numFmtId="0" fontId="88" fillId="0" borderId="21" xfId="0" applyFont="1" applyBorder="1" applyAlignment="1" applyProtection="1">
      <alignment horizontal="center"/>
      <protection locked="0"/>
    </xf>
    <xf numFmtId="0" fontId="87" fillId="0" borderId="20" xfId="0" applyFont="1" applyBorder="1" applyAlignment="1" applyProtection="1">
      <alignment horizontal="center"/>
      <protection locked="0"/>
    </xf>
    <xf numFmtId="9" fontId="86" fillId="0" borderId="5" xfId="0" applyNumberFormat="1" applyFont="1" applyBorder="1" applyAlignment="1" applyProtection="1">
      <alignment horizontal="center"/>
      <protection locked="0"/>
    </xf>
    <xf numFmtId="9" fontId="86" fillId="6" borderId="42" xfId="0" applyNumberFormat="1" applyFont="1" applyFill="1" applyBorder="1" applyAlignment="1" applyProtection="1">
      <alignment horizontal="center"/>
      <protection locked="0"/>
    </xf>
    <xf numFmtId="0" fontId="86" fillId="6" borderId="42" xfId="0" applyFont="1" applyFill="1" applyBorder="1" applyAlignment="1" applyProtection="1">
      <alignment horizontal="left"/>
      <protection locked="0"/>
    </xf>
    <xf numFmtId="0" fontId="93" fillId="0" borderId="0" xfId="0" applyFont="1" applyProtection="1">
      <protection locked="0"/>
    </xf>
    <xf numFmtId="0" fontId="93" fillId="0" borderId="0" xfId="0" applyFont="1" applyAlignment="1" applyProtection="1">
      <alignment horizontal="left"/>
      <protection locked="0"/>
    </xf>
    <xf numFmtId="0" fontId="89" fillId="0" borderId="0" xfId="0" applyFont="1" applyAlignment="1" applyProtection="1">
      <alignment horizontal="left"/>
      <protection locked="0"/>
    </xf>
    <xf numFmtId="0" fontId="9" fillId="0" borderId="0" xfId="0" applyFont="1" applyProtection="1">
      <protection locked="0"/>
    </xf>
    <xf numFmtId="0" fontId="30" fillId="0" borderId="0" xfId="0" applyFont="1" applyAlignment="1" applyProtection="1">
      <alignment horizontal="left"/>
      <protection locked="0"/>
    </xf>
    <xf numFmtId="14" fontId="30" fillId="0" borderId="42" xfId="0" applyNumberFormat="1" applyFont="1" applyBorder="1" applyAlignment="1" applyProtection="1">
      <alignment horizontal="left"/>
      <protection locked="0"/>
    </xf>
    <xf numFmtId="0" fontId="30" fillId="0" borderId="0" xfId="0" applyFont="1" applyAlignment="1" applyProtection="1">
      <alignment horizontal="center" vertical="center" wrapText="1"/>
      <protection locked="0"/>
    </xf>
    <xf numFmtId="0" fontId="87" fillId="0" borderId="43" xfId="0" applyFont="1" applyBorder="1" applyAlignment="1" applyProtection="1">
      <alignment horizontal="center"/>
      <protection locked="0"/>
    </xf>
    <xf numFmtId="0" fontId="30" fillId="0" borderId="44" xfId="0" applyFont="1" applyBorder="1" applyAlignment="1" applyProtection="1">
      <alignment horizontal="center"/>
      <protection locked="0"/>
    </xf>
    <xf numFmtId="0" fontId="87" fillId="0" borderId="21" xfId="0" applyFont="1" applyBorder="1" applyAlignment="1" applyProtection="1">
      <alignment horizontal="center"/>
      <protection locked="0"/>
    </xf>
    <xf numFmtId="0" fontId="87" fillId="0" borderId="45" xfId="0" applyFont="1" applyBorder="1" applyAlignment="1" applyProtection="1">
      <alignment horizontal="center"/>
      <protection locked="0"/>
    </xf>
    <xf numFmtId="9" fontId="88" fillId="0" borderId="0" xfId="0" applyNumberFormat="1" applyFont="1" applyProtection="1">
      <protection locked="0"/>
    </xf>
    <xf numFmtId="9" fontId="86" fillId="0" borderId="4" xfId="0" applyNumberFormat="1" applyFont="1" applyBorder="1" applyAlignment="1" applyProtection="1">
      <alignment horizontal="center"/>
      <protection locked="0"/>
    </xf>
    <xf numFmtId="0" fontId="87" fillId="0" borderId="0" xfId="0" applyFont="1" applyAlignment="1">
      <alignment horizontal="center"/>
    </xf>
    <xf numFmtId="0" fontId="91" fillId="0" borderId="0" xfId="0" applyFont="1" applyAlignment="1" applyProtection="1">
      <alignment horizontal="center"/>
      <protection locked="0"/>
    </xf>
    <xf numFmtId="0" fontId="26" fillId="0" borderId="0" xfId="0" applyFont="1" applyAlignment="1" applyProtection="1">
      <alignment vertical="center" wrapText="1"/>
      <protection locked="0"/>
    </xf>
    <xf numFmtId="0" fontId="87" fillId="0" borderId="0" xfId="0" applyFont="1" applyProtection="1">
      <protection locked="0"/>
    </xf>
    <xf numFmtId="0" fontId="26" fillId="0" borderId="0" xfId="0" applyFont="1" applyProtection="1">
      <protection locked="0"/>
    </xf>
    <xf numFmtId="0" fontId="95" fillId="0" borderId="0" xfId="0" applyFont="1" applyAlignment="1" applyProtection="1">
      <alignment horizontal="center"/>
      <protection locked="0"/>
    </xf>
    <xf numFmtId="0" fontId="95" fillId="0" borderId="0" xfId="0" applyFont="1" applyProtection="1">
      <protection locked="0"/>
    </xf>
    <xf numFmtId="0" fontId="88" fillId="0" borderId="0" xfId="0" applyFont="1" applyAlignment="1" applyProtection="1">
      <alignment horizontal="left"/>
      <protection locked="0"/>
    </xf>
    <xf numFmtId="14" fontId="88" fillId="0" borderId="0" xfId="0" applyNumberFormat="1" applyFont="1" applyProtection="1">
      <protection locked="0"/>
    </xf>
    <xf numFmtId="0" fontId="26" fillId="0" borderId="0" xfId="0" applyFont="1" applyAlignment="1" applyProtection="1">
      <alignment horizontal="right" vertical="center" wrapText="1"/>
      <protection locked="0"/>
    </xf>
    <xf numFmtId="0" fontId="30" fillId="6" borderId="0" xfId="0" applyFont="1" applyFill="1" applyProtection="1">
      <protection locked="0"/>
    </xf>
    <xf numFmtId="0" fontId="26" fillId="0" borderId="0" xfId="0" applyFont="1" applyAlignment="1" applyProtection="1">
      <alignment horizontal="right"/>
      <protection locked="0"/>
    </xf>
    <xf numFmtId="0" fontId="30" fillId="0" borderId="0" xfId="0" applyFont="1" applyAlignment="1" applyProtection="1">
      <alignment horizontal="right"/>
      <protection locked="0"/>
    </xf>
    <xf numFmtId="0" fontId="87" fillId="0" borderId="0" xfId="0" applyFont="1" applyAlignment="1" applyProtection="1">
      <alignment horizontal="left"/>
      <protection locked="0"/>
    </xf>
    <xf numFmtId="0" fontId="91" fillId="0" borderId="0" xfId="0" applyFont="1" applyAlignment="1" applyProtection="1">
      <alignment horizontal="left" vertical="center" wrapText="1"/>
      <protection locked="0"/>
    </xf>
    <xf numFmtId="0" fontId="88" fillId="0" borderId="0" xfId="0" applyFont="1" applyAlignment="1" applyProtection="1">
      <alignment horizontal="right"/>
      <protection locked="0"/>
    </xf>
    <xf numFmtId="0" fontId="22" fillId="16" borderId="0" xfId="3" applyFont="1" applyFill="1" applyAlignment="1">
      <alignment horizontal="center" vertical="center" wrapText="1"/>
    </xf>
    <xf numFmtId="0" fontId="20" fillId="0" borderId="18" xfId="3" applyFont="1" applyBorder="1" applyAlignment="1">
      <alignment horizontal="center" vertical="center" wrapText="1"/>
    </xf>
    <xf numFmtId="0" fontId="22" fillId="0" borderId="19" xfId="3" applyFont="1" applyBorder="1" applyAlignment="1">
      <alignment horizontal="center" vertical="center" wrapText="1"/>
    </xf>
    <xf numFmtId="0" fontId="22" fillId="0" borderId="20" xfId="3" applyFont="1" applyBorder="1" applyAlignment="1">
      <alignment horizontal="center" vertical="center" wrapText="1"/>
    </xf>
    <xf numFmtId="0" fontId="53" fillId="0" borderId="13" xfId="3" applyFont="1" applyBorder="1" applyAlignment="1">
      <alignment horizontal="left" vertical="center" wrapText="1"/>
    </xf>
    <xf numFmtId="0" fontId="53" fillId="0" borderId="13" xfId="3" applyFont="1" applyBorder="1" applyAlignment="1">
      <alignment horizontal="left" vertical="center"/>
    </xf>
    <xf numFmtId="0" fontId="53" fillId="0" borderId="13" xfId="4" applyFont="1" applyFill="1" applyBorder="1" applyAlignment="1" applyProtection="1">
      <alignment horizontal="left" vertical="center" wrapText="1"/>
    </xf>
    <xf numFmtId="0" fontId="50" fillId="15" borderId="13" xfId="3" applyFont="1" applyFill="1" applyBorder="1" applyAlignment="1">
      <alignment horizontal="center" vertical="center"/>
    </xf>
    <xf numFmtId="0" fontId="22" fillId="15" borderId="13" xfId="3" applyFont="1" applyFill="1" applyBorder="1" applyAlignment="1">
      <alignment horizontal="center" vertical="center" wrapText="1"/>
    </xf>
    <xf numFmtId="0" fontId="20" fillId="15" borderId="13" xfId="3" applyFont="1" applyFill="1" applyBorder="1" applyAlignment="1">
      <alignment horizontal="center" vertical="center" wrapText="1"/>
    </xf>
    <xf numFmtId="0" fontId="20" fillId="15" borderId="13" xfId="3" applyFont="1" applyFill="1" applyBorder="1" applyAlignment="1">
      <alignment horizontal="center" vertical="center"/>
    </xf>
    <xf numFmtId="0" fontId="20" fillId="15" borderId="13" xfId="4" applyFont="1" applyFill="1" applyBorder="1" applyAlignment="1" applyProtection="1">
      <alignment horizontal="center" vertical="center" wrapText="1"/>
    </xf>
    <xf numFmtId="0" fontId="22" fillId="15" borderId="13" xfId="3" quotePrefix="1" applyFont="1" applyFill="1" applyBorder="1" applyAlignment="1">
      <alignment horizontal="center" vertical="center" wrapText="1"/>
    </xf>
    <xf numFmtId="0" fontId="22" fillId="15" borderId="0" xfId="3" applyFont="1" applyFill="1" applyAlignment="1">
      <alignment horizontal="center" vertical="center" wrapText="1"/>
    </xf>
    <xf numFmtId="0" fontId="23" fillId="15" borderId="13" xfId="3" applyFont="1" applyFill="1" applyBorder="1" applyAlignment="1">
      <alignment horizontal="center" vertical="center" wrapText="1"/>
    </xf>
    <xf numFmtId="0" fontId="9" fillId="0" borderId="0" xfId="3"/>
    <xf numFmtId="49" fontId="89" fillId="0" borderId="47" xfId="3" applyNumberFormat="1" applyFont="1" applyBorder="1" applyAlignment="1">
      <alignment vertical="center"/>
    </xf>
    <xf numFmtId="49" fontId="89" fillId="0" borderId="0" xfId="3" applyNumberFormat="1" applyFont="1" applyAlignment="1">
      <alignment vertical="center" wrapText="1"/>
    </xf>
    <xf numFmtId="0" fontId="9" fillId="0" borderId="0" xfId="3" applyAlignment="1">
      <alignment horizontal="left"/>
    </xf>
    <xf numFmtId="49" fontId="89" fillId="0" borderId="0" xfId="3" applyNumberFormat="1" applyFont="1" applyAlignment="1">
      <alignment vertical="center"/>
    </xf>
    <xf numFmtId="0" fontId="89" fillId="0" borderId="0" xfId="3" applyFont="1" applyAlignment="1">
      <alignment horizontal="center"/>
    </xf>
    <xf numFmtId="0" fontId="9" fillId="0" borderId="51" xfId="3" applyBorder="1" applyAlignment="1">
      <alignment horizontal="left"/>
    </xf>
    <xf numFmtId="0" fontId="89" fillId="0" borderId="12" xfId="3" applyFont="1" applyBorder="1" applyAlignment="1">
      <alignment horizontal="center" vertical="center"/>
    </xf>
    <xf numFmtId="0" fontId="9" fillId="0" borderId="12" xfId="3" applyBorder="1" applyAlignment="1">
      <alignment horizontal="center" vertical="center"/>
    </xf>
    <xf numFmtId="0" fontId="89" fillId="0" borderId="12" xfId="3" applyFont="1" applyBorder="1" applyAlignment="1">
      <alignment horizontal="left" vertical="center"/>
    </xf>
    <xf numFmtId="0" fontId="9" fillId="0" borderId="0" xfId="3" applyAlignment="1">
      <alignment vertical="center"/>
    </xf>
    <xf numFmtId="0" fontId="9" fillId="0" borderId="0" xfId="3" applyAlignment="1">
      <alignment horizontal="center" vertical="center"/>
    </xf>
    <xf numFmtId="0" fontId="89" fillId="0" borderId="0" xfId="3" applyFont="1" applyAlignment="1">
      <alignment horizontal="left"/>
    </xf>
    <xf numFmtId="0" fontId="89" fillId="0" borderId="0" xfId="3" applyFont="1" applyAlignment="1">
      <alignment horizontal="center" vertical="center"/>
    </xf>
    <xf numFmtId="0" fontId="89" fillId="24" borderId="0" xfId="3" applyFont="1" applyFill="1" applyAlignment="1">
      <alignment horizontal="center" vertical="center" wrapText="1"/>
    </xf>
    <xf numFmtId="0" fontId="9" fillId="0" borderId="0" xfId="3" applyAlignment="1">
      <alignment horizontal="right" vertical="center"/>
    </xf>
    <xf numFmtId="0" fontId="9" fillId="0" borderId="0" xfId="3" applyAlignment="1">
      <alignment horizontal="right" vertical="center" wrapText="1"/>
    </xf>
    <xf numFmtId="0" fontId="9" fillId="0" borderId="0" xfId="3" applyAlignment="1">
      <alignment horizontal="center"/>
    </xf>
    <xf numFmtId="0" fontId="89" fillId="0" borderId="0" xfId="3" applyFont="1" applyAlignment="1">
      <alignment horizontal="right"/>
    </xf>
    <xf numFmtId="0" fontId="9" fillId="0" borderId="0" xfId="3" applyProtection="1">
      <protection locked="0"/>
    </xf>
    <xf numFmtId="0" fontId="89" fillId="0" borderId="0" xfId="3" applyFont="1" applyAlignment="1">
      <alignment horizontal="right" vertical="center"/>
    </xf>
    <xf numFmtId="9" fontId="9" fillId="0" borderId="13" xfId="10" applyFont="1" applyBorder="1" applyAlignment="1" applyProtection="1">
      <alignment horizontal="center" vertical="center"/>
    </xf>
    <xf numFmtId="0" fontId="89" fillId="0" borderId="13" xfId="3" applyFont="1" applyBorder="1" applyAlignment="1" applyProtection="1">
      <alignment horizontal="center" vertical="center" wrapText="1"/>
      <protection locked="0"/>
    </xf>
    <xf numFmtId="0" fontId="89" fillId="24" borderId="13" xfId="3" applyFont="1" applyFill="1" applyBorder="1" applyAlignment="1" applyProtection="1">
      <alignment horizontal="center" vertical="center" wrapText="1"/>
      <protection locked="0"/>
    </xf>
    <xf numFmtId="0" fontId="89" fillId="0" borderId="13" xfId="3" applyFont="1" applyBorder="1" applyAlignment="1">
      <alignment horizontal="center" vertical="center" wrapText="1"/>
    </xf>
    <xf numFmtId="0" fontId="9" fillId="24" borderId="13" xfId="3" applyFill="1" applyBorder="1" applyAlignment="1" applyProtection="1">
      <alignment horizontal="center" vertical="center" wrapText="1"/>
      <protection locked="0"/>
    </xf>
    <xf numFmtId="0" fontId="89" fillId="27" borderId="13" xfId="3" applyFont="1" applyFill="1" applyBorder="1" applyAlignment="1">
      <alignment horizontal="center" vertical="center" wrapText="1"/>
    </xf>
    <xf numFmtId="14" fontId="89" fillId="0" borderId="17" xfId="3" applyNumberFormat="1" applyFont="1" applyBorder="1" applyAlignment="1">
      <alignment vertical="center"/>
    </xf>
    <xf numFmtId="0" fontId="89" fillId="0" borderId="13" xfId="3" applyFont="1" applyBorder="1" applyAlignment="1">
      <alignment vertical="center"/>
    </xf>
    <xf numFmtId="0" fontId="9" fillId="0" borderId="1" xfId="3" applyBorder="1"/>
    <xf numFmtId="0" fontId="9" fillId="0" borderId="9" xfId="3" applyBorder="1"/>
    <xf numFmtId="0" fontId="89" fillId="0" borderId="17" xfId="3" applyFont="1" applyBorder="1"/>
    <xf numFmtId="0" fontId="50" fillId="0" borderId="0" xfId="3" applyFont="1" applyAlignment="1">
      <alignment vertical="center"/>
    </xf>
    <xf numFmtId="0" fontId="9" fillId="0" borderId="46" xfId="3" applyBorder="1"/>
    <xf numFmtId="0" fontId="9" fillId="0" borderId="48" xfId="3" applyBorder="1"/>
    <xf numFmtId="0" fontId="9" fillId="0" borderId="51" xfId="3" applyBorder="1"/>
    <xf numFmtId="0" fontId="9" fillId="0" borderId="8" xfId="3" applyBorder="1"/>
    <xf numFmtId="0" fontId="50" fillId="24" borderId="0" xfId="3" applyFont="1" applyFill="1" applyAlignment="1">
      <alignment horizontal="center" vertical="center" wrapText="1"/>
    </xf>
    <xf numFmtId="0" fontId="22" fillId="24" borderId="0" xfId="3" applyFont="1" applyFill="1" applyAlignment="1">
      <alignment horizontal="center" vertical="center" wrapText="1"/>
    </xf>
    <xf numFmtId="0" fontId="24" fillId="24" borderId="0" xfId="4" applyFill="1" applyBorder="1" applyAlignment="1" applyProtection="1">
      <alignment horizontal="center" vertical="center" wrapText="1"/>
    </xf>
    <xf numFmtId="0" fontId="20" fillId="24" borderId="0" xfId="3" applyFont="1" applyFill="1" applyAlignment="1">
      <alignment horizontal="center" vertical="center" wrapText="1"/>
    </xf>
    <xf numFmtId="9" fontId="22" fillId="24" borderId="0" xfId="7" applyFont="1" applyFill="1" applyBorder="1" applyAlignment="1">
      <alignment horizontal="center" vertical="center"/>
    </xf>
    <xf numFmtId="0" fontId="52" fillId="24" borderId="0" xfId="6" applyFont="1" applyFill="1" applyAlignment="1">
      <alignment horizontal="center" vertical="center" wrapText="1"/>
    </xf>
    <xf numFmtId="0" fontId="22" fillId="24" borderId="0" xfId="3" quotePrefix="1" applyFont="1" applyFill="1" applyAlignment="1">
      <alignment horizontal="center" vertical="center" wrapText="1"/>
    </xf>
    <xf numFmtId="0" fontId="22" fillId="24" borderId="22" xfId="3" applyFont="1" applyFill="1" applyBorder="1" applyAlignment="1">
      <alignment horizontal="center" vertical="center" wrapText="1"/>
    </xf>
    <xf numFmtId="0" fontId="50" fillId="24" borderId="52" xfId="3" applyFont="1" applyFill="1" applyBorder="1" applyAlignment="1">
      <alignment horizontal="center" vertical="center" wrapText="1"/>
    </xf>
    <xf numFmtId="0" fontId="9" fillId="0" borderId="13" xfId="3" applyBorder="1"/>
    <xf numFmtId="0" fontId="52" fillId="0" borderId="13" xfId="11" applyFont="1" applyBorder="1" applyAlignment="1">
      <alignment horizontal="center" vertical="center"/>
    </xf>
    <xf numFmtId="0" fontId="52" fillId="0" borderId="13" xfId="11" applyFont="1" applyBorder="1" applyAlignment="1">
      <alignment horizontal="center" vertical="center" wrapText="1"/>
    </xf>
    <xf numFmtId="0" fontId="52" fillId="0" borderId="13" xfId="11" quotePrefix="1" applyFont="1" applyBorder="1" applyAlignment="1">
      <alignment horizontal="center" vertical="center"/>
    </xf>
    <xf numFmtId="9" fontId="22" fillId="0" borderId="13" xfId="12" applyFont="1" applyFill="1" applyBorder="1" applyAlignment="1">
      <alignment horizontal="center" vertical="center"/>
    </xf>
    <xf numFmtId="14" fontId="2" fillId="0" borderId="13" xfId="11" applyNumberFormat="1" applyBorder="1" applyAlignment="1">
      <alignment horizontal="center" vertical="center" wrapText="1"/>
    </xf>
    <xf numFmtId="0" fontId="52" fillId="0" borderId="13" xfId="11" quotePrefix="1" applyFont="1" applyBorder="1" applyAlignment="1">
      <alignment horizontal="center" vertical="center" wrapText="1"/>
    </xf>
    <xf numFmtId="0" fontId="22" fillId="19" borderId="13" xfId="3" quotePrefix="1" applyFont="1" applyFill="1" applyBorder="1" applyAlignment="1">
      <alignment horizontal="center" vertical="center" wrapText="1"/>
    </xf>
    <xf numFmtId="14" fontId="22" fillId="0" borderId="13" xfId="3" applyNumberFormat="1" applyFont="1" applyBorder="1" applyAlignment="1">
      <alignment horizontal="center" vertical="center" wrapText="1"/>
    </xf>
    <xf numFmtId="0" fontId="52" fillId="16" borderId="13" xfId="11" applyFont="1" applyFill="1" applyBorder="1" applyAlignment="1">
      <alignment horizontal="center" vertical="center"/>
    </xf>
    <xf numFmtId="0" fontId="52" fillId="16" borderId="13" xfId="11" quotePrefix="1" applyFont="1" applyFill="1" applyBorder="1" applyAlignment="1">
      <alignment horizontal="center" vertical="center"/>
    </xf>
    <xf numFmtId="0" fontId="52" fillId="16" borderId="13" xfId="11" applyFont="1" applyFill="1" applyBorder="1" applyAlignment="1">
      <alignment horizontal="center" vertical="center" wrapText="1"/>
    </xf>
    <xf numFmtId="9" fontId="22" fillId="16" borderId="13" xfId="12" applyFont="1" applyFill="1" applyBorder="1" applyAlignment="1">
      <alignment horizontal="center" vertical="center"/>
    </xf>
    <xf numFmtId="14" fontId="2" fillId="16" borderId="13" xfId="11" applyNumberFormat="1" applyFill="1" applyBorder="1" applyAlignment="1">
      <alignment horizontal="center" vertical="center" wrapText="1"/>
    </xf>
    <xf numFmtId="0" fontId="52" fillId="16" borderId="13" xfId="11" quotePrefix="1" applyFont="1" applyFill="1" applyBorder="1" applyAlignment="1">
      <alignment horizontal="center" vertical="center" wrapText="1"/>
    </xf>
    <xf numFmtId="0" fontId="52" fillId="23" borderId="13" xfId="11" quotePrefix="1" applyFont="1" applyFill="1" applyBorder="1" applyAlignment="1">
      <alignment horizontal="center" vertical="center"/>
    </xf>
    <xf numFmtId="0" fontId="52" fillId="23" borderId="13" xfId="11" quotePrefix="1" applyFont="1" applyFill="1" applyBorder="1" applyAlignment="1">
      <alignment horizontal="center" vertical="center" wrapText="1"/>
    </xf>
    <xf numFmtId="0" fontId="52" fillId="23" borderId="13" xfId="11" applyFont="1" applyFill="1" applyBorder="1" applyAlignment="1">
      <alignment horizontal="center" vertical="center" wrapText="1"/>
    </xf>
    <xf numFmtId="14" fontId="2" fillId="23" borderId="13" xfId="11" applyNumberFormat="1" applyFill="1" applyBorder="1" applyAlignment="1">
      <alignment horizontal="center" vertical="center" wrapText="1"/>
    </xf>
    <xf numFmtId="0" fontId="100" fillId="15" borderId="13" xfId="11" quotePrefix="1" applyFont="1" applyFill="1" applyBorder="1" applyAlignment="1">
      <alignment horizontal="center" vertical="center"/>
    </xf>
    <xf numFmtId="0" fontId="100" fillId="15" borderId="13" xfId="11" applyFont="1" applyFill="1" applyBorder="1" applyAlignment="1">
      <alignment horizontal="center" vertical="center" wrapText="1"/>
    </xf>
    <xf numFmtId="9" fontId="22" fillId="15" borderId="13" xfId="12" applyFont="1" applyFill="1" applyBorder="1" applyAlignment="1">
      <alignment horizontal="center" vertical="center"/>
    </xf>
    <xf numFmtId="0" fontId="100" fillId="15" borderId="13" xfId="11" quotePrefix="1" applyFont="1" applyFill="1" applyBorder="1" applyAlignment="1">
      <alignment horizontal="center" vertical="center" wrapText="1"/>
    </xf>
    <xf numFmtId="14" fontId="101" fillId="15" borderId="13" xfId="11" applyNumberFormat="1" applyFont="1" applyFill="1" applyBorder="1" applyAlignment="1">
      <alignment horizontal="center" vertical="center" wrapText="1"/>
    </xf>
    <xf numFmtId="0" fontId="52" fillId="15" borderId="13" xfId="11" quotePrefix="1" applyFont="1" applyFill="1" applyBorder="1" applyAlignment="1">
      <alignment horizontal="center" vertical="center"/>
    </xf>
    <xf numFmtId="14" fontId="2" fillId="15" borderId="13" xfId="11" applyNumberFormat="1" applyFill="1" applyBorder="1" applyAlignment="1">
      <alignment horizontal="center" vertical="center" wrapText="1"/>
    </xf>
    <xf numFmtId="9" fontId="22" fillId="24" borderId="0" xfId="12" applyFont="1" applyFill="1" applyBorder="1" applyAlignment="1">
      <alignment horizontal="center" vertical="center"/>
    </xf>
    <xf numFmtId="0" fontId="52" fillId="24" borderId="0" xfId="11" applyFont="1" applyFill="1" applyAlignment="1">
      <alignment horizontal="center" vertical="center" wrapText="1"/>
    </xf>
    <xf numFmtId="14" fontId="2" fillId="24" borderId="0" xfId="11" applyNumberFormat="1" applyFill="1" applyAlignment="1">
      <alignment horizontal="center" vertical="center" wrapText="1"/>
    </xf>
    <xf numFmtId="0" fontId="53" fillId="0" borderId="21" xfId="3" applyFont="1" applyBorder="1" applyAlignment="1">
      <alignment vertical="center" wrapText="1"/>
    </xf>
    <xf numFmtId="0" fontId="22" fillId="10" borderId="0" xfId="3" applyFont="1" applyFill="1" applyAlignment="1">
      <alignment horizontal="center" vertical="center" wrapText="1"/>
    </xf>
    <xf numFmtId="0" fontId="20" fillId="10" borderId="0" xfId="3" applyFont="1" applyFill="1" applyAlignment="1">
      <alignment horizontal="center" vertical="center" wrapText="1"/>
    </xf>
    <xf numFmtId="0" fontId="22" fillId="14" borderId="9" xfId="3" applyFont="1" applyFill="1" applyBorder="1" applyAlignment="1">
      <alignment horizontal="center" vertical="center" wrapText="1"/>
    </xf>
    <xf numFmtId="14" fontId="50" fillId="14" borderId="1" xfId="3" applyNumberFormat="1" applyFont="1" applyFill="1" applyBorder="1" applyAlignment="1">
      <alignment horizontal="center" vertical="center" wrapText="1"/>
    </xf>
    <xf numFmtId="0" fontId="104" fillId="0" borderId="24" xfId="3" applyFont="1" applyBorder="1" applyAlignment="1">
      <alignment vertical="center" wrapText="1"/>
    </xf>
    <xf numFmtId="0" fontId="104" fillId="0" borderId="27" xfId="3" applyFont="1" applyBorder="1" applyAlignment="1">
      <alignment horizontal="center" vertical="center" wrapText="1"/>
    </xf>
    <xf numFmtId="0" fontId="104" fillId="0" borderId="53" xfId="3" applyFont="1" applyBorder="1" applyAlignment="1">
      <alignment vertical="center" wrapText="1"/>
    </xf>
    <xf numFmtId="0" fontId="104" fillId="0" borderId="26" xfId="3" applyFont="1" applyBorder="1" applyAlignment="1">
      <alignment vertical="center" wrapText="1"/>
    </xf>
    <xf numFmtId="0" fontId="104" fillId="9" borderId="23" xfId="3" applyFont="1" applyFill="1" applyBorder="1" applyAlignment="1">
      <alignment horizontal="center" vertical="center" wrapText="1"/>
    </xf>
    <xf numFmtId="0" fontId="104" fillId="7" borderId="25" xfId="3" applyFont="1" applyFill="1" applyBorder="1" applyAlignment="1">
      <alignment horizontal="center" vertical="center" wrapText="1"/>
    </xf>
    <xf numFmtId="0" fontId="50" fillId="0" borderId="13" xfId="3" applyFont="1" applyBorder="1" applyAlignment="1">
      <alignment horizontal="left" vertical="center" wrapText="1"/>
    </xf>
    <xf numFmtId="0" fontId="22" fillId="0" borderId="9" xfId="3" applyFont="1" applyBorder="1" applyAlignment="1">
      <alignment horizontal="center" vertical="center" wrapText="1"/>
    </xf>
    <xf numFmtId="0" fontId="22" fillId="0" borderId="13" xfId="3" applyFont="1" applyBorder="1" applyAlignment="1">
      <alignment horizontal="left" vertical="center" wrapText="1"/>
    </xf>
    <xf numFmtId="0" fontId="22" fillId="15" borderId="13" xfId="3" applyFont="1" applyFill="1" applyBorder="1" applyAlignment="1">
      <alignment horizontal="left" vertical="center" wrapText="1"/>
    </xf>
    <xf numFmtId="0" fontId="22" fillId="23" borderId="13" xfId="3" applyFont="1" applyFill="1" applyBorder="1" applyAlignment="1">
      <alignment horizontal="left" vertical="center" wrapText="1"/>
    </xf>
    <xf numFmtId="0" fontId="51" fillId="0" borderId="0" xfId="3" applyFont="1" applyAlignment="1">
      <alignment horizontal="center" vertical="center" wrapText="1"/>
    </xf>
    <xf numFmtId="0" fontId="51" fillId="0" borderId="0" xfId="3" applyFont="1" applyAlignment="1">
      <alignment vertical="center" wrapText="1"/>
    </xf>
    <xf numFmtId="0" fontId="22" fillId="9" borderId="0" xfId="3" applyFont="1" applyFill="1" applyAlignment="1">
      <alignment horizontal="center" vertical="center" wrapText="1"/>
    </xf>
    <xf numFmtId="14" fontId="50" fillId="0" borderId="4" xfId="3" applyNumberFormat="1" applyFont="1" applyBorder="1" applyAlignment="1">
      <alignment horizontal="center" vertical="center" wrapText="1"/>
    </xf>
    <xf numFmtId="0" fontId="50" fillId="24" borderId="21" xfId="3" applyFont="1" applyFill="1" applyBorder="1" applyAlignment="1">
      <alignment horizontal="center" vertical="center" wrapText="1"/>
    </xf>
    <xf numFmtId="0" fontId="53" fillId="0" borderId="0" xfId="3" applyFont="1" applyAlignment="1">
      <alignment vertical="center" wrapText="1"/>
    </xf>
    <xf numFmtId="0" fontId="77" fillId="0" borderId="0" xfId="3" applyFont="1" applyAlignment="1">
      <alignment vertical="center" wrapText="1"/>
    </xf>
    <xf numFmtId="0" fontId="11" fillId="7" borderId="7" xfId="0" applyFont="1" applyFill="1" applyBorder="1" applyAlignment="1">
      <alignment horizontal="center" wrapText="1"/>
    </xf>
    <xf numFmtId="0" fontId="11" fillId="7" borderId="5" xfId="0" applyFont="1" applyFill="1" applyBorder="1" applyAlignment="1">
      <alignment horizontal="center"/>
    </xf>
    <xf numFmtId="0" fontId="11" fillId="4" borderId="7" xfId="0" applyFont="1" applyFill="1" applyBorder="1" applyAlignment="1">
      <alignment horizontal="center" wrapText="1"/>
    </xf>
    <xf numFmtId="0" fontId="11" fillId="4" borderId="5" xfId="0" applyFont="1" applyFill="1" applyBorder="1" applyAlignment="1">
      <alignment horizontal="center" wrapText="1"/>
    </xf>
    <xf numFmtId="0" fontId="11" fillId="3" borderId="7" xfId="0" applyFont="1" applyFill="1" applyBorder="1" applyAlignment="1">
      <alignment horizontal="center"/>
    </xf>
    <xf numFmtId="0" fontId="11" fillId="3" borderId="5" xfId="0" applyFont="1" applyFill="1" applyBorder="1" applyAlignment="1">
      <alignment horizontal="center"/>
    </xf>
    <xf numFmtId="0" fontId="11" fillId="3" borderId="7" xfId="0" applyFont="1" applyFill="1" applyBorder="1" applyAlignment="1">
      <alignment horizontal="center" wrapText="1"/>
    </xf>
    <xf numFmtId="0" fontId="11" fillId="3" borderId="5" xfId="0" applyFont="1" applyFill="1" applyBorder="1" applyAlignment="1">
      <alignment horizontal="center" wrapText="1"/>
    </xf>
    <xf numFmtId="0" fontId="11" fillId="4" borderId="5" xfId="0" applyFont="1" applyFill="1" applyBorder="1" applyAlignment="1">
      <alignment horizontal="center"/>
    </xf>
    <xf numFmtId="0" fontId="22" fillId="0" borderId="13" xfId="3" applyFont="1" applyBorder="1" applyAlignment="1">
      <alignment horizontal="center" vertical="center" wrapText="1"/>
    </xf>
    <xf numFmtId="0" fontId="22" fillId="11" borderId="13" xfId="3" applyFont="1" applyFill="1" applyBorder="1" applyAlignment="1">
      <alignment horizontal="center" vertical="center" wrapText="1"/>
    </xf>
    <xf numFmtId="0" fontId="53" fillId="0" borderId="21" xfId="3" applyFont="1" applyBorder="1" applyAlignment="1">
      <alignment horizontal="center" vertical="center" wrapText="1"/>
    </xf>
    <xf numFmtId="0" fontId="54" fillId="0" borderId="21" xfId="3" applyFont="1" applyBorder="1" applyAlignment="1">
      <alignment horizontal="center" vertical="center" wrapText="1"/>
    </xf>
    <xf numFmtId="0" fontId="77" fillId="0" borderId="22" xfId="3" applyFont="1" applyBorder="1" applyAlignment="1">
      <alignment horizontal="center" vertical="center" wrapText="1"/>
    </xf>
    <xf numFmtId="14" fontId="50" fillId="0" borderId="22" xfId="3" applyNumberFormat="1" applyFont="1" applyBorder="1" applyAlignment="1">
      <alignment horizontal="center" vertical="center" wrapText="1"/>
    </xf>
    <xf numFmtId="0" fontId="22" fillId="9" borderId="9" xfId="3" applyFont="1" applyFill="1" applyBorder="1" applyAlignment="1">
      <alignment horizontal="center" vertical="center" wrapText="1"/>
    </xf>
    <xf numFmtId="0" fontId="22" fillId="9" borderId="15" xfId="3" applyFont="1" applyFill="1" applyBorder="1" applyAlignment="1">
      <alignment horizontal="center" vertical="center" wrapText="1"/>
    </xf>
    <xf numFmtId="0" fontId="22" fillId="9" borderId="1" xfId="3" applyFont="1" applyFill="1" applyBorder="1" applyAlignment="1">
      <alignment horizontal="center" vertical="center" wrapText="1"/>
    </xf>
    <xf numFmtId="14" fontId="50" fillId="0" borderId="0" xfId="3" applyNumberFormat="1" applyFont="1" applyAlignment="1">
      <alignment horizontal="center" vertical="center" wrapText="1"/>
    </xf>
    <xf numFmtId="14" fontId="50" fillId="0" borderId="9" xfId="3" applyNumberFormat="1" applyFont="1" applyBorder="1" applyAlignment="1">
      <alignment horizontal="center" vertical="center" wrapText="1"/>
    </xf>
    <xf numFmtId="14" fontId="50" fillId="0" borderId="1" xfId="3" applyNumberFormat="1" applyFont="1" applyBorder="1" applyAlignment="1">
      <alignment horizontal="center" vertical="center" wrapText="1"/>
    </xf>
    <xf numFmtId="0" fontId="54" fillId="0" borderId="9" xfId="3" applyFont="1" applyBorder="1" applyAlignment="1">
      <alignment horizontal="center" vertical="center" wrapText="1"/>
    </xf>
    <xf numFmtId="0" fontId="54" fillId="0" borderId="15" xfId="3" applyFont="1" applyBorder="1" applyAlignment="1">
      <alignment horizontal="center" vertical="center" wrapText="1"/>
    </xf>
    <xf numFmtId="0" fontId="54" fillId="0" borderId="1" xfId="3" applyFont="1" applyBorder="1" applyAlignment="1">
      <alignment horizontal="center" vertical="center" wrapText="1"/>
    </xf>
    <xf numFmtId="14" fontId="50" fillId="0" borderId="15" xfId="3" applyNumberFormat="1" applyFont="1" applyBorder="1" applyAlignment="1">
      <alignment horizontal="center" vertical="center" wrapText="1"/>
    </xf>
    <xf numFmtId="14" fontId="50" fillId="0" borderId="47" xfId="3" applyNumberFormat="1" applyFont="1" applyBorder="1" applyAlignment="1">
      <alignment horizontal="center" vertical="center" wrapText="1"/>
    </xf>
    <xf numFmtId="0" fontId="53" fillId="0" borderId="9" xfId="3" applyFont="1" applyBorder="1" applyAlignment="1">
      <alignment horizontal="center" vertical="center" wrapText="1"/>
    </xf>
    <xf numFmtId="0" fontId="53" fillId="0" borderId="15" xfId="3" applyFont="1" applyBorder="1" applyAlignment="1">
      <alignment horizontal="center" vertical="center" wrapText="1"/>
    </xf>
    <xf numFmtId="0" fontId="53" fillId="0" borderId="1" xfId="3" applyFont="1" applyBorder="1" applyAlignment="1">
      <alignment horizontal="center" vertical="center" wrapText="1"/>
    </xf>
    <xf numFmtId="0" fontId="54" fillId="0" borderId="0" xfId="3" applyFont="1" applyAlignment="1">
      <alignment horizontal="center" vertical="center" wrapText="1"/>
    </xf>
    <xf numFmtId="14" fontId="50" fillId="14" borderId="15" xfId="3" applyNumberFormat="1" applyFont="1" applyFill="1" applyBorder="1" applyAlignment="1">
      <alignment horizontal="center" vertical="center" wrapText="1"/>
    </xf>
    <xf numFmtId="0" fontId="22" fillId="14" borderId="9" xfId="3" applyFont="1" applyFill="1" applyBorder="1" applyAlignment="1">
      <alignment horizontal="center" vertical="center" wrapText="1"/>
    </xf>
    <xf numFmtId="0" fontId="22" fillId="14" borderId="15" xfId="3" applyFont="1" applyFill="1" applyBorder="1" applyAlignment="1">
      <alignment horizontal="center" vertical="center" wrapText="1"/>
    </xf>
    <xf numFmtId="0" fontId="22" fillId="14" borderId="1" xfId="3" applyFont="1" applyFill="1" applyBorder="1" applyAlignment="1">
      <alignment horizontal="center" vertical="center" wrapText="1"/>
    </xf>
    <xf numFmtId="14" fontId="50" fillId="14" borderId="9" xfId="3" applyNumberFormat="1" applyFont="1" applyFill="1" applyBorder="1" applyAlignment="1">
      <alignment horizontal="center" vertical="center" wrapText="1"/>
    </xf>
    <xf numFmtId="14" fontId="50" fillId="14" borderId="1" xfId="3" applyNumberFormat="1" applyFont="1" applyFill="1" applyBorder="1" applyAlignment="1">
      <alignment horizontal="center" vertical="center" wrapText="1"/>
    </xf>
    <xf numFmtId="0" fontId="54" fillId="14" borderId="9" xfId="3" applyFont="1" applyFill="1" applyBorder="1" applyAlignment="1">
      <alignment horizontal="center" vertical="center" wrapText="1"/>
    </xf>
    <xf numFmtId="0" fontId="54" fillId="14" borderId="15" xfId="3" applyFont="1" applyFill="1" applyBorder="1" applyAlignment="1">
      <alignment horizontal="center" vertical="center" wrapText="1"/>
    </xf>
    <xf numFmtId="0" fontId="54" fillId="14" borderId="1" xfId="3" applyFont="1" applyFill="1" applyBorder="1" applyAlignment="1">
      <alignment horizontal="center" vertical="center" wrapText="1"/>
    </xf>
    <xf numFmtId="0" fontId="89" fillId="27" borderId="13" xfId="3" applyFont="1" applyFill="1" applyBorder="1" applyAlignment="1">
      <alignment horizontal="center" vertical="center" wrapText="1"/>
    </xf>
    <xf numFmtId="0" fontId="9" fillId="0" borderId="13" xfId="3" applyBorder="1" applyAlignment="1">
      <alignment horizontal="center" vertical="center"/>
    </xf>
    <xf numFmtId="0" fontId="89" fillId="0" borderId="18" xfId="3" applyFont="1" applyBorder="1" applyAlignment="1">
      <alignment horizontal="center" vertical="center" wrapText="1"/>
    </xf>
    <xf numFmtId="0" fontId="89" fillId="0" borderId="20" xfId="3" applyFont="1" applyBorder="1" applyAlignment="1">
      <alignment horizontal="center" vertical="center" wrapText="1"/>
    </xf>
    <xf numFmtId="0" fontId="9" fillId="0" borderId="13" xfId="3" applyBorder="1" applyAlignment="1">
      <alignment horizontal="center" vertical="center" wrapText="1"/>
    </xf>
    <xf numFmtId="0" fontId="9" fillId="0" borderId="18" xfId="3" applyBorder="1" applyAlignment="1">
      <alignment horizontal="center" vertical="center"/>
    </xf>
    <xf numFmtId="0" fontId="9" fillId="0" borderId="20" xfId="3" applyBorder="1" applyAlignment="1">
      <alignment horizontal="center" vertical="center"/>
    </xf>
    <xf numFmtId="0" fontId="9" fillId="24" borderId="13" xfId="3" applyFill="1" applyBorder="1" applyAlignment="1">
      <alignment horizontal="center" vertical="center" wrapText="1"/>
    </xf>
    <xf numFmtId="0" fontId="89" fillId="24" borderId="19" xfId="3" applyFont="1" applyFill="1" applyBorder="1" applyAlignment="1" applyProtection="1">
      <alignment horizontal="center" vertical="center" wrapText="1"/>
      <protection locked="0"/>
    </xf>
    <xf numFmtId="0" fontId="89" fillId="24" borderId="17" xfId="3" applyFont="1" applyFill="1" applyBorder="1" applyAlignment="1" applyProtection="1">
      <alignment horizontal="center" vertical="center" wrapText="1"/>
      <protection locked="0"/>
    </xf>
    <xf numFmtId="0" fontId="89" fillId="26" borderId="13" xfId="3" applyFont="1" applyFill="1" applyBorder="1" applyAlignment="1">
      <alignment horizontal="center" vertical="center"/>
    </xf>
    <xf numFmtId="0" fontId="89" fillId="0" borderId="13" xfId="3" applyFont="1" applyBorder="1" applyAlignment="1">
      <alignment horizontal="center" vertical="center"/>
    </xf>
    <xf numFmtId="0" fontId="53" fillId="14" borderId="9" xfId="3" applyFont="1" applyFill="1" applyBorder="1" applyAlignment="1">
      <alignment horizontal="center" vertical="center"/>
    </xf>
    <xf numFmtId="0" fontId="53" fillId="14" borderId="15" xfId="3" applyFont="1" applyFill="1" applyBorder="1" applyAlignment="1">
      <alignment horizontal="center" vertical="center"/>
    </xf>
    <xf numFmtId="0" fontId="53" fillId="14" borderId="1" xfId="3" applyFont="1" applyFill="1" applyBorder="1" applyAlignment="1">
      <alignment horizontal="center" vertical="center"/>
    </xf>
    <xf numFmtId="0" fontId="89" fillId="0" borderId="9" xfId="3" applyFont="1" applyBorder="1" applyAlignment="1">
      <alignment horizontal="center" vertical="center"/>
    </xf>
    <xf numFmtId="0" fontId="89" fillId="0" borderId="1" xfId="3" applyFont="1" applyBorder="1" applyAlignment="1">
      <alignment horizontal="center" vertical="center"/>
    </xf>
    <xf numFmtId="0" fontId="53" fillId="0" borderId="9" xfId="3" applyFont="1" applyBorder="1" applyAlignment="1">
      <alignment horizontal="center" vertical="center"/>
    </xf>
    <xf numFmtId="0" fontId="53" fillId="0" borderId="15" xfId="3" applyFont="1" applyBorder="1" applyAlignment="1">
      <alignment horizontal="center" vertical="center"/>
    </xf>
    <xf numFmtId="0" fontId="53" fillId="0" borderId="1" xfId="3" applyFont="1" applyBorder="1" applyAlignment="1">
      <alignment horizontal="center" vertical="center"/>
    </xf>
    <xf numFmtId="0" fontId="9" fillId="0" borderId="47" xfId="3" applyBorder="1"/>
    <xf numFmtId="0" fontId="9" fillId="0" borderId="46" xfId="3" applyBorder="1"/>
    <xf numFmtId="0" fontId="77" fillId="9" borderId="19" xfId="3" applyFont="1" applyFill="1" applyBorder="1" applyAlignment="1">
      <alignment horizontal="center" vertical="center" wrapText="1"/>
    </xf>
    <xf numFmtId="0" fontId="77" fillId="9" borderId="52" xfId="3" applyFont="1" applyFill="1" applyBorder="1" applyAlignment="1">
      <alignment horizontal="center" vertical="center" wrapText="1"/>
    </xf>
    <xf numFmtId="0" fontId="77" fillId="9" borderId="17" xfId="3" applyFont="1" applyFill="1" applyBorder="1" applyAlignment="1">
      <alignment horizontal="center" vertical="center" wrapText="1"/>
    </xf>
    <xf numFmtId="9" fontId="89" fillId="0" borderId="18" xfId="10" applyFont="1" applyBorder="1" applyAlignment="1" applyProtection="1">
      <alignment horizontal="center" vertical="center"/>
    </xf>
    <xf numFmtId="9" fontId="89" fillId="0" borderId="40" xfId="10" applyFont="1" applyBorder="1" applyAlignment="1" applyProtection="1">
      <alignment horizontal="center" vertical="center"/>
    </xf>
    <xf numFmtId="9" fontId="89" fillId="0" borderId="20" xfId="10" applyFont="1" applyBorder="1" applyAlignment="1" applyProtection="1">
      <alignment horizontal="center" vertical="center"/>
    </xf>
    <xf numFmtId="0" fontId="9" fillId="0" borderId="19" xfId="3" applyBorder="1" applyAlignment="1">
      <alignment horizontal="left" vertical="center"/>
    </xf>
    <xf numFmtId="0" fontId="9" fillId="0" borderId="52" xfId="3" applyBorder="1" applyAlignment="1">
      <alignment horizontal="left" vertical="center"/>
    </xf>
    <xf numFmtId="0" fontId="9" fillId="0" borderId="17" xfId="3" applyBorder="1" applyAlignment="1">
      <alignment horizontal="left" vertical="center"/>
    </xf>
    <xf numFmtId="0" fontId="9" fillId="0" borderId="0" xfId="3" applyAlignment="1">
      <alignment horizontal="left" vertical="top" wrapText="1"/>
    </xf>
    <xf numFmtId="0" fontId="9" fillId="0" borderId="49" xfId="3" applyBorder="1" applyAlignment="1">
      <alignment horizontal="left" vertical="top" wrapText="1"/>
    </xf>
    <xf numFmtId="0" fontId="89" fillId="0" borderId="48" xfId="3" applyFont="1" applyBorder="1" applyAlignment="1">
      <alignment horizontal="left" vertical="center"/>
    </xf>
    <xf numFmtId="0" fontId="89" fillId="0" borderId="47" xfId="3" applyFont="1" applyBorder="1" applyAlignment="1">
      <alignment horizontal="left" vertical="center"/>
    </xf>
    <xf numFmtId="0" fontId="89" fillId="0" borderId="13" xfId="3" applyFont="1" applyBorder="1" applyAlignment="1">
      <alignment horizontal="right"/>
    </xf>
    <xf numFmtId="0" fontId="50" fillId="28" borderId="9" xfId="3" applyFont="1" applyFill="1" applyBorder="1" applyAlignment="1">
      <alignment horizontal="center" vertical="center"/>
    </xf>
    <xf numFmtId="0" fontId="50" fillId="28" borderId="1" xfId="3" applyFont="1" applyFill="1" applyBorder="1" applyAlignment="1">
      <alignment horizontal="center" vertical="center"/>
    </xf>
    <xf numFmtId="0" fontId="50" fillId="0" borderId="9" xfId="3" applyFont="1" applyBorder="1" applyAlignment="1">
      <alignment horizontal="center" vertical="center"/>
    </xf>
    <xf numFmtId="0" fontId="50" fillId="0" borderId="1" xfId="3" applyFont="1" applyBorder="1" applyAlignment="1">
      <alignment horizontal="center" vertical="center"/>
    </xf>
    <xf numFmtId="0" fontId="9" fillId="0" borderId="0" xfId="3"/>
    <xf numFmtId="0" fontId="9" fillId="0" borderId="49" xfId="3" applyBorder="1"/>
    <xf numFmtId="14" fontId="89" fillId="0" borderId="13" xfId="3" applyNumberFormat="1" applyFont="1" applyBorder="1" applyAlignment="1">
      <alignment horizontal="left" vertical="center"/>
    </xf>
    <xf numFmtId="14" fontId="89" fillId="0" borderId="13" xfId="3" applyNumberFormat="1" applyFont="1" applyBorder="1" applyAlignment="1">
      <alignment horizontal="center" vertical="center"/>
    </xf>
    <xf numFmtId="0" fontId="97" fillId="0" borderId="8" xfId="3" applyFont="1" applyBorder="1" applyAlignment="1">
      <alignment horizontal="left" vertical="center"/>
    </xf>
    <xf numFmtId="0" fontId="97" fillId="0" borderId="12" xfId="3" applyFont="1" applyBorder="1" applyAlignment="1">
      <alignment horizontal="left" vertical="center"/>
    </xf>
    <xf numFmtId="0" fontId="89" fillId="0" borderId="50" xfId="3" applyFont="1" applyBorder="1" applyAlignment="1">
      <alignment horizontal="left" vertical="center"/>
    </xf>
    <xf numFmtId="0" fontId="89" fillId="0" borderId="0" xfId="3" applyFont="1" applyAlignment="1">
      <alignment horizontal="left" vertical="center"/>
    </xf>
    <xf numFmtId="0" fontId="89" fillId="0" borderId="0" xfId="3" applyFont="1" applyAlignment="1">
      <alignment horizontal="right"/>
    </xf>
    <xf numFmtId="0" fontId="9" fillId="0" borderId="0" xfId="3" applyAlignment="1" applyProtection="1">
      <alignment horizontal="center"/>
      <protection locked="0"/>
    </xf>
    <xf numFmtId="0" fontId="89" fillId="0" borderId="21" xfId="3" applyFont="1" applyBorder="1" applyAlignment="1" applyProtection="1">
      <alignment horizontal="center" vertical="center" wrapText="1"/>
      <protection locked="0"/>
    </xf>
    <xf numFmtId="9" fontId="89" fillId="0" borderId="13" xfId="10" applyFont="1" applyBorder="1" applyAlignment="1" applyProtection="1">
      <alignment horizontal="center" vertical="center"/>
    </xf>
    <xf numFmtId="0" fontId="89" fillId="0" borderId="12" xfId="3" applyFont="1" applyBorder="1" applyAlignment="1">
      <alignment horizontal="center" vertical="center"/>
    </xf>
    <xf numFmtId="0" fontId="89" fillId="0" borderId="30" xfId="3" applyFont="1" applyBorder="1" applyAlignment="1">
      <alignment horizontal="center" vertical="center"/>
    </xf>
    <xf numFmtId="0" fontId="89" fillId="0" borderId="43" xfId="3" applyFont="1" applyBorder="1" applyAlignment="1">
      <alignment horizontal="center" vertical="center"/>
    </xf>
    <xf numFmtId="0" fontId="89" fillId="0" borderId="45" xfId="3" applyFont="1" applyBorder="1" applyAlignment="1">
      <alignment horizontal="center" vertical="center"/>
    </xf>
    <xf numFmtId="0" fontId="89" fillId="25" borderId="13" xfId="3" applyFont="1" applyFill="1" applyBorder="1" applyAlignment="1">
      <alignment horizontal="center" vertical="center" wrapText="1"/>
    </xf>
    <xf numFmtId="0" fontId="89" fillId="26" borderId="18" xfId="3" applyFont="1" applyFill="1" applyBorder="1" applyAlignment="1">
      <alignment horizontal="center" vertical="center"/>
    </xf>
    <xf numFmtId="0" fontId="89" fillId="26" borderId="40" xfId="3" applyFont="1" applyFill="1" applyBorder="1" applyAlignment="1">
      <alignment horizontal="center" vertical="center"/>
    </xf>
    <xf numFmtId="0" fontId="89" fillId="26" borderId="20" xfId="3" applyFont="1" applyFill="1" applyBorder="1" applyAlignment="1">
      <alignment horizontal="center" vertical="center"/>
    </xf>
    <xf numFmtId="0" fontId="62" fillId="17" borderId="27" xfId="0" applyFont="1" applyFill="1" applyBorder="1" applyAlignment="1">
      <alignment horizontal="center" vertical="center" wrapText="1"/>
    </xf>
    <xf numFmtId="0" fontId="62" fillId="17" borderId="19" xfId="0" applyFont="1" applyFill="1" applyBorder="1" applyAlignment="1">
      <alignment horizontal="center" vertical="center" wrapText="1"/>
    </xf>
    <xf numFmtId="0" fontId="63" fillId="0" borderId="9" xfId="0" applyFont="1" applyBorder="1" applyAlignment="1" applyProtection="1">
      <alignment horizontal="center" vertical="center" wrapText="1"/>
      <protection locked="0"/>
    </xf>
    <xf numFmtId="0" fontId="63" fillId="0" borderId="15" xfId="0" applyFont="1" applyBorder="1" applyAlignment="1" applyProtection="1">
      <alignment horizontal="center" vertical="center" wrapText="1"/>
      <protection locked="0"/>
    </xf>
    <xf numFmtId="0" fontId="63" fillId="0" borderId="1" xfId="0" applyFont="1" applyBorder="1" applyAlignment="1" applyProtection="1">
      <alignment horizontal="center" vertical="center" wrapText="1"/>
      <protection locked="0"/>
    </xf>
    <xf numFmtId="0" fontId="55" fillId="0" borderId="23" xfId="0" applyFont="1" applyBorder="1" applyAlignment="1" applyProtection="1">
      <alignment horizontal="center"/>
      <protection locked="0"/>
    </xf>
    <xf numFmtId="0" fontId="55" fillId="0" borderId="24" xfId="0" applyFont="1" applyBorder="1" applyAlignment="1" applyProtection="1">
      <alignment horizontal="center"/>
      <protection locked="0"/>
    </xf>
    <xf numFmtId="0" fontId="55" fillId="0" borderId="25" xfId="0" applyFont="1" applyBorder="1" applyAlignment="1" applyProtection="1">
      <alignment horizontal="center"/>
      <protection locked="0"/>
    </xf>
    <xf numFmtId="0" fontId="55" fillId="0" borderId="26" xfId="0" applyFont="1" applyBorder="1" applyAlignment="1" applyProtection="1">
      <alignment horizontal="center"/>
      <protection locked="0"/>
    </xf>
    <xf numFmtId="0" fontId="56" fillId="11" borderId="9" xfId="0" applyFont="1" applyFill="1" applyBorder="1" applyAlignment="1" applyProtection="1">
      <alignment horizontal="center" vertical="center" wrapText="1"/>
      <protection locked="0"/>
    </xf>
    <xf numFmtId="0" fontId="57" fillId="11" borderId="15" xfId="0" applyFont="1" applyFill="1" applyBorder="1" applyAlignment="1" applyProtection="1">
      <alignment horizontal="center" vertical="center" wrapText="1"/>
      <protection locked="0"/>
    </xf>
    <xf numFmtId="0" fontId="57" fillId="11" borderId="1" xfId="0" applyFont="1" applyFill="1" applyBorder="1" applyAlignment="1" applyProtection="1">
      <alignment horizontal="center" vertical="center" wrapText="1"/>
      <protection locked="0"/>
    </xf>
    <xf numFmtId="0" fontId="61" fillId="0" borderId="9" xfId="0" applyFont="1" applyBorder="1" applyAlignment="1" applyProtection="1">
      <alignment horizontal="center" vertical="center"/>
      <protection locked="0"/>
    </xf>
    <xf numFmtId="0" fontId="61" fillId="0" borderId="15" xfId="0" applyFont="1" applyBorder="1" applyAlignment="1" applyProtection="1">
      <alignment horizontal="center" vertical="center"/>
      <protection locked="0"/>
    </xf>
    <xf numFmtId="0" fontId="61" fillId="0" borderId="1" xfId="0" applyFont="1" applyBorder="1" applyAlignment="1" applyProtection="1">
      <alignment horizontal="center" vertical="center"/>
      <protection locked="0"/>
    </xf>
    <xf numFmtId="0" fontId="56" fillId="17" borderId="9" xfId="0" applyFont="1" applyFill="1" applyBorder="1" applyAlignment="1" applyProtection="1">
      <alignment horizontal="center" vertical="center" wrapText="1"/>
      <protection locked="0"/>
    </xf>
    <xf numFmtId="0" fontId="56" fillId="17" borderId="15" xfId="0" applyFont="1" applyFill="1" applyBorder="1" applyAlignment="1" applyProtection="1">
      <alignment horizontal="center" vertical="center" wrapText="1"/>
      <protection locked="0"/>
    </xf>
    <xf numFmtId="0" fontId="56" fillId="17" borderId="1" xfId="0" applyFont="1" applyFill="1" applyBorder="1" applyAlignment="1" applyProtection="1">
      <alignment horizontal="center" vertical="center" wrapText="1"/>
      <protection locked="0"/>
    </xf>
    <xf numFmtId="0" fontId="60" fillId="0" borderId="36" xfId="0" applyFont="1" applyBorder="1" applyAlignment="1" applyProtection="1">
      <alignment horizontal="left"/>
      <protection locked="0"/>
    </xf>
    <xf numFmtId="0" fontId="60" fillId="0" borderId="37" xfId="0" applyFont="1" applyBorder="1" applyAlignment="1" applyProtection="1">
      <alignment horizontal="left"/>
      <protection locked="0"/>
    </xf>
    <xf numFmtId="0" fontId="62" fillId="17" borderId="25" xfId="0" applyFont="1" applyFill="1" applyBorder="1" applyAlignment="1">
      <alignment horizontal="center" vertical="center" wrapText="1"/>
    </xf>
    <xf numFmtId="0" fontId="62" fillId="17" borderId="28" xfId="0" applyFont="1" applyFill="1" applyBorder="1" applyAlignment="1">
      <alignment horizontal="center" vertical="center" wrapText="1"/>
    </xf>
    <xf numFmtId="0" fontId="60" fillId="0" borderId="9" xfId="0" applyFont="1" applyBorder="1" applyAlignment="1" applyProtection="1">
      <alignment horizontal="center"/>
      <protection locked="0"/>
    </xf>
    <xf numFmtId="0" fontId="60" fillId="0" borderId="15" xfId="0" applyFont="1" applyBorder="1" applyAlignment="1" applyProtection="1">
      <alignment horizontal="center"/>
      <protection locked="0"/>
    </xf>
    <xf numFmtId="0" fontId="60" fillId="0" borderId="1" xfId="0" applyFont="1" applyBorder="1" applyAlignment="1" applyProtection="1">
      <alignment horizontal="center"/>
      <protection locked="0"/>
    </xf>
    <xf numFmtId="0" fontId="57" fillId="13" borderId="9" xfId="0" applyFont="1" applyFill="1" applyBorder="1" applyAlignment="1" applyProtection="1">
      <alignment horizontal="center" vertical="center" wrapText="1"/>
      <protection locked="0"/>
    </xf>
    <xf numFmtId="0" fontId="57" fillId="13" borderId="15" xfId="0" applyFont="1" applyFill="1" applyBorder="1" applyAlignment="1" applyProtection="1">
      <alignment horizontal="center" vertical="center" wrapText="1"/>
      <protection locked="0"/>
    </xf>
    <xf numFmtId="0" fontId="57" fillId="13" borderId="1" xfId="0" applyFont="1" applyFill="1" applyBorder="1" applyAlignment="1" applyProtection="1">
      <alignment horizontal="center" vertical="center" wrapText="1"/>
      <protection locked="0"/>
    </xf>
    <xf numFmtId="0" fontId="60" fillId="0" borderId="13" xfId="0" applyFont="1" applyBorder="1" applyAlignment="1" applyProtection="1">
      <alignment horizontal="center"/>
      <protection locked="0"/>
    </xf>
    <xf numFmtId="0" fontId="60" fillId="0" borderId="29" xfId="0" applyFont="1" applyBorder="1" applyAlignment="1" applyProtection="1">
      <alignment horizontal="center" vertical="center"/>
      <protection locked="0"/>
    </xf>
    <xf numFmtId="0" fontId="60" fillId="0" borderId="22" xfId="0" applyFont="1" applyBorder="1" applyAlignment="1" applyProtection="1">
      <alignment horizontal="center" vertical="center"/>
      <protection locked="0"/>
    </xf>
    <xf numFmtId="0" fontId="60" fillId="0" borderId="30" xfId="0" applyFont="1" applyBorder="1" applyAlignment="1" applyProtection="1">
      <alignment horizontal="center" vertical="center"/>
      <protection locked="0"/>
    </xf>
    <xf numFmtId="0" fontId="57" fillId="0" borderId="13" xfId="0" applyFont="1" applyBorder="1" applyAlignment="1" applyProtection="1">
      <alignment horizontal="center"/>
      <protection locked="0"/>
    </xf>
    <xf numFmtId="0" fontId="58" fillId="0" borderId="13" xfId="0" applyFont="1" applyBorder="1" applyAlignment="1" applyProtection="1">
      <alignment horizontal="center"/>
      <protection locked="0"/>
    </xf>
    <xf numFmtId="0" fontId="58" fillId="0" borderId="19" xfId="0" applyFont="1" applyBorder="1" applyAlignment="1" applyProtection="1">
      <alignment horizontal="center"/>
      <protection locked="0"/>
    </xf>
    <xf numFmtId="0" fontId="60" fillId="0" borderId="32" xfId="0" applyFont="1" applyBorder="1" applyAlignment="1" applyProtection="1">
      <alignment horizontal="left"/>
      <protection locked="0"/>
    </xf>
    <xf numFmtId="0" fontId="60" fillId="0" borderId="33" xfId="0" applyFont="1" applyBorder="1" applyAlignment="1" applyProtection="1">
      <alignment horizontal="left"/>
      <protection locked="0"/>
    </xf>
    <xf numFmtId="0" fontId="60" fillId="0" borderId="35" xfId="0" applyFont="1" applyBorder="1" applyAlignment="1" applyProtection="1">
      <alignment horizontal="left"/>
      <protection locked="0"/>
    </xf>
    <xf numFmtId="0" fontId="60" fillId="0" borderId="41" xfId="0" applyFont="1" applyBorder="1" applyAlignment="1" applyProtection="1">
      <alignment horizontal="left"/>
      <protection locked="0"/>
    </xf>
    <xf numFmtId="0" fontId="66" fillId="0" borderId="0" xfId="0" applyFont="1" applyAlignment="1" applyProtection="1">
      <alignment horizontal="left" vertical="center" wrapText="1"/>
      <protection locked="0"/>
    </xf>
    <xf numFmtId="0" fontId="57" fillId="6" borderId="42" xfId="0" applyFont="1" applyFill="1" applyBorder="1" applyAlignment="1" applyProtection="1">
      <alignment horizontal="center"/>
      <protection locked="0"/>
    </xf>
    <xf numFmtId="0" fontId="59" fillId="0" borderId="0" xfId="0" applyFont="1" applyAlignment="1" applyProtection="1">
      <alignment horizontal="center"/>
      <protection locked="0"/>
    </xf>
    <xf numFmtId="0" fontId="68" fillId="0" borderId="0" xfId="0" applyFont="1" applyAlignment="1" applyProtection="1">
      <alignment horizontal="left"/>
      <protection locked="0"/>
    </xf>
    <xf numFmtId="14" fontId="69" fillId="0" borderId="42" xfId="0" applyNumberFormat="1" applyFont="1" applyBorder="1" applyAlignment="1" applyProtection="1">
      <alignment horizontal="left"/>
      <protection locked="0"/>
    </xf>
    <xf numFmtId="0" fontId="66" fillId="0" borderId="0" xfId="0" applyFont="1" applyAlignment="1" applyProtection="1">
      <alignment horizontal="right" vertical="center" wrapText="1"/>
      <protection locked="0"/>
    </xf>
    <xf numFmtId="0" fontId="57" fillId="18" borderId="9" xfId="0" applyFont="1" applyFill="1" applyBorder="1" applyAlignment="1" applyProtection="1">
      <alignment horizontal="center" vertical="center" wrapText="1"/>
      <protection locked="0"/>
    </xf>
    <xf numFmtId="0" fontId="57" fillId="18" borderId="15" xfId="0" applyFont="1" applyFill="1" applyBorder="1" applyAlignment="1" applyProtection="1">
      <alignment horizontal="center" vertical="center" wrapText="1"/>
      <protection locked="0"/>
    </xf>
    <xf numFmtId="0" fontId="57" fillId="18" borderId="1" xfId="0" applyFont="1" applyFill="1" applyBorder="1" applyAlignment="1" applyProtection="1">
      <alignment horizontal="center" vertical="center" wrapText="1"/>
      <protection locked="0"/>
    </xf>
    <xf numFmtId="0" fontId="60" fillId="0" borderId="13" xfId="0" applyFont="1" applyBorder="1" applyAlignment="1" applyProtection="1">
      <alignment horizontal="center" vertical="center" wrapText="1"/>
      <protection locked="0"/>
    </xf>
    <xf numFmtId="0" fontId="60" fillId="0" borderId="29" xfId="0" applyFont="1" applyBorder="1" applyAlignment="1" applyProtection="1">
      <alignment horizontal="center" vertical="center" wrapText="1"/>
      <protection locked="0"/>
    </xf>
    <xf numFmtId="0" fontId="60" fillId="0" borderId="22" xfId="0" applyFont="1" applyBorder="1" applyAlignment="1" applyProtection="1">
      <alignment horizontal="center" vertical="center" wrapText="1"/>
      <protection locked="0"/>
    </xf>
    <xf numFmtId="0" fontId="60" fillId="0" borderId="30" xfId="0" applyFont="1" applyBorder="1" applyAlignment="1" applyProtection="1">
      <alignment horizontal="center" vertical="center" wrapText="1"/>
      <protection locked="0"/>
    </xf>
    <xf numFmtId="0" fontId="60" fillId="0" borderId="34" xfId="0" applyFont="1" applyBorder="1" applyAlignment="1" applyProtection="1">
      <alignment horizontal="left"/>
      <protection locked="0"/>
    </xf>
    <xf numFmtId="0" fontId="69" fillId="0" borderId="0" xfId="0" applyFont="1" applyAlignment="1" applyProtection="1">
      <alignment horizontal="left"/>
      <protection locked="0"/>
    </xf>
    <xf numFmtId="0" fontId="60" fillId="0" borderId="42" xfId="0" applyFont="1" applyBorder="1" applyAlignment="1" applyProtection="1">
      <alignment horizontal="left"/>
      <protection locked="0"/>
    </xf>
    <xf numFmtId="0" fontId="60" fillId="0" borderId="0" xfId="0" applyFont="1" applyAlignment="1" applyProtection="1">
      <alignment horizontal="left" vertical="center" wrapText="1"/>
      <protection locked="0"/>
    </xf>
    <xf numFmtId="0" fontId="71" fillId="6" borderId="0" xfId="0" applyFont="1" applyFill="1" applyAlignment="1" applyProtection="1">
      <alignment horizontal="left"/>
      <protection locked="0"/>
    </xf>
    <xf numFmtId="0" fontId="72" fillId="6" borderId="0" xfId="0" applyFont="1" applyFill="1" applyAlignment="1" applyProtection="1">
      <alignment horizontal="right" wrapText="1"/>
      <protection locked="0"/>
    </xf>
    <xf numFmtId="0" fontId="72" fillId="6" borderId="0" xfId="0" applyFont="1" applyFill="1" applyAlignment="1" applyProtection="1">
      <alignment horizontal="right" vertical="center" wrapText="1"/>
      <protection locked="0"/>
    </xf>
    <xf numFmtId="0" fontId="58" fillId="0" borderId="0" xfId="0" applyFont="1" applyAlignment="1" applyProtection="1">
      <alignment horizontal="left"/>
      <protection locked="0"/>
    </xf>
    <xf numFmtId="0" fontId="59" fillId="19" borderId="42" xfId="0" applyFont="1" applyFill="1" applyBorder="1" applyAlignment="1" applyProtection="1">
      <alignment horizontal="center"/>
      <protection locked="0"/>
    </xf>
    <xf numFmtId="0" fontId="30" fillId="0" borderId="42" xfId="0" applyFont="1" applyBorder="1" applyAlignment="1" applyProtection="1">
      <alignment horizontal="left"/>
      <protection locked="0"/>
    </xf>
    <xf numFmtId="0" fontId="30" fillId="0" borderId="0" xfId="0" applyFont="1" applyAlignment="1" applyProtection="1">
      <alignment horizontal="left" vertical="center" wrapText="1"/>
      <protection locked="0"/>
    </xf>
    <xf numFmtId="0" fontId="96" fillId="6" borderId="0" xfId="0" applyFont="1" applyFill="1" applyAlignment="1" applyProtection="1">
      <alignment horizontal="left"/>
      <protection locked="0"/>
    </xf>
    <xf numFmtId="0" fontId="86" fillId="6" borderId="42" xfId="0" applyFont="1" applyFill="1" applyBorder="1" applyAlignment="1" applyProtection="1">
      <alignment horizontal="center"/>
      <protection locked="0"/>
    </xf>
    <xf numFmtId="0" fontId="97" fillId="6" borderId="0" xfId="0" applyFont="1" applyFill="1" applyAlignment="1" applyProtection="1">
      <alignment horizontal="right" wrapText="1"/>
      <protection locked="0"/>
    </xf>
    <xf numFmtId="0" fontId="97" fillId="6" borderId="0" xfId="0" applyFont="1" applyFill="1" applyAlignment="1" applyProtection="1">
      <alignment horizontal="right" vertical="center" wrapText="1"/>
      <protection locked="0"/>
    </xf>
    <xf numFmtId="0" fontId="87" fillId="0" borderId="0" xfId="0" applyFont="1" applyAlignment="1" applyProtection="1">
      <alignment horizontal="left"/>
      <protection locked="0"/>
    </xf>
    <xf numFmtId="0" fontId="88" fillId="16" borderId="42" xfId="0" applyFont="1" applyFill="1" applyBorder="1" applyAlignment="1" applyProtection="1">
      <alignment horizontal="center"/>
      <protection locked="0"/>
    </xf>
    <xf numFmtId="0" fontId="88" fillId="0" borderId="0" xfId="0" applyFont="1" applyAlignment="1" applyProtection="1">
      <alignment horizontal="center"/>
      <protection locked="0"/>
    </xf>
    <xf numFmtId="0" fontId="95" fillId="0" borderId="0" xfId="0" applyFont="1" applyAlignment="1" applyProtection="1">
      <alignment horizontal="left"/>
      <protection locked="0"/>
    </xf>
    <xf numFmtId="14" fontId="95" fillId="0" borderId="42" xfId="0" applyNumberFormat="1" applyFont="1" applyBorder="1" applyAlignment="1" applyProtection="1">
      <alignment horizontal="left"/>
      <protection locked="0"/>
    </xf>
    <xf numFmtId="0" fontId="9" fillId="0" borderId="0" xfId="0" applyFont="1" applyAlignment="1" applyProtection="1">
      <alignment horizontal="right" vertical="center" wrapText="1"/>
      <protection locked="0"/>
    </xf>
    <xf numFmtId="0" fontId="30" fillId="0" borderId="36" xfId="0" applyFont="1" applyBorder="1" applyAlignment="1" applyProtection="1">
      <alignment horizontal="left"/>
      <protection locked="0"/>
    </xf>
    <xf numFmtId="0" fontId="30" fillId="0" borderId="37" xfId="0" applyFont="1" applyBorder="1" applyAlignment="1" applyProtection="1">
      <alignment horizontal="left"/>
      <protection locked="0"/>
    </xf>
    <xf numFmtId="0" fontId="30" fillId="0" borderId="41" xfId="0" applyFont="1" applyBorder="1" applyAlignment="1" applyProtection="1">
      <alignment horizontal="left"/>
      <protection locked="0"/>
    </xf>
    <xf numFmtId="0" fontId="9" fillId="0" borderId="0" xfId="0" applyFont="1" applyAlignment="1" applyProtection="1">
      <alignment horizontal="left" vertical="center" wrapText="1"/>
      <protection locked="0"/>
    </xf>
    <xf numFmtId="0" fontId="30" fillId="0" borderId="32" xfId="0" applyFont="1" applyBorder="1" applyAlignment="1" applyProtection="1">
      <alignment horizontal="left"/>
      <protection locked="0"/>
    </xf>
    <xf numFmtId="0" fontId="30" fillId="0" borderId="34" xfId="0" applyFont="1" applyBorder="1" applyAlignment="1" applyProtection="1">
      <alignment horizontal="left"/>
      <protection locked="0"/>
    </xf>
    <xf numFmtId="0" fontId="87" fillId="0" borderId="13" xfId="0" applyFont="1" applyBorder="1" applyAlignment="1" applyProtection="1">
      <alignment horizontal="center"/>
      <protection locked="0"/>
    </xf>
    <xf numFmtId="0" fontId="94" fillId="0" borderId="0" xfId="0" applyFont="1" applyAlignment="1" applyProtection="1">
      <alignment horizontal="left"/>
      <protection locked="0"/>
    </xf>
    <xf numFmtId="0" fontId="86" fillId="18" borderId="9" xfId="0" applyFont="1" applyFill="1" applyBorder="1" applyAlignment="1" applyProtection="1">
      <alignment horizontal="center" vertical="center" wrapText="1"/>
      <protection locked="0"/>
    </xf>
    <xf numFmtId="0" fontId="86" fillId="18" borderId="15" xfId="0" applyFont="1" applyFill="1" applyBorder="1" applyAlignment="1" applyProtection="1">
      <alignment horizontal="center" vertical="center" wrapText="1"/>
      <protection locked="0"/>
    </xf>
    <xf numFmtId="0" fontId="86" fillId="18" borderId="1" xfId="0" applyFont="1" applyFill="1" applyBorder="1" applyAlignment="1" applyProtection="1">
      <alignment horizontal="center" vertical="center" wrapText="1"/>
      <protection locked="0"/>
    </xf>
    <xf numFmtId="0" fontId="30" fillId="0" borderId="13" xfId="0" applyFont="1" applyBorder="1" applyAlignment="1" applyProtection="1">
      <alignment horizontal="center" vertical="center" wrapText="1"/>
      <protection locked="0"/>
    </xf>
    <xf numFmtId="0" fontId="30" fillId="0" borderId="29" xfId="0" applyFont="1" applyBorder="1" applyAlignment="1" applyProtection="1">
      <alignment horizontal="center" vertical="center" wrapText="1"/>
      <protection locked="0"/>
    </xf>
    <xf numFmtId="0" fontId="30" fillId="0" borderId="22" xfId="0" applyFont="1" applyBorder="1" applyAlignment="1" applyProtection="1">
      <alignment horizontal="center" vertical="center" wrapText="1"/>
      <protection locked="0"/>
    </xf>
    <xf numFmtId="0" fontId="30" fillId="0" borderId="30" xfId="0" applyFont="1" applyBorder="1" applyAlignment="1" applyProtection="1">
      <alignment horizontal="center" vertical="center" wrapText="1"/>
      <protection locked="0"/>
    </xf>
    <xf numFmtId="0" fontId="86" fillId="0" borderId="13" xfId="0" applyFont="1" applyBorder="1" applyAlignment="1" applyProtection="1">
      <alignment horizontal="center"/>
      <protection locked="0"/>
    </xf>
    <xf numFmtId="0" fontId="87" fillId="0" borderId="19" xfId="0" applyFont="1" applyBorder="1" applyAlignment="1" applyProtection="1">
      <alignment horizontal="center"/>
      <protection locked="0"/>
    </xf>
    <xf numFmtId="0" fontId="30" fillId="0" borderId="35" xfId="0" applyFont="1" applyBorder="1" applyAlignment="1" applyProtection="1">
      <alignment horizontal="left"/>
      <protection locked="0"/>
    </xf>
    <xf numFmtId="0" fontId="30" fillId="0" borderId="33" xfId="0" applyFont="1" applyBorder="1" applyAlignment="1" applyProtection="1">
      <alignment horizontal="left"/>
      <protection locked="0"/>
    </xf>
    <xf numFmtId="0" fontId="22" fillId="17" borderId="25" xfId="0" applyFont="1" applyFill="1" applyBorder="1" applyAlignment="1">
      <alignment horizontal="center" vertical="center" wrapText="1"/>
    </xf>
    <xf numFmtId="0" fontId="22" fillId="17" borderId="28" xfId="0" applyFont="1" applyFill="1" applyBorder="1" applyAlignment="1">
      <alignment horizontal="center" vertical="center" wrapText="1"/>
    </xf>
    <xf numFmtId="0" fontId="30" fillId="0" borderId="9" xfId="0" applyFont="1" applyBorder="1" applyAlignment="1" applyProtection="1">
      <alignment horizontal="center"/>
      <protection locked="0"/>
    </xf>
    <xf numFmtId="0" fontId="30" fillId="0" borderId="15" xfId="0" applyFont="1" applyBorder="1" applyAlignment="1" applyProtection="1">
      <alignment horizontal="center"/>
      <protection locked="0"/>
    </xf>
    <xf numFmtId="0" fontId="30" fillId="0" borderId="1" xfId="0" applyFont="1" applyBorder="1" applyAlignment="1" applyProtection="1">
      <alignment horizontal="center"/>
      <protection locked="0"/>
    </xf>
    <xf numFmtId="0" fontId="86" fillId="13" borderId="9" xfId="0" applyFont="1" applyFill="1" applyBorder="1" applyAlignment="1" applyProtection="1">
      <alignment horizontal="center" vertical="center" wrapText="1"/>
      <protection locked="0"/>
    </xf>
    <xf numFmtId="0" fontId="86" fillId="13" borderId="15" xfId="0" applyFont="1" applyFill="1" applyBorder="1" applyAlignment="1" applyProtection="1">
      <alignment horizontal="center" vertical="center" wrapText="1"/>
      <protection locked="0"/>
    </xf>
    <xf numFmtId="0" fontId="86" fillId="13" borderId="1" xfId="0" applyFont="1" applyFill="1" applyBorder="1" applyAlignment="1" applyProtection="1">
      <alignment horizontal="center" vertical="center" wrapText="1"/>
      <protection locked="0"/>
    </xf>
    <xf numFmtId="0" fontId="30" fillId="0" borderId="13" xfId="0" applyFont="1" applyBorder="1" applyAlignment="1" applyProtection="1">
      <alignment horizontal="center"/>
      <protection locked="0"/>
    </xf>
    <xf numFmtId="0" fontId="30" fillId="0" borderId="29" xfId="0" applyFont="1" applyBorder="1" applyAlignment="1" applyProtection="1">
      <alignment horizontal="center" vertical="center"/>
      <protection locked="0"/>
    </xf>
    <xf numFmtId="0" fontId="30" fillId="0" borderId="22" xfId="0" applyFont="1" applyBorder="1" applyAlignment="1" applyProtection="1">
      <alignment horizontal="center" vertical="center"/>
      <protection locked="0"/>
    </xf>
    <xf numFmtId="0" fontId="30" fillId="0" borderId="30" xfId="0" applyFont="1" applyBorder="1" applyAlignment="1" applyProtection="1">
      <alignment horizontal="center" vertical="center"/>
      <protection locked="0"/>
    </xf>
    <xf numFmtId="0" fontId="22" fillId="17" borderId="27" xfId="0" applyFont="1" applyFill="1" applyBorder="1" applyAlignment="1">
      <alignment horizontal="center" vertical="center" wrapText="1"/>
    </xf>
    <xf numFmtId="0" fontId="22" fillId="17" borderId="19" xfId="0" applyFont="1" applyFill="1" applyBorder="1" applyAlignment="1">
      <alignment horizontal="center" vertical="center" wrapText="1"/>
    </xf>
    <xf numFmtId="0" fontId="90" fillId="0" borderId="9" xfId="0" applyFont="1" applyBorder="1" applyAlignment="1" applyProtection="1">
      <alignment horizontal="center" vertical="center" wrapText="1"/>
      <protection locked="0"/>
    </xf>
    <xf numFmtId="0" fontId="90" fillId="0" borderId="15" xfId="0" applyFont="1" applyBorder="1" applyAlignment="1" applyProtection="1">
      <alignment horizontal="center" vertical="center" wrapText="1"/>
      <protection locked="0"/>
    </xf>
    <xf numFmtId="0" fontId="90" fillId="0" borderId="1" xfId="0" applyFont="1" applyBorder="1" applyAlignment="1" applyProtection="1">
      <alignment horizontal="center" vertical="center" wrapText="1"/>
      <protection locked="0"/>
    </xf>
    <xf numFmtId="0" fontId="85" fillId="0" borderId="23" xfId="0" applyFont="1" applyBorder="1" applyAlignment="1" applyProtection="1">
      <alignment horizontal="center"/>
      <protection locked="0"/>
    </xf>
    <xf numFmtId="0" fontId="85" fillId="0" borderId="24" xfId="0" applyFont="1" applyBorder="1" applyAlignment="1" applyProtection="1">
      <alignment horizontal="center"/>
      <protection locked="0"/>
    </xf>
    <xf numFmtId="0" fontId="85" fillId="0" borderId="25" xfId="0" applyFont="1" applyBorder="1" applyAlignment="1" applyProtection="1">
      <alignment horizontal="center"/>
      <protection locked="0"/>
    </xf>
    <xf numFmtId="0" fontId="85" fillId="0" borderId="26" xfId="0" applyFont="1" applyBorder="1" applyAlignment="1" applyProtection="1">
      <alignment horizontal="center"/>
      <protection locked="0"/>
    </xf>
    <xf numFmtId="0" fontId="53" fillId="11" borderId="9" xfId="0" applyFont="1" applyFill="1" applyBorder="1" applyAlignment="1" applyProtection="1">
      <alignment horizontal="center" vertical="center" wrapText="1"/>
      <protection locked="0"/>
    </xf>
    <xf numFmtId="0" fontId="86" fillId="11" borderId="15" xfId="0" applyFont="1" applyFill="1" applyBorder="1" applyAlignment="1" applyProtection="1">
      <alignment horizontal="center" vertical="center" wrapText="1"/>
      <protection locked="0"/>
    </xf>
    <xf numFmtId="0" fontId="86" fillId="11" borderId="1" xfId="0" applyFont="1" applyFill="1" applyBorder="1" applyAlignment="1" applyProtection="1">
      <alignment horizontal="center" vertical="center" wrapText="1"/>
      <protection locked="0"/>
    </xf>
    <xf numFmtId="0" fontId="89" fillId="0" borderId="9" xfId="0" applyFont="1" applyBorder="1" applyAlignment="1" applyProtection="1">
      <alignment horizontal="center" vertical="center"/>
      <protection locked="0"/>
    </xf>
    <xf numFmtId="0" fontId="89" fillId="0" borderId="15" xfId="0" applyFont="1" applyBorder="1" applyAlignment="1" applyProtection="1">
      <alignment horizontal="center" vertical="center"/>
      <protection locked="0"/>
    </xf>
    <xf numFmtId="0" fontId="89" fillId="0" borderId="1" xfId="0" applyFont="1" applyBorder="1" applyAlignment="1" applyProtection="1">
      <alignment horizontal="center" vertical="center"/>
      <protection locked="0"/>
    </xf>
    <xf numFmtId="0" fontId="53" fillId="17" borderId="9" xfId="0" applyFont="1" applyFill="1" applyBorder="1" applyAlignment="1" applyProtection="1">
      <alignment horizontal="center" vertical="center" wrapText="1"/>
      <protection locked="0"/>
    </xf>
    <xf numFmtId="0" fontId="53" fillId="17" borderId="15" xfId="0" applyFont="1" applyFill="1" applyBorder="1" applyAlignment="1" applyProtection="1">
      <alignment horizontal="center" vertical="center" wrapText="1"/>
      <protection locked="0"/>
    </xf>
    <xf numFmtId="0" fontId="53" fillId="17" borderId="1" xfId="0" applyFont="1" applyFill="1" applyBorder="1" applyAlignment="1" applyProtection="1">
      <alignment horizontal="center" vertical="center" wrapText="1"/>
      <protection locked="0"/>
    </xf>
    <xf numFmtId="0" fontId="59" fillId="0" borderId="42" xfId="0" applyFont="1" applyBorder="1" applyAlignment="1" applyProtection="1">
      <alignment horizontal="center"/>
      <protection locked="0"/>
    </xf>
    <xf numFmtId="0" fontId="21" fillId="11" borderId="9" xfId="0" applyFont="1" applyFill="1" applyBorder="1" applyAlignment="1" applyProtection="1">
      <alignment horizontal="center" vertical="center" wrapText="1"/>
      <protection locked="0"/>
    </xf>
    <xf numFmtId="0" fontId="21" fillId="11" borderId="15" xfId="0" applyFont="1" applyFill="1" applyBorder="1" applyAlignment="1" applyProtection="1">
      <alignment horizontal="center" vertical="center" wrapText="1"/>
      <protection locked="0"/>
    </xf>
    <xf numFmtId="0" fontId="21" fillId="11" borderId="1" xfId="0" applyFont="1" applyFill="1" applyBorder="1" applyAlignment="1" applyProtection="1">
      <alignment horizontal="center" vertical="center" wrapText="1"/>
      <protection locked="0"/>
    </xf>
    <xf numFmtId="0" fontId="50" fillId="0" borderId="9" xfId="0" applyFont="1" applyBorder="1" applyAlignment="1" applyProtection="1">
      <alignment horizontal="center" vertical="center"/>
      <protection locked="0"/>
    </xf>
    <xf numFmtId="0" fontId="50" fillId="0" borderId="15" xfId="0" applyFont="1" applyBorder="1" applyAlignment="1" applyProtection="1">
      <alignment horizontal="center" vertical="center"/>
      <protection locked="0"/>
    </xf>
    <xf numFmtId="0" fontId="50" fillId="0" borderId="1" xfId="0" applyFont="1" applyBorder="1" applyAlignment="1" applyProtection="1">
      <alignment horizontal="center" vertical="center"/>
      <protection locked="0"/>
    </xf>
    <xf numFmtId="0" fontId="88" fillId="16" borderId="42" xfId="0" applyFont="1" applyFill="1" applyBorder="1" applyAlignment="1" applyProtection="1">
      <alignment horizontal="center" wrapText="1"/>
      <protection locked="0"/>
    </xf>
    <xf numFmtId="0" fontId="88" fillId="16" borderId="42" xfId="0" applyFont="1" applyFill="1" applyBorder="1" applyAlignment="1" applyProtection="1">
      <alignment horizontal="center" vertical="center" wrapText="1"/>
      <protection locked="0"/>
    </xf>
    <xf numFmtId="0" fontId="88" fillId="16" borderId="42" xfId="0" applyFont="1" applyFill="1" applyBorder="1" applyAlignment="1" applyProtection="1">
      <alignment horizontal="center" vertical="center"/>
      <protection locked="0"/>
    </xf>
    <xf numFmtId="0" fontId="50" fillId="11" borderId="9" xfId="0" applyFont="1" applyFill="1" applyBorder="1" applyAlignment="1" applyProtection="1">
      <alignment horizontal="center" vertical="center" wrapText="1"/>
      <protection locked="0"/>
    </xf>
    <xf numFmtId="0" fontId="50" fillId="11" borderId="15" xfId="0" applyFont="1" applyFill="1" applyBorder="1" applyAlignment="1" applyProtection="1">
      <alignment horizontal="center" vertical="center" wrapText="1"/>
      <protection locked="0"/>
    </xf>
    <xf numFmtId="0" fontId="50" fillId="11" borderId="1" xfId="0" applyFont="1" applyFill="1" applyBorder="1" applyAlignment="1" applyProtection="1">
      <alignment horizontal="center" vertical="center" wrapText="1"/>
      <protection locked="0"/>
    </xf>
    <xf numFmtId="0" fontId="80" fillId="0" borderId="0" xfId="0" applyFont="1" applyAlignment="1">
      <alignment horizontal="center" wrapText="1"/>
    </xf>
    <xf numFmtId="14" fontId="1" fillId="24" borderId="0" xfId="6" applyNumberFormat="1" applyFont="1" applyFill="1" applyAlignment="1">
      <alignment horizontal="center" vertical="center" wrapText="1"/>
    </xf>
  </cellXfs>
  <cellStyles count="13">
    <cellStyle name="Hipervínculo" xfId="4" builtinId="8"/>
    <cellStyle name="Moneda" xfId="1" builtinId="4"/>
    <cellStyle name="Normal" xfId="0" builtinId="0"/>
    <cellStyle name="Normal 2" xfId="2" xr:uid="{00000000-0005-0000-0000-000003000000}"/>
    <cellStyle name="Normal 2 2" xfId="6" xr:uid="{00000000-0005-0000-0000-000004000000}"/>
    <cellStyle name="Normal 2 2 2" xfId="11" xr:uid="{00000000-0005-0000-0000-000005000000}"/>
    <cellStyle name="Normal 3" xfId="3" xr:uid="{00000000-0005-0000-0000-000006000000}"/>
    <cellStyle name="Normal 4" xfId="8" xr:uid="{00000000-0005-0000-0000-000007000000}"/>
    <cellStyle name="Normal 5" xfId="5" xr:uid="{00000000-0005-0000-0000-000008000000}"/>
    <cellStyle name="Normal 6" xfId="9" xr:uid="{00000000-0005-0000-0000-000009000000}"/>
    <cellStyle name="Porcentaje 2" xfId="7" xr:uid="{00000000-0005-0000-0000-00000A000000}"/>
    <cellStyle name="Porcentaje 2 2" xfId="12" xr:uid="{00000000-0005-0000-0000-00000B000000}"/>
    <cellStyle name="Porcentaje 3" xfId="10" xr:uid="{00000000-0005-0000-0000-00000C000000}"/>
  </cellStyles>
  <dxfs count="78">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0000"/>
        </patternFill>
      </fill>
    </dxf>
    <dxf>
      <fill>
        <patternFill>
          <bgColor rgb="FFFFFF00"/>
        </patternFill>
      </fill>
    </dxf>
    <dxf>
      <fill>
        <gradientFill degree="90">
          <stop position="0">
            <color theme="0"/>
          </stop>
          <stop position="1">
            <color theme="4"/>
          </stop>
        </gradientFill>
      </fill>
    </dxf>
    <dxf>
      <fill>
        <gradientFill degree="90">
          <stop position="0">
            <color theme="0"/>
          </stop>
          <stop position="1">
            <color theme="9"/>
          </stop>
        </gradientFill>
      </fill>
    </dxf>
    <dxf>
      <fill>
        <patternFill>
          <bgColor theme="0" tint="-0.24994659260841701"/>
        </patternFill>
      </fill>
    </dxf>
    <dxf>
      <fill>
        <patternFill>
          <bgColor rgb="FF92D050"/>
        </patternFill>
      </fill>
    </dxf>
    <dxf>
      <fill>
        <patternFill>
          <bgColor rgb="FFFF0000"/>
        </patternFill>
      </fill>
    </dxf>
    <dxf>
      <fill>
        <patternFill>
          <bgColor theme="9"/>
        </patternFill>
      </fill>
    </dxf>
    <dxf>
      <fill>
        <patternFill>
          <bgColor theme="7" tint="0.59996337778862885"/>
        </patternFill>
      </fill>
    </dxf>
    <dxf>
      <fill>
        <patternFill>
          <bgColor rgb="FFFFFF00"/>
        </patternFill>
      </fill>
    </dxf>
    <dxf>
      <fill>
        <gradientFill degree="90">
          <stop position="0">
            <color theme="0"/>
          </stop>
          <stop position="1">
            <color theme="4"/>
          </stop>
        </gradientFill>
      </fill>
    </dxf>
    <dxf>
      <fill>
        <gradientFill degree="90">
          <stop position="0">
            <color theme="0"/>
          </stop>
          <stop position="1">
            <color theme="9"/>
          </stop>
        </gradientFill>
      </fill>
    </dxf>
    <dxf>
      <fill>
        <patternFill>
          <bgColor theme="0" tint="-0.24994659260841701"/>
        </patternFill>
      </fill>
    </dxf>
    <dxf>
      <fill>
        <patternFill>
          <bgColor theme="0" tint="-0.24994659260841701"/>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gradientFill degree="90">
          <stop position="0">
            <color theme="0"/>
          </stop>
          <stop position="1">
            <color theme="4"/>
          </stop>
        </gradientFill>
      </fill>
    </dxf>
    <dxf>
      <fill>
        <gradientFill degree="90">
          <stop position="0">
            <color theme="0"/>
          </stop>
          <stop position="1">
            <color theme="9"/>
          </stop>
        </gradientFill>
      </fill>
    </dxf>
    <dxf>
      <fill>
        <gradientFill degree="90">
          <stop position="0">
            <color theme="0"/>
          </stop>
          <stop position="1">
            <color theme="4"/>
          </stop>
        </gradientFill>
      </fill>
    </dxf>
    <dxf>
      <fill>
        <gradientFill degree="90">
          <stop position="0">
            <color theme="0"/>
          </stop>
          <stop position="1">
            <color theme="9"/>
          </stop>
        </gradientFill>
      </fill>
    </dxf>
    <dxf>
      <fill>
        <patternFill>
          <bgColor theme="0" tint="-0.24994659260841701"/>
        </patternFill>
      </fill>
    </dxf>
    <dxf>
      <fill>
        <patternFill>
          <bgColor theme="0" tint="-0.24994659260841701"/>
        </patternFill>
      </fill>
    </dxf>
    <dxf>
      <fill>
        <patternFill>
          <bgColor rgb="FF92D050"/>
        </patternFill>
      </fill>
    </dxf>
    <dxf>
      <fill>
        <patternFill>
          <bgColor rgb="FFFF0000"/>
        </patternFill>
      </fill>
    </dxf>
    <dxf>
      <fill>
        <patternFill>
          <bgColor rgb="FFFFFF00"/>
        </patternFill>
      </fill>
    </dxf>
    <dxf>
      <fill>
        <gradientFill degree="90">
          <stop position="0">
            <color theme="0"/>
          </stop>
          <stop position="1">
            <color theme="4"/>
          </stop>
        </gradientFill>
      </fill>
    </dxf>
    <dxf>
      <fill>
        <gradientFill degree="90">
          <stop position="0">
            <color theme="0"/>
          </stop>
          <stop position="1">
            <color theme="9"/>
          </stop>
        </gradient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font>
        <b val="0"/>
        <i val="0"/>
        <strike val="0"/>
        <condense val="0"/>
        <extend val="0"/>
        <outline val="0"/>
        <shadow val="0"/>
        <u val="none"/>
        <vertAlign val="baseline"/>
        <sz val="10"/>
        <color auto="1"/>
        <name val="Copperplate Gothic Light"/>
        <scheme val="none"/>
      </font>
      <numFmt numFmtId="0" formatCode="General"/>
    </dxf>
    <dxf>
      <font>
        <b val="0"/>
        <i val="0"/>
        <strike val="0"/>
        <condense val="0"/>
        <extend val="0"/>
        <outline val="0"/>
        <shadow val="0"/>
        <u val="none"/>
        <vertAlign val="baseline"/>
        <sz val="10"/>
        <color auto="1"/>
        <name val="Copperplate Gothic Light"/>
        <scheme val="none"/>
      </font>
      <numFmt numFmtId="0" formatCode="General"/>
    </dxf>
    <dxf>
      <font>
        <b val="0"/>
        <i val="0"/>
        <strike val="0"/>
        <condense val="0"/>
        <extend val="0"/>
        <outline val="0"/>
        <shadow val="0"/>
        <u val="none"/>
        <vertAlign val="baseline"/>
        <sz val="10"/>
        <color auto="1"/>
        <name val="Copperplate Gothic Light"/>
        <scheme val="none"/>
      </font>
    </dxf>
    <dxf>
      <font>
        <b val="0"/>
        <i val="0"/>
        <strike val="0"/>
        <condense val="0"/>
        <extend val="0"/>
        <outline val="0"/>
        <shadow val="0"/>
        <u val="none"/>
        <vertAlign val="baseline"/>
        <sz val="10"/>
        <color auto="1"/>
        <name val="Copperplate Gothic Light"/>
        <scheme val="none"/>
      </font>
    </dxf>
    <dxf>
      <font>
        <b val="0"/>
        <i val="0"/>
        <strike val="0"/>
        <condense val="0"/>
        <extend val="0"/>
        <outline val="0"/>
        <shadow val="0"/>
        <u val="none"/>
        <vertAlign val="baseline"/>
        <sz val="10"/>
        <color auto="1"/>
        <name val="Copperplate Gothic Light"/>
        <scheme val="none"/>
      </font>
      <numFmt numFmtId="30" formatCode="@"/>
    </dxf>
    <dxf>
      <font>
        <b val="0"/>
        <i val="0"/>
        <strike val="0"/>
        <condense val="0"/>
        <extend val="0"/>
        <outline val="0"/>
        <shadow val="0"/>
        <u val="none"/>
        <vertAlign val="baseline"/>
        <sz val="10"/>
        <color auto="1"/>
        <name val="Copperplate Gothic Light"/>
        <scheme val="none"/>
      </font>
    </dxf>
    <dxf>
      <font>
        <b val="0"/>
        <i val="0"/>
        <strike val="0"/>
        <condense val="0"/>
        <extend val="0"/>
        <outline val="0"/>
        <shadow val="0"/>
        <u val="none"/>
        <vertAlign val="baseline"/>
        <sz val="10"/>
        <color auto="1"/>
        <name val="Copperplate Gothic Light"/>
        <scheme val="none"/>
      </font>
      <alignment textRotation="0" wrapText="1" indent="0" justifyLastLine="0" shrinkToFit="0" readingOrder="0"/>
    </dxf>
    <dxf>
      <font>
        <b val="0"/>
        <i val="0"/>
        <strike val="0"/>
        <condense val="0"/>
        <extend val="0"/>
        <outline val="0"/>
        <shadow val="0"/>
        <u val="none"/>
        <vertAlign val="baseline"/>
        <sz val="10"/>
        <color auto="1"/>
        <name val="Copperplate Gothic Light"/>
        <scheme val="none"/>
      </font>
      <alignment textRotation="0" wrapText="1" indent="0" justifyLastLine="0" shrinkToFit="0" readingOrder="0"/>
    </dxf>
    <dxf>
      <font>
        <b val="0"/>
        <i val="0"/>
        <strike val="0"/>
        <condense val="0"/>
        <extend val="0"/>
        <outline val="0"/>
        <shadow val="0"/>
        <u val="none"/>
        <vertAlign val="baseline"/>
        <sz val="10"/>
        <color auto="1"/>
        <name val="Copperplate Gothic Light"/>
        <scheme val="none"/>
      </font>
      <alignment textRotation="0" wrapText="1" indent="0" justifyLastLine="0" shrinkToFit="0" readingOrder="0"/>
    </dxf>
    <dxf>
      <font>
        <b val="0"/>
        <i val="0"/>
        <strike val="0"/>
        <condense val="0"/>
        <extend val="0"/>
        <outline val="0"/>
        <shadow val="0"/>
        <u val="none"/>
        <vertAlign val="baseline"/>
        <sz val="10"/>
        <color auto="1"/>
        <name val="Copperplate Gothic Light"/>
        <scheme val="none"/>
      </font>
      <alignment vertical="center" textRotation="0" wrapText="1" indent="0" justifyLastLine="0" shrinkToFit="0" readingOrder="0"/>
    </dxf>
    <dxf>
      <font>
        <b val="0"/>
        <i val="0"/>
        <strike val="0"/>
        <condense val="0"/>
        <extend val="0"/>
        <outline val="0"/>
        <shadow val="0"/>
        <u val="none"/>
        <vertAlign val="baseline"/>
        <sz val="10"/>
        <color auto="1"/>
        <name val="Copperplate Gothic Light"/>
        <scheme val="none"/>
      </font>
      <numFmt numFmtId="167" formatCode="dd/mm/yyyy"/>
    </dxf>
    <dxf>
      <font>
        <b val="0"/>
        <i val="0"/>
        <strike val="0"/>
        <condense val="0"/>
        <extend val="0"/>
        <outline val="0"/>
        <shadow val="0"/>
        <u val="none"/>
        <vertAlign val="baseline"/>
        <sz val="10"/>
        <color auto="1"/>
        <name val="Copperplate Gothic Light"/>
        <scheme val="none"/>
      </font>
    </dxf>
    <dxf>
      <font>
        <b val="0"/>
        <i val="0"/>
        <strike val="0"/>
        <condense val="0"/>
        <extend val="0"/>
        <outline val="0"/>
        <shadow val="0"/>
        <u val="none"/>
        <vertAlign val="baseline"/>
        <sz val="10"/>
        <color auto="1"/>
        <name val="Copperplate Gothic Light"/>
        <scheme val="none"/>
      </font>
    </dxf>
    <dxf>
      <font>
        <b val="0"/>
        <i val="0"/>
        <strike val="0"/>
        <condense val="0"/>
        <extend val="0"/>
        <outline val="0"/>
        <shadow val="0"/>
        <u val="none"/>
        <vertAlign val="baseline"/>
        <sz val="10"/>
        <color auto="1"/>
        <name val="Copperplate Gothic Light"/>
        <scheme val="none"/>
      </font>
    </dxf>
    <dxf>
      <font>
        <b val="0"/>
        <i val="0"/>
        <strike val="0"/>
        <condense val="0"/>
        <extend val="0"/>
        <outline val="0"/>
        <shadow val="0"/>
        <u val="none"/>
        <vertAlign val="baseline"/>
        <sz val="10"/>
        <color auto="1"/>
        <name val="Copperplate Gothic Light"/>
        <scheme val="none"/>
      </font>
    </dxf>
    <dxf>
      <font>
        <b val="0"/>
        <i val="0"/>
        <strike val="0"/>
        <condense val="0"/>
        <extend val="0"/>
        <outline val="0"/>
        <shadow val="0"/>
        <u val="none"/>
        <vertAlign val="baseline"/>
        <sz val="10"/>
        <color auto="1"/>
        <name val="Copperplate Gothic Light"/>
        <scheme val="none"/>
      </font>
      <alignment textRotation="0" wrapText="1" indent="0" justifyLastLine="0" shrinkToFit="0" readingOrder="0"/>
    </dxf>
    <dxf>
      <font>
        <b val="0"/>
        <i val="0"/>
        <strike val="0"/>
        <condense val="0"/>
        <extend val="0"/>
        <outline val="0"/>
        <shadow val="0"/>
        <u val="none"/>
        <vertAlign val="baseline"/>
        <sz val="10"/>
        <color auto="1"/>
        <name val="Copperplate Gothic Light"/>
        <scheme val="none"/>
      </font>
    </dxf>
    <dxf>
      <font>
        <b val="0"/>
        <i val="0"/>
        <strike val="0"/>
        <condense val="0"/>
        <extend val="0"/>
        <outline val="0"/>
        <shadow val="0"/>
        <u val="none"/>
        <vertAlign val="baseline"/>
        <sz val="10"/>
        <color auto="1"/>
        <name val="Copperplate Gothic Light"/>
        <scheme val="none"/>
      </font>
    </dxf>
    <dxf>
      <font>
        <b val="0"/>
        <i val="0"/>
        <strike val="0"/>
        <condense val="0"/>
        <extend val="0"/>
        <outline val="0"/>
        <shadow val="0"/>
        <u val="none"/>
        <vertAlign val="baseline"/>
        <sz val="10"/>
        <color auto="1"/>
        <name val="Copperplate Gothic Light"/>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Copperplate Gothic Light"/>
        <scheme val="none"/>
      </font>
    </dxf>
    <dxf>
      <font>
        <b val="0"/>
        <i val="0"/>
        <strike val="0"/>
        <condense val="0"/>
        <extend val="0"/>
        <outline val="0"/>
        <shadow val="0"/>
        <u val="none"/>
        <vertAlign val="baseline"/>
        <sz val="10"/>
        <color auto="1"/>
        <name val="Copperplate Gothic Light"/>
        <scheme val="none"/>
      </font>
      <alignment textRotation="0" wrapText="1" indent="0" justifyLastLine="0" shrinkToFit="0" readingOrder="0"/>
    </dxf>
    <dxf>
      <font>
        <b val="0"/>
        <i val="0"/>
        <strike val="0"/>
        <condense val="0"/>
        <extend val="0"/>
        <outline val="0"/>
        <shadow val="0"/>
        <u val="none"/>
        <vertAlign val="baseline"/>
        <sz val="10"/>
        <color auto="1"/>
        <name val="Copperplate Gothic Light"/>
        <scheme val="none"/>
      </font>
    </dxf>
    <dxf>
      <font>
        <b val="0"/>
        <i val="0"/>
        <strike val="0"/>
        <condense val="0"/>
        <extend val="0"/>
        <outline val="0"/>
        <shadow val="0"/>
        <u val="none"/>
        <vertAlign val="baseline"/>
        <sz val="10"/>
        <color auto="1"/>
        <name val="Copperplate Gothic Light"/>
        <scheme val="none"/>
      </font>
      <alignment textRotation="0" wrapText="1" indent="0" justifyLastLine="0" shrinkToFit="0" readingOrder="0"/>
    </dxf>
    <dxf>
      <font>
        <b val="0"/>
        <i val="0"/>
        <strike val="0"/>
        <condense val="0"/>
        <extend val="0"/>
        <outline val="0"/>
        <shadow val="0"/>
        <u val="none"/>
        <vertAlign val="baseline"/>
        <sz val="10"/>
        <color auto="1"/>
        <name val="Copperplate Gothic Light"/>
        <scheme val="none"/>
      </font>
      <numFmt numFmtId="19" formatCode="d/m/yyyy"/>
      <alignment horizontal="general" vertical="bottom" textRotation="0" wrapText="1" indent="0" justifyLastLine="0" shrinkToFit="0" readingOrder="0"/>
    </dxf>
    <dxf>
      <font>
        <b val="0"/>
        <i val="0"/>
        <strike val="0"/>
        <condense val="0"/>
        <extend val="0"/>
        <outline val="0"/>
        <shadow val="0"/>
        <u val="none"/>
        <vertAlign val="baseline"/>
        <sz val="10"/>
        <color auto="1"/>
        <name val="Copperplate Gothic Light"/>
        <scheme val="none"/>
      </font>
      <alignment textRotation="0" wrapText="1" indent="0" justifyLastLine="0" shrinkToFit="0" readingOrder="0"/>
    </dxf>
    <dxf>
      <font>
        <b val="0"/>
        <i val="0"/>
        <strike val="0"/>
        <condense val="0"/>
        <extend val="0"/>
        <outline val="0"/>
        <shadow val="0"/>
        <u val="none"/>
        <vertAlign val="baseline"/>
        <sz val="10"/>
        <color auto="1"/>
        <name val="Copperplate Gothic Light"/>
        <scheme val="none"/>
      </font>
    </dxf>
    <dxf>
      <font>
        <strike val="0"/>
        <outline val="0"/>
        <shadow val="0"/>
        <u val="none"/>
        <vertAlign val="baseline"/>
        <color theme="1"/>
        <name val="Copperplate Gothic Light"/>
        <scheme val="none"/>
      </font>
    </dxf>
  </dxfs>
  <tableStyles count="0" defaultTableStyle="TableStyleMedium2" defaultPivotStyle="PivotStyleLight16"/>
  <colors>
    <mruColors>
      <color rgb="FFFF37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gif"/></Relationships>
</file>

<file path=xl/drawings/_rels/drawing7.xml.rels><?xml version="1.0" encoding="UTF-8" standalone="yes"?>
<Relationships xmlns="http://schemas.openxmlformats.org/package/2006/relationships"><Relationship Id="rId1" Type="http://schemas.openxmlformats.org/officeDocument/2006/relationships/image" Target="../media/image2.gif"/></Relationships>
</file>

<file path=xl/drawings/_rels/drawing8.xml.rels><?xml version="1.0" encoding="UTF-8" standalone="yes"?>
<Relationships xmlns="http://schemas.openxmlformats.org/package/2006/relationships"><Relationship Id="rId1" Type="http://schemas.openxmlformats.org/officeDocument/2006/relationships/image" Target="../media/image2.gif"/></Relationships>
</file>

<file path=xl/drawings/_rels/drawing9.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twoCellAnchor editAs="oneCell">
    <xdr:from>
      <xdr:col>1</xdr:col>
      <xdr:colOff>317500</xdr:colOff>
      <xdr:row>0</xdr:row>
      <xdr:rowOff>152400</xdr:rowOff>
    </xdr:from>
    <xdr:to>
      <xdr:col>1</xdr:col>
      <xdr:colOff>1689100</xdr:colOff>
      <xdr:row>2</xdr:row>
      <xdr:rowOff>12700</xdr:rowOff>
    </xdr:to>
    <xdr:pic>
      <xdr:nvPicPr>
        <xdr:cNvPr id="2" name="Imagen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tretch>
          <a:fillRect/>
        </a:stretch>
      </xdr:blipFill>
      <xdr:spPr>
        <a:xfrm>
          <a:off x="584200" y="152400"/>
          <a:ext cx="1371600" cy="10128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28575</xdr:colOff>
      <xdr:row>0</xdr:row>
      <xdr:rowOff>238125</xdr:rowOff>
    </xdr:from>
    <xdr:to>
      <xdr:col>1</xdr:col>
      <xdr:colOff>1226759</xdr:colOff>
      <xdr:row>0</xdr:row>
      <xdr:rowOff>571500</xdr:rowOff>
    </xdr:to>
    <xdr:pic>
      <xdr:nvPicPr>
        <xdr:cNvPr id="2" name="2 Imagen">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28575" y="238125"/>
          <a:ext cx="1379159" cy="3333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1</xdr:col>
      <xdr:colOff>78441</xdr:colOff>
      <xdr:row>0</xdr:row>
      <xdr:rowOff>84044</xdr:rowOff>
    </xdr:from>
    <xdr:ext cx="793749" cy="552450"/>
    <xdr:pic>
      <xdr:nvPicPr>
        <xdr:cNvPr id="3" name="Imagen 2">
          <a:extLst>
            <a:ext uri="{FF2B5EF4-FFF2-40B4-BE49-F238E27FC236}">
              <a16:creationId xmlns:a16="http://schemas.microsoft.com/office/drawing/2014/main" id="{00000000-0008-0000-1200-000003000000}"/>
            </a:ext>
          </a:extLst>
        </xdr:cNvPr>
        <xdr:cNvPicPr/>
      </xdr:nvPicPr>
      <xdr:blipFill>
        <a:blip xmlns:r="http://schemas.openxmlformats.org/officeDocument/2006/relationships" r:embed="rId1"/>
        <a:stretch>
          <a:fillRect/>
        </a:stretch>
      </xdr:blipFill>
      <xdr:spPr>
        <a:xfrm>
          <a:off x="257735" y="84044"/>
          <a:ext cx="793749" cy="552450"/>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1</xdr:col>
      <xdr:colOff>183697</xdr:colOff>
      <xdr:row>0</xdr:row>
      <xdr:rowOff>95250</xdr:rowOff>
    </xdr:from>
    <xdr:ext cx="793749" cy="552450"/>
    <xdr:pic>
      <xdr:nvPicPr>
        <xdr:cNvPr id="3" name="Imagen 2">
          <a:extLst>
            <a:ext uri="{FF2B5EF4-FFF2-40B4-BE49-F238E27FC236}">
              <a16:creationId xmlns:a16="http://schemas.microsoft.com/office/drawing/2014/main" id="{00000000-0008-0000-1300-000003000000}"/>
            </a:ext>
          </a:extLst>
        </xdr:cNvPr>
        <xdr:cNvPicPr/>
      </xdr:nvPicPr>
      <xdr:blipFill>
        <a:blip xmlns:r="http://schemas.openxmlformats.org/officeDocument/2006/relationships" r:embed="rId1"/>
        <a:stretch>
          <a:fillRect/>
        </a:stretch>
      </xdr:blipFill>
      <xdr:spPr>
        <a:xfrm>
          <a:off x="367393" y="95250"/>
          <a:ext cx="793749" cy="552450"/>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1</xdr:col>
      <xdr:colOff>82551</xdr:colOff>
      <xdr:row>0</xdr:row>
      <xdr:rowOff>82550</xdr:rowOff>
    </xdr:from>
    <xdr:ext cx="793749" cy="552450"/>
    <xdr:pic>
      <xdr:nvPicPr>
        <xdr:cNvPr id="3" name="Imagen 2">
          <a:extLst>
            <a:ext uri="{FF2B5EF4-FFF2-40B4-BE49-F238E27FC236}">
              <a16:creationId xmlns:a16="http://schemas.microsoft.com/office/drawing/2014/main" id="{00000000-0008-0000-1100-000003000000}"/>
            </a:ext>
          </a:extLst>
        </xdr:cNvPr>
        <xdr:cNvPicPr/>
      </xdr:nvPicPr>
      <xdr:blipFill>
        <a:blip xmlns:r="http://schemas.openxmlformats.org/officeDocument/2006/relationships" r:embed="rId1"/>
        <a:stretch>
          <a:fillRect/>
        </a:stretch>
      </xdr:blipFill>
      <xdr:spPr>
        <a:xfrm>
          <a:off x="266701" y="82550"/>
          <a:ext cx="793749" cy="552450"/>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1009651</xdr:colOff>
      <xdr:row>0</xdr:row>
      <xdr:rowOff>781050</xdr:rowOff>
    </xdr:to>
    <xdr:pic>
      <xdr:nvPicPr>
        <xdr:cNvPr id="2" name="Imagen 1" descr="logos labs">
          <a:extLst>
            <a:ext uri="{FF2B5EF4-FFF2-40B4-BE49-F238E27FC236}">
              <a16:creationId xmlns:a16="http://schemas.microsoft.com/office/drawing/2014/main" id="{00000000-0008-0000-1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0"/>
          <a:ext cx="1009650" cy="7810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317500</xdr:colOff>
      <xdr:row>0</xdr:row>
      <xdr:rowOff>152400</xdr:rowOff>
    </xdr:from>
    <xdr:to>
      <xdr:col>1</xdr:col>
      <xdr:colOff>1689100</xdr:colOff>
      <xdr:row>2</xdr:row>
      <xdr:rowOff>12700</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tretch>
          <a:fillRect/>
        </a:stretch>
      </xdr:blipFill>
      <xdr:spPr>
        <a:xfrm>
          <a:off x="584200" y="152400"/>
          <a:ext cx="1371600" cy="1012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201082</xdr:colOff>
      <xdr:row>0</xdr:row>
      <xdr:rowOff>105834</xdr:rowOff>
    </xdr:from>
    <xdr:ext cx="1164167" cy="825500"/>
    <xdr:pic>
      <xdr:nvPicPr>
        <xdr:cNvPr id="2" name="Imagen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a:stretch>
          <a:fillRect/>
        </a:stretch>
      </xdr:blipFill>
      <xdr:spPr>
        <a:xfrm>
          <a:off x="201082" y="105834"/>
          <a:ext cx="1164167" cy="8255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201082</xdr:colOff>
      <xdr:row>0</xdr:row>
      <xdr:rowOff>105834</xdr:rowOff>
    </xdr:from>
    <xdr:ext cx="1164167" cy="825500"/>
    <xdr:pic>
      <xdr:nvPicPr>
        <xdr:cNvPr id="2" name="Imagen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a:stretch>
          <a:fillRect/>
        </a:stretch>
      </xdr:blipFill>
      <xdr:spPr>
        <a:xfrm>
          <a:off x="201082" y="105834"/>
          <a:ext cx="1164167" cy="82550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201082</xdr:colOff>
      <xdr:row>0</xdr:row>
      <xdr:rowOff>105834</xdr:rowOff>
    </xdr:from>
    <xdr:ext cx="1164167" cy="825500"/>
    <xdr:pic>
      <xdr:nvPicPr>
        <xdr:cNvPr id="2" name="Imagen 1">
          <a:extLst>
            <a:ext uri="{FF2B5EF4-FFF2-40B4-BE49-F238E27FC236}">
              <a16:creationId xmlns:a16="http://schemas.microsoft.com/office/drawing/2014/main" id="{4F43A0E7-F035-44FC-B5E9-7E1ECD5C54D0}"/>
            </a:ext>
          </a:extLst>
        </xdr:cNvPr>
        <xdr:cNvPicPr/>
      </xdr:nvPicPr>
      <xdr:blipFill>
        <a:blip xmlns:r="http://schemas.openxmlformats.org/officeDocument/2006/relationships" r:embed="rId1"/>
        <a:stretch>
          <a:fillRect/>
        </a:stretch>
      </xdr:blipFill>
      <xdr:spPr>
        <a:xfrm>
          <a:off x="201082" y="105834"/>
          <a:ext cx="1164167" cy="82550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0</xdr:row>
      <xdr:rowOff>238125</xdr:rowOff>
    </xdr:from>
    <xdr:to>
      <xdr:col>1</xdr:col>
      <xdr:colOff>1226759</xdr:colOff>
      <xdr:row>0</xdr:row>
      <xdr:rowOff>571500</xdr:rowOff>
    </xdr:to>
    <xdr:pic>
      <xdr:nvPicPr>
        <xdr:cNvPr id="2" name="1 Imagen">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28575" y="238125"/>
          <a:ext cx="1379159" cy="3333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xdr:colOff>
      <xdr:row>0</xdr:row>
      <xdr:rowOff>238125</xdr:rowOff>
    </xdr:from>
    <xdr:to>
      <xdr:col>1</xdr:col>
      <xdr:colOff>1226759</xdr:colOff>
      <xdr:row>0</xdr:row>
      <xdr:rowOff>571500</xdr:rowOff>
    </xdr:to>
    <xdr:pic>
      <xdr:nvPicPr>
        <xdr:cNvPr id="2" name="1 Imagen">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28575" y="238125"/>
          <a:ext cx="1379159" cy="3333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28575</xdr:colOff>
      <xdr:row>0</xdr:row>
      <xdr:rowOff>238125</xdr:rowOff>
    </xdr:from>
    <xdr:to>
      <xdr:col>1</xdr:col>
      <xdr:colOff>1226759</xdr:colOff>
      <xdr:row>0</xdr:row>
      <xdr:rowOff>571500</xdr:rowOff>
    </xdr:to>
    <xdr:pic>
      <xdr:nvPicPr>
        <xdr:cNvPr id="2" name="2 Imagen">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28575" y="238125"/>
          <a:ext cx="1379159" cy="3333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0</xdr:row>
      <xdr:rowOff>238125</xdr:rowOff>
    </xdr:from>
    <xdr:to>
      <xdr:col>1</xdr:col>
      <xdr:colOff>1226759</xdr:colOff>
      <xdr:row>0</xdr:row>
      <xdr:rowOff>571500</xdr:rowOff>
    </xdr:to>
    <xdr:pic>
      <xdr:nvPicPr>
        <xdr:cNvPr id="2" name="2 Imagen">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28575" y="238125"/>
          <a:ext cx="1379159" cy="3333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2.136.103\Compras\3%20-%20Procedimiento%20y%20Eval%20Proveedores\Hist&#243;ricos\Evaluacion%20de%20proveedores.%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abrizio\Documents\Hist&#243;ricos\Evaluacion%20de%20proveedores.%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Datos"/>
      <sheetName val="Listado de Proveedores"/>
      <sheetName val="Insumos 2020"/>
      <sheetName val="Servicios 2020"/>
      <sheetName val="Análisis"/>
      <sheetName val="Jenck 2019"/>
      <sheetName val="Perkin Elmer 2019"/>
      <sheetName val="Evaluación INTI 2018"/>
      <sheetName val="Evaluación INTI 2019"/>
      <sheetName val="Evaluación IRAM 2018"/>
      <sheetName val="Evaluación IRAM 2019"/>
      <sheetName val="Evaluación FQA 2018"/>
      <sheetName val="Evaluacion Qualitycheck 2020"/>
      <sheetName val="Evaluación IRAM 2020"/>
      <sheetName val="Evaluación INTI 2020"/>
      <sheetName val="Evaluación FQA 2019"/>
      <sheetName val="Superado"/>
      <sheetName val="obsoleto"/>
    </sheetNames>
    <sheetDataSet>
      <sheetData sheetId="0" refreshError="1"/>
      <sheetData sheetId="1" refreshError="1"/>
      <sheetData sheetId="2"/>
      <sheetData sheetId="3">
        <row r="6">
          <cell r="H6" t="str">
            <v xml:space="preserve">Dispone de los servicios requeridos  </v>
          </cell>
          <cell r="I6" t="str">
            <v>Entrega certificados</v>
          </cell>
          <cell r="J6" t="str">
            <v xml:space="preserve">La calidad del servicio  cumple con lo requerido </v>
          </cell>
          <cell r="K6" t="str">
            <v>Precio</v>
          </cell>
          <cell r="L6" t="str">
            <v xml:space="preserve"> Sus tiempos de respuesta ante requerimientos se adecuan a nuestras necesidades</v>
          </cell>
          <cell r="M6" t="str">
            <v>Brinda Asistencia Técnica</v>
          </cell>
          <cell r="N6" t="str">
            <v>Posee un SGC</v>
          </cell>
        </row>
        <row r="7">
          <cell r="O7">
            <v>21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rvicios 2020"/>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LIDAD" refreshedDate="43165.387658101849" createdVersion="5" refreshedVersion="5" minRefreshableVersion="3" recordCount="504" xr:uid="{00000000-000A-0000-FFFF-FFFF09000000}">
  <cacheSource type="worksheet">
    <worksheetSource name="Tabla1"/>
  </cacheSource>
  <cacheFields count="24">
    <cacheField name="fecha_x000a_de_x000a_pedido" numFmtId="0">
      <sharedItems containsDate="1" containsBlank="1" containsMixedTypes="1" minDate="2016-01-24T00:00:00" maxDate="2018-02-27T00:00:00" count="167">
        <d v="2016-01-24T00:00:00"/>
        <d v="2016-02-10T00:00:00"/>
        <d v="2016-02-15T00:00:00"/>
        <d v="2016-02-22T00:00:00"/>
        <d v="2016-02-24T00:00:00"/>
        <d v="2016-02-25T00:00:00"/>
        <d v="2016-03-01T00:00:00"/>
        <d v="2016-03-03T00:00:00"/>
        <d v="2016-03-04T00:00:00"/>
        <d v="2016-03-10T00:00:00"/>
        <m/>
        <d v="2016-03-30T00:00:00"/>
        <d v="2016-04-04T00:00:00"/>
        <d v="2016-04-11T00:00:00"/>
        <d v="2016-04-20T00:00:00"/>
        <d v="2016-05-04T00:00:00"/>
        <d v="2016-05-17T00:00:00"/>
        <d v="2016-05-20T00:00:00"/>
        <d v="2016-05-26T00:00:00"/>
        <d v="2016-06-01T00:00:00"/>
        <d v="2016-06-13T00:00:00"/>
        <d v="2016-06-15T00:00:00"/>
        <d v="2016-06-24T00:00:00"/>
        <d v="2016-07-01T00:00:00"/>
        <d v="2016-07-06T00:00:00"/>
        <d v="2016-07-19T00:00:00"/>
        <d v="2016-08-02T00:00:00"/>
        <d v="2016-08-03T00:00:00"/>
        <d v="2016-08-17T00:00:00"/>
        <d v="2016-09-01T00:00:00"/>
        <d v="2016-09-02T00:00:00"/>
        <d v="2016-09-08T00:00:00"/>
        <d v="2016-09-12T00:00:00"/>
        <d v="2016-09-13T00:00:00"/>
        <d v="2016-09-14T00:00:00"/>
        <d v="2016-09-16T00:00:00"/>
        <d v="2016-09-20T00:00:00"/>
        <d v="2016-09-28T00:00:00"/>
        <d v="2016-10-03T00:00:00"/>
        <d v="2016-10-04T00:00:00"/>
        <d v="2016-10-11T00:00:00"/>
        <d v="2016-10-17T00:00:00"/>
        <d v="2016-10-20T00:00:00"/>
        <d v="2016-10-21T00:00:00"/>
        <d v="2016-10-25T00:00:00"/>
        <d v="2016-10-28T00:00:00"/>
        <d v="2016-11-01T00:00:00"/>
        <d v="2016-11-11T00:00:00"/>
        <d v="2016-11-15T00:00:00"/>
        <d v="2016-11-17T00:00:00"/>
        <d v="2016-12-01T00:00:00"/>
        <d v="2016-12-08T00:00:00"/>
        <d v="2016-12-14T00:00:00"/>
        <d v="2016-12-29T00:00:00"/>
        <d v="2017-01-06T00:00:00"/>
        <d v="2017-02-13T00:00:00"/>
        <d v="2017-02-22T00:00:00"/>
        <d v="2017-03-01T00:00:00"/>
        <d v="2017-03-10T00:00:00"/>
        <d v="2017-03-16T00:00:00"/>
        <d v="2017-03-17T00:00:00"/>
        <d v="2017-03-26T00:00:00"/>
        <d v="2017-03-29T00:00:00"/>
        <d v="2017-04-04T00:00:00"/>
        <d v="2017-04-18T00:00:00"/>
        <d v="2017-04-19T00:00:00"/>
        <s v="19/04/17_x000a_no aplica"/>
        <d v="2017-04-24T00:00:00"/>
        <d v="2017-05-02T00:00:00"/>
        <d v="2017-05-03T00:00:00"/>
        <d v="2017-05-15T00:00:00"/>
        <d v="2017-05-16T00:00:00"/>
        <s v="16/05/17_x000a_no aplica"/>
        <d v="2017-05-18T00:00:00"/>
        <d v="2017-06-22T00:00:00"/>
        <d v="2017-05-23T00:00:00"/>
        <d v="2017-05-26T00:00:00"/>
        <s v="26/05/17_x000a_no aplica"/>
        <d v="2017-05-30T00:00:00"/>
        <s v="no aplica"/>
        <d v="2017-05-31T00:00:00"/>
        <d v="2017-06-01T00:00:00"/>
        <d v="2017-06-05T00:00:00"/>
        <d v="2017-06-07T00:00:00"/>
        <d v="2017-06-08T00:00:00"/>
        <d v="2017-06-09T00:00:00"/>
        <d v="2017-06-14T00:00:00"/>
        <d v="2017-06-15T00:00:00"/>
        <s v="15/06/17_x000a_Responde  a cambio de item anterior"/>
        <d v="2017-06-16T00:00:00"/>
        <d v="2017-06-19T00:00:00"/>
        <d v="2017-06-27T00:00:00"/>
        <d v="2017-06-28T00:00:00"/>
        <d v="2017-07-03T00:00:00"/>
        <d v="2017-07-04T00:00:00"/>
        <d v="2017-07-06T00:00:00"/>
        <d v="2017-07-07T00:00:00"/>
        <d v="2017-07-11T00:00:00"/>
        <d v="2017-07-12T00:00:00"/>
        <d v="2017-07-14T00:00:00"/>
        <d v="2017-07-18T00:00:00"/>
        <d v="2017-07-20T00:00:00"/>
        <d v="2017-07-24T00:00:00"/>
        <d v="2017-07-26T00:00:00"/>
        <d v="2017-07-27T00:00:00"/>
        <d v="2017-07-28T00:00:00"/>
        <d v="2017-07-31T00:00:00"/>
        <d v="2017-08-02T00:00:00"/>
        <d v="2017-08-08T00:00:00"/>
        <d v="2017-08-09T00:00:00"/>
        <d v="2017-08-10T00:00:00"/>
        <d v="2017-08-11T00:00:00"/>
        <d v="2017-08-17T00:00:00"/>
        <d v="2017-08-22T00:00:00"/>
        <d v="2017-08-23T00:00:00"/>
        <d v="2017-08-25T00:00:00"/>
        <d v="2017-08-28T00:00:00"/>
        <d v="2017-08-31T00:00:00"/>
        <d v="2017-09-04T00:00:00"/>
        <d v="2017-09-06T00:00:00"/>
        <d v="2017-09-07T00:00:00"/>
        <d v="2017-09-12T00:00:00"/>
        <d v="2017-09-20T00:00:00"/>
        <d v="2017-09-22T00:00:00"/>
        <d v="2017-09-23T00:00:00"/>
        <d v="2017-09-27T00:00:00"/>
        <d v="2017-09-28T00:00:00"/>
        <d v="2017-09-29T00:00:00"/>
        <d v="2017-10-04T00:00:00"/>
        <d v="2017-10-05T00:00:00"/>
        <d v="2017-10-09T00:00:00"/>
        <d v="2017-10-10T00:00:00"/>
        <d v="2017-10-13T00:00:00"/>
        <d v="2017-10-18T00:00:00"/>
        <d v="2017-10-23T00:00:00"/>
        <d v="2017-10-26T00:00:00"/>
        <d v="2017-10-28T00:00:00"/>
        <d v="2017-10-30T00:00:00"/>
        <d v="2017-11-09T00:00:00"/>
        <d v="2017-11-10T00:00:00"/>
        <d v="2017-11-14T00:00:00"/>
        <d v="2017-11-15T00:00:00"/>
        <d v="2017-11-24T00:00:00"/>
        <d v="2017-11-27T00:00:00"/>
        <d v="2017-11-28T00:00:00"/>
        <d v="2017-11-29T00:00:00"/>
        <d v="2017-11-30T00:00:00"/>
        <d v="2017-12-04T00:00:00"/>
        <d v="2017-12-05T00:00:00"/>
        <d v="2017-12-11T00:00:00"/>
        <d v="2017-12-12T00:00:00"/>
        <d v="2017-12-15T00:00:00"/>
        <d v="2017-12-18T00:00:00"/>
        <d v="2017-12-19T00:00:00"/>
        <d v="2017-12-20T00:00:00"/>
        <d v="2017-12-26T00:00:00"/>
        <d v="2017-12-28T00:00:00"/>
        <d v="2018-01-03T00:00:00"/>
        <d v="2018-01-09T00:00:00"/>
        <d v="2018-01-10T00:00:00"/>
        <d v="2018-01-11T00:00:00"/>
        <d v="2018-01-12T00:00:00"/>
        <d v="2018-02-06T00:00:00"/>
        <d v="2018-02-19T00:00:00"/>
        <d v="2018-02-26T00:00:00"/>
        <s v="." u="1"/>
        <d v="2017-01-03T00:00:00" u="1"/>
      </sharedItems>
    </cacheField>
    <cacheField name="Realiza Requerimiento" numFmtId="0">
      <sharedItems containsBlank="1"/>
    </cacheField>
    <cacheField name="Ejecuta" numFmtId="0">
      <sharedItems containsBlank="1"/>
    </cacheField>
    <cacheField name="aprueba_x000a_pedido" numFmtId="0">
      <sharedItems containsBlank="1"/>
    </cacheField>
    <cacheField name="tipo de servicio" numFmtId="0">
      <sharedItems containsBlank="1"/>
    </cacheField>
    <cacheField name="elemento - especificación técnica -_x000a_servicio" numFmtId="0">
      <sharedItems containsBlank="1" longText="1"/>
    </cacheField>
    <cacheField name="cantidad" numFmtId="0">
      <sharedItems containsBlank="1" containsMixedTypes="1" containsNumber="1" minValue="1" maxValue="500"/>
    </cacheField>
    <cacheField name="Unidad" numFmtId="0">
      <sharedItems containsBlank="1"/>
    </cacheField>
    <cacheField name="proveedor" numFmtId="0">
      <sharedItems containsBlank="1" count="58">
        <s v="Mag SRL."/>
        <s v="Papelera Godoy Cruz"/>
        <s v="Medrano"/>
        <s v="chemical center"/>
        <s v="Rivagas"/>
        <s v="Fite SAC"/>
        <s v="Mac"/>
        <s v="Industria y Medicina"/>
        <s v="Laboratorio Andes"/>
        <s v="El Rey del Papel"/>
        <s v="Aquaplast"/>
        <s v="Diversy. Aconcagua Distribuciones"/>
        <s v="Jenck"/>
        <s v="Medrano (Aparicio María Belén)"/>
        <s v="LABSA"/>
        <s v="Omnilab"/>
        <s v="Rodriguez HNOS. Transportes S.A."/>
        <s v="Rodríguez Hnos. Transporte S.A."/>
        <s v="Aristobulo"/>
        <s v="Expreso Luján DE Cuyo"/>
        <s v="Facultad De ciencias Aplicadas"/>
        <s v="INV"/>
        <s v="Medical Gloves"/>
        <s v="Oquplast"/>
        <m/>
        <s v="Indura"/>
        <s v="Pedro"/>
        <s v="JBInsumos de Buttini Alfredo Javier"/>
        <s v="L.A.M"/>
        <s v="Ricaro Fernández_x000a_Autosrvicio integral mayorista"/>
        <s v="El almácen del artesano"/>
        <s v="Farmacity"/>
        <s v="Los tres gorditos"/>
        <s v="Z envases"/>
        <s v="SUrI S.A."/>
        <s v="Denimed"/>
        <s v="Cerrajeria Gustavo"/>
        <s v="INTI"/>
        <s v="Instrumentacion cientifica S.A."/>
        <s v="AADEE S.A."/>
        <s v="Camionera Mendocina"/>
        <s v="Elind. Elementos Industriales"/>
        <s v="Asociación cooperadora Facultad de Ciencias Aplicadas a la Industria"/>
        <s v="ARISTOBULO GOMEZ RUPEREZ S.A"/>
        <s v="Sintorgan"/>
        <s v="RO-BOT S.R.L._x000a_Los tres gorditos"/>
        <s v="Ricardo Fernandez Autoservicio Integral.."/>
        <s v="Del Carpio"/>
        <s v="Jenck."/>
        <s v="Inndura"/>
        <s v="Laboratorio Andes."/>
        <s v="Innopack S.A"/>
        <s v="Jenck S.A."/>
        <s v="BALDOR SRL"/>
        <s v="Haarth Roberto"/>
        <s v="VEGA Y CAMJI S.A.I.C."/>
        <s v="Testo argentino S.A."/>
        <s v="AADE S.A." u="1"/>
      </sharedItems>
    </cacheField>
    <cacheField name="Costo Unitario" numFmtId="0">
      <sharedItems containsDate="1" containsBlank="1" containsMixedTypes="1" minDate="1899-12-31T00:01:04" maxDate="1899-12-30T00:00:00"/>
    </cacheField>
    <cacheField name=" Costo Total" numFmtId="0">
      <sharedItems containsBlank="1" containsMixedTypes="1" containsNumber="1" minValue="0" maxValue="61244.3"/>
    </cacheField>
    <cacheField name="Fecha entraga pactada" numFmtId="0">
      <sharedItems containsDate="1" containsBlank="1" containsMixedTypes="1" minDate="2016-02-11T00:00:00" maxDate="2018-07-27T00:00:00"/>
    </cacheField>
    <cacheField name="Fecha de entrega real" numFmtId="0">
      <sharedItems containsNonDate="0" containsDate="1" containsString="0" containsBlank="1" minDate="2016-02-11T00:00:00" maxDate="2018-03-03T00:00:00"/>
    </cacheField>
    <cacheField name="Grado de cumplimiento" numFmtId="14">
      <sharedItems count="3">
        <s v="NO CONCRETADO"/>
        <s v="CUMPLIÓ"/>
        <s v="NO CUMPLIÓ"/>
      </sharedItems>
    </cacheField>
    <cacheField name="Dias de Atraso" numFmtId="0">
      <sharedItems containsBlank="1" containsMixedTypes="1" containsNumber="1" containsInteger="1" minValue="-31" maxValue="109"/>
    </cacheField>
    <cacheField name="entrega_x000a_pedido" numFmtId="0">
      <sharedItems containsBlank="1"/>
    </cacheField>
    <cacheField name="recibe _x000a_pedido" numFmtId="0">
      <sharedItems containsBlank="1"/>
    </cacheField>
    <cacheField name="inspección recepción/_x000a_observaciones" numFmtId="0">
      <sharedItems containsBlank="1" longText="1"/>
    </cacheField>
    <cacheField name="_x000a_remito nº_x000a_(si corresponde)" numFmtId="0">
      <sharedItems containsBlank="1"/>
    </cacheField>
    <cacheField name="factura nº" numFmtId="0">
      <sharedItems containsBlank="1" containsMixedTypes="1" containsNumber="1" containsInteger="1" minValue="37" maxValue="78642"/>
    </cacheField>
    <cacheField name="fecha _x000a_de pago" numFmtId="0">
      <sharedItems containsNonDate="0" containsString="0" containsBlank="1"/>
    </cacheField>
    <cacheField name="observaciones" numFmtId="0">
      <sharedItems containsBlank="1"/>
    </cacheField>
    <cacheField name="mes" numFmtId="0">
      <sharedItems containsBlank="1" containsMixedTypes="1" containsNumber="1" containsInteger="1" minValue="1" maxValue="12"/>
    </cacheField>
    <cacheField name="año" numFmtId="0">
      <sharedItems containsBlank="1" containsMixedTypes="1" containsNumber="1" containsInteger="1" minValue="1900" maxValue="2018" count="6">
        <n v="2016"/>
        <n v="1900"/>
        <n v="2017"/>
        <e v="#VALUE!"/>
        <m/>
        <n v="2018"/>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04">
  <r>
    <x v="0"/>
    <s v="NO APLICA"/>
    <s v="Cristóbal"/>
    <s v="María E."/>
    <s v="NO APLICA"/>
    <s v="Espátula analitica cuchara y pala, de Ac. Inox Leone chica"/>
    <n v="2"/>
    <s v="unidades"/>
    <x v="0"/>
    <m/>
    <m/>
    <d v="2016-06-28T00:00:00"/>
    <m/>
    <x v="0"/>
    <s v="NO CONCRETADO"/>
    <m/>
    <m/>
    <s v="28/06/16 A espera de entrega del pedido. 01/07/16 Pedido desestimado"/>
    <m/>
    <m/>
    <m/>
    <m/>
    <n v="1"/>
    <x v="0"/>
  </r>
  <r>
    <x v="1"/>
    <s v="NO APLICA"/>
    <s v="Cristóbal"/>
    <s v="María L."/>
    <s v="NO APLICA"/>
    <s v="Pack por 2 rollos Servital x 250 m "/>
    <n v="2"/>
    <s v="pack"/>
    <x v="1"/>
    <m/>
    <m/>
    <d v="2016-02-11T00:00:00"/>
    <d v="2016-02-11T00:00:00"/>
    <x v="1"/>
    <n v="0"/>
    <m/>
    <s v="Alejandra"/>
    <s v="ok"/>
    <m/>
    <n v="78642"/>
    <m/>
    <m/>
    <n v="2"/>
    <x v="0"/>
  </r>
  <r>
    <x v="2"/>
    <s v="NO APLICA"/>
    <s v="Cristóbal"/>
    <s v="María L."/>
    <s v="NO APLICA"/>
    <s v="Agua Destilada con CE &lt; 4µS/cm x L"/>
    <n v="170"/>
    <s v="L"/>
    <x v="2"/>
    <n v="3.91"/>
    <n v="664.7"/>
    <d v="2016-02-18T00:00:00"/>
    <d v="2016-02-16T00:00:00"/>
    <x v="1"/>
    <n v="-2"/>
    <m/>
    <s v="Cristóbal"/>
    <s v="Se reciben solo 140L, CE Leandro OK_x000a_18/02/16 se recibe el resto"/>
    <m/>
    <n v="237"/>
    <m/>
    <m/>
    <n v="2"/>
    <x v="0"/>
  </r>
  <r>
    <x v="3"/>
    <s v="NO APLICA"/>
    <s v="Cristóbal"/>
    <s v="María L."/>
    <s v="NO APLICA"/>
    <s v="Agua Destilada con CE &lt; 4µS/cm x L"/>
    <n v="160"/>
    <s v="L"/>
    <x v="2"/>
    <n v="3.91"/>
    <n v="625.6"/>
    <d v="2016-02-22T00:00:00"/>
    <d v="2016-02-23T00:00:00"/>
    <x v="2"/>
    <n v="1"/>
    <m/>
    <s v="Cristóbal"/>
    <s v="Control CE Cristobal ok"/>
    <m/>
    <s v="0002 -000779104"/>
    <m/>
    <m/>
    <n v="2"/>
    <x v="0"/>
  </r>
  <r>
    <x v="4"/>
    <s v="NO APLICA"/>
    <s v="Cristóbal"/>
    <s v="María L."/>
    <s v="NO APLICA"/>
    <s v="Pack por 2 rollos Servital x 250 m "/>
    <n v="3"/>
    <s v="pack"/>
    <x v="1"/>
    <m/>
    <n v="0"/>
    <d v="2016-02-25T00:00:00"/>
    <d v="2016-02-25T00:00:00"/>
    <x v="1"/>
    <n v="0"/>
    <m/>
    <s v="Cristóbal"/>
    <s v="ok factura a nombre de Alicia Chaparin"/>
    <m/>
    <m/>
    <m/>
    <m/>
    <n v="2"/>
    <x v="0"/>
  </r>
  <r>
    <x v="5"/>
    <s v="NO APLICA"/>
    <s v="Cristóbal"/>
    <s v="María L."/>
    <s v="NO APLICA"/>
    <s v="Guantes Nitrilo Medianos x 100 uni"/>
    <n v="13"/>
    <s v="Cajas"/>
    <x v="3"/>
    <m/>
    <n v="0"/>
    <d v="2016-03-10T00:00:00"/>
    <d v="2016-03-10T00:00:00"/>
    <x v="1"/>
    <n v="0"/>
    <m/>
    <s v="Cristóbal"/>
    <s v="ok"/>
    <m/>
    <m/>
    <m/>
    <m/>
    <n v="2"/>
    <x v="0"/>
  </r>
  <r>
    <x v="5"/>
    <s v="NO APLICA"/>
    <s v="Cristóbal"/>
    <s v="María L."/>
    <s v="NO APLICA"/>
    <s v="Guantes Nitrilo Grandes x 100 uni"/>
    <n v="3"/>
    <s v="Cajas"/>
    <x v="3"/>
    <n v="135"/>
    <n v="405"/>
    <d v="2016-02-29T00:00:00"/>
    <d v="2016-02-29T00:00:00"/>
    <x v="1"/>
    <n v="0"/>
    <m/>
    <s v="Cristóbal"/>
    <s v="ok"/>
    <m/>
    <m/>
    <m/>
    <m/>
    <n v="2"/>
    <x v="0"/>
  </r>
  <r>
    <x v="5"/>
    <s v="NO APLICA"/>
    <s v="Cristóbal"/>
    <s v="María L."/>
    <s v="NO APLICA"/>
    <s v="Guantes Nitrilo Chicos x 100 uni"/>
    <n v="3"/>
    <s v="Cajas"/>
    <x v="3"/>
    <n v="135"/>
    <n v="405"/>
    <d v="2016-03-10T00:00:00"/>
    <d v="2016-03-10T00:00:00"/>
    <x v="1"/>
    <n v="0"/>
    <m/>
    <s v="Alejandra"/>
    <s v="ok"/>
    <m/>
    <m/>
    <m/>
    <m/>
    <n v="2"/>
    <x v="0"/>
  </r>
  <r>
    <x v="5"/>
    <s v="NO APLICA"/>
    <s v="Cristóbal"/>
    <s v="María L."/>
    <s v="NO APLICA"/>
    <s v="Barbijos estandar tricapa x 50 "/>
    <n v="1"/>
    <s v="caja"/>
    <x v="3"/>
    <n v="85"/>
    <n v="85"/>
    <d v="2016-02-29T00:00:00"/>
    <d v="2016-02-29T00:00:00"/>
    <x v="1"/>
    <n v="0"/>
    <m/>
    <s v="Cristóbal"/>
    <s v="ok"/>
    <m/>
    <m/>
    <m/>
    <m/>
    <n v="2"/>
    <x v="0"/>
  </r>
  <r>
    <x v="6"/>
    <s v="NO APLICA"/>
    <s v="Fabrizio"/>
    <s v="María L."/>
    <s v="NO APLICA"/>
    <s v="Propipetas de Caucho con tres válvulas Vicking"/>
    <n v="6"/>
    <s v="unidades"/>
    <x v="3"/>
    <n v="180.29"/>
    <n v="1081.74"/>
    <d v="2016-03-17T00:00:00"/>
    <d v="2016-03-16T00:00:00"/>
    <x v="1"/>
    <n v="-1"/>
    <m/>
    <s v="Fabrizio"/>
    <s v="ok"/>
    <m/>
    <m/>
    <m/>
    <m/>
    <n v="3"/>
    <x v="0"/>
  </r>
  <r>
    <x v="7"/>
    <s v="NO APLICA"/>
    <s v="Cristóbal"/>
    <s v="María L."/>
    <s v="NO APLICA"/>
    <s v="Tubo de gas 10 kg "/>
    <n v="1"/>
    <s v="TUBO"/>
    <x v="4"/>
    <m/>
    <m/>
    <d v="2016-03-03T00:00:00"/>
    <d v="2016-03-03T00:00:00"/>
    <x v="1"/>
    <n v="0"/>
    <m/>
    <s v="Cristóbal"/>
    <s v="ok"/>
    <m/>
    <s v="94606 , 94607"/>
    <m/>
    <m/>
    <n v="3"/>
    <x v="0"/>
  </r>
  <r>
    <x v="8"/>
    <s v="NO APLICA"/>
    <s v="Cristóbal"/>
    <s v="María L."/>
    <s v="NO APLICA"/>
    <s v="Agua Destilada con CE &lt; 4µS/cm x L"/>
    <n v="180"/>
    <s v="Litros"/>
    <x v="2"/>
    <n v="3.91"/>
    <n v="703.80000000000007"/>
    <d v="2016-03-07T00:00:00"/>
    <d v="2016-03-08T00:00:00"/>
    <x v="2"/>
    <n v="1"/>
    <m/>
    <s v="Cristóbal"/>
    <s v="Control CE Leandro OK"/>
    <m/>
    <m/>
    <m/>
    <m/>
    <n v="3"/>
    <x v="0"/>
  </r>
  <r>
    <x v="9"/>
    <s v="NO APLICA"/>
    <s v="Fabrizio"/>
    <s v="Ruth"/>
    <s v="NO APLICA"/>
    <s v="Termometro ASTM 8C"/>
    <n v="1"/>
    <s v="Unidad"/>
    <x v="5"/>
    <n v="1500"/>
    <n v="1500"/>
    <d v="2016-03-28T00:00:00"/>
    <d v="2016-03-28T00:00:00"/>
    <x v="1"/>
    <n v="0"/>
    <s v="Envio"/>
    <s v="Fabrizio"/>
    <s v="ok. El termómetro se envio a MAC"/>
    <m/>
    <m/>
    <m/>
    <m/>
    <n v="3"/>
    <x v="0"/>
  </r>
  <r>
    <x v="9"/>
    <s v="NO APLICA"/>
    <s v="Fabrizio"/>
    <s v="Ruth"/>
    <s v="NO APLICA"/>
    <s v="Servicio de calibracion termometro"/>
    <n v="1"/>
    <m/>
    <x v="6"/>
    <n v="2117.5"/>
    <n v="2117.5"/>
    <d v="2016-04-25T00:00:00"/>
    <d v="2016-04-25T00:00:00"/>
    <x v="1"/>
    <n v="0"/>
    <s v="Correo"/>
    <s v="Fabrizio"/>
    <s v="Recepción OK"/>
    <m/>
    <m/>
    <m/>
    <m/>
    <n v="3"/>
    <x v="0"/>
  </r>
  <r>
    <x v="10"/>
    <s v="NO APLICA"/>
    <s v="Fabrizio"/>
    <s v="María L."/>
    <s v="NO APLICA"/>
    <s v="Hidróxido de sodio PA biopack........1000 g."/>
    <n v="2"/>
    <s v="KG"/>
    <x v="0"/>
    <n v="163.35"/>
    <n v="326.7"/>
    <d v="2016-03-17T00:00:00"/>
    <d v="2016-03-16T00:00:00"/>
    <x v="1"/>
    <n v="-1"/>
    <s v="Mario"/>
    <s v="Cristóbal"/>
    <s v="ok"/>
    <m/>
    <m/>
    <m/>
    <m/>
    <n v="1"/>
    <x v="1"/>
  </r>
  <r>
    <x v="11"/>
    <s v="NO APLICA"/>
    <s v="Cristóbal"/>
    <s v="María E."/>
    <s v="NO APLICA"/>
    <s v="Papel de filtro Cuantitativo 1246. Diametro 125 mm. Filter Lab. (100)"/>
    <n v="1"/>
    <s v="caja"/>
    <x v="0"/>
    <n v="151.9"/>
    <n v="303.8"/>
    <d v="2016-03-31T00:00:00"/>
    <d v="2016-04-04T00:00:00"/>
    <x v="2"/>
    <n v="4"/>
    <s v="Mario"/>
    <s v="Alejandra"/>
    <s v="Ok. En condiciones"/>
    <m/>
    <m/>
    <m/>
    <m/>
    <n v="3"/>
    <x v="0"/>
  </r>
  <r>
    <x v="11"/>
    <s v="NO APLICA"/>
    <s v="Cristóbal"/>
    <s v="María E."/>
    <s v="NO APLICA"/>
    <s v="Papel de filtro cualitativo grado 391 diámetro 125 mm Sartorius (100)"/>
    <n v="2"/>
    <s v="Cajas"/>
    <x v="3"/>
    <n v="540"/>
    <n v="1080"/>
    <d v="2016-03-31T00:00:00"/>
    <d v="2016-04-05T00:00:00"/>
    <x v="2"/>
    <n v="5"/>
    <s v="Repartidor"/>
    <s v="Cristóbal"/>
    <s v="04/04/16 se reclamo por la demora. Quedan en traelo 05/04/16. Recepción 05/04/16 OK."/>
    <m/>
    <m/>
    <m/>
    <m/>
    <n v="3"/>
    <x v="0"/>
  </r>
  <r>
    <x v="12"/>
    <s v="NO APLICA"/>
    <s v="Cristóbal"/>
    <s v="María L."/>
    <s v="NO APLICA"/>
    <s v="Agua Destilada con CE &lt; 4µS/cm x L"/>
    <n v="220"/>
    <s v="Litros"/>
    <x v="2"/>
    <n v="3.91"/>
    <n v="821.1"/>
    <d v="2016-04-07T00:00:00"/>
    <d v="2016-04-07T00:00:00"/>
    <x v="1"/>
    <n v="0"/>
    <m/>
    <s v="Natacha"/>
    <s v="Se controla CE, N.- Batistelli, valores aceptados. "/>
    <m/>
    <n v="1281"/>
    <m/>
    <s v="factura fecha 07/04/16"/>
    <n v="4"/>
    <x v="0"/>
  </r>
  <r>
    <x v="13"/>
    <s v="NO APLICA"/>
    <s v="Cristóbal"/>
    <s v="María L."/>
    <s v="NO APLICA"/>
    <s v="Pack por 2 rollos Servital x 250 m "/>
    <n v="3"/>
    <s v="pack"/>
    <x v="1"/>
    <n v="450"/>
    <n v="1350"/>
    <d v="2016-04-14T00:00:00"/>
    <d v="2016-04-14T00:00:00"/>
    <x v="1"/>
    <n v="0"/>
    <m/>
    <s v="Cristóbal"/>
    <m/>
    <m/>
    <m/>
    <m/>
    <m/>
    <n v="4"/>
    <x v="0"/>
  </r>
  <r>
    <x v="14"/>
    <s v="NO APLICA"/>
    <s v="Cristóbal"/>
    <s v="María L."/>
    <s v="NO APLICA"/>
    <s v="Agua Destilada con CE &lt; 4µS/cm x L"/>
    <n v="200"/>
    <s v="Litros"/>
    <x v="2"/>
    <m/>
    <m/>
    <d v="2016-04-21T00:00:00"/>
    <d v="2016-04-21T00:00:00"/>
    <x v="1"/>
    <n v="0"/>
    <m/>
    <s v="Cristóbal"/>
    <m/>
    <m/>
    <m/>
    <m/>
    <m/>
    <n v="4"/>
    <x v="0"/>
  </r>
  <r>
    <x v="15"/>
    <s v="NO APLICA"/>
    <s v="Cristóbal"/>
    <s v="María L."/>
    <s v="NO APLICA"/>
    <s v="Agua Destilada con CE &lt; 4µS/cm x L"/>
    <n v="240"/>
    <s v="Litros"/>
    <x v="2"/>
    <n v="3.91"/>
    <n v="938.4"/>
    <d v="2016-05-05T00:00:00"/>
    <d v="2016-05-05T00:00:00"/>
    <x v="1"/>
    <n v="0"/>
    <m/>
    <s v="Cristóbal"/>
    <m/>
    <m/>
    <m/>
    <m/>
    <m/>
    <n v="5"/>
    <x v="0"/>
  </r>
  <r>
    <x v="15"/>
    <s v="NO APLICA"/>
    <s v="Instrumental"/>
    <s v="Ruth"/>
    <s v="NO APLICA"/>
    <s v="1.14800.0001 cyanide test 0,0002-0,5 mgL CN 200"/>
    <n v="1"/>
    <s v="pack"/>
    <x v="3"/>
    <n v="7070"/>
    <n v="7070"/>
    <d v="2016-05-11T00:00:00"/>
    <d v="2016-05-13T00:00:00"/>
    <x v="2"/>
    <n v="2"/>
    <m/>
    <s v="Otros"/>
    <s v="Ver en cuaderno Instr"/>
    <m/>
    <m/>
    <m/>
    <m/>
    <n v="5"/>
    <x v="0"/>
  </r>
  <r>
    <x v="15"/>
    <s v="NO APLICA"/>
    <s v="Instrumental"/>
    <s v="Ruth"/>
    <s v="NO APLICA"/>
    <s v="1.09701.0001 spectroquant, cyanide test 0,002-0,5 mg/l 100 tests "/>
    <n v="1"/>
    <s v="pack"/>
    <x v="7"/>
    <s v="6399+IVA"/>
    <s v="6399+IVA"/>
    <d v="2016-05-17T00:00:00"/>
    <d v="2016-05-17T00:00:00"/>
    <x v="1"/>
    <n v="0"/>
    <m/>
    <s v="Otros"/>
    <s v="Ver en cuaderno Instr"/>
    <m/>
    <m/>
    <m/>
    <m/>
    <n v="5"/>
    <x v="0"/>
  </r>
  <r>
    <x v="16"/>
    <s v="NO APLICA"/>
    <s v="Cristóbal"/>
    <s v="María L."/>
    <s v="NO APLICA"/>
    <s v="Agua Destilada con CE &lt; 4µS/cm x L"/>
    <n v="220"/>
    <s v="Litros"/>
    <x v="2"/>
    <n v="3.91"/>
    <n v="860.2"/>
    <d v="2016-05-19T00:00:00"/>
    <d v="2016-05-19T00:00:00"/>
    <x v="1"/>
    <n v="0"/>
    <s v="Repartidor"/>
    <s v="Cristóbal"/>
    <s v="Se controla CE inferior a 4µS, L.- Coria, valores aceptados. "/>
    <m/>
    <n v="571"/>
    <m/>
    <m/>
    <n v="5"/>
    <x v="0"/>
  </r>
  <r>
    <x v="17"/>
    <s v="NO APLICA"/>
    <s v="Cristóbal"/>
    <s v="María L."/>
    <s v="NO APLICA"/>
    <s v="Pack por 2 rollos Servital x 250 m "/>
    <n v="4"/>
    <s v="pack"/>
    <x v="1"/>
    <n v="280"/>
    <n v="2240"/>
    <d v="2016-05-23T00:00:00"/>
    <d v="2016-05-26T00:00:00"/>
    <x v="2"/>
    <n v="3"/>
    <s v="Repartidor"/>
    <s v="Cristóbal"/>
    <s v="Se reciben 2 packs el dia 24/05/16 y los 2 restantes el dia 26/05/16"/>
    <m/>
    <m/>
    <m/>
    <m/>
    <n v="5"/>
    <x v="0"/>
  </r>
  <r>
    <x v="18"/>
    <s v="NO APLICA"/>
    <s v="Fabrizio"/>
    <s v="María L."/>
    <s v="NO APLICA"/>
    <s v="cepillos para pipetas super finos"/>
    <n v="20"/>
    <s v="unidades"/>
    <x v="0"/>
    <m/>
    <m/>
    <d v="2016-06-02T00:00:00"/>
    <d v="2016-06-02T00:00:00"/>
    <x v="1"/>
    <n v="0"/>
    <m/>
    <m/>
    <s v="Pedidos verbalmente a Mario"/>
    <m/>
    <m/>
    <m/>
    <m/>
    <n v="5"/>
    <x v="0"/>
  </r>
  <r>
    <x v="19"/>
    <s v="NO APLICA"/>
    <s v="Cristóbal"/>
    <s v="María L."/>
    <s v="NO APLICA"/>
    <s v="Agua Destilada con CE &lt; 4µS/cm x L"/>
    <n v="200"/>
    <s v="Litros"/>
    <x v="2"/>
    <n v="3.91"/>
    <n v="782"/>
    <d v="2016-06-02T00:00:00"/>
    <d v="2016-06-02T00:00:00"/>
    <x v="1"/>
    <n v="0"/>
    <s v="Repartidor"/>
    <s v="Cristóbal"/>
    <s v="Control CE ok"/>
    <m/>
    <n v="586"/>
    <m/>
    <m/>
    <n v="6"/>
    <x v="0"/>
  </r>
  <r>
    <x v="20"/>
    <s v="NO APLICA"/>
    <s v="Fabrizio"/>
    <s v="María L."/>
    <s v="NO APLICA"/>
    <s v="Sulfanilamida x 25 gr"/>
    <n v="200"/>
    <s v="Gramos"/>
    <x v="8"/>
    <m/>
    <m/>
    <d v="2017-06-20T00:00:00"/>
    <d v="2017-06-20T00:00:00"/>
    <x v="1"/>
    <n v="0"/>
    <m/>
    <m/>
    <s v="Van a enviar presupuesto al mail de Ruth"/>
    <m/>
    <m/>
    <m/>
    <m/>
    <n v="6"/>
    <x v="0"/>
  </r>
  <r>
    <x v="21"/>
    <s v="NO APLICA"/>
    <s v="Cristóbal"/>
    <s v="María L."/>
    <s v="NO APLICA"/>
    <s v="Agua Destilada con CE &lt; 4µS/cm x L"/>
    <n v="200"/>
    <s v="Litros"/>
    <x v="2"/>
    <n v="3.91"/>
    <n v="782"/>
    <d v="2016-06-16T00:00:00"/>
    <d v="2016-06-16T00:00:00"/>
    <x v="1"/>
    <n v="0"/>
    <m/>
    <m/>
    <m/>
    <m/>
    <m/>
    <m/>
    <m/>
    <n v="6"/>
    <x v="0"/>
  </r>
  <r>
    <x v="22"/>
    <s v="NO APLICA"/>
    <s v="Cristóbal"/>
    <s v="María E."/>
    <s v="NO APLICA"/>
    <s v="Vidrio reloj x 8 cm. Marca bt"/>
    <n v="10"/>
    <s v="unidades"/>
    <x v="0"/>
    <n v="19.36"/>
    <n v="193.6"/>
    <d v="2016-06-28T00:00:00"/>
    <d v="2016-06-28T00:00:00"/>
    <x v="1"/>
    <n v="0"/>
    <s v="Repartidor"/>
    <s v="Cristóbal"/>
    <s v="Ok. En condiciones"/>
    <m/>
    <n v="5485"/>
    <m/>
    <m/>
    <n v="6"/>
    <x v="0"/>
  </r>
  <r>
    <x v="22"/>
    <s v="NO APLICA"/>
    <s v="Cristóbal"/>
    <s v="María E."/>
    <s v="NO APLICA"/>
    <s v="Propipetas de Caucho con tres válvulas Vicking"/>
    <n v="5"/>
    <s v="unidades"/>
    <x v="0"/>
    <n v="228.69"/>
    <n v="1143.45"/>
    <d v="2016-06-28T00:00:00"/>
    <d v="2016-06-28T00:00:00"/>
    <x v="1"/>
    <n v="0"/>
    <s v="Repartidor"/>
    <s v="Cristóbal"/>
    <s v="Ok. En condiciones"/>
    <m/>
    <n v="5485"/>
    <m/>
    <m/>
    <n v="6"/>
    <x v="0"/>
  </r>
  <r>
    <x v="22"/>
    <s v="NO APLICA"/>
    <s v="Cristóbal"/>
    <s v="María E."/>
    <s v="NO APLICA"/>
    <s v="Espátula analitica cuchara y pala, de Ac. Inox Leone grande"/>
    <n v="9"/>
    <s v="unidades"/>
    <x v="0"/>
    <n v="87.12"/>
    <n v="784.08"/>
    <d v="2016-06-28T00:00:00"/>
    <d v="2016-06-28T00:00:00"/>
    <x v="1"/>
    <n v="0"/>
    <s v="Repartidor"/>
    <s v="Cristóbal"/>
    <s v="Ok. En condiciones"/>
    <m/>
    <n v="5485"/>
    <m/>
    <m/>
    <n v="6"/>
    <x v="0"/>
  </r>
  <r>
    <x v="23"/>
    <s v="NO APLICA"/>
    <s v="Adriana"/>
    <s v="María E."/>
    <s v="NO APLICA"/>
    <s v="Alcohol etílico "/>
    <n v="12"/>
    <s v="Litros"/>
    <x v="0"/>
    <n v="28"/>
    <n v="336"/>
    <d v="2016-07-05T00:00:00"/>
    <m/>
    <x v="0"/>
    <s v="NO CONCRETADO"/>
    <m/>
    <m/>
    <s v="No entregan"/>
    <m/>
    <m/>
    <m/>
    <m/>
    <n v="7"/>
    <x v="0"/>
  </r>
  <r>
    <x v="24"/>
    <s v="NO APLICA"/>
    <s v="Cristóbal"/>
    <s v="María L."/>
    <s v="NO APLICA"/>
    <s v="Agua Destilada con CE &lt; 4µS/cm x L"/>
    <n v="200"/>
    <s v="Litros"/>
    <x v="2"/>
    <n v="4.5"/>
    <n v="900"/>
    <d v="2016-07-07T00:00:00"/>
    <d v="2016-07-18T00:00:00"/>
    <x v="2"/>
    <n v="11"/>
    <s v="Repartidor"/>
    <s v="Cristóbal"/>
    <s v="Se devuelve el pedido, por no pasar control CE"/>
    <m/>
    <n v="37"/>
    <m/>
    <m/>
    <n v="7"/>
    <x v="0"/>
  </r>
  <r>
    <x v="25"/>
    <s v="NO APLICA"/>
    <s v="Cristóbal"/>
    <s v="María L."/>
    <s v="NO APLICA"/>
    <s v="Pack por 2 rollos Servital x 250 m "/>
    <n v="3"/>
    <s v="pack"/>
    <x v="1"/>
    <n v="315"/>
    <n v="1890"/>
    <d v="2016-07-27T00:00:00"/>
    <d v="2016-07-28T00:00:00"/>
    <x v="2"/>
    <n v="1"/>
    <s v="Repartidor"/>
    <s v="Cristóbal"/>
    <s v="Ok. En condiciones"/>
    <m/>
    <m/>
    <m/>
    <m/>
    <n v="7"/>
    <x v="0"/>
  </r>
  <r>
    <x v="26"/>
    <s v="NO APLICA"/>
    <s v="Cristóbal"/>
    <s v="María L."/>
    <s v="NO APLICA"/>
    <s v="Agua Destilada con CE &lt; 4µS/cm x L"/>
    <n v="230"/>
    <s v="Litros"/>
    <x v="2"/>
    <n v="4.5"/>
    <n v="1035"/>
    <d v="2016-08-04T00:00:00"/>
    <d v="2016-08-04T00:00:00"/>
    <x v="1"/>
    <n v="0"/>
    <s v="Repartidor"/>
    <s v="Cristóbal"/>
    <s v="Control CE, valores dentro de lo aceptado"/>
    <m/>
    <n v="73"/>
    <m/>
    <m/>
    <n v="8"/>
    <x v="0"/>
  </r>
  <r>
    <x v="27"/>
    <s v="NO APLICA"/>
    <s v="Cristóbal"/>
    <s v="María E."/>
    <s v="NO APLICA"/>
    <s v="Papel de filtro cualitativo grado 391 diámetro 125 mm Sartorius (100)"/>
    <n v="2"/>
    <s v="caja"/>
    <x v="3"/>
    <n v="460"/>
    <n v="920"/>
    <d v="2016-08-10T00:00:00"/>
    <d v="2016-08-10T00:00:00"/>
    <x v="1"/>
    <n v="0"/>
    <s v="Repartidor"/>
    <s v="Cristóbal"/>
    <s v="Ok. En condiciones"/>
    <s v="0007-00020239"/>
    <m/>
    <m/>
    <m/>
    <n v="8"/>
    <x v="0"/>
  </r>
  <r>
    <x v="27"/>
    <s v="NO APLICA"/>
    <s v="Cristóbal"/>
    <s v="María E."/>
    <s v="NO APLICA"/>
    <s v="Guantes Nitrilo Medianos x 100 uni"/>
    <n v="12"/>
    <s v="Cajas"/>
    <x v="3"/>
    <n v="121"/>
    <n v="1597"/>
    <d v="2016-08-25T00:00:00"/>
    <d v="2016-08-18T00:00:00"/>
    <x v="1"/>
    <n v="-7"/>
    <s v="Repartidor"/>
    <s v="Cristóbal"/>
    <s v="ok"/>
    <s v="0007-00020230"/>
    <m/>
    <m/>
    <m/>
    <n v="8"/>
    <x v="0"/>
  </r>
  <r>
    <x v="27"/>
    <s v="NO APLICA"/>
    <s v="Cristóbal"/>
    <s v="María E."/>
    <s v="NO APLICA"/>
    <s v="Guantes Nitrilo Grandes x 100 uni"/>
    <n v="7"/>
    <s v="Cajas"/>
    <x v="3"/>
    <n v="121"/>
    <n v="847"/>
    <d v="2016-08-10T00:00:00"/>
    <d v="2016-08-10T00:00:00"/>
    <x v="1"/>
    <n v="0"/>
    <s v="Repartidor"/>
    <s v="Cristóbal"/>
    <s v="Ok. En condiciones"/>
    <s v="0007-00020239"/>
    <m/>
    <m/>
    <m/>
    <n v="8"/>
    <x v="0"/>
  </r>
  <r>
    <x v="27"/>
    <s v="NO APLICA"/>
    <s v="Cristóbal"/>
    <s v="María E."/>
    <s v="NO APLICA"/>
    <s v="Guantes Nitrilo Chicos x 100 uni"/>
    <n v="6"/>
    <s v="Cajas"/>
    <x v="3"/>
    <n v="121"/>
    <n v="726"/>
    <d v="2016-08-10T00:00:00"/>
    <d v="2016-08-10T00:00:00"/>
    <x v="1"/>
    <n v="0"/>
    <s v="Repartidor"/>
    <s v="Cristóbal"/>
    <s v="Ok. En condiciones"/>
    <s v="0007-00020239"/>
    <m/>
    <m/>
    <m/>
    <n v="8"/>
    <x v="0"/>
  </r>
  <r>
    <x v="28"/>
    <s v="NO APLICA"/>
    <s v="Cristóbal"/>
    <s v="María L."/>
    <s v="NO APLICA"/>
    <s v="Agua Destilada con CE &lt; 4µS/cm x L"/>
    <n v="200"/>
    <s v="Litros"/>
    <x v="2"/>
    <n v="4.5"/>
    <n v="900"/>
    <d v="2016-08-18T00:00:00"/>
    <d v="2016-08-18T00:00:00"/>
    <x v="1"/>
    <n v="0"/>
    <s v="Repartidor"/>
    <s v="Cristóbal"/>
    <s v="Ok. En condicones"/>
    <m/>
    <m/>
    <m/>
    <m/>
    <n v="8"/>
    <x v="0"/>
  </r>
  <r>
    <x v="29"/>
    <s v="NO APLICA"/>
    <s v="Cristóbal"/>
    <s v="María L."/>
    <s v="NO APLICA"/>
    <s v="Agua Destilada con CE &lt; 4µS/cm x L"/>
    <n v="220"/>
    <s v="Litros"/>
    <x v="2"/>
    <n v="4.5"/>
    <n v="990"/>
    <d v="2016-09-01T00:00:00"/>
    <d v="2016-09-02T00:00:00"/>
    <x v="2"/>
    <n v="1"/>
    <s v="Repartidor"/>
    <s v="Cristóbal"/>
    <s v="Ok. En condiciones"/>
    <m/>
    <m/>
    <m/>
    <m/>
    <n v="9"/>
    <x v="0"/>
  </r>
  <r>
    <x v="30"/>
    <s v="NO APLICA"/>
    <s v="Cristóbal"/>
    <s v="María E."/>
    <s v="NO APLICA"/>
    <s v="Pack por 2 rollos Servital x 250 m "/>
    <n v="2"/>
    <s v="pack"/>
    <x v="9"/>
    <n v="160"/>
    <n v="540"/>
    <d v="2016-09-05T00:00:00"/>
    <d v="2016-09-06T00:00:00"/>
    <x v="2"/>
    <n v="1"/>
    <s v="Repartidor"/>
    <s v="Cristóbal"/>
    <s v="Ok. En condiciones"/>
    <m/>
    <n v="238"/>
    <m/>
    <m/>
    <n v="9"/>
    <x v="0"/>
  </r>
  <r>
    <x v="31"/>
    <s v="NO APLICA"/>
    <s v="Cristóbal"/>
    <s v="Maria E."/>
    <s v="NO APLICA"/>
    <s v="Papel de filtro cualitativo grado 391 diámetro 125 mm Sartorius (100)"/>
    <n v="1"/>
    <s v="caja"/>
    <x v="3"/>
    <n v="430"/>
    <n v="430"/>
    <d v="2016-09-13T00:00:00"/>
    <d v="2016-09-13T00:00:00"/>
    <x v="1"/>
    <n v="0"/>
    <s v="Repartidor"/>
    <s v="Cristóbal"/>
    <s v="Ok. En condiciones"/>
    <s v="0007/00020477"/>
    <m/>
    <m/>
    <m/>
    <n v="9"/>
    <x v="0"/>
  </r>
  <r>
    <x v="31"/>
    <s v="NO APLICA"/>
    <s v="Cristóbal"/>
    <s v="Maria E."/>
    <s v="NO APLICA"/>
    <s v="Papel de filtro cualitativo grado 391 diámetro 125 mm Sartorius (100)"/>
    <n v="1"/>
    <s v="caja"/>
    <x v="3"/>
    <n v="430"/>
    <n v="430"/>
    <d v="2016-09-22T00:00:00"/>
    <d v="2016-09-21T00:00:00"/>
    <x v="1"/>
    <n v="-1"/>
    <s v="Repartidor"/>
    <s v="Cristóbal"/>
    <s v="Ok. En condiciones"/>
    <s v="0007-00020564"/>
    <n v="4461"/>
    <m/>
    <m/>
    <n v="9"/>
    <x v="0"/>
  </r>
  <r>
    <x v="31"/>
    <s v="NO APLICA"/>
    <s v="Cristóbal"/>
    <s v="Maria E."/>
    <s v="NO APLICA"/>
    <s v="Papel de filtro cualitativo grado 389 diámetro 125 mm Sartorius (100)"/>
    <n v="2"/>
    <s v="Cajas"/>
    <x v="3"/>
    <n v="385"/>
    <n v="770"/>
    <d v="2016-09-13T00:00:00"/>
    <d v="2016-09-13T00:00:00"/>
    <x v="1"/>
    <n v="0"/>
    <s v="Repartidor"/>
    <s v="Cristóbal"/>
    <s v="Ok. En condiciones"/>
    <s v="0007/00020477"/>
    <m/>
    <m/>
    <m/>
    <n v="9"/>
    <x v="0"/>
  </r>
  <r>
    <x v="31"/>
    <s v="NO APLICA"/>
    <s v="Cristóbal"/>
    <s v="Maria E."/>
    <s v="NO APLICA"/>
    <s v="Papel de filtro cualitativo grado 388 diámetro 125 mm Sartorius (100)"/>
    <n v="2"/>
    <s v="Cajas"/>
    <x v="3"/>
    <n v="385"/>
    <n v="770"/>
    <d v="2016-09-13T00:00:00"/>
    <d v="2016-09-13T00:00:00"/>
    <x v="1"/>
    <n v="0"/>
    <s v="Repartidor"/>
    <s v="Cristóbal"/>
    <s v="Ok. En condiciones"/>
    <s v="0007/00020477"/>
    <m/>
    <m/>
    <m/>
    <n v="9"/>
    <x v="0"/>
  </r>
  <r>
    <x v="31"/>
    <s v="NO APLICA"/>
    <s v="Cristóbal"/>
    <s v="Ruth"/>
    <s v="NO APLICA"/>
    <s v="Mortero de porcelana "/>
    <n v="3"/>
    <s v="unidades"/>
    <x v="3"/>
    <n v="810"/>
    <n v="2430"/>
    <d v="2016-09-24T00:00:00"/>
    <d v="2016-09-21T00:00:00"/>
    <x v="1"/>
    <n v="-3"/>
    <s v="Repartidor"/>
    <s v="Cristóbal"/>
    <s v="Ok. En condiciones"/>
    <s v="0007/00020564"/>
    <n v="4461"/>
    <m/>
    <m/>
    <n v="9"/>
    <x v="0"/>
  </r>
  <r>
    <x v="32"/>
    <s v="NO APLICA"/>
    <s v="Cristóbal"/>
    <s v="Maria E."/>
    <s v="NO APLICA"/>
    <s v="Papel de filtro 3 m/n uso general 58 x 58 sartorius"/>
    <n v="5"/>
    <s v="Pliegos"/>
    <x v="3"/>
    <n v="39"/>
    <n v="195"/>
    <d v="2016-09-13T00:00:00"/>
    <d v="2016-09-13T00:00:00"/>
    <x v="1"/>
    <n v="0"/>
    <s v="Repartidor"/>
    <s v="Cristóbal"/>
    <s v="Ok. En condiciones"/>
    <s v="0007/00020482"/>
    <s v="9997/00004442"/>
    <m/>
    <m/>
    <n v="9"/>
    <x v="0"/>
  </r>
  <r>
    <x v="32"/>
    <s v="NO APLICA"/>
    <s v="Cristóbal"/>
    <s v="Ruth"/>
    <s v="NO APLICA"/>
    <s v="Cristalizadores de 95mm x 55mm. Schott"/>
    <n v="3"/>
    <s v="unidades"/>
    <x v="3"/>
    <n v="325"/>
    <n v="975"/>
    <d v="2016-09-21T00:00:00"/>
    <d v="2016-09-21T00:00:00"/>
    <x v="1"/>
    <n v="0"/>
    <s v="Repartidor"/>
    <s v="Cristóbal"/>
    <s v="Ok. En condiciones"/>
    <s v="0007/00020564"/>
    <n v="4461"/>
    <m/>
    <m/>
    <n v="9"/>
    <x v="0"/>
  </r>
  <r>
    <x v="32"/>
    <s v="NO APLICA"/>
    <s v="Cristóbal"/>
    <s v="Ruth"/>
    <s v="NO APLICA"/>
    <s v="Cristalizadores de 115mm x 65mm. Schott"/>
    <n v="3"/>
    <s v="unidades"/>
    <x v="3"/>
    <n v="495"/>
    <n v="1485"/>
    <d v="2016-09-21T00:00:00"/>
    <d v="2016-09-15T00:00:00"/>
    <x v="1"/>
    <n v="-6"/>
    <s v="Repartidor"/>
    <s v="Cristóbal"/>
    <s v="Ok. En condiciones"/>
    <s v="0007-00020513"/>
    <n v="4448"/>
    <m/>
    <m/>
    <n v="9"/>
    <x v="0"/>
  </r>
  <r>
    <x v="33"/>
    <s v="NO APLICA"/>
    <s v="Cristóbal"/>
    <s v="Ruth"/>
    <s v="NO APLICA"/>
    <s v="Pinza para refrigerante con nuez protección de goma. Leone"/>
    <n v="6"/>
    <s v="unidades"/>
    <x v="3"/>
    <n v="250"/>
    <n v="1500"/>
    <d v="2016-09-19T00:00:00"/>
    <d v="2016-09-28T00:00:00"/>
    <x v="2"/>
    <n v="9"/>
    <s v="Repartidor"/>
    <s v="Cristóbal"/>
    <s v="2 pinzas entregadas el 15/09/16. Las 4 faltantes llegan el 28/09/16"/>
    <s v="0007-00020615"/>
    <n v="4482"/>
    <m/>
    <m/>
    <n v="9"/>
    <x v="0"/>
  </r>
  <r>
    <x v="34"/>
    <s v="NO APLICA"/>
    <s v="Cristóbal"/>
    <s v="Maria L."/>
    <s v="NO APLICA"/>
    <s v="Capsulas de porcelana, totalmente esmaltada 50ml. Gunther"/>
    <n v="5"/>
    <s v="unidades"/>
    <x v="3"/>
    <n v="55.7"/>
    <n v="278.5"/>
    <d v="2016-09-16T00:00:00"/>
    <d v="2016-09-15T00:00:00"/>
    <x v="1"/>
    <n v="-1"/>
    <s v="Repartidor"/>
    <s v="Cristóbal"/>
    <s v="Ok. En condiciones"/>
    <s v="0007-00020513"/>
    <n v="4448"/>
    <m/>
    <m/>
    <n v="9"/>
    <x v="0"/>
  </r>
  <r>
    <x v="34"/>
    <s v="NO APLICA"/>
    <s v="Cristóbal"/>
    <s v="Maria L."/>
    <s v="NO APLICA"/>
    <s v="Capsulas de porcelana, totalmente esmaltada 100ml. Gunther"/>
    <n v="1"/>
    <s v="unidades"/>
    <x v="3"/>
    <n v="58"/>
    <n v="58"/>
    <d v="2016-09-16T00:00:00"/>
    <d v="2016-09-15T00:00:00"/>
    <x v="1"/>
    <n v="-1"/>
    <s v="Repartidor"/>
    <s v="Cristóbal"/>
    <s v="Ok. En condiciones"/>
    <s v="0007-00020513"/>
    <n v="4448"/>
    <m/>
    <m/>
    <n v="9"/>
    <x v="0"/>
  </r>
  <r>
    <x v="34"/>
    <s v="NO APLICA"/>
    <s v="Cristóbal"/>
    <s v="Maria L."/>
    <s v="NO APLICA"/>
    <s v="Capsulas de porcelana, esmaltada solo por el inrterior 100ml. "/>
    <n v="4"/>
    <s v="unidades"/>
    <x v="3"/>
    <n v="58"/>
    <n v="232"/>
    <d v="2016-09-21T00:00:00"/>
    <d v="2016-09-15T00:00:00"/>
    <x v="1"/>
    <n v="-6"/>
    <s v="Repartidor"/>
    <s v="Cristóbal"/>
    <s v="Ok. En condiciones"/>
    <s v="0007-00020513"/>
    <n v="4448"/>
    <m/>
    <m/>
    <n v="9"/>
    <x v="0"/>
  </r>
  <r>
    <x v="35"/>
    <s v="NO APLICA"/>
    <s v="Cristóbal"/>
    <s v="Maria L."/>
    <s v="NO APLICA"/>
    <s v="Agua Destilada con CE &lt; 4µS/cm x L"/>
    <n v="230"/>
    <s v="Litros"/>
    <x v="2"/>
    <n v="4.5"/>
    <n v="1035"/>
    <d v="2016-09-20T00:00:00"/>
    <d v="2016-09-20T00:00:00"/>
    <x v="1"/>
    <n v="0"/>
    <s v="Repartidor"/>
    <s v="Alejandra"/>
    <s v="Ok. En condiciones"/>
    <m/>
    <m/>
    <m/>
    <m/>
    <n v="9"/>
    <x v="0"/>
  </r>
  <r>
    <x v="36"/>
    <s v="NO APLICA"/>
    <s v="Cristóbal"/>
    <s v="Ruth"/>
    <s v="NO APLICA"/>
    <s v="Vasos de vidrio precipitado x 250ml. Marca BT"/>
    <n v="10"/>
    <s v="unidades"/>
    <x v="7"/>
    <n v="66.599999999999994"/>
    <n v="666"/>
    <d v="2016-09-23T00:00:00"/>
    <d v="2016-09-22T00:00:00"/>
    <x v="1"/>
    <n v="-1"/>
    <s v="Repartidor"/>
    <s v="Adriana"/>
    <s v="De los 10 vasos solo 1 tenía grabada la marca. Se controla resistencia a temperatura a 550C. Ok"/>
    <m/>
    <m/>
    <m/>
    <m/>
    <n v="9"/>
    <x v="0"/>
  </r>
  <r>
    <x v="36"/>
    <s v="NO APLICA"/>
    <s v="Cristóbal"/>
    <s v="Ruth"/>
    <s v="NO APLICA"/>
    <s v="Vasos de vidrio precipitado x 150ml. Marca BT"/>
    <n v="10"/>
    <s v="unidades"/>
    <x v="7"/>
    <n v="60.4"/>
    <n v="604"/>
    <d v="2016-09-23T00:00:00"/>
    <d v="2016-09-22T00:00:00"/>
    <x v="1"/>
    <n v="-1"/>
    <s v="Repartidor"/>
    <s v="Adriana"/>
    <s v="De los 10 vasos solo 1 tenía grabada la marca. Se controla resistencia a temperatura a 550C. Ok"/>
    <m/>
    <m/>
    <m/>
    <m/>
    <n v="9"/>
    <x v="0"/>
  </r>
  <r>
    <x v="36"/>
    <s v="NO APLICA"/>
    <s v="Cristóbal"/>
    <s v="Ruth"/>
    <s v="NO APLICA"/>
    <s v="Tubo de ensayo PP 50 ml con faldón steril. DELTALAB (100 un)"/>
    <n v="1"/>
    <s v="caja"/>
    <x v="3"/>
    <n v="630"/>
    <n v="630"/>
    <d v="2016-09-28T00:00:00"/>
    <d v="2016-09-26T00:00:00"/>
    <x v="1"/>
    <n v="-2"/>
    <s v="Repartidor"/>
    <s v="Cristóbal"/>
    <s v="Ok. En condiciones"/>
    <s v="0007-00020589"/>
    <n v="4479"/>
    <m/>
    <m/>
    <n v="9"/>
    <x v="0"/>
  </r>
  <r>
    <x v="37"/>
    <s v="NO APLICA"/>
    <s v="Cristóbal"/>
    <s v="Maria E."/>
    <s v="NO APLICA"/>
    <s v="Pack por 2 rollos Servital x 250 m "/>
    <n v="6"/>
    <m/>
    <x v="10"/>
    <n v="225"/>
    <n v="1350"/>
    <d v="2016-09-29T00:00:00"/>
    <d v="2016-09-30T00:00:00"/>
    <x v="2"/>
    <n v="1"/>
    <s v="Repartidor"/>
    <s v="Cristóbal"/>
    <s v="Ok. En condiciones"/>
    <m/>
    <s v="0004-00000598"/>
    <m/>
    <m/>
    <n v="9"/>
    <x v="0"/>
  </r>
  <r>
    <x v="38"/>
    <s v="NO APLICA"/>
    <s v="Cristóbal"/>
    <s v="Maria L."/>
    <s v="NO APLICA"/>
    <s v="Agua Destilada con CE &lt; 4µS/cm x L"/>
    <n v="210"/>
    <s v="Litros"/>
    <x v="2"/>
    <n v="4.5"/>
    <n v="945"/>
    <d v="2016-10-04T00:00:00"/>
    <d v="2016-10-03T00:00:00"/>
    <x v="1"/>
    <n v="-1"/>
    <s v="Repartidor"/>
    <s v="Cristóbal"/>
    <s v="Ok. En condiciones. Revisa Leandro"/>
    <m/>
    <s v="0001-00001451"/>
    <m/>
    <m/>
    <n v="10"/>
    <x v="0"/>
  </r>
  <r>
    <x v="39"/>
    <s v="NO APLICA"/>
    <s v="Cristóbal"/>
    <s v="Maria E."/>
    <s v="NO APLICA"/>
    <s v="Papel de filtro 3 m/n uso general 58 x 58 sartorius"/>
    <n v="100"/>
    <s v="Pliegos"/>
    <x v="3"/>
    <n v="39"/>
    <n v="3900"/>
    <d v="2016-10-12T00:00:00"/>
    <d v="2016-10-12T00:00:00"/>
    <x v="1"/>
    <n v="0"/>
    <s v="Repartidor"/>
    <s v="Cristóbal"/>
    <s v="Ok. En condiciones"/>
    <m/>
    <s v="9997-00004530"/>
    <m/>
    <m/>
    <n v="10"/>
    <x v="0"/>
  </r>
  <r>
    <x v="40"/>
    <s v="NO APLICA"/>
    <s v="Cristóbal"/>
    <s v="Ruth"/>
    <s v="NO APLICA"/>
    <s v="Vasos de vidrio precipitado x 250ml. Marca SIMAX"/>
    <n v="40"/>
    <s v="unidades"/>
    <x v="3"/>
    <n v="106"/>
    <n v="4240"/>
    <d v="2016-10-18T00:00:00"/>
    <d v="2016-11-01T00:00:00"/>
    <x v="2"/>
    <n v="14"/>
    <s v="Repartidor"/>
    <s v="Cristóbal"/>
    <s v="20/10/16. Se reclamaron 30 vasos. Dicen que no tienen registrado el pedido. Se piden 40 vasos, quedan en traerlo el 01/11/16"/>
    <s v="0007-00020907"/>
    <s v="9997-00004578"/>
    <m/>
    <s v="Remito:0007-00021268. Factura:9997-00004703"/>
    <n v="10"/>
    <x v="0"/>
  </r>
  <r>
    <x v="40"/>
    <s v="NO APLICA"/>
    <s v="Cristóbal"/>
    <s v="Ruth"/>
    <s v="NO APLICA"/>
    <s v="Tubo de ensayo PP 50 ml con faldón steril. DELTALAB (100 un)"/>
    <n v="1"/>
    <s v="caja"/>
    <x v="3"/>
    <n v="630"/>
    <n v="630"/>
    <d v="2016-10-18T00:00:00"/>
    <d v="2016-10-17T00:00:00"/>
    <x v="1"/>
    <n v="-1"/>
    <s v="Repartidor"/>
    <s v="Cristóbal"/>
    <s v="Ok.En condiciones"/>
    <s v="0007-00020788"/>
    <m/>
    <m/>
    <m/>
    <n v="10"/>
    <x v="0"/>
  </r>
  <r>
    <x v="41"/>
    <s v="NO APLICA"/>
    <s v="Cristóbal"/>
    <s v="Maria L."/>
    <s v="NO APLICA"/>
    <s v="Agua Destilada con CE &lt; 4µS/cm x L"/>
    <n v="200"/>
    <s v="Litros"/>
    <x v="2"/>
    <n v="4.5"/>
    <n v="900"/>
    <d v="2016-10-18T00:00:00"/>
    <d v="2016-10-20T00:00:00"/>
    <x v="2"/>
    <n v="2"/>
    <s v="Repartidor"/>
    <s v="Cristóbal"/>
    <s v="Ok. En condiciones. Revisa Alejandra"/>
    <m/>
    <s v="0002-00000187"/>
    <m/>
    <m/>
    <n v="10"/>
    <x v="0"/>
  </r>
  <r>
    <x v="42"/>
    <s v="NO APLICA"/>
    <s v="Cristóbal"/>
    <s v="Maria L."/>
    <s v="NO APLICA"/>
    <s v="Rollos de bolsas de 20x30"/>
    <n v="10"/>
    <s v="Packs"/>
    <x v="10"/>
    <n v="38"/>
    <n v="380"/>
    <d v="2016-10-21T00:00:00"/>
    <d v="2016-10-21T00:00:00"/>
    <x v="1"/>
    <n v="0"/>
    <s v="Repartidor"/>
    <s v="Cristóbal"/>
    <s v="Ok. En condiciones"/>
    <m/>
    <s v="0004-00000631"/>
    <m/>
    <m/>
    <n v="10"/>
    <x v="0"/>
  </r>
  <r>
    <x v="42"/>
    <s v="NO APLICA"/>
    <s v="Cristóbal"/>
    <s v="Maria L."/>
    <s v="NO APLICA"/>
    <s v="Rollos de bolsas de 15x25"/>
    <n v="15"/>
    <s v="Packs"/>
    <x v="10"/>
    <n v="20"/>
    <n v="350"/>
    <d v="2016-10-21T00:00:00"/>
    <d v="2016-10-21T00:00:00"/>
    <x v="1"/>
    <n v="0"/>
    <s v="Repartidor"/>
    <s v="Cristóbal"/>
    <s v="Ok. En condiciones"/>
    <m/>
    <s v="0004-00000631"/>
    <m/>
    <m/>
    <n v="10"/>
    <x v="0"/>
  </r>
  <r>
    <x v="42"/>
    <s v="NO APLICA"/>
    <s v="Ruth"/>
    <s v="Ruth"/>
    <s v="NO APLICA"/>
    <s v="Crisol de niquel 50 ml. 45 mm de diam supx 35 mm de diam infx 48 mm de alto"/>
    <n v="2"/>
    <s v="unidades"/>
    <x v="3"/>
    <n v="3687"/>
    <n v="7374"/>
    <d v="2016-11-21T00:00:00"/>
    <d v="2016-11-16T00:00:00"/>
    <x v="1"/>
    <n v="-5"/>
    <s v="Repartidor"/>
    <s v="Cristóbal"/>
    <s v="Ok. En condiciones."/>
    <m/>
    <s v="0007-00021033"/>
    <m/>
    <m/>
    <n v="10"/>
    <x v="0"/>
  </r>
  <r>
    <x v="42"/>
    <s v="NO APLICA"/>
    <s v="Cristóbal"/>
    <s v="Maria L."/>
    <s v="NO APLICA"/>
    <s v="Bandejas plásticas sin tapa x100"/>
    <n v="2"/>
    <s v="Packs"/>
    <x v="10"/>
    <n v="189"/>
    <n v="378"/>
    <d v="2016-10-21T00:00:00"/>
    <d v="2016-10-21T00:00:00"/>
    <x v="1"/>
    <n v="0"/>
    <s v="Repartidor"/>
    <s v="Cristóbal"/>
    <s v="Ok. En condiciones"/>
    <m/>
    <s v="0004-00000631"/>
    <m/>
    <m/>
    <n v="10"/>
    <x v="0"/>
  </r>
  <r>
    <x v="43"/>
    <s v="NO APLICA"/>
    <s v="Cristóbal"/>
    <s v="Maria L."/>
    <s v="NO APLICA"/>
    <s v="Necho Bolsa Residuo Inst x 50 unidades. 60x90"/>
    <n v="4"/>
    <s v="Packs"/>
    <x v="11"/>
    <n v="124.29"/>
    <n v="497.19"/>
    <d v="2016-10-25T00:00:00"/>
    <d v="2016-10-27T00:00:00"/>
    <x v="2"/>
    <n v="2"/>
    <s v="Repartidor"/>
    <s v="Cristóbal"/>
    <s v="Ok. En condiciones"/>
    <s v="0007-00011251"/>
    <s v="0004-00002788"/>
    <m/>
    <m/>
    <n v="10"/>
    <x v="0"/>
  </r>
  <r>
    <x v="43"/>
    <s v="NO APLICA"/>
    <s v="Cristóbal"/>
    <s v="Maria L."/>
    <s v="NO APLICA"/>
    <s v="Bobina de papel Elegante 20x400 mts"/>
    <n v="3"/>
    <s v="Packs"/>
    <x v="11"/>
    <n v="406.93"/>
    <n v="1220.79"/>
    <d v="2016-10-25T00:00:00"/>
    <d v="2016-10-27T00:00:00"/>
    <x v="2"/>
    <n v="2"/>
    <s v="Repartidor"/>
    <s v="Cristóbal"/>
    <s v="Solo presentaron 2 de las 3 bobinas encargadas"/>
    <s v="0007-00011251"/>
    <s v="0004-00002788"/>
    <m/>
    <m/>
    <n v="10"/>
    <x v="0"/>
  </r>
  <r>
    <x v="44"/>
    <s v="NO APLICA"/>
    <s v="Cristóbal"/>
    <s v="Ruth"/>
    <s v="NO APLICA"/>
    <s v="Alargadera simple para destilación hembra 19/38"/>
    <n v="2"/>
    <s v="unidades"/>
    <x v="3"/>
    <n v="519"/>
    <n v="1038"/>
    <d v="2016-11-29T00:00:00"/>
    <d v="2016-11-09T00:00:00"/>
    <x v="1"/>
    <n v="-20"/>
    <s v="Repartidor"/>
    <s v="Cristóbal"/>
    <s v="Ok. En condiciones"/>
    <s v="0007-00020983"/>
    <s v="9997-00004600"/>
    <m/>
    <m/>
    <n v="10"/>
    <x v="0"/>
  </r>
  <r>
    <x v="45"/>
    <s v="NO APLICA"/>
    <s v="Cristóbal"/>
    <s v="Maria L."/>
    <s v="NO APLICA"/>
    <s v="Agua Destilada con CE &lt; 4µS/cm x L"/>
    <n v="200"/>
    <s v="Litros"/>
    <x v="2"/>
    <n v="4.5"/>
    <n v="900"/>
    <d v="2016-10-31T00:00:00"/>
    <d v="2016-10-31T00:00:00"/>
    <x v="1"/>
    <n v="0"/>
    <s v="Repartidor"/>
    <s v="Alejandra"/>
    <s v="Ok. En condiciones. Controla CE Leandro."/>
    <m/>
    <m/>
    <m/>
    <m/>
    <n v="10"/>
    <x v="0"/>
  </r>
  <r>
    <x v="46"/>
    <s v="NO APLICA"/>
    <s v="Cristóbal"/>
    <s v="Ruth"/>
    <s v="NO APLICA"/>
    <s v="Ácido Perclórico x 1Lt. Cicarelli"/>
    <n v="1"/>
    <s v="Litro"/>
    <x v="0"/>
    <n v="2613"/>
    <n v="2613"/>
    <d v="2016-11-04T00:00:00"/>
    <d v="2016-11-09T00:00:00"/>
    <x v="2"/>
    <n v="5"/>
    <s v="Repartidor"/>
    <s v="Cristóbal"/>
    <s v="Ok. En condiciones"/>
    <s v="0001-00179434"/>
    <s v="0003-00005833"/>
    <m/>
    <m/>
    <n v="11"/>
    <x v="0"/>
  </r>
  <r>
    <x v="46"/>
    <s v="NO APLICA"/>
    <s v="Cristóbal"/>
    <s v="Ruth"/>
    <s v="NO APLICA"/>
    <s v="Ácido Fluorhídrico x 1Lt. Biopack"/>
    <n v="1"/>
    <s v="Litro"/>
    <x v="0"/>
    <n v="398.09"/>
    <n v="398.09"/>
    <d v="2016-11-04T00:00:00"/>
    <d v="2016-11-02T00:00:00"/>
    <x v="1"/>
    <n v="-2"/>
    <s v="Repartidor"/>
    <s v="Cristóbal"/>
    <s v="Ok. En condiciones"/>
    <s v="0001-00179281"/>
    <s v="0003-00005811"/>
    <m/>
    <m/>
    <n v="11"/>
    <x v="0"/>
  </r>
  <r>
    <x v="47"/>
    <s v="NO APLICA"/>
    <s v="Cristóbal"/>
    <s v="Maria L."/>
    <s v="NO APLICA"/>
    <s v="Agua Destilada con CE &lt; 4µS/cm x L"/>
    <n v="230"/>
    <s v="Litros"/>
    <x v="2"/>
    <n v="4.5"/>
    <n v="1035"/>
    <d v="2016-11-15T00:00:00"/>
    <d v="2016-11-14T00:00:00"/>
    <x v="1"/>
    <n v="-1"/>
    <s v="Repartidor"/>
    <s v="Cristóbal"/>
    <s v="Ok. En condiciones. Controla CE Leandro."/>
    <m/>
    <s v="0002-00000239"/>
    <m/>
    <m/>
    <n v="11"/>
    <x v="0"/>
  </r>
  <r>
    <x v="48"/>
    <s v="NO APLICA"/>
    <s v="Cristóbal"/>
    <s v="Maria L."/>
    <s v="NO APLICA"/>
    <s v="Propipetas de Caucho con tres válvulas Vicking"/>
    <n v="3"/>
    <s v="unidades"/>
    <x v="0"/>
    <n v="239.58"/>
    <n v="718.74"/>
    <d v="2016-11-23T00:00:00"/>
    <d v="2016-12-01T00:00:00"/>
    <x v="2"/>
    <n v="8"/>
    <s v="Repartidor"/>
    <s v="Alejandra"/>
    <s v="OK. En condiciones."/>
    <s v="0001-00179982"/>
    <s v="0003-00005898"/>
    <m/>
    <m/>
    <n v="11"/>
    <x v="0"/>
  </r>
  <r>
    <x v="48"/>
    <s v="NO APLICA"/>
    <s v="Cristóbal"/>
    <s v="Maria E."/>
    <s v="NO APLICA"/>
    <s v="Guantes Nitrilo Medianos x 100 uni"/>
    <n v="13"/>
    <s v="Cajas"/>
    <x v="3"/>
    <n v="129"/>
    <n v="1677"/>
    <d v="2016-11-23T00:00:00"/>
    <d v="2016-11-24T00:00:00"/>
    <x v="2"/>
    <n v="1"/>
    <s v="Repartidor"/>
    <s v="Cristóbal"/>
    <s v="Entregan 5 cajas el día 16/11/16"/>
    <s v="0007-00021083"/>
    <s v="9997-00004632"/>
    <m/>
    <m/>
    <n v="11"/>
    <x v="0"/>
  </r>
  <r>
    <x v="48"/>
    <s v="NO APLICA"/>
    <s v="Cristóbal"/>
    <s v="Maria E."/>
    <s v="NO APLICA"/>
    <s v="Guantes Nitrilo Grandes x 100 uni"/>
    <n v="8"/>
    <s v="Cajas"/>
    <x v="3"/>
    <n v="129"/>
    <n v="1032"/>
    <d v="2016-11-23T00:00:00"/>
    <d v="2016-12-22T00:00:00"/>
    <x v="2"/>
    <n v="29"/>
    <s v="Repartidor"/>
    <s v="Cristóbal"/>
    <s v="Entregan 3 cajas el día 16/11/16. Entregan 3 cajas el día 24/11/16. 2 Cajas 22/12/16"/>
    <s v="0007-00021083"/>
    <s v="9997-00004632"/>
    <m/>
    <m/>
    <n v="11"/>
    <x v="0"/>
  </r>
  <r>
    <x v="48"/>
    <s v="NO APLICA"/>
    <s v="Cristóbal"/>
    <s v="Maria E."/>
    <s v="NO APLICA"/>
    <s v="Guantes Nitrilo Chicos x 100 uni"/>
    <n v="7"/>
    <s v="Cajas"/>
    <x v="3"/>
    <n v="129"/>
    <n v="903"/>
    <d v="2016-11-23T00:00:00"/>
    <d v="2016-11-16T00:00:00"/>
    <x v="1"/>
    <n v="-7"/>
    <s v="Repartidor"/>
    <s v="Cristóbal"/>
    <s v="Entregan 7 cajas el día 16/11/16"/>
    <m/>
    <m/>
    <m/>
    <m/>
    <n v="11"/>
    <x v="0"/>
  </r>
  <r>
    <x v="48"/>
    <s v="NO APLICA"/>
    <s v="Cristóbal"/>
    <s v="Maria L."/>
    <s v="NO APLICA"/>
    <s v="cepillos para pipetas super finos"/>
    <n v="5"/>
    <s v="unidades"/>
    <x v="3"/>
    <n v="19"/>
    <n v="95"/>
    <d v="2016-11-23T00:00:00"/>
    <d v="2016-11-24T00:00:00"/>
    <x v="2"/>
    <n v="1"/>
    <s v="Repartidor"/>
    <s v="Cristóbal"/>
    <s v="OK. En condiciones."/>
    <s v="0007-00021083"/>
    <s v="9997-00004632"/>
    <m/>
    <m/>
    <n v="11"/>
    <x v="0"/>
  </r>
  <r>
    <x v="48"/>
    <s v="NO APLICA"/>
    <s v="Cristóbal"/>
    <s v="Maria L."/>
    <s v="NO APLICA"/>
    <s v="Bolsas de 45x60.Transparentes"/>
    <n v="100"/>
    <s v="unidades"/>
    <x v="10"/>
    <n v="2"/>
    <n v="200"/>
    <d v="2016-11-16T00:00:00"/>
    <d v="2016-11-15T00:00:00"/>
    <x v="1"/>
    <n v="-1"/>
    <s v="Repartidor"/>
    <s v="Cristóbal"/>
    <s v="Ok. En condiciones."/>
    <m/>
    <s v="0004-00000659"/>
    <m/>
    <m/>
    <n v="11"/>
    <x v="0"/>
  </r>
  <r>
    <x v="48"/>
    <s v="NO APLICA"/>
    <s v="Cristóbal"/>
    <s v="Maria L."/>
    <s v="NO APLICA"/>
    <s v="Bobina de papel Elegante 25x400 mts"/>
    <n v="4"/>
    <s v="Packs"/>
    <x v="10"/>
    <n v="430"/>
    <n v="1720"/>
    <d v="2016-11-16T00:00:00"/>
    <d v="2016-11-15T00:00:00"/>
    <x v="1"/>
    <n v="-1"/>
    <s v="Repartidor"/>
    <s v="Cristóbal"/>
    <s v="Ok. En condiciones."/>
    <m/>
    <s v="0004-00000659"/>
    <m/>
    <m/>
    <n v="11"/>
    <x v="0"/>
  </r>
  <r>
    <x v="49"/>
    <s v="NO APLICA"/>
    <s v="Cristóbal"/>
    <s v="Maria E."/>
    <s v="NO APLICA"/>
    <s v="mopa"/>
    <n v="1"/>
    <s v="Unidad"/>
    <x v="10"/>
    <n v="30"/>
    <n v="30"/>
    <d v="2016-11-18T00:00:00"/>
    <d v="2016-11-18T00:00:00"/>
    <x v="1"/>
    <n v="0"/>
    <s v="Repartidor"/>
    <s v="Cristóbal"/>
    <s v="Ok. En condiciones."/>
    <m/>
    <s v="0004-00000667"/>
    <m/>
    <m/>
    <n v="11"/>
    <x v="0"/>
  </r>
  <r>
    <x v="49"/>
    <s v="NO APLICA"/>
    <s v="Cristóbal"/>
    <s v="Maria E."/>
    <s v="NO APLICA"/>
    <s v="Bandejas plásticas sin tapa x100"/>
    <n v="4"/>
    <s v="Packs"/>
    <x v="10"/>
    <n v="189"/>
    <n v="756"/>
    <d v="2016-11-18T00:00:00"/>
    <d v="2016-11-18T00:00:00"/>
    <x v="1"/>
    <n v="0"/>
    <s v="Repartidor"/>
    <s v="Cristóbal"/>
    <s v="Ok. En condiciones."/>
    <m/>
    <s v="0004-00000667"/>
    <m/>
    <m/>
    <n v="11"/>
    <x v="0"/>
  </r>
  <r>
    <x v="50"/>
    <s v="NO APLICA"/>
    <s v="Ruth"/>
    <s v="Ruth"/>
    <s v="NO APLICA"/>
    <s v="Módulo de adquisición de datos, e interfase de red de sistema cromatográfico, modelo CBM-102. marca Shimadzu, N/P 223-04860-38_x000a_Incluye un cable para señal analógica."/>
    <n v="1"/>
    <s v="Unidad"/>
    <x v="12"/>
    <s v="75 879.34"/>
    <s v="75 879.34"/>
    <s v="Sujeto a pago y a Aduana"/>
    <d v="2017-06-12T00:00:00"/>
    <x v="1"/>
    <e v="#VALUE!"/>
    <s v="Rodríguez Hnos. Transporte. "/>
    <s v="Cristóbal"/>
    <s v="Ok, se recibe bulto. Debe abririlo el técnico."/>
    <m/>
    <m/>
    <m/>
    <m/>
    <n v="12"/>
    <x v="0"/>
  </r>
  <r>
    <x v="50"/>
    <s v="NO APLICA"/>
    <s v="Leandro"/>
    <s v="Maria E."/>
    <s v="NO APLICA"/>
    <s v="Agua Destilada con CE &lt; 4µS/cm x L"/>
    <n v="220"/>
    <s v="Litros"/>
    <x v="2"/>
    <n v="4.5"/>
    <n v="990"/>
    <d v="2016-12-02T00:00:00"/>
    <d v="2016-12-02T00:00:00"/>
    <x v="1"/>
    <n v="0"/>
    <s v="Repartidor"/>
    <s v="Alejandra"/>
    <s v="Ok. En condiciones."/>
    <m/>
    <m/>
    <m/>
    <m/>
    <n v="12"/>
    <x v="0"/>
  </r>
  <r>
    <x v="51"/>
    <s v="NO APLICA"/>
    <s v="Cristóbal"/>
    <s v="Maria E."/>
    <s v="NO APLICA"/>
    <s v="Rollos de bolsas de 15x25"/>
    <n v="8"/>
    <s v="Rollos"/>
    <x v="10"/>
    <n v="20"/>
    <n v="160"/>
    <d v="2016-12-08T00:00:00"/>
    <d v="2016-12-08T00:00:00"/>
    <x v="1"/>
    <n v="0"/>
    <s v="Repartidor"/>
    <s v="Cristóbal"/>
    <s v="Ok. En condiciones."/>
    <m/>
    <s v="0004-00000694"/>
    <m/>
    <m/>
    <n v="12"/>
    <x v="0"/>
  </r>
  <r>
    <x v="51"/>
    <s v="NO APLICA"/>
    <s v="Cristóbal"/>
    <s v="Maria E."/>
    <s v="NO APLICA"/>
    <s v="Pack por 2 rollos Servital x 250 m "/>
    <n v="2"/>
    <s v="Packs"/>
    <x v="10"/>
    <n v="225"/>
    <n v="450"/>
    <d v="2016-12-08T00:00:00"/>
    <d v="2016-12-08T00:00:00"/>
    <x v="1"/>
    <n v="0"/>
    <s v="Repartidor"/>
    <s v="Cristóbal"/>
    <s v="Ok. En condiciones."/>
    <m/>
    <s v="0004-00000694"/>
    <m/>
    <m/>
    <n v="12"/>
    <x v="0"/>
  </r>
  <r>
    <x v="52"/>
    <s v="NO APLICA"/>
    <s v="Cristóbal"/>
    <s v="Ruth"/>
    <s v="NO APLICA"/>
    <s v="Agua Destilada con CE &lt; 4µS/cm x L"/>
    <n v="200"/>
    <s v="Litros"/>
    <x v="2"/>
    <n v="4.5"/>
    <n v="900"/>
    <d v="2016-12-15T00:00:00"/>
    <d v="2017-01-05T00:00:00"/>
    <x v="2"/>
    <n v="21"/>
    <s v="Repartidor"/>
    <s v="Cristóbal"/>
    <s v="16/12/16 se devuelve por CE elevada (entre 7,8 y 10,1 uS). 05/01/16 Ok. En cocndiciones"/>
    <m/>
    <m/>
    <m/>
    <m/>
    <n v="12"/>
    <x v="0"/>
  </r>
  <r>
    <x v="53"/>
    <s v="NO APLICA"/>
    <s v="Cristóbal"/>
    <s v="Ruth"/>
    <s v="NO APLICA"/>
    <s v="TUBOS PARA ENSAYO ASTM D-97 Y D-2500 TIPO POUR POINT AFORADO BORDE MARCA: IVA"/>
    <n v="8"/>
    <s v="unidades"/>
    <x v="3"/>
    <n v="395"/>
    <n v="3160"/>
    <d v="2017-02-08T00:00:00"/>
    <d v="2017-02-16T00:00:00"/>
    <x v="2"/>
    <n v="8"/>
    <s v="Repartidor"/>
    <s v="Alejandra"/>
    <s v="Entregan 2 tubos el 06/02/17.Reprogramado para el 16/02/17 Entregan los 6 tubos faltantes el 16/02/17"/>
    <s v="0007-00021527/0007-00021584"/>
    <s v="9997-00004760/9997-00004785"/>
    <m/>
    <m/>
    <n v="12"/>
    <x v="0"/>
  </r>
  <r>
    <x v="53"/>
    <s v="NO APLICA"/>
    <s v="Cristóbal"/>
    <s v="Ruth"/>
    <s v="NO APLICA"/>
    <s v="PICNOMETROS SEGUN HUBBARD CILINDRICO DE 24 ML MARCA: IVA"/>
    <n v="2"/>
    <s v="unidades"/>
    <x v="3"/>
    <n v="2150"/>
    <n v="4300"/>
    <d v="2017-02-08T00:00:00"/>
    <d v="2017-02-16T00:00:00"/>
    <x v="2"/>
    <n v="8"/>
    <s v="Repartidor"/>
    <s v="Alejandra"/>
    <s v="06/02/17. Reprogramado para el 16/02/17."/>
    <s v="0007-00021584"/>
    <s v="9997-00004785"/>
    <m/>
    <m/>
    <n v="12"/>
    <x v="0"/>
  </r>
  <r>
    <x v="53"/>
    <s v="NO APLICA"/>
    <s v="Cristóbal"/>
    <s v="Ruth"/>
    <s v="NO APLICA"/>
    <s v="Papel de filtro 3 m/n uso general 58 x 58 sartorius"/>
    <n v="100"/>
    <s v="Pliegos"/>
    <x v="3"/>
    <n v="15"/>
    <n v="1500"/>
    <d v="2017-01-06T00:00:00"/>
    <d v="2017-01-05T00:00:00"/>
    <x v="1"/>
    <n v="-1"/>
    <s v="Repartidor"/>
    <s v="Cristóbal"/>
    <s v="Ok. En condiciones."/>
    <s v="0007-00021354"/>
    <s v="9997-00004729"/>
    <m/>
    <m/>
    <n v="12"/>
    <x v="0"/>
  </r>
  <r>
    <x v="53"/>
    <s v="NO APLICA"/>
    <s v="Cristóbal"/>
    <s v="Ruth"/>
    <s v="NO APLICA"/>
    <s v="- N-(1-NAFTIL) ETILENDIAMINA DICLOR. PA BIOPACK (10 G)"/>
    <n v="1"/>
    <s v="Envase"/>
    <x v="3"/>
    <n v="590"/>
    <n v="590"/>
    <d v="2017-02-08T00:00:00"/>
    <d v="2017-02-06T00:00:00"/>
    <x v="1"/>
    <n v="-2"/>
    <s v="Repartidor"/>
    <s v="Alejandra"/>
    <s v="Ok. En condiciones."/>
    <s v="0007-00021527"/>
    <s v="9997-00004760"/>
    <m/>
    <m/>
    <n v="12"/>
    <x v="0"/>
  </r>
  <r>
    <x v="54"/>
    <s v="NO APLICA"/>
    <s v="Cristóbal"/>
    <s v="Ruth"/>
    <s v="NO APLICA"/>
    <s v="POTASIO CLORURO CRISTAL PA ACS BAKER (1 KG)"/>
    <n v="1"/>
    <s v="Envase"/>
    <x v="3"/>
    <n v="928.24"/>
    <n v="928.24"/>
    <d v="2017-02-08T00:00:00"/>
    <d v="2017-02-06T00:00:00"/>
    <x v="1"/>
    <n v="-2"/>
    <s v="Repartidor"/>
    <s v="Alejandra"/>
    <s v="Ok. En condiciones."/>
    <s v="0007-00021526"/>
    <s v="9997-00004759"/>
    <m/>
    <m/>
    <n v="1"/>
    <x v="2"/>
  </r>
  <r>
    <x v="55"/>
    <s v="NO APLICA"/>
    <s v="Cristóbal"/>
    <s v="Maria E."/>
    <s v="NO APLICA"/>
    <s v="Pack por 2 rollos Servital x 250 m "/>
    <n v="4"/>
    <s v="pack"/>
    <x v="10"/>
    <s v="235 x rollo"/>
    <n v="1880"/>
    <d v="2017-02-14T00:00:00"/>
    <d v="2017-02-14T00:00:00"/>
    <x v="1"/>
    <n v="0"/>
    <s v="Repartidor"/>
    <s v="Cristóbal"/>
    <s v="Ok. En condiciones. Por error de la empresa se facturó en dos veces. Los 4 packs se presentaron el dia 14/02/17"/>
    <m/>
    <s v="0004-00000775/0004-00000776"/>
    <m/>
    <m/>
    <n v="2"/>
    <x v="2"/>
  </r>
  <r>
    <x v="55"/>
    <s v="NO APLICA"/>
    <s v="Cristóbal"/>
    <s v="Maria E."/>
    <s v="NO APLICA"/>
    <s v="Mopas Rep"/>
    <n v="2"/>
    <s v="unidades"/>
    <x v="10"/>
    <n v="25"/>
    <n v="50"/>
    <d v="2017-02-14T00:00:00"/>
    <d v="2017-02-14T00:00:00"/>
    <x v="1"/>
    <n v="0"/>
    <s v="Repartidor"/>
    <s v="Cristóbal"/>
    <s v="Ok. En condiciones."/>
    <m/>
    <s v="0004-00000775"/>
    <m/>
    <m/>
    <n v="2"/>
    <x v="2"/>
  </r>
  <r>
    <x v="55"/>
    <s v="NO APLICA"/>
    <s v="Cristóbal"/>
    <s v="Maria E."/>
    <s v="NO APLICA"/>
    <s v="MERCURIO (II) CLORURO PA ACS BIOPACK (250 gr)"/>
    <n v="1"/>
    <s v="Envase"/>
    <x v="3"/>
    <n v="2990"/>
    <n v="2990"/>
    <d v="2017-03-07T00:00:00"/>
    <d v="2017-03-17T00:00:00"/>
    <x v="2"/>
    <n v="10"/>
    <s v="Repartidor"/>
    <s v="Alejandra"/>
    <s v="OK. En condiciones."/>
    <s v="0007-00021757"/>
    <s v="9997-00004812"/>
    <m/>
    <m/>
    <n v="2"/>
    <x v="2"/>
  </r>
  <r>
    <x v="55"/>
    <s v="NO APLICA"/>
    <s v="Cristóbal"/>
    <s v="Maria E."/>
    <s v="NO APLICA"/>
    <s v="Desodorante para piso x5lt"/>
    <n v="1"/>
    <s v="Envase"/>
    <x v="10"/>
    <s v="12 x litro"/>
    <n v="60"/>
    <d v="2017-02-14T00:00:00"/>
    <d v="2017-02-14T00:00:00"/>
    <x v="1"/>
    <n v="0"/>
    <s v="Repartidor"/>
    <s v="Cristóbal"/>
    <s v="Ok. En condiciones."/>
    <m/>
    <s v="0004-00000775"/>
    <m/>
    <m/>
    <n v="2"/>
    <x v="2"/>
  </r>
  <r>
    <x v="55"/>
    <s v="NO APLICA"/>
    <s v="Cristóbal"/>
    <s v="Maria E."/>
    <s v="NO APLICA"/>
    <s v="Cabo madera"/>
    <n v="2"/>
    <s v="unidades"/>
    <x v="10"/>
    <n v="15"/>
    <n v="30"/>
    <d v="2017-02-14T00:00:00"/>
    <d v="2017-02-14T00:00:00"/>
    <x v="1"/>
    <n v="0"/>
    <s v="Repartidor"/>
    <s v="Cristóbal"/>
    <s v="Ok. En condiciones."/>
    <m/>
    <s v="0004-00000775"/>
    <m/>
    <m/>
    <n v="2"/>
    <x v="2"/>
  </r>
  <r>
    <x v="55"/>
    <s v="NO APLICA"/>
    <s v="Cristóbal"/>
    <s v="Maria E."/>
    <s v="NO APLICA"/>
    <s v="Bidón 20 lts con canilla"/>
    <n v="1"/>
    <s v="Envase"/>
    <x v="10"/>
    <n v="200"/>
    <n v="200"/>
    <d v="2017-02-14T00:00:00"/>
    <d v="2017-02-14T00:00:00"/>
    <x v="1"/>
    <n v="0"/>
    <s v="Repartidor"/>
    <s v="Cristóbal"/>
    <s v="Ok. En condiciones."/>
    <s v="0001-00183177"/>
    <s v="0003-00006196"/>
    <m/>
    <m/>
    <n v="2"/>
    <x v="2"/>
  </r>
  <r>
    <x v="55"/>
    <s v="NO APLICA"/>
    <s v="Cristóbal"/>
    <s v="Maria E."/>
    <s v="NO APLICA"/>
    <s v="Balde Romyl con escurridor"/>
    <n v="2"/>
    <s v="unidades"/>
    <x v="10"/>
    <n v="95"/>
    <n v="190"/>
    <d v="2017-02-14T00:00:00"/>
    <d v="2017-02-14T00:00:00"/>
    <x v="1"/>
    <n v="0"/>
    <s v="Repartidor"/>
    <s v="Cristóbal"/>
    <s v="Ok. En condiciones."/>
    <m/>
    <s v="0004-00000775"/>
    <m/>
    <m/>
    <n v="2"/>
    <x v="2"/>
  </r>
  <r>
    <x v="55"/>
    <s v="NO APLICA"/>
    <s v="Cristóbal"/>
    <s v="Maria L."/>
    <s v="NO APLICA"/>
    <s v="Agua Destilada con CE &lt; 4µS/cm x L"/>
    <n v="200"/>
    <s v="Litros"/>
    <x v="2"/>
    <n v="4.5"/>
    <n v="900"/>
    <d v="2017-02-14T00:00:00"/>
    <d v="2017-02-14T00:00:00"/>
    <x v="1"/>
    <n v="0"/>
    <s v="Repartidor"/>
    <s v="Cristóbal"/>
    <s v="Ok. En condiciones. Controla CE Renzo."/>
    <m/>
    <s v="0002-00000379"/>
    <m/>
    <m/>
    <n v="2"/>
    <x v="2"/>
  </r>
  <r>
    <x v="56"/>
    <s v="NO APLICA"/>
    <s v="Cristóbal"/>
    <s v="Maria L."/>
    <s v="NO APLICA"/>
    <s v="Nitrato de plata x 100 gr. Biopack"/>
    <n v="1"/>
    <s v="Envase"/>
    <x v="0"/>
    <n v="4622.2"/>
    <n v="4622.2"/>
    <d v="2017-03-10T00:00:00"/>
    <d v="2017-03-09T00:00:00"/>
    <x v="1"/>
    <n v="-1"/>
    <s v="Repartidor"/>
    <s v="Cristóbal"/>
    <s v="Ok. En condiciones."/>
    <m/>
    <m/>
    <m/>
    <m/>
    <n v="2"/>
    <x v="2"/>
  </r>
  <r>
    <x v="57"/>
    <s v="NO APLICA"/>
    <s v="Leandro"/>
    <s v="Maria E."/>
    <s v="NO APLICA"/>
    <s v="Agua Destilada con CE &lt; 4µS/cm x L"/>
    <n v="170"/>
    <s v="Litros"/>
    <x v="2"/>
    <n v="4.5"/>
    <n v="765"/>
    <d v="2017-03-02T00:00:00"/>
    <d v="2017-03-03T00:00:00"/>
    <x v="2"/>
    <n v="1"/>
    <s v="Repartidor"/>
    <s v="Renzo"/>
    <s v="Ok. En condiciones"/>
    <m/>
    <n v="396"/>
    <m/>
    <m/>
    <n v="3"/>
    <x v="2"/>
  </r>
  <r>
    <x v="58"/>
    <s v="NO APLICA"/>
    <s v="Ruth"/>
    <s v="Ruth"/>
    <s v="NO APLICA"/>
    <s v="Propipetas de Caucho con tres válvulas. Viking"/>
    <n v="4"/>
    <s v="unidades"/>
    <x v="7"/>
    <n v="211.75"/>
    <n v="847"/>
    <d v="2017-03-17T00:00:00"/>
    <d v="2017-03-15T00:00:00"/>
    <x v="1"/>
    <n v="-2"/>
    <s v="Repartidor"/>
    <s v="Nancy Bertagna"/>
    <s v="No és la marca cotizada"/>
    <s v="0001-00027934"/>
    <s v="0009-00000973"/>
    <m/>
    <m/>
    <n v="3"/>
    <x v="2"/>
  </r>
  <r>
    <x v="58"/>
    <s v="NO APLICA"/>
    <s v="Ruth"/>
    <s v="Ruth"/>
    <s v="NO APLICA"/>
    <s v="Papel de filtro banda azul 125mm. Marca Whatman"/>
    <n v="1"/>
    <s v="caja"/>
    <x v="7"/>
    <n v="1573.79"/>
    <n v="1573.79"/>
    <d v="2017-03-20T00:00:00"/>
    <d v="2017-03-18T00:00:00"/>
    <x v="1"/>
    <n v="-2"/>
    <s v="Repartidor"/>
    <s v="Nancy Bertagna"/>
    <s v="Ok. En condiciones"/>
    <s v="0001-00027934"/>
    <s v="0009-00000973"/>
    <m/>
    <m/>
    <n v="3"/>
    <x v="2"/>
  </r>
  <r>
    <x v="58"/>
    <s v="NO APLICA"/>
    <s v="Ruth"/>
    <s v="Ruth"/>
    <s v="NO APLICA"/>
    <s v="Manto calefactor para balones de 1lt."/>
    <n v="2"/>
    <s v="Unidad"/>
    <x v="7"/>
    <n v="1934.79"/>
    <n v="3869.58"/>
    <d v="2017-03-24T00:00:00"/>
    <d v="2017-04-11T00:00:00"/>
    <x v="2"/>
    <n v="18"/>
    <s v="Repartidor"/>
    <s v="Alejandra/Cristóbal"/>
    <s v="Ok. En condiciones. Entregan 1 03/04/17. 11/04/17 ENTREGAN EL FALTANTE"/>
    <s v="0001-00027993/ 0001-00001757"/>
    <s v="0009-00000983"/>
    <m/>
    <m/>
    <n v="3"/>
    <x v="2"/>
  </r>
  <r>
    <x v="58"/>
    <s v="NO APLICA"/>
    <s v="Ruth"/>
    <s v="Ruth"/>
    <s v="NO APLICA"/>
    <s v="Guantes de Nitrilo Medianos"/>
    <n v="3"/>
    <s v="Cajas"/>
    <x v="7"/>
    <n v="107.69"/>
    <n v="215.38"/>
    <d v="2017-03-19T00:00:00"/>
    <d v="2017-03-17T00:00:00"/>
    <x v="1"/>
    <n v="-2"/>
    <s v="Repartidor"/>
    <s v="Nancy Bertagna"/>
    <s v="No és la marca cotizada"/>
    <s v="0001-00027934"/>
    <s v="0009-00000973"/>
    <m/>
    <m/>
    <n v="3"/>
    <x v="2"/>
  </r>
  <r>
    <x v="58"/>
    <s v="NO APLICA"/>
    <s v="Ruth"/>
    <s v="Ruth"/>
    <s v="NO APLICA"/>
    <s v="Guantes de Nitrilo Grandes"/>
    <n v="2"/>
    <s v="Cajas"/>
    <x v="7"/>
    <n v="107.69"/>
    <n v="215.38"/>
    <d v="2017-03-18T00:00:00"/>
    <d v="2017-03-16T00:00:00"/>
    <x v="1"/>
    <n v="-2"/>
    <s v="Repartidor"/>
    <s v="Nancy Bertagna"/>
    <s v="No és la marca cotizada"/>
    <s v="0001-00027934"/>
    <s v="0009-00000973"/>
    <m/>
    <m/>
    <n v="3"/>
    <x v="2"/>
  </r>
  <r>
    <x v="58"/>
    <s v="NO APLICA"/>
    <s v="Ruth"/>
    <s v="Ruth"/>
    <s v="NO APLICA"/>
    <s v="Agitador magnetico con calefacción BS- 2H BIO"/>
    <n v="1"/>
    <s v="Unidad"/>
    <x v="7"/>
    <n v="2655"/>
    <n v="2655"/>
    <d v="2017-03-17T00:00:00"/>
    <d v="2017-03-14T00:00:00"/>
    <x v="1"/>
    <n v="-3"/>
    <s v="Repartidor"/>
    <s v="Nancy Bertagna"/>
    <s v="Ok. En condiciones"/>
    <s v="0001-00027934"/>
    <s v="0009-00000973"/>
    <m/>
    <m/>
    <n v="3"/>
    <x v="2"/>
  </r>
  <r>
    <x v="59"/>
    <s v="NO APLICA"/>
    <s v="Cristóbal"/>
    <s v="Ruth"/>
    <s v="NO APLICA"/>
    <s v="Propipetas de Caucho con tres válvulas Vicking"/>
    <n v="4"/>
    <s v="Unidad"/>
    <x v="0"/>
    <n v="239.58"/>
    <n v="958.32"/>
    <d v="2017-03-23T00:00:00"/>
    <m/>
    <x v="0"/>
    <s v="NO CONCRETADO"/>
    <m/>
    <s v="Cristóbal"/>
    <s v="Se reclama telefónicamente el pedido. No lo han registrado (correo ESALVI@MAGSRL.COM.AR 16/03/17). Se da de baja"/>
    <m/>
    <m/>
    <m/>
    <m/>
    <n v="3"/>
    <x v="2"/>
  </r>
  <r>
    <x v="59"/>
    <s v="NO APLICA"/>
    <s v="Cristóbal"/>
    <s v="Ruth"/>
    <s v="NO APLICA"/>
    <s v="cepillos para pipetas super finos."/>
    <n v="6"/>
    <s v="Unidad"/>
    <x v="0"/>
    <n v="35.090000000000003"/>
    <n v="210.54"/>
    <d v="2017-03-23T00:00:00"/>
    <m/>
    <x v="0"/>
    <s v="NO CONCRETADO"/>
    <m/>
    <s v="Cristóbal"/>
    <s v="Se reclama telefónicamente el pedido. No lo han registrado (correo ESALVI@MAGSRL.COM.AR 16/03/17). Se da de baja"/>
    <m/>
    <m/>
    <m/>
    <m/>
    <n v="3"/>
    <x v="2"/>
  </r>
  <r>
    <x v="59"/>
    <s v="NO APLICA"/>
    <s v="Cristóbal"/>
    <s v="Ruth"/>
    <s v="NO APLICA"/>
    <s v="Cepillos de 35 mm de diámetro."/>
    <n v="6"/>
    <s v="Unidad"/>
    <x v="0"/>
    <n v="42.35"/>
    <n v="254.1"/>
    <d v="2017-03-23T00:00:00"/>
    <m/>
    <x v="0"/>
    <s v="NO CONCRETADO"/>
    <m/>
    <s v="Cristóbal"/>
    <s v="Se reclama telefónicamente el pedido. No lo han registrado (correo ESALVI@MAGSRL.COM.AR 16/03/17). Se da de baja"/>
    <m/>
    <m/>
    <m/>
    <m/>
    <n v="3"/>
    <x v="2"/>
  </r>
  <r>
    <x v="59"/>
    <s v="NO APLICA"/>
    <s v="Cristóbal"/>
    <s v="Ruth"/>
    <s v="NO APLICA"/>
    <s v="Cepillos de 25 mm de diámetro."/>
    <n v="6"/>
    <s v="Unidad"/>
    <x v="0"/>
    <n v="30.25"/>
    <n v="181.5"/>
    <d v="2017-03-23T00:00:00"/>
    <m/>
    <x v="0"/>
    <s v="NO CONCRETADO"/>
    <m/>
    <s v="Cristóbal"/>
    <s v="Se reclama telefónicamente el pedido. No lo han registrado (correo ESALVI@MAGSRL.COM.AR 16/03/17). Se da de baja"/>
    <m/>
    <s v="0002-00000455"/>
    <m/>
    <m/>
    <n v="3"/>
    <x v="2"/>
  </r>
  <r>
    <x v="60"/>
    <s v="NO APLICA"/>
    <s v="Cristóbal"/>
    <s v="Ruth"/>
    <s v="NO APLICA"/>
    <s v="SOLUCION DE CONDUCTIVIDAD 84U US/CM (500 ML). Hanna"/>
    <n v="1"/>
    <s v="Envase"/>
    <x v="3"/>
    <n v="490"/>
    <n v="490"/>
    <d v="2017-04-10T00:00:00"/>
    <d v="2017-04-05T00:00:00"/>
    <x v="1"/>
    <n v="-5"/>
    <s v="Repartidor"/>
    <s v="Alejandra"/>
    <s v="Ok. En condiciones."/>
    <s v="0007-00022051"/>
    <s v="9997-00004887"/>
    <m/>
    <m/>
    <n v="3"/>
    <x v="2"/>
  </r>
  <r>
    <x v="60"/>
    <s v="NO APLICA"/>
    <s v="Cristóbal"/>
    <s v="Ruth"/>
    <s v="NO APLICA"/>
    <s v="Pinza para refrigerante con nuez protección de goma. Leone"/>
    <n v="8"/>
    <s v="Unidad"/>
    <x v="3"/>
    <n v="280"/>
    <n v="2240"/>
    <d v="2017-04-03T00:00:00"/>
    <d v="2017-04-05T00:00:00"/>
    <x v="2"/>
    <n v="2"/>
    <s v="Repartidor"/>
    <s v="Cristóbal"/>
    <s v="Entregan 2 - 22/03/17. Entregan 6 - 05/04/17."/>
    <s v="0007-00021926/22051"/>
    <s v="9997-00004859/4887"/>
    <m/>
    <m/>
    <n v="3"/>
    <x v="2"/>
  </r>
  <r>
    <x v="60"/>
    <s v="NO APLICA"/>
    <s v="Cristóbal"/>
    <s v="Ruth"/>
    <s v="NO APLICA"/>
    <s v="PAPEL DE FILTRO CUANTITATIVO GRADO 391 DIAMETRO 125 MM SARTORIUS (100)"/>
    <n v="2"/>
    <s v="caja"/>
    <x v="3"/>
    <n v="450"/>
    <n v="900"/>
    <d v="2017-03-27T00:00:00"/>
    <d v="2017-03-22T00:00:00"/>
    <x v="1"/>
    <n v="-5"/>
    <s v="Repartidor"/>
    <s v="Cristóbal"/>
    <s v="Ok. En condiciones"/>
    <s v="0007-00021926"/>
    <s v="9997-00004859"/>
    <m/>
    <m/>
    <n v="3"/>
    <x v="2"/>
  </r>
  <r>
    <x v="60"/>
    <s v="NO APLICA"/>
    <s v="Cristóbal"/>
    <s v="Ruth"/>
    <s v="NO APLICA"/>
    <s v="PAPEL DE FILTRO CUANTITATIVO GRADO 389 DIAMETRO 125 MM SARTORIUS (100)"/>
    <n v="2"/>
    <s v="caja"/>
    <x v="3"/>
    <n v="410"/>
    <n v="820"/>
    <d v="2017-03-27T00:00:00"/>
    <d v="2017-03-22T00:00:00"/>
    <x v="1"/>
    <n v="-5"/>
    <s v="Repartidor"/>
    <s v="Cristóbal"/>
    <s v="Ok. En condiciones"/>
    <s v="0007-00021926"/>
    <s v="9997-00004859"/>
    <m/>
    <m/>
    <n v="3"/>
    <x v="2"/>
  </r>
  <r>
    <x v="60"/>
    <s v="NO APLICA"/>
    <s v="Cristóbal"/>
    <s v="Ruth"/>
    <s v="NO APLICA"/>
    <s v="PAPEL DE FILTRO CUANTITATIVO GRADO 388 DIAMETRO 125 MM SARTORIUS (100)"/>
    <n v="1"/>
    <s v="caja"/>
    <x v="3"/>
    <n v="410"/>
    <n v="410"/>
    <d v="2017-03-27T00:00:00"/>
    <d v="2017-03-28T00:00:00"/>
    <x v="2"/>
    <n v="1"/>
    <s v="Repartidor"/>
    <s v="Alejandra"/>
    <s v="Ok. En condiciones."/>
    <s v="0007-00021989"/>
    <s v="9997-00004868"/>
    <m/>
    <m/>
    <n v="3"/>
    <x v="2"/>
  </r>
  <r>
    <x v="60"/>
    <s v="NO APLICA"/>
    <s v="Cristóbal"/>
    <s v="Ruth"/>
    <s v="NO APLICA"/>
    <s v="GUANTES EXAMEN NITRILO S/POLVO MEDIANO PRINTEX (100 UN)"/>
    <n v="10"/>
    <s v="caja"/>
    <x v="3"/>
    <n v="129"/>
    <n v="1290"/>
    <d v="2017-03-23T00:00:00"/>
    <d v="2017-03-28T00:00:00"/>
    <x v="2"/>
    <n v="5"/>
    <s v="Repartidor"/>
    <s v="Cristóbal"/>
    <s v="Entregan 5 cajas 22/03/17. Entregan 5 cajas 28/03/17. Ok. En condiciones"/>
    <s v="0007-00021926/21989"/>
    <s v="9997-00004859/4868"/>
    <m/>
    <m/>
    <n v="3"/>
    <x v="2"/>
  </r>
  <r>
    <x v="60"/>
    <s v="NO APLICA"/>
    <s v="Cristóbal"/>
    <s v="Ruth"/>
    <s v="NO APLICA"/>
    <s v="GUANTES EXAMEN NITRILO S/POLVO GRANDE PRINTEX (100 UN)"/>
    <n v="8"/>
    <s v="caja"/>
    <x v="3"/>
    <n v="129"/>
    <n v="1032"/>
    <d v="2017-03-23T00:00:00"/>
    <d v="2017-03-22T00:00:00"/>
    <x v="1"/>
    <n v="-1"/>
    <s v="Repartidor"/>
    <s v="Cristóbal"/>
    <s v="Ok. En condiciones"/>
    <s v="0007-00021926"/>
    <s v="9997-00004859"/>
    <m/>
    <m/>
    <n v="3"/>
    <x v="2"/>
  </r>
  <r>
    <x v="60"/>
    <s v="NO APLICA"/>
    <s v="Cristóbal"/>
    <s v="Ruth"/>
    <s v="NO APLICA"/>
    <s v="GUANTES EXAMEN NITRILO S/POLVO CHICO PRINTEX (100 UN)"/>
    <n v="4"/>
    <s v="caja"/>
    <x v="3"/>
    <n v="129"/>
    <n v="516"/>
    <d v="2017-03-23T00:00:00"/>
    <d v="2017-03-28T00:00:00"/>
    <x v="2"/>
    <n v="5"/>
    <s v="Repartidor"/>
    <s v="Cristóbal"/>
    <s v="Entregan 3 cajas 22/03/17. Entregan 1 caja 28/03/17. Ok. En condiciones"/>
    <s v="0007-00021926/21989"/>
    <s v="9997-00004859/4868"/>
    <m/>
    <m/>
    <n v="3"/>
    <x v="2"/>
  </r>
  <r>
    <x v="60"/>
    <s v="NO APLICA"/>
    <s v="Cristóbal"/>
    <s v="Ruth"/>
    <s v="NO APLICA"/>
    <s v="CLORURO DE BENZALCONIO AL 80% BIOPACK (500 ml)"/>
    <n v="1"/>
    <s v="Envase"/>
    <x v="3"/>
    <n v="401"/>
    <n v="401"/>
    <d v="2017-04-14T00:00:00"/>
    <d v="2017-04-05T00:00:00"/>
    <x v="1"/>
    <n v="-9"/>
    <s v="Repartidor"/>
    <s v="Alejandra"/>
    <s v="Ok. En condiciones."/>
    <s v="0007-00022051"/>
    <s v="9997-00004887"/>
    <m/>
    <m/>
    <n v="3"/>
    <x v="2"/>
  </r>
  <r>
    <x v="60"/>
    <s v="NO APLICA"/>
    <s v="Cristóbal"/>
    <s v="Maria L."/>
    <s v="NO APLICA"/>
    <s v="Agua Destilada con CE &lt; 4µS/cm x L"/>
    <n v="200"/>
    <s v="Litros"/>
    <x v="13"/>
    <n v="4.5"/>
    <n v="900"/>
    <d v="2017-03-21T00:00:00"/>
    <d v="2017-03-28T00:00:00"/>
    <x v="2"/>
    <n v="7"/>
    <s v="Repartidor"/>
    <s v="Adriana"/>
    <s v="Solo presentaron 100 lts. CE: OK. Presentan los 100 lta faltantes el 28/03/17"/>
    <m/>
    <s v="438/ 440"/>
    <m/>
    <m/>
    <n v="3"/>
    <x v="2"/>
  </r>
  <r>
    <x v="61"/>
    <s v="NO APLICA"/>
    <s v="Fabrizio"/>
    <s v="Ruth"/>
    <s v="NO APLICA"/>
    <s v="Servicio de calibracion Balanzas Muflas"/>
    <n v="2"/>
    <s v="Servicio"/>
    <x v="14"/>
    <n v="1210"/>
    <n v="2420"/>
    <d v="2017-04-10T00:00:00"/>
    <d v="2017-04-10T00:00:00"/>
    <x v="1"/>
    <n v="0"/>
    <s v="Proveedor"/>
    <s v="Cristóbal"/>
    <m/>
    <m/>
    <m/>
    <m/>
    <m/>
    <n v="3"/>
    <x v="2"/>
  </r>
  <r>
    <x v="61"/>
    <s v="NO APLICA"/>
    <s v="Fabrizio"/>
    <s v="Ruth"/>
    <s v="NO APLICA"/>
    <s v="Servicio de calibracion Balanzas granataria"/>
    <n v="1"/>
    <s v="Servicio"/>
    <x v="14"/>
    <n v="1142"/>
    <n v="1142"/>
    <d v="2017-04-07T00:00:00"/>
    <d v="2017-04-07T00:00:00"/>
    <x v="1"/>
    <n v="0"/>
    <s v="Proveedor"/>
    <s v="Cristóbal"/>
    <m/>
    <m/>
    <m/>
    <m/>
    <m/>
    <n v="3"/>
    <x v="2"/>
  </r>
  <r>
    <x v="61"/>
    <s v="NO APLICA"/>
    <s v="Fabrizio"/>
    <s v="Ruth"/>
    <s v="NO APLICA"/>
    <s v="Servicio de calibracion Balanzas Estufas"/>
    <n v="2"/>
    <s v="Servicio"/>
    <x v="14"/>
    <n v="1182"/>
    <n v="2364"/>
    <d v="2017-04-10T00:00:00"/>
    <d v="2017-04-10T00:00:00"/>
    <x v="1"/>
    <n v="0"/>
    <s v="Proveedor"/>
    <s v="Cristóbal"/>
    <m/>
    <m/>
    <m/>
    <m/>
    <m/>
    <n v="3"/>
    <x v="2"/>
  </r>
  <r>
    <x v="61"/>
    <s v="NO APLICA"/>
    <s v="Fabrizio"/>
    <s v="Ruth"/>
    <s v="NO APLICA"/>
    <s v="Servicio de calibracion Balanzas Analiticas"/>
    <n v="2"/>
    <s v="Servicio"/>
    <x v="14"/>
    <n v="1218"/>
    <n v="2436"/>
    <d v="2017-04-07T00:00:00"/>
    <d v="2017-04-07T00:00:00"/>
    <x v="1"/>
    <n v="0"/>
    <s v="Proveedor"/>
    <s v="Cristóbal"/>
    <m/>
    <m/>
    <m/>
    <m/>
    <m/>
    <n v="3"/>
    <x v="2"/>
  </r>
  <r>
    <x v="62"/>
    <s v="NO APLICA"/>
    <s v="Cristóbal"/>
    <s v="Ruth"/>
    <s v="NO APLICA"/>
    <s v="Rollo Elegante 30x300 mts"/>
    <n v="2"/>
    <s v="pack"/>
    <x v="10"/>
    <n v="135"/>
    <n v="270"/>
    <d v="2017-03-30T00:00:00"/>
    <d v="2017-03-30T00:00:00"/>
    <x v="1"/>
    <n v="0"/>
    <s v="Repartidor"/>
    <s v="Cristóbal"/>
    <s v="Ok. En condiciones"/>
    <m/>
    <s v="0004-00000846"/>
    <m/>
    <m/>
    <n v="3"/>
    <x v="2"/>
  </r>
  <r>
    <x v="62"/>
    <s v="NO APLICA"/>
    <s v="Cristóbal"/>
    <s v="Ruth"/>
    <s v="NO APLICA"/>
    <s v="Rollo Elegante 25x400 mts"/>
    <n v="8"/>
    <s v="pack"/>
    <x v="10"/>
    <n v="215"/>
    <n v="1720"/>
    <d v="2017-03-30T00:00:00"/>
    <d v="2017-03-30T00:00:00"/>
    <x v="1"/>
    <n v="0"/>
    <s v="Repartidor"/>
    <s v="Cristóbal"/>
    <s v="Ok. En condiciones"/>
    <m/>
    <s v="0004-00000846"/>
    <m/>
    <m/>
    <n v="3"/>
    <x v="2"/>
  </r>
  <r>
    <x v="62"/>
    <s v="NO APLICA"/>
    <s v="Cristóbal"/>
    <s v="Ruth"/>
    <s v="NO APLICA"/>
    <s v="Porta rollo"/>
    <n v="2"/>
    <s v="Unidad"/>
    <x v="10"/>
    <n v="310"/>
    <n v="620"/>
    <d v="2017-03-30T00:00:00"/>
    <d v="2017-03-30T00:00:00"/>
    <x v="1"/>
    <n v="0"/>
    <s v="Repartidor"/>
    <s v="Cristóbal"/>
    <s v="Ok. En condiciones"/>
    <m/>
    <s v="0004-00000846"/>
    <m/>
    <m/>
    <n v="3"/>
    <x v="2"/>
  </r>
  <r>
    <x v="63"/>
    <s v="Carolina Narvarte"/>
    <s v="Ruth"/>
    <s v="Ruth"/>
    <s v="Estándar"/>
    <s v="5190-8279, Copper, 1000 ug/ml, 100ml"/>
    <n v="1"/>
    <s v="Unidad"/>
    <x v="15"/>
    <s v="58,08 usd"/>
    <s v="58,08 usd"/>
    <d v="2017-07-03T00:00:00"/>
    <d v="2017-07-03T00:00:00"/>
    <x v="1"/>
    <n v="0"/>
    <s v="Rodriguez Hermanos transportes"/>
    <s v="Cristóbal_x000a_Caro N"/>
    <s v="Cotizados en dolares estadounidenses._x000a_Ok. En condiciones. _x000a_Vencen en febrero 2018, se reclamará."/>
    <s v="0001-00094117"/>
    <s v="0003-00004109"/>
    <m/>
    <m/>
    <n v="4"/>
    <x v="2"/>
  </r>
  <r>
    <x v="63"/>
    <s v="Carolina Narvarte"/>
    <s v="Ruth"/>
    <s v="Ruth"/>
    <s v="Estándar"/>
    <s v="5190-8295, Mercury, 1000 ug/ml, 100ml"/>
    <n v="1"/>
    <s v="Unidad"/>
    <x v="15"/>
    <s v="58,08 usd"/>
    <s v="58,08 usd"/>
    <d v="2017-07-03T00:00:00"/>
    <d v="2017-07-03T00:00:00"/>
    <x v="1"/>
    <n v="0"/>
    <s v="Rodriguez Hermanos transportes"/>
    <s v="Cristóbal_x000a_Caro N"/>
    <s v="Cotizados en dolares estadounidenses._x000a_Ok. En condiciones. _x000a_Vencen en febrero 2018, se reclamará."/>
    <s v="0001-00094117"/>
    <s v="0003-00004109"/>
    <m/>
    <m/>
    <n v="4"/>
    <x v="2"/>
  </r>
  <r>
    <x v="63"/>
    <s v="Carolina Narvarte"/>
    <s v="Ruth"/>
    <s v="Ruth"/>
    <s v="Estándar"/>
    <s v="5190-8309, Silver, 1000 ug/ml, 100ml"/>
    <n v="1"/>
    <s v="Unidad"/>
    <x v="15"/>
    <s v="58,08 usd"/>
    <s v="58,08 usd"/>
    <d v="2017-07-03T00:00:00"/>
    <d v="2017-07-03T00:00:00"/>
    <x v="1"/>
    <n v="0"/>
    <s v="Rodriguez Hermanos transportes"/>
    <s v="Cristóbal_x000a_Caro N"/>
    <s v="Cotizados en dolares estadounidenses._x000a_Ok. En condiciones. _x000a_Vencen en febrero 2018, se reclamará."/>
    <s v="0001-00094117"/>
    <s v="0003-00004109"/>
    <m/>
    <m/>
    <n v="4"/>
    <x v="2"/>
  </r>
  <r>
    <x v="63"/>
    <s v="Carolina Narvarte"/>
    <s v="Ruth"/>
    <s v="Ruth"/>
    <s v="Estándar"/>
    <s v="AA04N-1, Barium AA Standard (Cantidad: 100 mL) (Concentración: 1000 µg/mL in 2-5% Nitric Acid) Marca: Accustandard"/>
    <n v="1"/>
    <s v="Unidad"/>
    <x v="15"/>
    <s v="58,08 usd"/>
    <s v="58,08 usd"/>
    <d v="2017-07-03T00:00:00"/>
    <d v="2017-07-03T00:00:00"/>
    <x v="1"/>
    <n v="0"/>
    <s v="Rodriguez Hermanos transportes"/>
    <s v="Cristóbal_x000a_Caro N"/>
    <s v="Cotizados en dolares estadounidenses._x000a_Ok. En condiciones."/>
    <s v="0001-00094117"/>
    <s v="0003-00004109"/>
    <m/>
    <m/>
    <n v="4"/>
    <x v="2"/>
  </r>
  <r>
    <x v="63"/>
    <s v="Carolina Narvarte"/>
    <s v="Ruth"/>
    <s v="Ruth"/>
    <s v="Estándar"/>
    <s v="AA33N-1, Manganese AA Standard (Cantidad: 100 mL) (Concentración: 1000 µg/mL in 2-5% Nitric Acid) Marca: Accustandard"/>
    <n v="1"/>
    <s v="Unidad"/>
    <x v="15"/>
    <s v="58,08 usd"/>
    <s v="58,08 usd"/>
    <d v="2017-07-03T00:00:00"/>
    <d v="2017-07-03T00:00:00"/>
    <x v="1"/>
    <n v="0"/>
    <s v="Rodriguez Hermanos transportes"/>
    <s v="Cristóbal_x000a_Caro N"/>
    <s v="Cotizados en dolares estadounidenses._x000a_Ok. En condiciones."/>
    <s v="0001-00094117"/>
    <s v="0003-00004109"/>
    <m/>
    <m/>
    <n v="4"/>
    <x v="2"/>
  </r>
  <r>
    <x v="63"/>
    <s v="Carolina Narvarte"/>
    <s v="Ruth"/>
    <s v="Ruth"/>
    <s v="Estándar"/>
    <s v="AA37N-1, Nickel AA Standard (Cantidad: 100 mL) (Concentración: 1000 µg/mL in 2-5% Nitric Acid) Marca: Accustandard"/>
    <n v="1"/>
    <s v="Unidad"/>
    <x v="15"/>
    <s v="58,08 usd"/>
    <s v="58,08 usd"/>
    <d v="2017-07-03T00:00:00"/>
    <d v="2017-07-03T00:00:00"/>
    <x v="1"/>
    <n v="0"/>
    <s v="Rodriguez Hermanos transportes"/>
    <s v="Cristóbal_x000a_Caro N"/>
    <s v="Cotizados en dolares estadounidenses._x000a_Ok. En condiciones."/>
    <s v="0001-00094117"/>
    <s v="0003-00004109"/>
    <m/>
    <m/>
    <n v="4"/>
    <x v="2"/>
  </r>
  <r>
    <x v="63"/>
    <s v="Carolina Narvarte"/>
    <s v="Ruth"/>
    <s v="Ruth"/>
    <s v="Estándar"/>
    <s v="AA07W-1. Boron AA Standard (Cantidad: 100 mL) (Concentración: 1000 µg/mL in Water, tr Ammonium hydroxide) Marca: Accustandard"/>
    <n v="1"/>
    <s v="Unidad"/>
    <x v="15"/>
    <s v="58,08 usd"/>
    <s v="58,08 usd"/>
    <d v="2017-07-03T00:00:00"/>
    <d v="2017-07-03T00:00:00"/>
    <x v="1"/>
    <n v="0"/>
    <s v="Rodriguez Hermanos transportes"/>
    <s v="Cristóbal_x000a_Caro N"/>
    <s v="Cotizados en dolares estadounidenses._x000a_Ok. En condiciones."/>
    <s v="0001-00094117"/>
    <s v="0003-00004109"/>
    <m/>
    <m/>
    <n v="4"/>
    <x v="2"/>
  </r>
  <r>
    <x v="63"/>
    <s v="Carolina Narvarte"/>
    <s v="Ruth"/>
    <s v="Ruth"/>
    <s v="Estándar"/>
    <s v="AA70N-1, Zinc AA Standard (Cantidad: 100 mL)_x000a_(Concentración: 1000 µg/mL in 2-5% Nitric Acid)_x000a_Marca: Accustandard"/>
    <n v="1"/>
    <s v="Unidad"/>
    <x v="15"/>
    <s v="58,08 usd"/>
    <s v="58,08 usd"/>
    <d v="2017-07-03T00:00:00"/>
    <d v="2017-07-03T00:00:00"/>
    <x v="1"/>
    <n v="0"/>
    <s v="Rodriguez Hermanos transportes"/>
    <s v="Cristóbal_x000a_Caro N"/>
    <s v="Cotizados en dolares estadounidenses._x000a_Ok. En condiciones."/>
    <s v="0001-00094117"/>
    <s v="0003-00004109"/>
    <m/>
    <m/>
    <n v="4"/>
    <x v="2"/>
  </r>
  <r>
    <x v="63"/>
    <s v="Carolina Narvarte"/>
    <s v="Ruth"/>
    <s v="Ruth"/>
    <s v="Estándar"/>
    <s v="AA14N-1,Cobalt AA Standard (Cantidad: 100 mL) (Concentración: 1000 µg/mL in 2-5% Nitric Acid) Marca: Accustandard"/>
    <n v="1"/>
    <s v="Unidad"/>
    <x v="15"/>
    <s v="58,08 usd"/>
    <s v="58,08 usd"/>
    <d v="2017-07-03T00:00:00"/>
    <d v="2017-07-03T00:00:00"/>
    <x v="1"/>
    <n v="0"/>
    <s v="Rodriguez Hermanos transportes"/>
    <s v="Cristóbal_x000a_Caro N"/>
    <s v="Cotizados en dolares estadounidenses._x000a_Ok. En condiciones."/>
    <s v="0001-00094117"/>
    <s v="0003-00004109"/>
    <m/>
    <m/>
    <n v="4"/>
    <x v="2"/>
  </r>
  <r>
    <x v="63"/>
    <s v="Carolina Narvarte"/>
    <s v="Ruth"/>
    <s v="Ruth"/>
    <s v="Estándar"/>
    <s v="AA30N-1, Lithium AA Standard (Cantidad: 100 mL) (Concentración: 1000 µg/mL in 2-5% Nitric Acid) Marca: Accustandard"/>
    <n v="1"/>
    <s v="Unidad"/>
    <x v="15"/>
    <s v="58,08 usd"/>
    <s v="58,08 usd"/>
    <d v="2017-07-03T00:00:00"/>
    <d v="2017-07-03T00:00:00"/>
    <x v="1"/>
    <n v="0"/>
    <s v="Rodriguez Hermanos transportes"/>
    <s v="Cristóbal_x000a_Caro N"/>
    <s v="Cotizados en dolares estadounidenses._x000a_Ok. En condiciones."/>
    <s v="0001-00094117"/>
    <s v="0003-00004109"/>
    <m/>
    <m/>
    <n v="4"/>
    <x v="2"/>
  </r>
  <r>
    <x v="63"/>
    <s v="Carolina Narvarte"/>
    <s v="Ruth"/>
    <s v="Ruth"/>
    <s v="Estándar"/>
    <s v="AA54N-1. Sodium AA Standard (Cantidad: 100 mL)_x000a_(Concentración: 1000 µg/mL in 2-5% Nitric Acid)_x000a_Marca: Accustandard"/>
    <n v="1"/>
    <s v="Unidad"/>
    <x v="15"/>
    <s v="58,08 usd"/>
    <s v="58,08 usd"/>
    <d v="2017-07-03T00:00:00"/>
    <d v="2017-07-03T00:00:00"/>
    <x v="1"/>
    <n v="0"/>
    <s v="Rodriguez Hermanos transportes"/>
    <s v="Cristóbal_x000a_Caro N"/>
    <s v="Cotizados en dolares estadounidenses._x000a_Ok. En condiciones."/>
    <s v="0001-00094117"/>
    <s v="0003-00004109"/>
    <m/>
    <m/>
    <n v="4"/>
    <x v="2"/>
  </r>
  <r>
    <x v="63"/>
    <s v="NO APLICA"/>
    <s v="Omnilab"/>
    <s v="No aplica"/>
    <s v="Flete"/>
    <s v="Flete/seguro/entrega"/>
    <n v="1"/>
    <s v="Servicio"/>
    <x v="16"/>
    <n v="302.63"/>
    <n v="302.63"/>
    <d v="2017-07-03T00:00:00"/>
    <d v="2017-07-03T00:00:00"/>
    <x v="1"/>
    <n v="0"/>
    <s v="Rodriguez Hermanos transportes"/>
    <s v="Cristóbal"/>
    <s v="Ok. En condiciones."/>
    <s v="0009-00011739"/>
    <m/>
    <m/>
    <m/>
    <n v="4"/>
    <x v="2"/>
  </r>
  <r>
    <x v="64"/>
    <s v="NO APLICA"/>
    <s v="Cristóbal"/>
    <s v="Maria. E"/>
    <s v="NO APLICA"/>
    <s v="Propipetas de Caucho con tres válvulas Vicking"/>
    <n v="6"/>
    <s v="Unidad"/>
    <x v="0"/>
    <n v="239.58"/>
    <n v="1437.48"/>
    <d v="2017-04-19T00:00:00"/>
    <m/>
    <x v="0"/>
    <s v="NO CONCRETADO"/>
    <m/>
    <m/>
    <m/>
    <m/>
    <m/>
    <m/>
    <m/>
    <n v="4"/>
    <x v="2"/>
  </r>
  <r>
    <x v="64"/>
    <s v="NO APLICA"/>
    <s v="Cristóbal"/>
    <s v="Maria. E"/>
    <s v="NO APLICA"/>
    <s v="cepillos para pipetas super finos."/>
    <n v="6"/>
    <s v="Unidad"/>
    <x v="0"/>
    <n v="35.090000000000003"/>
    <n v="210.54"/>
    <d v="2017-04-19T00:00:00"/>
    <d v="2017-04-19T00:00:00"/>
    <x v="1"/>
    <n v="0"/>
    <s v="Repartidor"/>
    <s v="Nancy Bertagna"/>
    <s v="Ok. En condiciones"/>
    <s v="0001-00184882"/>
    <s v="0003-00006331"/>
    <m/>
    <m/>
    <n v="4"/>
    <x v="2"/>
  </r>
  <r>
    <x v="64"/>
    <s v="NO APLICA"/>
    <s v="Cristóbal"/>
    <s v="Maria. E"/>
    <s v="NO APLICA"/>
    <s v="Cepillos de 35 mm de diámetro."/>
    <n v="6"/>
    <s v="Unidad"/>
    <x v="0"/>
    <n v="42.35"/>
    <n v="254.10000000000002"/>
    <d v="2017-04-19T00:00:00"/>
    <d v="2017-04-19T00:00:00"/>
    <x v="1"/>
    <n v="0"/>
    <s v="Repartidor"/>
    <s v="Nancy Bertagna"/>
    <s v="Ok. En condiciones. Facturado a 232,32$"/>
    <s v="0001-00184882"/>
    <s v="0003-00006331"/>
    <m/>
    <m/>
    <n v="4"/>
    <x v="2"/>
  </r>
  <r>
    <x v="64"/>
    <s v="NO APLICA"/>
    <s v="Cristóbal"/>
    <s v="Maria. E"/>
    <s v="NO APLICA"/>
    <s v="Cepillos de 25 mm de diámetro."/>
    <n v="6"/>
    <s v="Unidad"/>
    <x v="0"/>
    <n v="30.25"/>
    <n v="181.5"/>
    <d v="2017-04-19T00:00:00"/>
    <d v="2017-04-19T00:00:00"/>
    <x v="1"/>
    <n v="0"/>
    <s v="Repartidor"/>
    <s v="Nancy Bertagna"/>
    <s v="Ok. En condiciones"/>
    <s v="0001-00184882"/>
    <s v="0003-00006331"/>
    <m/>
    <m/>
    <n v="4"/>
    <x v="2"/>
  </r>
  <r>
    <x v="65"/>
    <s v="NO APLICA"/>
    <s v="Cristóbal"/>
    <s v="Maria E. "/>
    <s v="NO APLICA"/>
    <s v="Propipeta de caucho con 3 valvulas Diam 3/11. Marca alla"/>
    <n v="2"/>
    <s v="Unidad"/>
    <x v="0"/>
    <n v="239.58"/>
    <n v="479.16"/>
    <d v="2017-04-21T00:00:00"/>
    <d v="2017-04-25T00:00:00"/>
    <x v="2"/>
    <n v="4"/>
    <s v="Repartidor"/>
    <s v="Nancy Bertagna"/>
    <s v="Ok. En condiciones."/>
    <s v="0001-00185114"/>
    <s v="0003-00006379"/>
    <m/>
    <m/>
    <n v="4"/>
    <x v="2"/>
  </r>
  <r>
    <x v="65"/>
    <s v="NO APLICA"/>
    <s v="Cristóbal"/>
    <s v="Maria L."/>
    <s v="NO APLICA"/>
    <s v="Agua Destilada con CE &lt; 4µS/cm x L"/>
    <n v="200"/>
    <s v="Litros"/>
    <x v="2"/>
    <n v="4.5"/>
    <n v="900"/>
    <d v="2017-04-20T00:00:00"/>
    <d v="2017-04-25T00:00:00"/>
    <x v="2"/>
    <n v="5"/>
    <s v="Repartidor"/>
    <s v="Cristóbal"/>
    <s v="24/04/17 Se reclama el agua destilada, quedan en traerla el 25/04/17. 25/04/17 Ok. En condiciones."/>
    <m/>
    <s v="0004-00000802"/>
    <m/>
    <m/>
    <n v="4"/>
    <x v="2"/>
  </r>
  <r>
    <x v="65"/>
    <s v="NO APLICA"/>
    <s v="Cristóbal"/>
    <s v="María E."/>
    <s v="NO APLICA"/>
    <s v="ACIDO NITRICO PA BAKER (1 l)"/>
    <n v="2"/>
    <s v="Litros"/>
    <x v="3"/>
    <n v="505"/>
    <n v="1010"/>
    <d v="2017-04-28T00:00:00"/>
    <d v="2017-05-26T00:00:00"/>
    <x v="2"/>
    <n v="28"/>
    <s v="Repartidor"/>
    <s v="Alejandra"/>
    <s v="10/05/17 Entregan 1 lt. 26/05/17 Entregan 1 lt faltante."/>
    <s v="0007-00022321/22486"/>
    <s v="9997-00004964/5019"/>
    <m/>
    <m/>
    <n v="4"/>
    <x v="2"/>
  </r>
  <r>
    <x v="65"/>
    <s v="NO APLICA"/>
    <s v="Cristóbal"/>
    <s v="Maria E."/>
    <s v="NO APLICA"/>
    <s v="ACIDO CLORHIDRICO 36.5-38% PA CICARELLI (1 l)"/>
    <n v="10"/>
    <s v="Litros"/>
    <x v="3"/>
    <n v="350"/>
    <n v="3500"/>
    <d v="2017-05-19T00:00:00"/>
    <d v="2017-06-07T00:00:00"/>
    <x v="2"/>
    <n v="19"/>
    <s v="Rodríguez Hnos. Transporte. "/>
    <s v="Cristóbal"/>
    <s v="Ok. En codiciones"/>
    <s v="0003-00224939"/>
    <s v="9995-00004317"/>
    <m/>
    <m/>
    <n v="4"/>
    <x v="2"/>
  </r>
  <r>
    <x v="66"/>
    <s v="NO APLICA"/>
    <s v="No aplica"/>
    <s v="No aplica"/>
    <s v="Transporte"/>
    <s v="Flete /seguro/entrega"/>
    <s v="No aplica"/>
    <s v="No aplica"/>
    <x v="17"/>
    <n v="205.31"/>
    <n v="205.31"/>
    <s v="No aplica"/>
    <d v="2017-06-07T00:00:00"/>
    <x v="1"/>
    <m/>
    <s v="Transportista"/>
    <s v="Cristóbal"/>
    <s v="Ok. En condiciones"/>
    <s v="0001-01873025"/>
    <m/>
    <m/>
    <m/>
    <e v="#VALUE!"/>
    <x v="3"/>
  </r>
  <r>
    <x v="67"/>
    <s v="NO APLICA"/>
    <s v="Cristóbal"/>
    <s v="Maria E."/>
    <s v="NO APLICA"/>
    <s v="XILENO PA ACS SINTORGAN (1 L)"/>
    <n v="12"/>
    <s v="Litros"/>
    <x v="3"/>
    <n v="290"/>
    <n v="3480"/>
    <d v="2017-05-26T00:00:00"/>
    <d v="2017-05-22T00:00:00"/>
    <x v="1"/>
    <n v="-4"/>
    <s v="Empresa de transporte"/>
    <m/>
    <s v="Rodriguez Hnos. TTES. S.A"/>
    <s v="0003-00224353"/>
    <s v="9995-00004271"/>
    <m/>
    <m/>
    <n v="4"/>
    <x v="2"/>
  </r>
  <r>
    <x v="67"/>
    <s v="NO APLICA"/>
    <s v="Cristóbal"/>
    <s v="María E."/>
    <s v="NO APLICA"/>
    <s v="ACETONA PA ACS SINTORGAN (1 L)"/>
    <n v="12"/>
    <s v="Litros"/>
    <x v="3"/>
    <n v="250"/>
    <n v="3000"/>
    <d v="2017-05-26T00:00:00"/>
    <m/>
    <x v="0"/>
    <s v="NO CONCRETADO"/>
    <s v="Proveedor"/>
    <s v="Cristóbal"/>
    <s v="02/05/17 El proveedor avisa que cambiará la marca cotizada por ANEDRA. Por no tener materia prima SINTORGAN. Aprueba Maria L. Barbeito."/>
    <m/>
    <m/>
    <m/>
    <m/>
    <n v="4"/>
    <x v="2"/>
  </r>
  <r>
    <x v="68"/>
    <s v="NO APLICA"/>
    <s v="Cristóbal"/>
    <s v="Maria E."/>
    <s v="NO APLICA"/>
    <s v="ACETONA PA ACS ANEDRA(1 L)"/>
    <s v="12Lt."/>
    <s v="Servicio"/>
    <x v="3"/>
    <n v="250"/>
    <n v="3000"/>
    <d v="2017-05-26T00:00:00"/>
    <d v="2017-05-22T00:00:00"/>
    <x v="1"/>
    <n v="-4"/>
    <s v="Empresa de transporte"/>
    <s v="Cristóbal"/>
    <s v="Rodriguez Hnos. TTES. S.A"/>
    <s v="0003-00224353"/>
    <s v="9995-00004271"/>
    <m/>
    <m/>
    <n v="5"/>
    <x v="2"/>
  </r>
  <r>
    <x v="69"/>
    <s v="NO APLICA"/>
    <s v="Adriana"/>
    <s v="Maria E."/>
    <s v="NO APLICA"/>
    <s v="Agua Destilada con CE &lt; 4µS/cm x L"/>
    <s v="100 Lt."/>
    <s v="Servicio"/>
    <x v="2"/>
    <n v="4.5"/>
    <n v="450"/>
    <d v="2017-05-04T00:00:00"/>
    <d v="2017-05-04T00:00:00"/>
    <x v="1"/>
    <n v="0"/>
    <s v="Proveedor"/>
    <s v="Adriana "/>
    <s v="CE: OK"/>
    <m/>
    <s v="0004-00000826"/>
    <m/>
    <m/>
    <n v="5"/>
    <x v="2"/>
  </r>
  <r>
    <x v="70"/>
    <s v="NO APLICA"/>
    <s v="Cristóbal"/>
    <s v="Ruth"/>
    <s v="NO APLICA"/>
    <s v="Tapones de silicona."/>
    <n v="10"/>
    <s v="Unidad"/>
    <x v="0"/>
    <n v="14.52"/>
    <n v="145.19999999999999"/>
    <d v="2017-05-23T00:00:00"/>
    <d v="2017-05-23T00:00:00"/>
    <x v="1"/>
    <n v="0"/>
    <s v="Repartidor"/>
    <s v="Cristóbal"/>
    <s v="No informan fecha de entrega. Ok. En condiciones."/>
    <s v="0001-00185902"/>
    <s v="0003-00006428"/>
    <m/>
    <m/>
    <n v="5"/>
    <x v="2"/>
  </r>
  <r>
    <x v="70"/>
    <s v="NO APLICA"/>
    <s v="Cristóbal"/>
    <s v="Ruth"/>
    <s v="NO APLICA"/>
    <s v="Piseta. 500ml"/>
    <n v="3"/>
    <s v="Unidad"/>
    <x v="0"/>
    <n v="83.49"/>
    <n v="250.46999999999997"/>
    <d v="2017-05-23T00:00:00"/>
    <d v="2017-05-23T00:00:00"/>
    <x v="1"/>
    <n v="0"/>
    <s v="Repartidor"/>
    <s v="Cristóbal"/>
    <s v="No informan fecha de entrega. Ok. En condiciones."/>
    <s v="0001-00185902"/>
    <s v="0003-00006428"/>
    <m/>
    <m/>
    <n v="5"/>
    <x v="2"/>
  </r>
  <r>
    <x v="70"/>
    <s v="NO APLICA"/>
    <s v="Cristóbal"/>
    <s v="Ruth"/>
    <s v="NO APLICA"/>
    <s v="ESPATULA ANALITICA CUCHARA Y PALA DE 180MM LARGO LEONE"/>
    <n v="2"/>
    <s v="Servicio"/>
    <x v="3"/>
    <n v="72"/>
    <n v="144"/>
    <d v="2017-05-24T00:00:00"/>
    <d v="2017-05-26T00:00:00"/>
    <x v="2"/>
    <n v="2"/>
    <s v="Proveedor"/>
    <s v="Cristóbal"/>
    <s v="Ok. En condiciones"/>
    <s v="0007-00022486"/>
    <s v="9997-00005019"/>
    <m/>
    <m/>
    <n v="5"/>
    <x v="2"/>
  </r>
  <r>
    <x v="70"/>
    <s v="NO APLICA"/>
    <s v="Cristóbal"/>
    <s v="Ruth"/>
    <s v="NO APLICA"/>
    <s v="ACIDO SULFAMICO PA ACS BIOPACK (250 g)"/>
    <n v="1"/>
    <s v="Envase"/>
    <x v="3"/>
    <n v="160"/>
    <n v="160"/>
    <d v="2017-05-31T00:00:00"/>
    <d v="2017-06-05T00:00:00"/>
    <x v="2"/>
    <n v="5"/>
    <s v="Proveedor"/>
    <s v="Nancy Bertagna"/>
    <s v="Ok. EN condiciones"/>
    <s v="0007-00022574"/>
    <s v="9997-00005051"/>
    <m/>
    <m/>
    <n v="5"/>
    <x v="2"/>
  </r>
  <r>
    <x v="71"/>
    <s v="NO APLICA"/>
    <s v="Adriana"/>
    <s v="Maria E."/>
    <s v="Material de vidrio"/>
    <s v="Balon de 500 ml con tres bocas esmeriladas, tapón para boca central, tubo recto de conexión en macho 24-7401 y esferico, columna vigreax con cabezal y robinete de descarga del solvente. Construido según croquis enviado."/>
    <n v="1"/>
    <s v="Equipo"/>
    <x v="18"/>
    <s v="385 Usd$"/>
    <s v="386 Usd$"/>
    <d v="2017-05-30T00:00:00"/>
    <d v="2017-06-05T00:00:00"/>
    <x v="2"/>
    <n v="6"/>
    <s v="Expreso Luján."/>
    <s v="Julieta"/>
    <s v="Controla pedido Adriana."/>
    <s v="0001-00182357"/>
    <s v="0003-00007087"/>
    <m/>
    <m/>
    <n v="5"/>
    <x v="2"/>
  </r>
  <r>
    <x v="72"/>
    <s v="NO APLICA"/>
    <s v="No aplica"/>
    <s v="No aplica"/>
    <s v="Transporte"/>
    <s v="Flete /seguro/otros"/>
    <n v="1"/>
    <s v="Servicio"/>
    <x v="19"/>
    <n v="270.27"/>
    <n v="270.27"/>
    <s v="No aplica"/>
    <d v="2017-06-05T00:00:00"/>
    <x v="1"/>
    <e v="#VALUE!"/>
    <s v="Expreso Luján."/>
    <s v="Julieta"/>
    <s v="Controla, bulto, Julieta"/>
    <s v="0003-00811060"/>
    <s v="1001-00010988"/>
    <m/>
    <m/>
    <e v="#VALUE!"/>
    <x v="3"/>
  </r>
  <r>
    <x v="73"/>
    <s v="NO APLICA"/>
    <s v="Ruth"/>
    <s v="Ruth"/>
    <s v="NO APLICA"/>
    <s v="MEDIDOR DE PH PARA MESADA CON AMPLIO CDIS HANNA HI2211-02 "/>
    <n v="1"/>
    <s v="Equipo"/>
    <x v="3"/>
    <n v="15610"/>
    <n v="15610"/>
    <d v="2017-05-23T00:00:00"/>
    <d v="2017-05-22T00:00:00"/>
    <x v="1"/>
    <n v="-1"/>
    <s v="Proveedor"/>
    <s v="Alejandra"/>
    <s v="Ok. En condiciones"/>
    <s v="0007-00022421"/>
    <s v="9997-00022421"/>
    <m/>
    <m/>
    <n v="5"/>
    <x v="2"/>
  </r>
  <r>
    <x v="73"/>
    <s v="NO APLICA"/>
    <s v="Cristóbal"/>
    <s v="Maria L."/>
    <s v="NO APLICA"/>
    <s v="Agua Destilada con CE &lt; 4µS/cm x L"/>
    <n v="200"/>
    <s v="Litros"/>
    <x v="2"/>
    <n v="4.5"/>
    <n v="900"/>
    <d v="2017-05-22T00:00:00"/>
    <d v="2017-05-22T00:00:00"/>
    <x v="1"/>
    <n v="0"/>
    <s v="Proveedor"/>
    <m/>
    <s v="Ok. En condiciones"/>
    <m/>
    <s v="0004-0000870"/>
    <m/>
    <m/>
    <n v="5"/>
    <x v="2"/>
  </r>
  <r>
    <x v="73"/>
    <s v="Caro Q. "/>
    <s v="Cristóbal"/>
    <s v="Ruth"/>
    <s v="Droga"/>
    <s v="Test de cianuros 0,002-0,500 mg/l Merck."/>
    <n v="1"/>
    <s v="Kit"/>
    <x v="7"/>
    <n v="9861.2999999999993"/>
    <n v="9861.2999999999993"/>
    <d v="2017-07-31T00:00:00"/>
    <d v="2017-11-17T00:00:00"/>
    <x v="2"/>
    <n v="109"/>
    <s v="Proveedor"/>
    <s v="Cristóbal"/>
    <s v="Reproggraman la fecha para mediados de noviembre_x000a_Ok. En condiciones"/>
    <m/>
    <s v="0009-00001221"/>
    <m/>
    <m/>
    <n v="5"/>
    <x v="2"/>
  </r>
  <r>
    <x v="74"/>
    <s v="Gerardo"/>
    <s v="Julieta"/>
    <s v="Ruth"/>
    <s v="Servicio"/>
    <s v="Análisis de uranio en muestras de líquidos industriales - s.a nº 16021 (Cadena de custodia DETI I-11223)"/>
    <n v="3"/>
    <s v="unidades"/>
    <x v="20"/>
    <n v="255"/>
    <n v="765"/>
    <d v="2017-06-28T00:00:00"/>
    <d v="2017-06-28T00:00:00"/>
    <x v="1"/>
    <n v="0"/>
    <s v="Transportista"/>
    <s v="Julieta"/>
    <s v="Ok. En condiciones."/>
    <m/>
    <s v="0002-00000077"/>
    <m/>
    <m/>
    <n v="6"/>
    <x v="2"/>
  </r>
  <r>
    <x v="75"/>
    <s v="Adrián"/>
    <s v="adrián"/>
    <s v="Ruth"/>
    <s v="Droga"/>
    <s v="Potasio persulfato p.a x 250 gr"/>
    <n v="1"/>
    <s v="Unidad"/>
    <x v="0"/>
    <n v="308.55"/>
    <n v="308.55"/>
    <d v="2017-05-31T00:00:00"/>
    <d v="2017-05-31T00:00:00"/>
    <x v="1"/>
    <n v="0"/>
    <s v="Repartidor"/>
    <s v="Adrián"/>
    <s v="Ok. En condiciones."/>
    <s v="0001-00186379"/>
    <s v="0003-00006485"/>
    <m/>
    <m/>
    <n v="5"/>
    <x v="2"/>
  </r>
  <r>
    <x v="75"/>
    <s v="Adrián"/>
    <s v="adrián"/>
    <s v="Ruth"/>
    <s v="Droga"/>
    <s v="Magnesio cloruro 6- Hidrato Puro x 1000gr."/>
    <n v="1"/>
    <s v="Unidad"/>
    <x v="0"/>
    <n v="465.85"/>
    <n v="465.85"/>
    <d v="2017-06-01T00:00:00"/>
    <d v="2017-06-23T00:00:00"/>
    <x v="2"/>
    <n v="22"/>
    <s v="Repartidor"/>
    <s v="Marcela "/>
    <s v="Ok. En condiciones"/>
    <s v="0001-00186984"/>
    <s v="0003-00006559"/>
    <m/>
    <m/>
    <n v="5"/>
    <x v="2"/>
  </r>
  <r>
    <x v="75"/>
    <s v="Adrián"/>
    <s v="adrián"/>
    <s v="Ruth"/>
    <s v="Droga"/>
    <s v="Agua oxigenada 100 vol. P.a x 1000cc."/>
    <n v="2"/>
    <s v="unidades"/>
    <x v="0"/>
    <n v="139.15"/>
    <n v="278.3"/>
    <d v="2017-05-31T00:00:00"/>
    <d v="2017-05-31T00:00:00"/>
    <x v="1"/>
    <n v="0"/>
    <s v="Repartidor"/>
    <s v="Adrián"/>
    <s v="Ok. En condiciones."/>
    <s v="0001-00186381"/>
    <s v="0003-00006487"/>
    <m/>
    <m/>
    <n v="5"/>
    <x v="2"/>
  </r>
  <r>
    <x v="75"/>
    <s v="Adrián"/>
    <s v="adrián"/>
    <s v="Ruth"/>
    <s v="Droga"/>
    <s v="Ácido Nítrico 65% Pro- análisis x 1 lt"/>
    <n v="1"/>
    <s v="Unidad"/>
    <x v="0"/>
    <n v="360.58"/>
    <n v="360.58"/>
    <d v="2017-05-31T00:00:00"/>
    <d v="2017-05-31T00:00:00"/>
    <x v="1"/>
    <n v="0"/>
    <s v="Repartidor"/>
    <s v="Adrián"/>
    <s v="Ok. En condiciones."/>
    <s v="0001-00186380"/>
    <s v="0003-00006486"/>
    <m/>
    <m/>
    <n v="5"/>
    <x v="2"/>
  </r>
  <r>
    <x v="76"/>
    <s v="Marcela"/>
    <s v="Ruth  Cristóbal"/>
    <s v="Ruth"/>
    <s v="Insumo"/>
    <s v="Un Tubo de bomba para reactivos, color naranja, para generador de hidruros marca Shimadzu modelo HVG-1. N/P 208-90038-08x1 (reemplaza al N/P 200-54612-08x1) Orden Mínima: dos unidades"/>
    <n v="6"/>
    <s v="unidades"/>
    <x v="12"/>
    <n v="893.77"/>
    <n v="5362.62"/>
    <s v="No informa"/>
    <d v="2017-06-12T00:00:00"/>
    <x v="1"/>
    <e v="#VALUE!"/>
    <s v="Rodríguez Hnos. Transporte. "/>
    <s v="Cristóbal  Caro N."/>
    <s v="Controla Caro Narvarte. Ok. En condiciones"/>
    <s v="0001-00035435"/>
    <s v="0003-00003898"/>
    <m/>
    <m/>
    <n v="5"/>
    <x v="2"/>
  </r>
  <r>
    <x v="76"/>
    <s v="Marcela"/>
    <s v="Ruth  Cristóbal"/>
    <s v="Ruth"/>
    <s v="Insumo"/>
    <s v="Un Tubo de bomba para muestra, color azul, para Generador de hidruros marca Shimadzu modelo HVG-1. N/P 208-90038-13x1 (Reemplaza al N/P 200-54612-13x1) Orden Mínima: dos unidades"/>
    <n v="3"/>
    <s v="unidades"/>
    <x v="12"/>
    <n v="893.77"/>
    <n v="2681.31"/>
    <s v="No informa"/>
    <d v="2017-06-12T00:00:00"/>
    <x v="1"/>
    <e v="#VALUE!"/>
    <s v="Rodríguez Hnos. Transporte. "/>
    <s v="Cristóbal  Caro N."/>
    <s v="Controla Caro Narvarte. Ok. En condiciones"/>
    <s v="0001-00035435"/>
    <s v="0003-00003898"/>
    <m/>
    <m/>
    <n v="5"/>
    <x v="2"/>
  </r>
  <r>
    <x v="76"/>
    <s v="Marcela"/>
    <s v="Ruth  Cristóbal"/>
    <s v="Ruth"/>
    <s v="Insumo"/>
    <s v="Tubería de plástico fluorocarbonado de 400mm, marca Shimadzu. N/P 206-60250-01."/>
    <n v="2"/>
    <s v="unidades"/>
    <x v="12"/>
    <n v="2165.02"/>
    <n v="4330.04"/>
    <s v="No informa"/>
    <d v="2017-06-12T00:00:00"/>
    <x v="1"/>
    <e v="#VALUE!"/>
    <s v="Rodríguez Hnos. Transporte. "/>
    <s v="Cristóbal  Caro N."/>
    <s v="Controla Caro Narvarte. Ok. En condiciones"/>
    <s v="0001-00035435"/>
    <s v="0003-00003898"/>
    <m/>
    <m/>
    <n v="5"/>
    <x v="2"/>
  </r>
  <r>
    <x v="76"/>
    <s v="Marcela"/>
    <s v="Ruth  Cristóbal"/>
    <s v="Ruth"/>
    <s v="Insumo"/>
    <s v="Celda de cuarzo, de absorción, para Generador de vapores de hidruros 54.059,19 marca Shimadzu modelo HVG-1. N/P 206-77607"/>
    <n v="2"/>
    <s v="unidades"/>
    <x v="12"/>
    <s v="27,029,60"/>
    <n v="54059.19"/>
    <s v="No informa"/>
    <d v="2017-06-12T00:00:00"/>
    <x v="1"/>
    <e v="#VALUE!"/>
    <s v="Rodríguez Hnos. Transporte. "/>
    <s v="Cristóbal  Caro N."/>
    <s v="Controla Caro Narvarte. Ok. En condiciones"/>
    <s v="0001-00035435"/>
    <s v="0003-00003898"/>
    <m/>
    <m/>
    <n v="5"/>
    <x v="2"/>
  </r>
  <r>
    <x v="77"/>
    <s v="NO APLICA"/>
    <s v="No aplica"/>
    <s v="No aplica"/>
    <s v="Transporte"/>
    <s v="Flete/Seguro (mismo flete Módulo de adquisición de datos/kit 100 tapas con septa/ Set de tubos y celdas de cuarzo)"/>
    <s v="No aplica"/>
    <s v="No aplica"/>
    <x v="17"/>
    <n v="1476.33"/>
    <n v="1476.33"/>
    <s v="No aplica"/>
    <d v="2017-06-12T00:00:00"/>
    <x v="1"/>
    <m/>
    <s v="Rodríguez Hnos. Transporte. "/>
    <s v="Cristóbal"/>
    <s v="Ok. "/>
    <m/>
    <s v="0009-00011216"/>
    <m/>
    <m/>
    <e v="#VALUE!"/>
    <x v="3"/>
  </r>
  <r>
    <x v="76"/>
    <s v="Gerardo"/>
    <s v="Julieta"/>
    <s v="Ruth"/>
    <s v="Servicio"/>
    <s v="Vino- cromatografía cuantica de alcoholes."/>
    <n v="1"/>
    <s v="Unidad"/>
    <x v="21"/>
    <n v="500"/>
    <n v="500"/>
    <m/>
    <m/>
    <x v="0"/>
    <m/>
    <m/>
    <s v="Ruth"/>
    <s v="Ok. EN condiciones."/>
    <m/>
    <m/>
    <m/>
    <m/>
    <n v="5"/>
    <x v="2"/>
  </r>
  <r>
    <x v="76"/>
    <s v="Gerardo"/>
    <s v="Julieta"/>
    <s v="Ruth"/>
    <s v="Servicio"/>
    <s v="Vino- cromatografía cuantica de alcoholes."/>
    <n v="1"/>
    <s v="Unidad"/>
    <x v="21"/>
    <n v="500"/>
    <n v="500"/>
    <m/>
    <m/>
    <x v="0"/>
    <m/>
    <m/>
    <s v="Ruth"/>
    <s v="Ok. EN condiciones."/>
    <m/>
    <m/>
    <m/>
    <m/>
    <n v="5"/>
    <x v="2"/>
  </r>
  <r>
    <x v="78"/>
    <s v="Adrián"/>
    <s v="Cristóbal"/>
    <s v="Ruth"/>
    <s v="Insumo"/>
    <s v="PAPEL DE FILTRO 3 m/N USO GENERAL 58 X 58 SARTORIUS (unid.)"/>
    <n v="50"/>
    <s v="Pliegos"/>
    <x v="3"/>
    <n v="49"/>
    <n v="2450"/>
    <d v="2017-06-08T00:00:00"/>
    <d v="2017-06-06T00:00:00"/>
    <x v="1"/>
    <n v="-2"/>
    <s v="Repartidor"/>
    <s v="Cristóbal"/>
    <s v="Ok. En condiciones."/>
    <s v="0007-00022574"/>
    <s v="9997-00005051"/>
    <m/>
    <m/>
    <n v="5"/>
    <x v="2"/>
  </r>
  <r>
    <x v="78"/>
    <s v="Miguel"/>
    <s v="Cristóbal"/>
    <s v="Ruth"/>
    <s v="Insumo"/>
    <s v="Frascos para uso biológico por 300 cc, estéril. Con caja. Marca: Gasana."/>
    <n v="500"/>
    <s v="unidades"/>
    <x v="22"/>
    <n v="16.7"/>
    <n v="8117"/>
    <s v="A confirmar"/>
    <m/>
    <x v="0"/>
    <s v="NO CONCRETADO"/>
    <m/>
    <m/>
    <m/>
    <m/>
    <m/>
    <m/>
    <m/>
    <n v="5"/>
    <x v="2"/>
  </r>
  <r>
    <x v="78"/>
    <s v="Cristóbal"/>
    <s v="Cristóbal"/>
    <s v="Ruth"/>
    <s v="Insumo"/>
    <s v="Bolsas de consorcio. 60x90. 50 unidades"/>
    <n v="1"/>
    <s v="pack"/>
    <x v="23"/>
    <n v="100"/>
    <n v="100"/>
    <d v="2017-05-31T00:00:00"/>
    <d v="2017-05-31T00:00:00"/>
    <x v="1"/>
    <n v="0"/>
    <m/>
    <m/>
    <m/>
    <m/>
    <m/>
    <m/>
    <m/>
    <n v="5"/>
    <x v="2"/>
  </r>
  <r>
    <x v="78"/>
    <s v="Cristóbal"/>
    <s v="Cristóbal"/>
    <s v="Ruth"/>
    <s v="Insumo"/>
    <s v="Bobina de papel, doble hoja. 25x400. Marca: ELEGANTE"/>
    <n v="6"/>
    <s v="Rollos"/>
    <x v="23"/>
    <n v="238"/>
    <n v="1428"/>
    <d v="2017-05-31T00:00:00"/>
    <d v="2017-05-31T00:00:00"/>
    <x v="1"/>
    <n v="0"/>
    <m/>
    <m/>
    <m/>
    <m/>
    <m/>
    <m/>
    <m/>
    <n v="5"/>
    <x v="2"/>
  </r>
  <r>
    <x v="78"/>
    <s v="Cristóbal"/>
    <s v="Cristóbal"/>
    <s v="Ruth"/>
    <s v="Insumo"/>
    <s v="Bobina de papel, doble hoja. 20x300. Marca: ELEGANTE"/>
    <n v="2"/>
    <s v="Rollos"/>
    <x v="23"/>
    <n v="195"/>
    <n v="390"/>
    <d v="2017-05-31T00:00:00"/>
    <d v="2017-05-31T00:00:00"/>
    <x v="1"/>
    <n v="0"/>
    <m/>
    <m/>
    <m/>
    <m/>
    <m/>
    <m/>
    <m/>
    <n v="5"/>
    <x v="2"/>
  </r>
  <r>
    <x v="78"/>
    <s v="Adrián"/>
    <s v="Cristóbal"/>
    <s v="Ruth"/>
    <s v="Droga"/>
    <s v="ACIDO SULFURICO PA ACS 95-98% CICARELLI (1 L)"/>
    <n v="6"/>
    <s v="Litros"/>
    <x v="3"/>
    <n v="390"/>
    <n v="2340"/>
    <d v="2017-05-30T00:00:00"/>
    <d v="2017-06-29T00:00:00"/>
    <x v="2"/>
    <n v="30"/>
    <s v="Rodriguez Hnos Transporte."/>
    <s v="Cristóbal"/>
    <s v="Ok. En condiciones"/>
    <s v="0003-00226070"/>
    <s v="9995-00004408"/>
    <m/>
    <m/>
    <n v="5"/>
    <x v="2"/>
  </r>
  <r>
    <x v="79"/>
    <s v="NO APLICA"/>
    <s v="No aplica"/>
    <s v="No aplica"/>
    <s v="Servicio"/>
    <s v="Flete/ Seguro/ Entrega"/>
    <n v="1"/>
    <s v="Servicio"/>
    <x v="16"/>
    <n v="198.17"/>
    <n v="198.17"/>
    <d v="2017-06-29T00:00:00"/>
    <d v="2017-06-29T00:00:00"/>
    <x v="1"/>
    <n v="0"/>
    <s v="Rodriguez Hnos Transporte."/>
    <s v="Cristóbal"/>
    <s v="Servicio contratado y pagado por chemical center"/>
    <s v="0001-01880506"/>
    <m/>
    <m/>
    <m/>
    <e v="#VALUE!"/>
    <x v="3"/>
  </r>
  <r>
    <x v="78"/>
    <s v="Adrián"/>
    <s v="Cristóbal"/>
    <s v="Ruth"/>
    <s v="Droga"/>
    <s v="ACIDO NITRICO 65% PA CICARELLI (1 L)"/>
    <n v="6"/>
    <s v="Litros"/>
    <x v="3"/>
    <n v="253"/>
    <n v="1518"/>
    <d v="2017-05-21T00:00:00"/>
    <d v="2017-06-28T00:00:00"/>
    <x v="2"/>
    <n v="38"/>
    <s v="Repartidor"/>
    <s v="Cristóbal"/>
    <s v="Ok. En condiciones."/>
    <s v="0007-00022771"/>
    <s v="9997-00005135"/>
    <m/>
    <m/>
    <n v="5"/>
    <x v="2"/>
  </r>
  <r>
    <x v="80"/>
    <s v="Jorge"/>
    <s v="Cristóbal"/>
    <s v="Maria. E"/>
    <s v="Insumo"/>
    <s v="Kit de 100 Tapas de Aluminio (20mm) con septa de Silicone/PTFE- ULTRACLEAN, para viales 20ml de capacidad, para muestreador por Head Space. N/P 20030142x100"/>
    <n v="3"/>
    <s v="pack"/>
    <x v="12"/>
    <n v="1523.33"/>
    <n v="4569.99"/>
    <d v="2017-06-08T00:00:00"/>
    <d v="2017-06-12T00:00:00"/>
    <x v="2"/>
    <n v="4"/>
    <s v="Rodríguez Hnos. Transporte. "/>
    <s v="Cristóbal"/>
    <s v="Ok. En condiciones."/>
    <s v="0001-00035434"/>
    <s v="0003-00003900"/>
    <m/>
    <m/>
    <n v="5"/>
    <x v="2"/>
  </r>
  <r>
    <x v="79"/>
    <s v="NO APLICA"/>
    <s v="No aplica"/>
    <s v="No aplica"/>
    <s v="Servicio"/>
    <s v="Flete/Seguro (mismo flete Módulo de adquisición de datos/kit 100 tapas con septa/ Set de tubos y celdas de cuarzo)"/>
    <n v="1"/>
    <s v="Servicio"/>
    <x v="17"/>
    <n v="1476.33"/>
    <n v="1476.33"/>
    <s v="No aplica"/>
    <d v="2017-06-12T00:00:00"/>
    <x v="1"/>
    <m/>
    <s v="Rodríguez Hnos. Transporte. "/>
    <s v="Cristóbal"/>
    <s v="Ok. "/>
    <m/>
    <s v="0009-00011216"/>
    <m/>
    <m/>
    <e v="#VALUE!"/>
    <x v="3"/>
  </r>
  <r>
    <x v="80"/>
    <s v="ana Maco"/>
    <s v="Cristóbal"/>
    <s v="Ruth"/>
    <s v="Droga"/>
    <s v="ACIDO FOSFORICO 85% PA SINTORGAN (1 L)"/>
    <n v="3"/>
    <s v="Litros"/>
    <x v="3"/>
    <n v="210"/>
    <n v="630"/>
    <d v="2017-06-08T00:00:00"/>
    <m/>
    <x v="0"/>
    <s v="NO CONCRETADO"/>
    <s v="Repartidor"/>
    <s v="Nancy Bertagna"/>
    <s v="06/06/17. Entregan 2lt en coniciones. _x000a_21/06/17 Entregan 1Lt en condiciones."/>
    <s v="0007-00022574_x000a_0007-00022676"/>
    <s v="9997-00005051_x000a_9997-00022676"/>
    <m/>
    <m/>
    <n v="5"/>
    <x v="2"/>
  </r>
  <r>
    <x v="80"/>
    <s v="Gerardo"/>
    <s v="Julieta"/>
    <s v="Ruth"/>
    <s v="Servicio"/>
    <s v="Análisis de uranio en muestras de agua - S. A Nº 16054 (Cadena de custodia DETI I-11236)"/>
    <n v="14"/>
    <s v="unidades"/>
    <x v="20"/>
    <n v="255"/>
    <n v="3570"/>
    <d v="2017-06-28T00:00:00"/>
    <d v="2017-06-28T00:00:00"/>
    <x v="1"/>
    <n v="0"/>
    <s v="Transportista"/>
    <s v="Julieta"/>
    <s v="Ok. En condiciones."/>
    <m/>
    <s v="0002-00000076"/>
    <m/>
    <m/>
    <n v="5"/>
    <x v="2"/>
  </r>
  <r>
    <x v="81"/>
    <m/>
    <m/>
    <m/>
    <m/>
    <m/>
    <m/>
    <m/>
    <x v="24"/>
    <m/>
    <m/>
    <m/>
    <m/>
    <x v="0"/>
    <m/>
    <m/>
    <m/>
    <m/>
    <m/>
    <m/>
    <m/>
    <m/>
    <n v="6"/>
    <x v="2"/>
  </r>
  <r>
    <x v="82"/>
    <s v="Carolina N."/>
    <s v="Cristóbal/Caro N."/>
    <s v="Ruth"/>
    <s v="Compra de gases."/>
    <s v="Tubo de acetileno para AA."/>
    <n v="3"/>
    <s v="Tubos"/>
    <x v="25"/>
    <s v="345,8 x kg"/>
    <n v="5916.27"/>
    <d v="2017-06-07T00:00:00"/>
    <d v="2017-06-06T00:00:00"/>
    <x v="1"/>
    <n v="-1"/>
    <s v="Repartidor"/>
    <s v="Adrián"/>
    <s v="Atención: Diego. Nºde pedido: 120371975. Ok. En condiciones."/>
    <s v="0050-00007039"/>
    <s v="0034-00001306"/>
    <m/>
    <m/>
    <n v="6"/>
    <x v="2"/>
  </r>
  <r>
    <x v="82"/>
    <s v="Adrián"/>
    <s v="adrián"/>
    <s v="Ruth"/>
    <m/>
    <s v="Agua Destilada"/>
    <n v="100"/>
    <s v="Litros"/>
    <x v="13"/>
    <n v="4.5"/>
    <n v="450"/>
    <d v="2017-06-05T00:00:00"/>
    <d v="2017-06-05T00:00:00"/>
    <x v="1"/>
    <n v="0"/>
    <s v="Repartidor"/>
    <s v="Laura"/>
    <s v="Ok. En condiciones"/>
    <m/>
    <s v="0004-00000893"/>
    <m/>
    <m/>
    <n v="6"/>
    <x v="2"/>
  </r>
  <r>
    <x v="83"/>
    <s v="Fabrizio"/>
    <s v="Fabrizio"/>
    <s v="Ruth"/>
    <s v="Insumo"/>
    <s v="Servidor Instrumental._x000a_2x HDD 2 TB SATA3 64MB WD PURPLE_x000a_INTEL DUAL CORE 3.5 1151 G4560 MB 1151_x000a_MB 1151 GIGABYTE H110M-H DDR4_x000a_DDR-4 8GB 2133 CRUCUIAL 12.V CL 15_x000a_GAB SENTEY A20 BX2_4293 560W V2.0"/>
    <n v="1"/>
    <s v="Equipo"/>
    <x v="26"/>
    <n v="10610.09"/>
    <n v="10610.09"/>
    <d v="2017-06-12T00:00:00"/>
    <d v="2017-06-14T00:00:00"/>
    <x v="2"/>
    <n v="2"/>
    <s v="Pedro"/>
    <s v="Fabrizio"/>
    <s v="Ok. En condiciones"/>
    <m/>
    <s v="B0005-00005207"/>
    <m/>
    <m/>
    <n v="6"/>
    <x v="2"/>
  </r>
  <r>
    <x v="83"/>
    <s v="Magucha"/>
    <s v="Fabrizio"/>
    <s v="Ruth"/>
    <s v="Repuesto"/>
    <s v="Drum brother dr420 hl 2240/2270dw/hl2130/dcp"/>
    <n v="1"/>
    <s v="Pieza"/>
    <x v="27"/>
    <n v="390"/>
    <n v="390"/>
    <d v="2017-06-07T00:00:00"/>
    <d v="2017-06-07T00:00:00"/>
    <x v="1"/>
    <n v="0"/>
    <s v="Gerardo"/>
    <s v="Fabrizio"/>
    <s v="Compra realizada por Gerardo. Responde a pedido de impresora HP."/>
    <m/>
    <s v="0004-00000672"/>
    <m/>
    <m/>
    <n v="6"/>
    <x v="2"/>
  </r>
  <r>
    <x v="84"/>
    <s v="Fabrizio"/>
    <s v="Fabrizio"/>
    <s v="Ruth"/>
    <s v="Servicio"/>
    <s v="Servicio de Calibración PH metro Hanna HI 2211"/>
    <n v="1"/>
    <s v="Servicio"/>
    <x v="28"/>
    <n v="1400"/>
    <n v="1400"/>
    <d v="2017-06-01T00:00:00"/>
    <d v="2017-06-01T00:00:00"/>
    <x v="1"/>
    <n v="0"/>
    <s v="Marcelo Miranda"/>
    <s v="Fabrizio"/>
    <s v="Ok. Realizado conforme a lo establecido"/>
    <m/>
    <s v="0001-00000053"/>
    <m/>
    <m/>
    <n v="6"/>
    <x v="2"/>
  </r>
  <r>
    <x v="84"/>
    <s v="Fabrizio"/>
    <s v="Fabrizio"/>
    <s v="Ruth"/>
    <s v="Servicio"/>
    <s v="Servicio de Calibración KArl Fisher Kent"/>
    <n v="1"/>
    <s v="Servicio"/>
    <x v="28"/>
    <n v="2800"/>
    <n v="2800"/>
    <d v="2017-06-01T00:00:00"/>
    <d v="2017-06-01T00:00:00"/>
    <x v="1"/>
    <n v="0"/>
    <s v="Marcelo Miranda"/>
    <s v="Fabrizio"/>
    <s v="Ok. Realizado conforme a lo establecido"/>
    <m/>
    <s v="0001-00000052"/>
    <m/>
    <m/>
    <n v="6"/>
    <x v="2"/>
  </r>
  <r>
    <x v="84"/>
    <s v="Fabrizio"/>
    <s v="Fabrizio"/>
    <s v="Ruth"/>
    <s v="Servicio"/>
    <s v="Servicio de calibración Espectrofotómetro IR Perkin Elmer Spectrum 1000"/>
    <n v="1"/>
    <s v="Servicio"/>
    <x v="28"/>
    <n v="2700"/>
    <n v="2700"/>
    <d v="2017-06-01T00:00:00"/>
    <d v="2017-06-01T00:00:00"/>
    <x v="1"/>
    <n v="0"/>
    <s v="Marcelo Miranda"/>
    <s v="Fabrizio"/>
    <s v="Ok. Realizado conforme a lo establecido"/>
    <m/>
    <s v="0001-00000052"/>
    <m/>
    <m/>
    <n v="6"/>
    <x v="2"/>
  </r>
  <r>
    <x v="84"/>
    <s v="Fabrizio"/>
    <s v="Fabrizio"/>
    <s v="Ruth"/>
    <s v="Servicio"/>
    <s v="Servicio de Calibración Conductivimetro Termo Orion 145"/>
    <n v="1"/>
    <s v="Servicio"/>
    <x v="28"/>
    <n v="1250"/>
    <n v="1250"/>
    <d v="2017-06-01T00:00:00"/>
    <d v="2017-06-01T00:00:00"/>
    <x v="1"/>
    <m/>
    <s v="Marcelo Miranda"/>
    <s v="Fabrizio"/>
    <s v="Ok. Realizado conforme a lo establecido"/>
    <m/>
    <s v="0001-00000053"/>
    <m/>
    <m/>
    <n v="6"/>
    <x v="2"/>
  </r>
  <r>
    <x v="84"/>
    <s v="Fabrizio"/>
    <s v="Fabrizio"/>
    <s v="Ruth"/>
    <s v="Servicio"/>
    <s v="Servicio de Calibración CG Perkin Elmer Clarus 500"/>
    <n v="1"/>
    <s v="Servicio"/>
    <x v="28"/>
    <n v="12000"/>
    <n v="12000"/>
    <d v="2017-06-01T00:00:00"/>
    <d v="2017-06-01T00:00:00"/>
    <x v="1"/>
    <n v="0"/>
    <s v="Marcelo Miranda"/>
    <s v="Fabrizio"/>
    <s v="Ok. Realizado conforme a lo establecido"/>
    <m/>
    <s v="0001-00000053"/>
    <m/>
    <m/>
    <n v="6"/>
    <x v="2"/>
  </r>
  <r>
    <x v="84"/>
    <s v="Fabrizio"/>
    <s v="Fabrizio"/>
    <s v="Ruth"/>
    <s v="Servicio"/>
    <s v="Servicio de calibración CG Perkin Elmer Autosystem XL Arnel"/>
    <n v="1"/>
    <s v="Servicio"/>
    <x v="28"/>
    <n v="12000"/>
    <n v="12000"/>
    <d v="2017-06-01T00:00:00"/>
    <d v="2017-06-01T00:00:00"/>
    <x v="1"/>
    <m/>
    <s v="Marcelo Miranda"/>
    <s v="Fabrizio"/>
    <s v="Ok. Realizado conforme a lo establecido"/>
    <m/>
    <s v="0001-00000052"/>
    <m/>
    <m/>
    <n v="6"/>
    <x v="2"/>
  </r>
  <r>
    <x v="84"/>
    <s v="Fabrizio"/>
    <s v="Fabrizio"/>
    <s v="Ruth"/>
    <s v="Servicio"/>
    <s v="Servicio calibración Espectrofotómetro Shimadzu UV 160 A"/>
    <n v="1"/>
    <s v="Servicio"/>
    <x v="28"/>
    <n v="2700"/>
    <n v="2700"/>
    <d v="2017-06-01T00:00:00"/>
    <d v="2017-06-01T00:00:00"/>
    <x v="1"/>
    <n v="0"/>
    <s v="Marcelo Miranda"/>
    <s v="Fabrizio"/>
    <s v="Ok. Realizado conforme a lo establecido"/>
    <m/>
    <s v="0001-00000053"/>
    <m/>
    <m/>
    <n v="6"/>
    <x v="2"/>
  </r>
  <r>
    <x v="85"/>
    <s v="Laboratorios General"/>
    <s v="Ruth"/>
    <s v="Ruth"/>
    <s v="Insumo"/>
    <s v="Tijera Maped Advanced 21cm 49911D"/>
    <n v="1"/>
    <s v="Unidad"/>
    <x v="29"/>
    <n v="40.075000000000003"/>
    <n v="40.075000000000003"/>
    <d v="2017-06-09T00:00:00"/>
    <d v="2017-06-09T00:00:00"/>
    <x v="1"/>
    <n v="0"/>
    <s v="En comercio"/>
    <s v="Andrea"/>
    <s v="Ok. En condiciones"/>
    <m/>
    <s v="0023-00018775"/>
    <m/>
    <m/>
    <n v="6"/>
    <x v="2"/>
  </r>
  <r>
    <x v="85"/>
    <s v="Laboratorios General"/>
    <s v="Ruth"/>
    <s v="Ruth"/>
    <s v="Insumo"/>
    <s v="Resma papel autor A4 75 GR.500HJX10"/>
    <n v="1"/>
    <s v="unidades"/>
    <x v="29"/>
    <n v="872.43399999999997"/>
    <n v="872.43399999999997"/>
    <d v="2017-06-09T00:00:00"/>
    <d v="2017-06-09T00:00:00"/>
    <x v="1"/>
    <n v="0"/>
    <s v="En comercio"/>
    <s v="Andrea"/>
    <s v="Ok. En condiciones"/>
    <m/>
    <s v="0023-00018775"/>
    <m/>
    <m/>
    <n v="6"/>
    <x v="2"/>
  </r>
  <r>
    <x v="85"/>
    <s v="Laboratorios General"/>
    <s v="Ruth"/>
    <s v="Ruth"/>
    <s v="Insumo"/>
    <s v="Regla Pizzini 1702 20 cm fume c/u"/>
    <n v="10"/>
    <s v="unidades"/>
    <x v="29"/>
    <n v="3.86"/>
    <n v="38.6"/>
    <d v="2017-06-09T00:00:00"/>
    <d v="2017-06-09T00:00:00"/>
    <x v="1"/>
    <n v="0"/>
    <s v="En comercio"/>
    <s v="Andrea"/>
    <s v="Ok. En condiciones"/>
    <m/>
    <s v="0023-00018775"/>
    <m/>
    <m/>
    <n v="6"/>
    <x v="2"/>
  </r>
  <r>
    <x v="85"/>
    <s v="Magucha"/>
    <s v="Ruth"/>
    <s v="Ruth"/>
    <s v="Insumo"/>
    <s v="Probeta de 500 ml de vidrio. Sin tapa."/>
    <n v="1"/>
    <s v="unidades"/>
    <x v="7"/>
    <s v="A confirmar"/>
    <s v="A confirmar"/>
    <d v="2017-06-09T00:00:00"/>
    <d v="2017-06-09T00:00:00"/>
    <x v="1"/>
    <n v="0"/>
    <s v="En empresa"/>
    <s v="Ruth"/>
    <s v="Ok.En condiciones"/>
    <s v="Provisorio 0001-00001838"/>
    <s v="0009-00001087"/>
    <m/>
    <m/>
    <n v="6"/>
    <x v="2"/>
  </r>
  <r>
    <x v="85"/>
    <s v="Magucha"/>
    <s v="Ruth"/>
    <s v="Ruth"/>
    <s v="Insumo"/>
    <s v="Probeta de 500 ml de vidrio. Con tapa."/>
    <n v="1"/>
    <s v="unidades"/>
    <x v="7"/>
    <s v="A confirmar"/>
    <s v="A confirmar"/>
    <d v="2017-06-09T00:00:00"/>
    <d v="2017-06-09T00:00:00"/>
    <x v="1"/>
    <n v="0"/>
    <s v="En empresa"/>
    <s v="Ruth"/>
    <s v="Ok.En condiciones"/>
    <s v="Provisorio 0001-00001838"/>
    <s v="0009-00001087"/>
    <m/>
    <m/>
    <n v="6"/>
    <x v="2"/>
  </r>
  <r>
    <x v="85"/>
    <s v="Magucha"/>
    <s v="Ruth"/>
    <s v="Ruth"/>
    <s v="Insumo"/>
    <s v="Probeta de 250 ml de vidrio. Sin tapa."/>
    <n v="3"/>
    <s v="unidades"/>
    <x v="7"/>
    <s v="A confirmar"/>
    <s v="A confirmar"/>
    <d v="2017-06-09T00:00:00"/>
    <d v="2017-06-09T00:00:00"/>
    <x v="1"/>
    <n v="0"/>
    <s v="En empresa"/>
    <s v="Ruth"/>
    <s v="Ok.En condiciones"/>
    <s v="Provisorio 0001-00001838"/>
    <s v="0009-00001087"/>
    <m/>
    <m/>
    <n v="6"/>
    <x v="2"/>
  </r>
  <r>
    <x v="85"/>
    <s v="Magucha"/>
    <s v="Ruth"/>
    <s v="Ruth"/>
    <s v="Insumo"/>
    <s v="Probeta de 1000 ml de vidrio. Sin tapa."/>
    <n v="1"/>
    <s v="unidades"/>
    <x v="7"/>
    <s v="A confirmar"/>
    <s v="A confirmar"/>
    <d v="2017-06-09T00:00:00"/>
    <d v="2017-06-09T00:00:00"/>
    <x v="1"/>
    <n v="0"/>
    <s v="En empresa"/>
    <s v="Ruth"/>
    <s v="Ok.En condiciones"/>
    <s v="Provisorio 0001-00001838"/>
    <s v="0009-00001087"/>
    <m/>
    <m/>
    <n v="6"/>
    <x v="2"/>
  </r>
  <r>
    <x v="85"/>
    <s v="Magucha"/>
    <s v="Ruth"/>
    <s v="Ruth"/>
    <s v="Insumo"/>
    <s v="Probeta de 1000 ml de vidrio. Con tapa."/>
    <n v="1"/>
    <s v="unidades"/>
    <x v="7"/>
    <s v="A confirmar"/>
    <s v="A confirmar"/>
    <d v="2017-06-09T00:00:00"/>
    <d v="2017-06-09T00:00:00"/>
    <x v="1"/>
    <n v="0"/>
    <s v="En empresa"/>
    <s v="Ruth"/>
    <s v="Ok.En condiciones"/>
    <s v="Provisorio 0001-00001838"/>
    <s v="0009-00001087"/>
    <m/>
    <m/>
    <n v="6"/>
    <x v="2"/>
  </r>
  <r>
    <x v="85"/>
    <s v="Magucha"/>
    <s v="Ruth"/>
    <s v="Ruth"/>
    <s v="Insumo"/>
    <s v="Pipetas graduadas de 25 ml"/>
    <n v="2"/>
    <s v="unidades"/>
    <x v="7"/>
    <s v="A confirmar"/>
    <s v="A confirmar"/>
    <d v="2017-06-09T00:00:00"/>
    <d v="2017-06-09T00:00:00"/>
    <x v="1"/>
    <n v="0"/>
    <s v="En empresa"/>
    <s v="Ruth"/>
    <s v="Ok.En condiciones"/>
    <s v="Provisorio 0001-00001838"/>
    <s v="0009-00001087"/>
    <m/>
    <m/>
    <n v="6"/>
    <x v="2"/>
  </r>
  <r>
    <x v="85"/>
    <s v="Laboratorios General"/>
    <s v="Ruth"/>
    <s v="Ruth"/>
    <s v="Insumo"/>
    <s v="Papel fax husares 210x25mt"/>
    <n v="1"/>
    <s v="unidades"/>
    <x v="29"/>
    <n v="29.657"/>
    <n v="29.657"/>
    <d v="2017-06-09T00:00:00"/>
    <d v="2017-06-09T00:00:00"/>
    <x v="1"/>
    <n v="0"/>
    <s v="En comercio"/>
    <s v="Andrea"/>
    <s v="Ok. En condiciones"/>
    <m/>
    <s v="0023-00018775"/>
    <m/>
    <m/>
    <n v="6"/>
    <x v="2"/>
  </r>
  <r>
    <x v="85"/>
    <s v="Laboratorios General"/>
    <s v="Ruth"/>
    <s v="Ruth"/>
    <s v="Insumo"/>
    <s v="Marcador pizzini p/pizara 1250( Azul/rojo/verde)"/>
    <n v="6"/>
    <s v="unidades"/>
    <x v="29"/>
    <n v="19.141999999999999"/>
    <n v="114.852"/>
    <d v="2017-06-09T00:00:00"/>
    <d v="2017-06-09T00:00:00"/>
    <x v="1"/>
    <n v="0"/>
    <s v="En comercio"/>
    <s v="Andrea"/>
    <s v="Ok. En condiciones"/>
    <m/>
    <s v="0023-00018775"/>
    <m/>
    <m/>
    <n v="6"/>
    <x v="2"/>
  </r>
  <r>
    <x v="85"/>
    <s v="Laboratorios General"/>
    <s v="Ruth"/>
    <s v="Ruth"/>
    <s v="Insumo"/>
    <s v="Marcador edding permanente E-400 Negro x10"/>
    <n v="1"/>
    <s v="Unidad"/>
    <x v="29"/>
    <n v="259.54500000000002"/>
    <n v="259.54500000000002"/>
    <d v="2017-06-09T00:00:00"/>
    <d v="2017-06-09T00:00:00"/>
    <x v="1"/>
    <n v="0"/>
    <s v="En comercio"/>
    <s v="Andrea"/>
    <s v="Ok. En condiciones"/>
    <m/>
    <s v="0023-00018775"/>
    <m/>
    <m/>
    <n v="6"/>
    <x v="2"/>
  </r>
  <r>
    <x v="85"/>
    <s v="Laboratorios General"/>
    <s v="Ruth"/>
    <s v="Ruth"/>
    <s v="Insumo"/>
    <s v="Goma maped mini technic 300 011300 c/u"/>
    <n v="10"/>
    <s v="unidades"/>
    <x v="29"/>
    <n v="4.2709999999999999"/>
    <n v="42.71"/>
    <d v="2017-06-09T00:00:00"/>
    <d v="2017-06-09T00:00:00"/>
    <x v="1"/>
    <n v="0"/>
    <s v="En comercio"/>
    <s v="Andrea"/>
    <s v="Ok. En condiciones"/>
    <m/>
    <s v="0023-00018775"/>
    <m/>
    <m/>
    <n v="6"/>
    <x v="2"/>
  </r>
  <r>
    <x v="85"/>
    <s v="Laboratorios General"/>
    <s v="Ruth"/>
    <s v="Ruth"/>
    <s v="Insumo"/>
    <s v="Folio LUMA EQ. COMERCIAL OF. REF X100"/>
    <n v="1"/>
    <s v="pack"/>
    <x v="29"/>
    <n v="73.022999999999996"/>
    <n v="73.022999999999996"/>
    <d v="2017-06-09T00:00:00"/>
    <d v="2017-06-09T00:00:00"/>
    <x v="1"/>
    <n v="0"/>
    <s v="En comercio"/>
    <s v="Andrea"/>
    <s v="Ok. En condiciones"/>
    <m/>
    <s v="0023-00018775"/>
    <m/>
    <m/>
    <n v="6"/>
    <x v="2"/>
  </r>
  <r>
    <x v="85"/>
    <s v="Laboratorios General"/>
    <s v="Ruth"/>
    <s v="Ruth"/>
    <s v="Insumo"/>
    <s v="Etiquetapegasola A4 x10 8950"/>
    <n v="1"/>
    <s v="caja"/>
    <x v="29"/>
    <n v="45.206000000000003"/>
    <n v="45.206000000000003"/>
    <d v="2017-06-09T00:00:00"/>
    <d v="2017-06-09T00:00:00"/>
    <x v="1"/>
    <n v="0"/>
    <s v="En comercio"/>
    <s v="Andrea"/>
    <s v="Ok. En condiciones"/>
    <m/>
    <s v="0023-00018775"/>
    <m/>
    <m/>
    <n v="6"/>
    <x v="2"/>
  </r>
  <r>
    <x v="85"/>
    <s v="Laboratorios General"/>
    <s v="Ruth"/>
    <s v="Ruth"/>
    <s v="Insumo"/>
    <s v="Cuchilla Cutter"/>
    <n v="1"/>
    <s v="Unidad"/>
    <x v="29"/>
    <n v="76.218000000000004"/>
    <n v="76.218000000000004"/>
    <d v="2017-06-09T00:00:00"/>
    <d v="2017-06-09T00:00:00"/>
    <x v="1"/>
    <n v="0"/>
    <s v="En comercio"/>
    <s v="Andrea"/>
    <s v="Ok. En condiciones"/>
    <m/>
    <s v="0023-00018775"/>
    <m/>
    <m/>
    <n v="6"/>
    <x v="2"/>
  </r>
  <r>
    <x v="85"/>
    <s v="Laboratorios General"/>
    <s v="Ruth"/>
    <s v="Ruth"/>
    <s v="Insumo"/>
    <s v="Corrector paper mate líquido p/met c/u"/>
    <n v="4"/>
    <s v="unidades"/>
    <x v="29"/>
    <n v="32.814999999999998"/>
    <n v="131.26"/>
    <d v="2017-06-09T00:00:00"/>
    <d v="2017-06-09T00:00:00"/>
    <x v="1"/>
    <n v="0"/>
    <s v="En comercio"/>
    <s v="Andrea"/>
    <s v="Ok. En condiciones"/>
    <m/>
    <s v="0023-00018775"/>
    <m/>
    <m/>
    <n v="6"/>
    <x v="2"/>
  </r>
  <r>
    <x v="85"/>
    <s v="Laboratorios General"/>
    <s v="Ruth"/>
    <s v="Ruth"/>
    <s v="Insumo"/>
    <s v="Cinta adhesiva stiko 48x100 transparente"/>
    <n v="6"/>
    <s v="unidades"/>
    <x v="29"/>
    <n v="37.837000000000003"/>
    <n v="227.02200000000002"/>
    <d v="2017-06-09T00:00:00"/>
    <d v="2017-06-09T00:00:00"/>
    <x v="1"/>
    <n v="0"/>
    <s v="En comercio"/>
    <s v="Andrea"/>
    <s v="Ok. En condiciones"/>
    <m/>
    <s v="0023-00018775"/>
    <m/>
    <m/>
    <n v="6"/>
    <x v="2"/>
  </r>
  <r>
    <x v="85"/>
    <s v="Laboratorios General"/>
    <s v="Ruth"/>
    <s v="Ruth"/>
    <s v="Insumo"/>
    <s v="Cinta adhesiva stiko 18x50 "/>
    <n v="6"/>
    <s v="unidades"/>
    <x v="29"/>
    <n v="18.791"/>
    <n v="112.74600000000001"/>
    <d v="2017-06-09T00:00:00"/>
    <d v="2017-06-09T00:00:00"/>
    <x v="1"/>
    <n v="0"/>
    <s v="En comercio"/>
    <s v="Andrea"/>
    <s v="Ok. En condiciones"/>
    <m/>
    <s v="0023-00018775"/>
    <m/>
    <m/>
    <n v="6"/>
    <x v="2"/>
  </r>
  <r>
    <x v="85"/>
    <s v="Laboratorios General"/>
    <s v="Ruth"/>
    <s v="Ruth"/>
    <s v="Insumo"/>
    <s v="Cinta adhesiva condor 48x100 transparente"/>
    <n v="10"/>
    <s v="unidades"/>
    <x v="29"/>
    <n v="28.265999999999998"/>
    <n v="282.65999999999997"/>
    <d v="2017-06-09T00:00:00"/>
    <d v="2017-06-09T00:00:00"/>
    <x v="1"/>
    <n v="0"/>
    <s v="En comercio"/>
    <s v="Andrea"/>
    <s v="Ok. En condiciones"/>
    <m/>
    <s v="0023-00018775"/>
    <m/>
    <m/>
    <n v="6"/>
    <x v="2"/>
  </r>
  <r>
    <x v="85"/>
    <s v="Laboratorios General"/>
    <s v="Ruth"/>
    <s v="Ruth"/>
    <s v="Insumo"/>
    <s v="Boligrafo bic trazo grueso x50"/>
    <n v="1"/>
    <s v="caja"/>
    <x v="29"/>
    <n v="258.72000000000003"/>
    <n v="258.72000000000003"/>
    <d v="2017-06-09T00:00:00"/>
    <d v="2017-06-09T00:00:00"/>
    <x v="1"/>
    <n v="0"/>
    <s v="En comercio"/>
    <s v="Andrea"/>
    <s v="Ok. En condiciones"/>
    <m/>
    <s v="0023-00018775"/>
    <m/>
    <m/>
    <n v="6"/>
    <x v="2"/>
  </r>
  <r>
    <x v="85"/>
    <s v="Laboratorios General"/>
    <s v="Ruth"/>
    <s v="Ruth"/>
    <s v="Insumo"/>
    <s v="Bibliorato ONIX A4.PVC LOOMO 7CM (VERDE/AZUL/NEGRO/naranja)"/>
    <n v="8"/>
    <s v="unidades"/>
    <x v="29"/>
    <n v="48.279000000000003"/>
    <n v="386.23200000000003"/>
    <d v="2017-06-09T00:00:00"/>
    <d v="2017-06-09T00:00:00"/>
    <x v="1"/>
    <n v="0"/>
    <s v="En comercio"/>
    <s v="Andrea"/>
    <s v="Ok. En condiciones"/>
    <m/>
    <s v="0023-00018775"/>
    <m/>
    <m/>
    <n v="6"/>
    <x v="2"/>
  </r>
  <r>
    <x v="85"/>
    <s v="Laboratorios General"/>
    <s v="Ruth"/>
    <s v="Ruth"/>
    <s v="Insumo"/>
    <s v="Adhesivo barra pizzini 36 gr."/>
    <n v="5"/>
    <s v="unidades"/>
    <x v="29"/>
    <n v="27.128"/>
    <n v="135.63999999999999"/>
    <d v="2017-06-09T00:00:00"/>
    <d v="2017-06-09T00:00:00"/>
    <x v="1"/>
    <n v="0"/>
    <s v="En comercio"/>
    <s v="Andrea"/>
    <s v="Ok. En condiciones"/>
    <m/>
    <s v="0023-00018775"/>
    <m/>
    <m/>
    <n v="6"/>
    <x v="2"/>
  </r>
  <r>
    <x v="85"/>
    <s v="Laboratorios General"/>
    <s v="Ruth"/>
    <s v="Ruth"/>
    <s v="Insumo"/>
    <s v="Abrochadora kangora HP-45"/>
    <n v="1"/>
    <s v="unidades"/>
    <x v="29"/>
    <n v="231.01300000000001"/>
    <n v="231.01300000000001"/>
    <d v="2017-06-09T00:00:00"/>
    <d v="2017-06-09T00:00:00"/>
    <x v="1"/>
    <n v="0"/>
    <s v="En comercio"/>
    <s v="Andrea"/>
    <s v="Ok. En condiciones"/>
    <m/>
    <s v="0023-00018775"/>
    <m/>
    <m/>
    <n v="6"/>
    <x v="2"/>
  </r>
  <r>
    <x v="86"/>
    <s v="Adrián"/>
    <s v="Cristóbal_x000a_Adrián"/>
    <s v="Ruth"/>
    <s v="Insumo"/>
    <s v="Agua Destilada."/>
    <n v="100"/>
    <s v="Litros"/>
    <x v="2"/>
    <n v="4.5"/>
    <n v="450"/>
    <d v="2017-06-16T00:00:00"/>
    <d v="2017-06-15T00:00:00"/>
    <x v="1"/>
    <n v="-1"/>
    <s v="Repartidor"/>
    <s v="Pablo"/>
    <s v="Ok. En condiciones"/>
    <m/>
    <s v="0004-00000953"/>
    <m/>
    <m/>
    <n v="6"/>
    <x v="2"/>
  </r>
  <r>
    <x v="87"/>
    <s v="Susana"/>
    <s v="Cristóbal"/>
    <s v="M E Barbeito"/>
    <s v="Insumo"/>
    <s v="Guantes negros par (med 8 1/2)"/>
    <n v="2"/>
    <s v="Pares"/>
    <x v="0"/>
    <n v="239.58"/>
    <n v="479.16"/>
    <d v="2017-06-22T00:00:00"/>
    <d v="2017-06-23T00:00:00"/>
    <x v="2"/>
    <n v="1"/>
    <s v="Repartidor"/>
    <s v="Marcela "/>
    <s v="16/06/17 No informan fecha de entrega._x000a_21/06/17 Reclamó Susana. Comunicación teefónica con Mario, queda en entregarlo el 22/06/17_x000a_23/06/17. Recepción Ok, en condiciones."/>
    <s v="0001-00186991"/>
    <s v="0003-00006560"/>
    <m/>
    <m/>
    <n v="6"/>
    <x v="2"/>
  </r>
  <r>
    <x v="87"/>
    <s v="Alejandra Somonte"/>
    <s v="Cristóbal"/>
    <s v="M L Barbeito"/>
    <s v="Insumo"/>
    <s v="Florero 9x25"/>
    <n v="1"/>
    <s v="Unidad"/>
    <x v="30"/>
    <n v="57.77"/>
    <n v="57.77"/>
    <d v="2017-06-15T00:00:00"/>
    <d v="2017-06-15T00:00:00"/>
    <x v="1"/>
    <n v="0"/>
    <s v="En comercio"/>
    <s v="Cristóbal"/>
    <s v="Ok. En condiciones. Responde a pedido de vaso de precipitado Berzelius de 1Lt."/>
    <m/>
    <s v="0005-00071412"/>
    <m/>
    <m/>
    <n v="6"/>
    <x v="2"/>
  </r>
  <r>
    <x v="87"/>
    <s v="Alejandra Somonte"/>
    <s v="Cristóbal"/>
    <s v="M L Barbeito"/>
    <s v="Insumo"/>
    <s v="Florero 10x20"/>
    <n v="1"/>
    <s v="Unidad"/>
    <x v="30"/>
    <n v="188.35"/>
    <n v="188.35"/>
    <d v="2017-06-15T00:00:00"/>
    <d v="2017-06-15T00:00:00"/>
    <x v="1"/>
    <n v="0"/>
    <s v="En comercio"/>
    <s v="Cristóbal"/>
    <s v="Ok. En condiciones. Responde a pedido de vaso de precipitado Berzelius de 1Lt. Cambiar por un florero de 9x25"/>
    <m/>
    <s v="0005-00071412"/>
    <m/>
    <m/>
    <n v="6"/>
    <x v="2"/>
  </r>
  <r>
    <x v="88"/>
    <s v="Alejandra Somonte"/>
    <s v="Cristóbal"/>
    <s v="M L Barbeito"/>
    <s v="Insumo"/>
    <s v="Florero 9x25"/>
    <n v="1"/>
    <s v="Unidad"/>
    <x v="30"/>
    <n v="57.77"/>
    <n v="57.77"/>
    <d v="2017-06-19T00:00:00"/>
    <d v="2017-06-19T00:00:00"/>
    <x v="1"/>
    <n v="0"/>
    <s v="En comercio"/>
    <s v="Cristóbal"/>
    <s v="Ok. En condiciones. Responde a pedido de vaso de precipitado Berzelius de 1Lt. Es el cambio del florero 10X20"/>
    <m/>
    <s v="0005-00071718"/>
    <m/>
    <m/>
    <e v="#VALUE!"/>
    <x v="3"/>
  </r>
  <r>
    <x v="87"/>
    <s v="Susana"/>
    <s v="Cristóbal"/>
    <s v="M E Barbeito"/>
    <s v="Insumo"/>
    <s v="Cepillo para probeta chica, mango galvanizado- Diámetro 25. Leone"/>
    <n v="3"/>
    <s v="unidades"/>
    <x v="0"/>
    <n v="59.29"/>
    <n v="177.87"/>
    <d v="2017-06-22T00:00:00"/>
    <d v="2017-06-23T00:00:00"/>
    <x v="2"/>
    <n v="1"/>
    <s v="Repartidor"/>
    <s v="Marcela "/>
    <s v="16/06/17 No informan fecha de entrega._x000a_21/06/17 Reclamó Susana. Comunicación teefónica con Mario, queda en entregarlo el 22/06/17_x000a_23/06/17. Recepción Ok, en condiciones."/>
    <s v="0001-00186991"/>
    <s v="0003-00006560"/>
    <m/>
    <m/>
    <n v="6"/>
    <x v="2"/>
  </r>
  <r>
    <x v="87"/>
    <s v="Susana"/>
    <s v="Cristóbal"/>
    <s v="M E Barbeito"/>
    <s v="Insumo"/>
    <s v="Cepillo para bureta, mango galvanizado- Diámetro 25. Leone"/>
    <n v="3"/>
    <s v="unidades"/>
    <x v="0"/>
    <n v="50.82"/>
    <n v="152.46"/>
    <d v="2017-06-22T00:00:00"/>
    <d v="2017-06-23T00:00:00"/>
    <x v="2"/>
    <n v="1"/>
    <s v="Repartidor"/>
    <s v="Marcela "/>
    <s v="16/06/17 No informan fecha de entrega._x000a_21/06/17 Reclamó Susana. Comunicación teefónica con Mario, queda en entregarlo el 22/06/17_x000a_23/06/17. Recepción Ok, en condiciones."/>
    <s v="0001-00186991"/>
    <s v="0003-00006560"/>
    <m/>
    <m/>
    <n v="6"/>
    <x v="2"/>
  </r>
  <r>
    <x v="87"/>
    <s v="Fabrizio"/>
    <s v="Cristóbal"/>
    <s v="Ruth"/>
    <s v="Insumo"/>
    <s v="Botiquín: Vendas 5cmx3m"/>
    <n v="2"/>
    <s v="Packs"/>
    <x v="31"/>
    <n v="27.5"/>
    <n v="55"/>
    <d v="2017-06-15T00:00:00"/>
    <d v="2017-06-15T00:00:00"/>
    <x v="1"/>
    <n v="0"/>
    <s v="En comercio"/>
    <s v="Cristóbal"/>
    <s v="Ok. En condiciones"/>
    <m/>
    <s v="0008-00533080"/>
    <m/>
    <m/>
    <n v="6"/>
    <x v="2"/>
  </r>
  <r>
    <x v="87"/>
    <s v="Fabrizio"/>
    <s v="Cristóbal"/>
    <s v="Ruth"/>
    <s v="Insumo"/>
    <s v="Botiquín: Vendas 10cmx3m"/>
    <n v="2"/>
    <s v="Packs"/>
    <x v="31"/>
    <n v="36.5"/>
    <n v="73"/>
    <d v="2017-06-15T00:00:00"/>
    <d v="2017-06-15T00:00:00"/>
    <x v="1"/>
    <n v="0"/>
    <s v="En comercio"/>
    <s v="Cristóbal"/>
    <s v="Ok. En condiciones"/>
    <m/>
    <s v="0008-00533080"/>
    <m/>
    <m/>
    <n v="6"/>
    <x v="2"/>
  </r>
  <r>
    <x v="87"/>
    <s v="Fabrizio"/>
    <s v="Cristóbal"/>
    <s v="Ruth"/>
    <s v="Insumo"/>
    <s v="Botiquín: Termómetro "/>
    <n v="1"/>
    <s v="Unidad"/>
    <x v="31"/>
    <n v="96.5"/>
    <n v="96.5"/>
    <d v="2017-06-15T00:00:00"/>
    <d v="2017-06-15T00:00:00"/>
    <x v="1"/>
    <n v="0"/>
    <s v="En comercio"/>
    <s v="Cristóbal"/>
    <s v="Ok. En condiciones"/>
    <m/>
    <s v="0008-00533080"/>
    <m/>
    <m/>
    <n v="6"/>
    <x v="2"/>
  </r>
  <r>
    <x v="87"/>
    <s v="Fabrizio"/>
    <s v="Cristóbal"/>
    <s v="Ruth"/>
    <s v="Insumo"/>
    <s v="Botiquín: Iodo (pervinox)"/>
    <n v="1"/>
    <s v="Envase"/>
    <x v="31"/>
    <n v="89"/>
    <n v="89"/>
    <d v="2017-06-15T00:00:00"/>
    <d v="2017-06-15T00:00:00"/>
    <x v="1"/>
    <n v="0"/>
    <s v="En comercio"/>
    <s v="Cristóbal"/>
    <s v="Ok. En condiciones"/>
    <m/>
    <s v="0008-00533080"/>
    <m/>
    <m/>
    <n v="6"/>
    <x v="2"/>
  </r>
  <r>
    <x v="87"/>
    <s v="Fabrizio"/>
    <s v="Cristóbal"/>
    <s v="Ruth"/>
    <s v="Insumo"/>
    <s v="Botiquín: Gasa"/>
    <n v="2"/>
    <s v="Cajas"/>
    <x v="31"/>
    <n v="68"/>
    <n v="136"/>
    <d v="2017-06-15T00:00:00"/>
    <d v="2017-06-15T00:00:00"/>
    <x v="1"/>
    <n v="0"/>
    <s v="En comercio"/>
    <s v="Cristóbal"/>
    <s v="Ok. En condiciones"/>
    <m/>
    <s v="0008-00533080"/>
    <m/>
    <m/>
    <n v="6"/>
    <x v="2"/>
  </r>
  <r>
    <x v="87"/>
    <s v="Fabrizio"/>
    <s v="Cristóbal"/>
    <s v="Ruth"/>
    <s v="Insumo"/>
    <s v="Botiquín: Crema sulfamida. Platsul."/>
    <n v="1"/>
    <s v="pomo"/>
    <x v="31"/>
    <n v="93.75"/>
    <n v="93.75"/>
    <d v="2017-06-15T00:00:00"/>
    <d v="2017-06-15T00:00:00"/>
    <x v="1"/>
    <n v="0"/>
    <s v="En comercio"/>
    <s v="Cristóbal"/>
    <s v="Ok. En condiciones"/>
    <m/>
    <s v="0008-00533080"/>
    <m/>
    <m/>
    <n v="6"/>
    <x v="2"/>
  </r>
  <r>
    <x v="87"/>
    <s v="Fabrizio"/>
    <s v="Cristóbal"/>
    <s v="Ruth"/>
    <s v="Insumo"/>
    <s v="Botiquín: cinta adhesiva de tela antilérgica."/>
    <n v="1"/>
    <s v="rollo"/>
    <x v="31"/>
    <n v="78"/>
    <n v="78"/>
    <d v="2017-06-15T00:00:00"/>
    <d v="2017-06-15T00:00:00"/>
    <x v="1"/>
    <n v="0"/>
    <s v="En comercio"/>
    <s v="Cristóbal"/>
    <s v="Ok. En condiciones"/>
    <m/>
    <s v="0008-00533080"/>
    <m/>
    <m/>
    <n v="6"/>
    <x v="2"/>
  </r>
  <r>
    <x v="87"/>
    <s v="Fabrizio"/>
    <s v="Cristóbal"/>
    <s v="Ruth"/>
    <s v="Insumo"/>
    <s v="Botiquín: Apositos curitas."/>
    <n v="10"/>
    <s v="Cajas"/>
    <x v="31"/>
    <n v="11.75"/>
    <n v="117.5"/>
    <d v="2017-06-15T00:00:00"/>
    <d v="2017-06-15T00:00:00"/>
    <x v="1"/>
    <n v="0"/>
    <s v="En comercio"/>
    <s v="Cristóbal"/>
    <s v="Ok. En condiciones"/>
    <m/>
    <s v="0008-00533080"/>
    <m/>
    <m/>
    <n v="6"/>
    <x v="2"/>
  </r>
  <r>
    <x v="87"/>
    <s v="Fabrizio"/>
    <s v="Cristóbal"/>
    <s v="Ruth"/>
    <s v="Insumo"/>
    <s v="Botiquín: Agua oxigenada"/>
    <n v="1"/>
    <s v="Envase"/>
    <x v="31"/>
    <n v="40.5"/>
    <n v="40.5"/>
    <d v="2017-06-15T00:00:00"/>
    <d v="2017-06-15T00:00:00"/>
    <x v="1"/>
    <n v="0"/>
    <s v="En comercio"/>
    <s v="Cristóbal"/>
    <s v="Ok. En condiciones"/>
    <m/>
    <s v="0008-00533080"/>
    <m/>
    <m/>
    <n v="6"/>
    <x v="2"/>
  </r>
  <r>
    <x v="87"/>
    <s v="Fabrizio"/>
    <s v="Cristóbal"/>
    <s v="Ruth"/>
    <s v="Insumo"/>
    <s v="Botiquín. Solución fisiológica"/>
    <n v="2"/>
    <s v="envases"/>
    <x v="31"/>
    <n v="16.75"/>
    <n v="33.5"/>
    <d v="2017-06-15T00:00:00"/>
    <d v="2017-06-15T00:00:00"/>
    <x v="1"/>
    <n v="0"/>
    <s v="En comercio"/>
    <s v="Cristóbal"/>
    <s v="Ok. En condiciones"/>
    <m/>
    <s v="0008-00533080"/>
    <m/>
    <m/>
    <n v="6"/>
    <x v="2"/>
  </r>
  <r>
    <x v="87"/>
    <s v="Cristóbal"/>
    <s v="Cristóbal"/>
    <s v="M L Barbeito"/>
    <s v="Insumo"/>
    <s v="Agua Destilada con CE &lt; 4µS/cm x L"/>
    <n v="200"/>
    <s v="Litros"/>
    <x v="2"/>
    <n v="4.5"/>
    <n v="900"/>
    <d v="2017-06-16T00:00:00"/>
    <d v="2017-06-15T00:00:00"/>
    <x v="1"/>
    <n v="-1"/>
    <s v="Repartidor"/>
    <s v="Pablo"/>
    <s v="Ok. En condiciones. Controla CE Pablo:OK."/>
    <m/>
    <s v="0004-00000952"/>
    <m/>
    <m/>
    <n v="6"/>
    <x v="2"/>
  </r>
  <r>
    <x v="89"/>
    <s v="Leandro "/>
    <s v="Leandro"/>
    <s v="Ruth"/>
    <s v="Elemento de seguridad"/>
    <s v="Guardapolvo hombre azul. Talla 46"/>
    <n v="1"/>
    <s v="Unidad"/>
    <x v="32"/>
    <n v="430"/>
    <n v="430"/>
    <d v="2017-06-16T00:00:00"/>
    <d v="2017-06-16T00:00:00"/>
    <x v="1"/>
    <n v="0"/>
    <s v="En comercio"/>
    <s v="Leandro"/>
    <s v="Ok. En condiciones. Compra Leandro, autorizó la compra de guardapolvos para uso personal Ruth."/>
    <m/>
    <s v="0007-00010657"/>
    <m/>
    <m/>
    <n v="6"/>
    <x v="2"/>
  </r>
  <r>
    <x v="90"/>
    <s v="Cristóbal"/>
    <s v="Cristóbal"/>
    <s v="Ruth"/>
    <s v="Insumo"/>
    <s v="UHU Super glue x 3gr"/>
    <n v="2"/>
    <s v="unidades"/>
    <x v="30"/>
    <n v="8.18"/>
    <n v="16.36"/>
    <d v="2016-07-19T00:00:00"/>
    <d v="2016-07-19T00:00:00"/>
    <x v="1"/>
    <n v="0"/>
    <s v="En comercio"/>
    <s v="Cristóbal"/>
    <s v="Ok. En condiciones, Se utilizó nota de credito por cambio de florero 10x20. Nota de crédito: 0005-00000316"/>
    <m/>
    <s v="0005-00071718"/>
    <m/>
    <m/>
    <n v="6"/>
    <x v="2"/>
  </r>
  <r>
    <x v="90"/>
    <s v="Cristóbal"/>
    <s v="Cristóbal"/>
    <s v="Ruth"/>
    <s v="Insumo"/>
    <s v="Pinceleta tigre N02"/>
    <n v="3"/>
    <s v="unidades"/>
    <x v="30"/>
    <n v="6.6"/>
    <n v="19.799999999999997"/>
    <d v="2016-07-19T00:00:00"/>
    <d v="2016-07-19T00:00:00"/>
    <x v="1"/>
    <n v="0"/>
    <s v="En comercio"/>
    <s v="Cristóbal"/>
    <s v="Ok. En condiciones, Se utilizó nota de credito por cambio de florero 10x20. _x000a_Nota de crédito: 0005-00000316"/>
    <m/>
    <s v="0005-00071718"/>
    <m/>
    <m/>
    <n v="6"/>
    <x v="2"/>
  </r>
  <r>
    <x v="90"/>
    <s v="Cristóbal"/>
    <s v="Cristóbal"/>
    <s v="Ruth"/>
    <s v="Insumo"/>
    <s v="Pinceleta tigre N01"/>
    <n v="1"/>
    <s v="Unidad"/>
    <x v="30"/>
    <n v="4.38"/>
    <n v="4.38"/>
    <d v="2016-07-19T00:00:00"/>
    <d v="2016-07-19T00:00:00"/>
    <x v="1"/>
    <n v="0"/>
    <s v="En comercio"/>
    <s v="Cristóbal"/>
    <s v="Ok. En condiciones, Se utilizó nota de credito por cambio de florero 10x20. _x000a_Nota de crédito: 0005-00000316"/>
    <m/>
    <s v="0005-00071718"/>
    <m/>
    <m/>
    <n v="6"/>
    <x v="2"/>
  </r>
  <r>
    <x v="90"/>
    <s v="Cristóbal"/>
    <s v="Cristóbal"/>
    <s v="Ruth"/>
    <s v="Insumo"/>
    <s v="Esmalte sintético aerosol. Kuwaitt"/>
    <n v="1"/>
    <s v="Unidad"/>
    <x v="30"/>
    <n v="91.01"/>
    <n v="91.01"/>
    <d v="2016-07-19T00:00:00"/>
    <d v="2016-07-19T00:00:00"/>
    <x v="1"/>
    <n v="0"/>
    <s v="En comercio"/>
    <s v="Cristóbal"/>
    <s v="Ok. En condiciones, Se utilizó nota de credito por cambio de florero 10x20. _x000a_Nota de crédito: 0005-00000316"/>
    <m/>
    <s v="0005-00071718"/>
    <m/>
    <m/>
    <n v="6"/>
    <x v="2"/>
  </r>
  <r>
    <x v="74"/>
    <s v="Laura Meneces"/>
    <s v="Cristobal"/>
    <s v="Ruth"/>
    <s v="Insumo"/>
    <s v="Potasio ioduro PA X 1000. Alkemit. "/>
    <n v="1"/>
    <s v="Unidad"/>
    <x v="0"/>
    <n v="5083.21"/>
    <n v="5083.21"/>
    <d v="2017-06-23T00:00:00"/>
    <d v="2017-06-23T00:00:00"/>
    <x v="1"/>
    <n v="0"/>
    <s v="Proveedor"/>
    <s v="Marcela "/>
    <s v="Se pidió con urgencia, por falta de droga. _x000a_Recepción: Ok, en condiciones."/>
    <m/>
    <m/>
    <m/>
    <m/>
    <n v="6"/>
    <x v="2"/>
  </r>
  <r>
    <x v="91"/>
    <s v="Adriana"/>
    <s v="Cristóbal"/>
    <s v="Maria E."/>
    <s v="Equipo"/>
    <s v="Balon de 500 ml con tres bocas esmeriladas, tapón para boca central, tubo recto de conexión en macho 24-7401 y esferico, columna vigreax con cabezal y robinete de descarga del solvente. Construido según croquis enviado."/>
    <n v="1"/>
    <s v="Unidad"/>
    <x v="18"/>
    <n v="465.85"/>
    <n v="465.85"/>
    <d v="2017-08-02T00:00:00"/>
    <d v="2017-07-26T00:00:00"/>
    <x v="1"/>
    <n v="-7"/>
    <s v="Expreso Luján."/>
    <s v="Cristóbal_x000a_Leandro"/>
    <s v="Ok. Falta tapón de balón."/>
    <s v="0001-00183349"/>
    <s v="0003-00007166"/>
    <m/>
    <m/>
    <n v="6"/>
    <x v="2"/>
  </r>
  <r>
    <x v="91"/>
    <s v="Adriana"/>
    <s v="Cristóbal"/>
    <s v="Maria E."/>
    <s v="Equipo"/>
    <s v="Balón de 500 ml con tres bocas esmeriladas, con tapón para boca central de 29/42 y una boca lateral 24/40 y otra esferica 35/20."/>
    <n v="2"/>
    <s v="unidades"/>
    <x v="18"/>
    <n v="168"/>
    <n v="336"/>
    <d v="2017-08-02T00:00:00"/>
    <d v="2017-07-26T00:00:00"/>
    <x v="1"/>
    <n v="-7"/>
    <s v="Expreso Luján."/>
    <s v="Cristóbal_x000a_Leandro"/>
    <s v="Ok. Faltan tapónes"/>
    <s v="0001-00183349"/>
    <s v="0003-00007166"/>
    <m/>
    <m/>
    <n v="6"/>
    <x v="2"/>
  </r>
  <r>
    <x v="91"/>
    <s v="Aristobulo"/>
    <s v="No aplica"/>
    <s v="No aplica"/>
    <s v="Transporte"/>
    <s v="Flete/Seguro"/>
    <n v="1"/>
    <s v="Servicio"/>
    <x v="19"/>
    <n v="223.85"/>
    <n v="223.85"/>
    <d v="2017-07-26T00:00:00"/>
    <d v="2017-07-26T00:00:00"/>
    <x v="1"/>
    <n v="0"/>
    <s v="Expreso Luján."/>
    <s v="Andrea_x000a_Cristóbal"/>
    <s v="Bulto en condiciones"/>
    <s v="0003-00826514"/>
    <s v="1001-00012420"/>
    <m/>
    <m/>
    <n v="6"/>
    <x v="2"/>
  </r>
  <r>
    <x v="92"/>
    <s v="Barbeito M. Luisa"/>
    <s v="Cristobal"/>
    <s v="Ruth"/>
    <s v="Insumo"/>
    <s v="Frascos x 100 cc. Con tapa"/>
    <n v="20"/>
    <s v="unidades"/>
    <x v="33"/>
    <n v="8.5"/>
    <n v="170"/>
    <d v="2017-06-28T00:00:00"/>
    <d v="2017-06-28T00:00:00"/>
    <x v="1"/>
    <n v="0"/>
    <s v="En comercio"/>
    <s v="Cristóbal David."/>
    <s v="Ok. En condiciones. "/>
    <m/>
    <s v="0003-00040303"/>
    <m/>
    <m/>
    <n v="6"/>
    <x v="2"/>
  </r>
  <r>
    <x v="92"/>
    <s v="Alejandra Somonte"/>
    <s v="Cristobal"/>
    <s v="Ruth"/>
    <s v="Insumo"/>
    <s v="Tubos de centrifuga según A.S.T.M. D-91 de 100ml"/>
    <n v="6"/>
    <s v="unidades"/>
    <x v="3"/>
    <n v="960"/>
    <n v="5760"/>
    <d v="2017-07-26T00:00:00"/>
    <d v="2017-08-15T00:00:00"/>
    <x v="2"/>
    <n v="20"/>
    <s v="Repartidor."/>
    <s v="Paola"/>
    <s v="Facturado a Sandra Ibañez (Proyecto Sectyp)_x000a_26/07/16. Se reciben 5 tubos de centrifuga._x000a_15/08/17. Se recibe tubo faltante."/>
    <s v="0007-00022940_x000a_0007-00023086"/>
    <s v="9997-00005193_x000a_9997-00005240"/>
    <m/>
    <m/>
    <n v="6"/>
    <x v="2"/>
  </r>
  <r>
    <x v="92"/>
    <s v="Adriana Narvarte"/>
    <s v="Cristobal"/>
    <s v="Ruth"/>
    <s v="Insumo"/>
    <s v="Balones de destilación engler con uniones 19/26 ASTM D-86 125ml"/>
    <n v="2"/>
    <s v="unidades"/>
    <x v="3"/>
    <n v="1658"/>
    <n v="3316"/>
    <d v="2017-07-17T00:00:00"/>
    <d v="2017-08-15T00:00:00"/>
    <x v="2"/>
    <n v="29"/>
    <s v="Repartidor."/>
    <s v="Paola"/>
    <s v="Facturado a Ruth Clausen (Proyecto Sectyp)_x000a_Ok. En condiciones._x000a_"/>
    <s v="0007-00023087"/>
    <s v="9997-00005241"/>
    <m/>
    <m/>
    <n v="6"/>
    <x v="2"/>
  </r>
  <r>
    <x v="92"/>
    <s v="Adriana Narvarte"/>
    <s v="Cristobal"/>
    <s v="Ruth"/>
    <s v="Insumo"/>
    <s v="Balones de destilación engler con uniones 19/26 ASTM D-86 125ml"/>
    <n v="2"/>
    <s v="unidades"/>
    <x v="3"/>
    <n v="1658"/>
    <n v="3316"/>
    <d v="2017-07-17T00:00:00"/>
    <d v="2017-08-15T00:00:00"/>
    <x v="2"/>
    <n v="29"/>
    <s v="Repartidor."/>
    <s v="Paola"/>
    <s v="Ok. En condiciones."/>
    <s v="0007-00023088"/>
    <s v="9997-00005242"/>
    <m/>
    <m/>
    <n v="6"/>
    <x v="2"/>
  </r>
  <r>
    <x v="93"/>
    <s v="Carolina N."/>
    <s v="Cristóbal"/>
    <s v="Maria E."/>
    <s v="Gases"/>
    <s v="Acetileno para Absorción Atómica. X Kg"/>
    <n v="6.8"/>
    <s v="KG"/>
    <x v="25"/>
    <n v="461.01"/>
    <n v="3134.8679999999999"/>
    <d v="2017-07-05T00:00:00"/>
    <d v="2017-07-05T00:00:00"/>
    <x v="1"/>
    <n v="0"/>
    <s v="Repartidor"/>
    <s v="Adrián_x000a_Cristóbal"/>
    <s v="Pedido el viernes 30/06/17, por teléfono. Se confirmo el lunes 03/07/17"/>
    <s v="0050-00007552"/>
    <s v="0034-00001319"/>
    <m/>
    <m/>
    <n v="7"/>
    <x v="2"/>
  </r>
  <r>
    <x v="94"/>
    <s v="Adrián"/>
    <s v="Cristóbal_x000a_Adrián"/>
    <s v="Maria E"/>
    <s v="Insumos"/>
    <s v="Agua destilada"/>
    <n v="150"/>
    <s v="Litros"/>
    <x v="13"/>
    <n v="4.5"/>
    <n v="675"/>
    <d v="2017-07-06T00:00:00"/>
    <d v="2017-07-06T00:00:00"/>
    <x v="1"/>
    <n v="0"/>
    <s v="Repartidor"/>
    <s v="Caro Q."/>
    <s v="Ok. En condiciones."/>
    <m/>
    <s v="0004-00000977"/>
    <m/>
    <m/>
    <n v="7"/>
    <x v="2"/>
  </r>
  <r>
    <x v="94"/>
    <s v="Cristóbal"/>
    <s v="Cristobal"/>
    <s v="Maria L."/>
    <s v="Insumos"/>
    <s v="Agua destilada. CE inferior a 4μS."/>
    <n v="200"/>
    <s v="Litros"/>
    <x v="13"/>
    <n v="4.5"/>
    <n v="900"/>
    <d v="2017-07-06T00:00:00"/>
    <d v="2017-07-06T00:00:00"/>
    <x v="1"/>
    <n v="0"/>
    <s v="Repartidor"/>
    <s v="Pablo"/>
    <s v="Ok. En condiciones. CE: Ok"/>
    <m/>
    <s v="0004-00000973"/>
    <m/>
    <m/>
    <n v="7"/>
    <x v="2"/>
  </r>
  <r>
    <x v="95"/>
    <s v="Renzo/Fabrizio."/>
    <s v="Fabrizio"/>
    <s v="Ruth"/>
    <s v="Elemento de seguridad"/>
    <s v="Protector Auditivo Copa L 320 22 db. Libus"/>
    <n v="2"/>
    <s v="unidades"/>
    <x v="34"/>
    <m/>
    <m/>
    <d v="2017-07-06T00:00:00"/>
    <d v="2017-07-06T00:00:00"/>
    <x v="1"/>
    <n v="0"/>
    <s v="En comercio"/>
    <s v="Fabrizio"/>
    <s v="Ok. En condiciones"/>
    <s v="0006-00003091"/>
    <m/>
    <m/>
    <m/>
    <n v="7"/>
    <x v="2"/>
  </r>
  <r>
    <x v="95"/>
    <m/>
    <s v="Fabrizio"/>
    <s v="Ruth"/>
    <s v="Elemento de seguridad"/>
    <s v="Mascara respiratoria COMFOS II sin filtros 5330 Fravida."/>
    <n v="2"/>
    <s v="unidades"/>
    <x v="34"/>
    <m/>
    <m/>
    <d v="2017-07-06T00:00:00"/>
    <d v="2017-07-06T00:00:00"/>
    <x v="1"/>
    <n v="0"/>
    <s v="En comercio"/>
    <s v="Fabrizio"/>
    <s v="Ok. En condiciones"/>
    <s v="0006-00003091"/>
    <m/>
    <m/>
    <m/>
    <n v="7"/>
    <x v="2"/>
  </r>
  <r>
    <x v="95"/>
    <m/>
    <s v="Fabrizio"/>
    <s v="Ruth"/>
    <s v="Elemento de seguridad"/>
    <s v="Filtro p/partículas - IRAM 140 CC. Fravida."/>
    <n v="4"/>
    <s v="unidades"/>
    <x v="34"/>
    <m/>
    <m/>
    <d v="2017-07-06T00:00:00"/>
    <d v="2017-07-06T00:00:00"/>
    <x v="1"/>
    <n v="0"/>
    <s v="En comercio"/>
    <s v="Fabrizio"/>
    <s v="Ok. En condiciones"/>
    <s v="0006-00003091"/>
    <m/>
    <m/>
    <m/>
    <n v="7"/>
    <x v="2"/>
  </r>
  <r>
    <x v="95"/>
    <m/>
    <s v="Fabrizio"/>
    <s v="Ruth"/>
    <s v="Elemento de seguridad"/>
    <s v="Filtro p/vapores org - IRAM 140 CC. Fravida."/>
    <n v="2"/>
    <s v="unidades"/>
    <x v="34"/>
    <m/>
    <m/>
    <d v="2017-07-06T00:00:00"/>
    <d v="2017-07-06T00:00:00"/>
    <x v="1"/>
    <n v="0"/>
    <s v="En comercio"/>
    <s v="Fabrizio"/>
    <s v="Ok. En condiciones"/>
    <s v="0006-00003091"/>
    <m/>
    <m/>
    <m/>
    <n v="7"/>
    <x v="2"/>
  </r>
  <r>
    <x v="95"/>
    <m/>
    <s v="Fabrizio"/>
    <s v="Ruth"/>
    <s v="Elemento de seguridad"/>
    <s v="Guante Kevlar forrado Lana p/descarne Gamisol"/>
    <n v="1"/>
    <s v="Unidad"/>
    <x v="34"/>
    <m/>
    <m/>
    <d v="2017-07-06T00:00:00"/>
    <d v="2017-07-06T00:00:00"/>
    <x v="1"/>
    <n v="0"/>
    <s v="En comercio"/>
    <s v="Fabrizio"/>
    <s v="Ok. En condiciones"/>
    <s v="0006-00003091"/>
    <m/>
    <m/>
    <m/>
    <n v="7"/>
    <x v="2"/>
  </r>
  <r>
    <x v="95"/>
    <m/>
    <s v="Fabrizio"/>
    <s v="Ruth"/>
    <s v="Elemento de seguridad"/>
    <s v="Guante Terrycloth forte 28 cm gamisol"/>
    <m/>
    <m/>
    <x v="34"/>
    <m/>
    <m/>
    <d v="2017-07-06T00:00:00"/>
    <d v="2017-07-06T00:00:00"/>
    <x v="1"/>
    <n v="0"/>
    <s v="En comercio"/>
    <s v="Fabrizio"/>
    <s v="Ok. En condiciones"/>
    <s v="0006-00003091"/>
    <m/>
    <m/>
    <m/>
    <n v="7"/>
    <x v="2"/>
  </r>
  <r>
    <x v="96"/>
    <s v="Gerardo"/>
    <s v="Cristóbal"/>
    <s v="Maria E"/>
    <s v="Equipo"/>
    <s v="Compresor 2HP.Código de artículo: CW 1060. Denimed."/>
    <n v="1"/>
    <s v="Equipo"/>
    <x v="35"/>
    <n v="12748.78"/>
    <n v="12748.78"/>
    <d v="2017-07-11T00:00:00"/>
    <d v="2017-07-11T00:00:00"/>
    <x v="1"/>
    <n v="0"/>
    <s v="En comercio"/>
    <s v="Gerardo"/>
    <s v="Ok. En condiciones."/>
    <s v="0002-00007311"/>
    <s v="0009-00003363"/>
    <m/>
    <m/>
    <n v="7"/>
    <x v="2"/>
  </r>
  <r>
    <x v="97"/>
    <s v="M L Barbeito"/>
    <s v="Maria L"/>
    <s v="Maria E."/>
    <s v="Servicio"/>
    <s v="Cerrajeria. Apertura puerta Lecor."/>
    <n v="1"/>
    <s v="Servicio"/>
    <x v="36"/>
    <n v="350"/>
    <n v="350"/>
    <d v="2017-07-11T00:00:00"/>
    <d v="2017-07-11T00:00:00"/>
    <x v="1"/>
    <n v="0"/>
    <s v="Cerrajero"/>
    <s v="Cristóbal"/>
    <s v="Ok. En condiciones"/>
    <m/>
    <s v="0002-00000281"/>
    <m/>
    <m/>
    <n v="7"/>
    <x v="2"/>
  </r>
  <r>
    <x v="97"/>
    <s v="M L Barbeito"/>
    <s v="Maria L"/>
    <s v="Maria E."/>
    <s v="Insumo"/>
    <s v="Molde de llave, con 3 copias"/>
    <n v="1"/>
    <s v="Juego"/>
    <x v="36"/>
    <n v="420"/>
    <n v="420"/>
    <d v="2017-07-12T00:00:00"/>
    <d v="2017-07-12T00:00:00"/>
    <x v="1"/>
    <n v="0"/>
    <s v="Cerrajero"/>
    <s v="Cristóbal"/>
    <s v="Ok. En condiciones"/>
    <m/>
    <s v="0002-00000281"/>
    <m/>
    <m/>
    <n v="7"/>
    <x v="2"/>
  </r>
  <r>
    <x v="98"/>
    <s v="Cristóbal"/>
    <s v="Cristobal"/>
    <s v="Maria E."/>
    <s v="Droga controlada por SEDRONAR"/>
    <s v="XILENO PA ACS SINTORGAN"/>
    <n v="12"/>
    <s v="Litros"/>
    <x v="3"/>
    <n v="250"/>
    <n v="3000"/>
    <d v="2017-08-08T00:00:00"/>
    <m/>
    <x v="0"/>
    <m/>
    <m/>
    <m/>
    <m/>
    <s v="0003-00228199"/>
    <s v="9995-00004544"/>
    <m/>
    <m/>
    <n v="7"/>
    <x v="2"/>
  </r>
  <r>
    <x v="99"/>
    <s v="Ruth_x000a_Análisi Químicos."/>
    <s v="Cristobal"/>
    <s v="Ruth"/>
    <s v="Interlaboratorio"/>
    <s v="AGUAS - Parámetros básicos 2017."/>
    <n v="1"/>
    <s v="Servicio"/>
    <x v="37"/>
    <n v="2500"/>
    <n v="2500"/>
    <d v="2017-07-24T00:00:00"/>
    <m/>
    <x v="0"/>
    <m/>
    <m/>
    <m/>
    <s v="Se cambia fecha de envío de muestra, la primera fecha correspondía a 14/08/17"/>
    <m/>
    <s v="0616-00100308"/>
    <m/>
    <m/>
    <n v="7"/>
    <x v="2"/>
  </r>
  <r>
    <x v="100"/>
    <s v="Cristóbal"/>
    <s v="Cristobal"/>
    <s v="Maria L."/>
    <s v="Insumo"/>
    <s v="Rollo Elegante 25x400 mts"/>
    <n v="6"/>
    <s v="Rollos"/>
    <x v="23"/>
    <n v="238"/>
    <n v="1428"/>
    <d v="2017-07-19T00:00:00"/>
    <d v="2017-07-19T00:00:00"/>
    <x v="1"/>
    <n v="0"/>
    <s v="Repartidor"/>
    <s v="Cristóbal"/>
    <s v="Ok. En condiciones"/>
    <m/>
    <s v="0004-00000962"/>
    <m/>
    <m/>
    <n v="7"/>
    <x v="2"/>
  </r>
  <r>
    <x v="100"/>
    <s v="Cristóbal"/>
    <s v="Cristobal"/>
    <s v="Maria L."/>
    <s v="Insumo"/>
    <s v="Rollo Film 40x1000 mts."/>
    <n v="1"/>
    <s v="rollo"/>
    <x v="23"/>
    <n v="395"/>
    <n v="395"/>
    <d v="2017-07-19T00:00:00"/>
    <d v="2017-07-19T00:00:00"/>
    <x v="1"/>
    <n v="0"/>
    <s v="Repartidor"/>
    <s v="Cristóbal"/>
    <s v="Ok. En condiciones"/>
    <m/>
    <s v="0004-00000962"/>
    <m/>
    <m/>
    <n v="7"/>
    <x v="2"/>
  </r>
  <r>
    <x v="100"/>
    <s v="Gerardo"/>
    <s v="Gerardo"/>
    <s v="Ruth"/>
    <s v="Equipo"/>
    <s v="MEDIDOR MULTIPARAMETRICO DE pH/ORP/CE/OD/Pre"/>
    <n v="1"/>
    <s v="Equipo"/>
    <x v="38"/>
    <n v="44200"/>
    <n v="44200"/>
    <d v="2018-07-26T00:00:00"/>
    <m/>
    <x v="0"/>
    <s v="NO CONCRETADO"/>
    <m/>
    <m/>
    <m/>
    <m/>
    <m/>
    <m/>
    <m/>
    <n v="7"/>
    <x v="2"/>
  </r>
  <r>
    <x v="101"/>
    <s v="Alejandra Somonte"/>
    <s v="Cristobal"/>
    <s v="Ruth"/>
    <s v="Droga"/>
    <s v="AGUA OXIGENADA 30% 100 VOLUMENES RA ANEDRA (1 l)"/>
    <n v="3"/>
    <s v="Litros"/>
    <x v="3"/>
    <n v="172"/>
    <n v="516"/>
    <d v="2017-08-01T00:00:00"/>
    <d v="2017-07-26T00:00:00"/>
    <x v="1"/>
    <n v="-6"/>
    <s v="Repartidor"/>
    <s v="Paola"/>
    <s v="Ok. En condiciones"/>
    <s v="0007-00022954"/>
    <s v="9997-00005197"/>
    <m/>
    <m/>
    <n v="7"/>
    <x v="2"/>
  </r>
  <r>
    <x v="101"/>
    <s v="Carolina Quevedo"/>
    <s v="Cristobal"/>
    <s v="Ruth"/>
    <s v="Insumo"/>
    <s v="PISETA PP DE 500 ML BOCA ANGOSTA VITLAB"/>
    <n v="2"/>
    <s v="unidades"/>
    <x v="3"/>
    <n v="139"/>
    <n v="278"/>
    <d v="2017-08-01T00:00:00"/>
    <m/>
    <x v="0"/>
    <s v="NO CONCRETADO"/>
    <m/>
    <m/>
    <m/>
    <s v="0007-00023017"/>
    <s v="9997-00005215"/>
    <m/>
    <m/>
    <n v="7"/>
    <x v="2"/>
  </r>
  <r>
    <x v="101"/>
    <s v="Cristóbal"/>
    <s v="Cristobal"/>
    <s v="Ruth"/>
    <s v="Droga"/>
    <s v="ACIDO NITRICO 65% RA ANEDRA (1 L)"/>
    <n v="6"/>
    <s v="Litros"/>
    <x v="3"/>
    <n v="245"/>
    <n v="1470"/>
    <s v="A confimar"/>
    <d v="2017-08-08T00:00:00"/>
    <x v="1"/>
    <e v="#VALUE!"/>
    <s v="Repartidor"/>
    <s v="Paola"/>
    <s v="26/07/17 - Entregan 2 lt_x000a_08/08/17- Entregan 2 lt faltantes"/>
    <s v="0007-00022954_x000a_0007-00023017_x000a_0007-00023044"/>
    <s v="9997-00005197_x000a_9997-00005215_x000a_9997-00005220_x000a_"/>
    <m/>
    <m/>
    <n v="7"/>
    <x v="2"/>
  </r>
  <r>
    <x v="101"/>
    <s v="Carolina Quevedo/ Cristóbal"/>
    <s v="Cristobal"/>
    <s v="Ruth"/>
    <s v="Insumo"/>
    <s v="PAPEL DE FILTRO CUANTITATIVO GRADO 391 DIAMETRO 125 MM SARTORIUS (100 UNID)"/>
    <n v="3"/>
    <s v="Cajas"/>
    <x v="3"/>
    <n v="405"/>
    <n v="1215"/>
    <d v="2017-08-01T00:00:00"/>
    <d v="2017-07-26T00:00:00"/>
    <x v="1"/>
    <n v="-6"/>
    <m/>
    <m/>
    <s v="Ok. En condiciones."/>
    <s v="0007-00022954"/>
    <s v="9997-00005197"/>
    <m/>
    <m/>
    <n v="7"/>
    <x v="2"/>
  </r>
  <r>
    <x v="101"/>
    <s v="Alejandra Somonte"/>
    <s v="Cristobal"/>
    <s v="Ruth"/>
    <s v="Insumo"/>
    <s v="Mechero Meker"/>
    <n v="4"/>
    <s v="unidades"/>
    <x v="7"/>
    <n v="517.88"/>
    <n v="2071.52"/>
    <s v="No informa"/>
    <d v="2017-08-30T00:00:00"/>
    <x v="1"/>
    <e v="#VALUE!"/>
    <s v="Repartidor"/>
    <s v="Julieta"/>
    <s v="Ok. En condiciones."/>
    <s v="0001-00029485"/>
    <s v="0009-00001138"/>
    <m/>
    <m/>
    <n v="7"/>
    <x v="2"/>
  </r>
  <r>
    <x v="101"/>
    <s v="Ruth"/>
    <s v="Cristobal"/>
    <s v="Ruth"/>
    <s v="Insumo"/>
    <s v="Papel de filtro 202 de 11cm."/>
    <n v="2"/>
    <s v="unidades"/>
    <x v="7"/>
    <n v="154.88"/>
    <n v="309.76"/>
    <s v="No informa"/>
    <d v="2017-08-30T00:00:00"/>
    <x v="1"/>
    <e v="#VALUE!"/>
    <s v="Repartidor"/>
    <s v="Julieta"/>
    <s v="Ok. En condiciones."/>
    <s v="0001-00029485"/>
    <s v="0009-00001138"/>
    <m/>
    <m/>
    <n v="7"/>
    <x v="2"/>
  </r>
  <r>
    <x v="101"/>
    <s v="Jorge"/>
    <s v="Cristobal"/>
    <s v="María E."/>
    <s v="Service"/>
    <s v="Servicio de mantenimiento de bomba de vacío modelo Edwards rv3 consistente en: -desarme y limpieza general -ajuste de paletas -cambio de kit original de sellos, juntas, retenes y o´rings N/P A65201131 -cambio de aceite - bobinado de motor - pruebas de recuperación y vacío final"/>
    <n v="1"/>
    <s v="Servicio"/>
    <x v="39"/>
    <n v="11858"/>
    <n v="11858"/>
    <d v="2017-09-25T00:00:00"/>
    <d v="2017-08-25T00:00:00"/>
    <x v="1"/>
    <n v="-31"/>
    <s v="Camionera Mendocina"/>
    <s v="Cristóbal"/>
    <s v="Ok. En condiciones. El equipo venía sin embalar."/>
    <s v="0003-00072478"/>
    <s v="0006-00002947"/>
    <m/>
    <m/>
    <n v="7"/>
    <x v="2"/>
  </r>
  <r>
    <x v="101"/>
    <s v="Cristóbal"/>
    <s v="Cristóbal"/>
    <s v="Maria E"/>
    <s v="Servicio"/>
    <s v="Transporte de equipo/seguro"/>
    <n v="1"/>
    <s v="Servicio"/>
    <x v="40"/>
    <n v="1157.1500000000001"/>
    <n v="1157.1500000000001"/>
    <d v="2017-08-25T00:00:00"/>
    <d v="2017-08-25T00:00:00"/>
    <x v="1"/>
    <n v="0"/>
    <s v="Camionera Mendocina"/>
    <s v="Cristóbal"/>
    <s v="El servicio se solicitó el día 11/08/17"/>
    <s v="0017-00007586"/>
    <m/>
    <m/>
    <m/>
    <n v="7"/>
    <x v="2"/>
  </r>
  <r>
    <x v="101"/>
    <s v="Jorge"/>
    <s v="Cristobal"/>
    <s v="Ruth"/>
    <s v="Service/insumos"/>
    <s v="Spares Kit CO RV3/5/8/12"/>
    <n v="1"/>
    <m/>
    <x v="39"/>
    <n v="12700"/>
    <n v="12700"/>
    <d v="2017-09-25T00:00:00"/>
    <m/>
    <x v="0"/>
    <s v="NO CONCRETADO"/>
    <m/>
    <m/>
    <m/>
    <m/>
    <m/>
    <m/>
    <m/>
    <n v="7"/>
    <x v="2"/>
  </r>
  <r>
    <x v="102"/>
    <s v="Carolina Narvarte"/>
    <s v="Cristobal"/>
    <s v="María E."/>
    <s v="Gases"/>
    <s v="Acetileno extra puro, para Absorción Atómica. X Kg"/>
    <n v="22.5"/>
    <s v="KG"/>
    <x v="25"/>
    <n v="461.01"/>
    <n v="7099"/>
    <d v="2017-07-26T00:00:00"/>
    <d v="2017-07-26T00:00:00"/>
    <x v="1"/>
    <n v="0"/>
    <s v="Repartidor."/>
    <s v="Adrián_x000a_Cristóbal"/>
    <s v="Se recibieron 2 tubos x 15,40 kg. Lo facturado corresponde a los kg recibidos."/>
    <s v="0050-00007966"/>
    <s v="0034-00001324"/>
    <m/>
    <m/>
    <m/>
    <x v="4"/>
  </r>
  <r>
    <x v="102"/>
    <s v="NO APLICA"/>
    <s v="No aplica"/>
    <s v="No aplica"/>
    <s v="Transporte"/>
    <s v="Flete Gases"/>
    <n v="1"/>
    <s v="Servicio"/>
    <x v="25"/>
    <n v="178.78"/>
    <n v="178.78"/>
    <d v="2017-07-26T00:00:00"/>
    <d v="2017-07-26T00:00:00"/>
    <x v="1"/>
    <n v="0"/>
    <s v="Repartidor."/>
    <s v="Adrián_x000a_Cristóbal"/>
    <s v="Ok. En condiciones."/>
    <s v="0050-00007966"/>
    <s v="0034-00001324"/>
    <m/>
    <m/>
    <n v="7"/>
    <x v="2"/>
  </r>
  <r>
    <x v="103"/>
    <s v="Magucha_x000a_Cristóbal"/>
    <s v="Cristóbal"/>
    <s v="Ruth"/>
    <s v="Equipo"/>
    <s v="Sonda Fluke. Modelo: 5616-12-P. PROBE. SECON. PRT. 100 OHM (1/4 X 12 INCH)"/>
    <n v="1"/>
    <s v="Equipo"/>
    <x v="41"/>
    <s v="USD 2053 +iva"/>
    <e v="#VALUE!"/>
    <d v="2017-11-26T00:00:00"/>
    <m/>
    <x v="0"/>
    <s v="NO CONCRETADO"/>
    <m/>
    <m/>
    <m/>
    <m/>
    <m/>
    <m/>
    <m/>
    <n v="7"/>
    <x v="2"/>
  </r>
  <r>
    <x v="103"/>
    <s v="Adrián"/>
    <s v="Cristóbal"/>
    <s v="M E Barbeito"/>
    <s v="Insumo"/>
    <s v="Agua destilada"/>
    <n v="150"/>
    <s v="Litros"/>
    <x v="2"/>
    <n v="4.5"/>
    <n v="675"/>
    <d v="2017-07-28T00:00:00"/>
    <d v="2017-07-31T00:00:00"/>
    <x v="2"/>
    <n v="3"/>
    <s v="Repartidor"/>
    <s v="Adrián"/>
    <s v="Ok. En condiciones"/>
    <m/>
    <s v="0004-00001041"/>
    <m/>
    <m/>
    <n v="7"/>
    <x v="2"/>
  </r>
  <r>
    <x v="103"/>
    <s v="Cristóbal"/>
    <s v="Cristóbal"/>
    <s v="M L Barbeito"/>
    <s v="Insumo"/>
    <s v="Agua Destilada con CE &lt; 4µS/cm x L"/>
    <n v="150"/>
    <s v="Litros"/>
    <x v="2"/>
    <n v="4.5"/>
    <n v="675"/>
    <d v="2017-07-28T00:00:00"/>
    <d v="2017-07-31T00:00:00"/>
    <x v="2"/>
    <n v="3"/>
    <s v="Repartidor"/>
    <s v="Cristóbal"/>
    <s v="Ok. En condiciones. CE: Inferior a 4microS. Controla Leandro"/>
    <m/>
    <s v="0004-00001042"/>
    <m/>
    <m/>
    <n v="7"/>
    <x v="2"/>
  </r>
  <r>
    <x v="104"/>
    <s v="Gerardo"/>
    <s v="Julieta"/>
    <s v="Ruth"/>
    <s v="Servicio"/>
    <s v="Análisis de uranio en muestras de agua - S. A Nº 16152 (Cadena de custodia DETI I-11326)"/>
    <n v="13"/>
    <s v="unidades"/>
    <x v="42"/>
    <n v="256"/>
    <n v="3328"/>
    <d v="2017-07-24T00:00:00"/>
    <d v="2017-07-24T00:00:00"/>
    <x v="1"/>
    <n v="0"/>
    <m/>
    <s v="Julieta"/>
    <s v="Ok. En condiciones"/>
    <m/>
    <s v="0002-00000162"/>
    <m/>
    <m/>
    <n v="7"/>
    <x v="2"/>
  </r>
  <r>
    <x v="105"/>
    <s v="Cristóbal"/>
    <s v="Cristóbal"/>
    <s v="M E Barbeito"/>
    <s v="Droga"/>
    <s v="ACIDO NITRICO 65% PA CICARELLI (1 L)  "/>
    <n v="3"/>
    <s v="Litros"/>
    <x v="3"/>
    <n v="235"/>
    <n v="705"/>
    <d v="2017-08-15T00:00:00"/>
    <d v="2017-08-15T00:00:00"/>
    <x v="1"/>
    <n v="0"/>
    <s v="Repartidor"/>
    <s v="Paola"/>
    <s v="Ok. En condiciones"/>
    <s v="0007-00023081_x000a_0007-00023082_x000a_"/>
    <s v="9997-00005236_x000a_9997-00005237"/>
    <m/>
    <m/>
    <n v="7"/>
    <x v="2"/>
  </r>
  <r>
    <x v="105"/>
    <s v="Magucha_x000a_Carolina Quevedo"/>
    <s v="Cristóbal"/>
    <s v="M E Barbeito"/>
    <s v="Insumo"/>
    <s v="VARILLAS INDICADORAS DE PH 0-14. GRAD MERCK (100 VAR)"/>
    <n v="3"/>
    <s v="unidades"/>
    <x v="3"/>
    <n v="590"/>
    <n v="1770"/>
    <d v="2017-07-08T00:00:00"/>
    <m/>
    <x v="0"/>
    <s v="NO CONCRETADO"/>
    <m/>
    <m/>
    <m/>
    <s v="0007-00022987"/>
    <s v="9997-00005208"/>
    <m/>
    <m/>
    <n v="7"/>
    <x v="2"/>
  </r>
  <r>
    <x v="105"/>
    <s v="Adriana Narvarte"/>
    <s v="Cristóbal"/>
    <s v="M E Barbeito"/>
    <s v="Insumo"/>
    <s v="CRISTALIZADORES DIAM. 115MM X 65MM. IVA "/>
    <n v="3"/>
    <s v="unidades"/>
    <x v="3"/>
    <n v="390"/>
    <n v="1170"/>
    <d v="2017-07-08T00:00:00"/>
    <m/>
    <x v="0"/>
    <s v="NO CONCRETADO"/>
    <m/>
    <m/>
    <m/>
    <s v="0007-00022987"/>
    <s v="9997-00005208"/>
    <m/>
    <m/>
    <n v="7"/>
    <x v="2"/>
  </r>
  <r>
    <x v="105"/>
    <s v="Adriana Narvarte"/>
    <s v="Cristóbal"/>
    <s v="M E Barbeito"/>
    <s v="Insumo"/>
    <s v="MEMBRANA NC BL C/RET 0.45UM 47MM ESTERILES SARTORIUS (100 UN)"/>
    <n v="1"/>
    <s v="Unidad"/>
    <x v="3"/>
    <n v="890"/>
    <n v="890"/>
    <d v="2017-07-08T00:00:00"/>
    <m/>
    <x v="0"/>
    <s v="NO CONCRETADO"/>
    <m/>
    <m/>
    <m/>
    <s v="0007-00022988"/>
    <s v="9997-00005209"/>
    <m/>
    <m/>
    <n v="7"/>
    <x v="2"/>
  </r>
  <r>
    <x v="105"/>
    <s v="Adriana Narvarte"/>
    <s v="Cristóbal"/>
    <s v="M E Barbeito"/>
    <s v="Insumo"/>
    <s v="CRISTALIZADORES DIAM. 150MM X 75MM. "/>
    <n v="3"/>
    <s v="unidades"/>
    <x v="0"/>
    <n v="235.95"/>
    <n v="707.84999999999991"/>
    <s v="No informa"/>
    <m/>
    <x v="0"/>
    <s v="NO CONCRETADO"/>
    <m/>
    <m/>
    <m/>
    <m/>
    <m/>
    <m/>
    <m/>
    <n v="7"/>
    <x v="2"/>
  </r>
  <r>
    <x v="106"/>
    <s v="Adriana Narvarte"/>
    <s v="Cristóbal"/>
    <s v="Ruth"/>
    <s v="Equipo"/>
    <s v="Manto calefactor para balones de 1lt."/>
    <n v="1"/>
    <s v="Unidad"/>
    <x v="7"/>
    <n v="2614.81"/>
    <n v="2614.81"/>
    <d v="2017-08-07T00:00:00"/>
    <d v="2017-08-14T00:00:00"/>
    <x v="2"/>
    <n v="7"/>
    <s v="Repartidor"/>
    <s v="Paola"/>
    <s v="Ok. En condiciones. Se entrega factura A Ruth."/>
    <s v="0001-00029292"/>
    <s v="0009-00001118"/>
    <m/>
    <m/>
    <m/>
    <x v="4"/>
  </r>
  <r>
    <x v="106"/>
    <s v="Ruth"/>
    <s v="Cristóbal"/>
    <s v="Ruth"/>
    <s v="Servicio"/>
    <s v="Arreglo puerta de administración"/>
    <n v="1"/>
    <s v="Servicio"/>
    <x v="36"/>
    <n v="280"/>
    <n v="280"/>
    <d v="2017-07-31T00:00:00"/>
    <d v="2017-07-31T00:00:00"/>
    <x v="1"/>
    <n v="0"/>
    <s v="Cerrajero"/>
    <s v="Cristóbal"/>
    <s v="Ok. En condiciones."/>
    <m/>
    <s v="0002-00000287"/>
    <m/>
    <m/>
    <n v="7"/>
    <x v="2"/>
  </r>
  <r>
    <x v="106"/>
    <s v="Juan Pablo"/>
    <s v="Cristóbal"/>
    <s v="Ruth"/>
    <s v="Insumo"/>
    <s v="GL-130.202.03 MATRAZ AFORADO VOLUMÉTRICO GLASSCO CLASE A INCOLORO 25 ML CON TAPA PLÁSTICA CON CERTIFICADO DE LOTE Despacho 16 092 IC04 014460 T"/>
    <n v="10"/>
    <s v="unidades"/>
    <x v="43"/>
    <n v="194.387"/>
    <n v="1943.87"/>
    <d v="2017-08-22T00:00:00"/>
    <d v="2017-08-18T00:00:00"/>
    <x v="1"/>
    <n v="-4"/>
    <s v="Expreso Luján."/>
    <s v="Cristóbal"/>
    <s v="Ok. En condiciones."/>
    <s v="0001-00184083"/>
    <s v="0003-00007232"/>
    <m/>
    <m/>
    <n v="7"/>
    <x v="2"/>
  </r>
  <r>
    <x v="106"/>
    <s v="Juan Pablo"/>
    <s v="Cristóbal"/>
    <s v="Ruth"/>
    <s v="Insumo"/>
    <s v="GL-130.202.04 MATRAZ AFORADO VOLUMÉTRICO GLASSCO CLASE A INCOLORO 50 ML CON TAPA PLÁSTICA CON CERTIFICADO DE LOTE Despacho 16 092 IC04 014460 T"/>
    <n v="10"/>
    <s v="unidades"/>
    <x v="43"/>
    <n v="201.95500000000001"/>
    <n v="2019.5500000000002"/>
    <d v="2017-08-22T00:00:00"/>
    <d v="2017-08-18T00:00:00"/>
    <x v="1"/>
    <n v="-4"/>
    <s v="Expreso Luján."/>
    <s v="Cristóbal"/>
    <s v="Ok. En condiciones."/>
    <s v="0001-00184083"/>
    <s v="0003-00007232"/>
    <m/>
    <m/>
    <n v="7"/>
    <x v="2"/>
  </r>
  <r>
    <x v="107"/>
    <s v="Cristóbal"/>
    <s v="Cristóbal"/>
    <s v="Ruth"/>
    <s v="Insumos"/>
    <s v="PAPEL DE FILTRO CUANTITATIVO GRADO 388 DIAMETRO 125 MM SARTORIUS (100 UNID)"/>
    <n v="2"/>
    <s v="Cajas"/>
    <x v="3"/>
    <n v="380"/>
    <n v="760"/>
    <d v="2017-08-09T00:00:00"/>
    <d v="2017-10-11T00:00:00"/>
    <x v="2"/>
    <n v="63"/>
    <s v="Repartidor"/>
    <s v="Paola"/>
    <s v="Ok. En condiciones."/>
    <s v="0007-00023555"/>
    <s v="9997-00005415"/>
    <m/>
    <m/>
    <n v="8"/>
    <x v="2"/>
  </r>
  <r>
    <x v="107"/>
    <s v="Cristóbal"/>
    <s v="Cristóbal"/>
    <s v="Ruth"/>
    <s v="Insumos"/>
    <s v="PAPEL DE FILTRO CUANTITATIVO GRADO 389 DIAMETRO 125 MM SARTORIUS (100)"/>
    <n v="2"/>
    <s v="Cajas"/>
    <x v="3"/>
    <n v="380"/>
    <n v="760"/>
    <d v="2017-08-09T00:00:00"/>
    <d v="2017-08-08T00:00:00"/>
    <x v="1"/>
    <n v="-1"/>
    <s v="Repartidor"/>
    <s v="Paola"/>
    <s v="Ok. En condiciones."/>
    <s v="0007-00023047"/>
    <s v="9997-00005221"/>
    <m/>
    <m/>
    <n v="8"/>
    <x v="2"/>
  </r>
  <r>
    <x v="107"/>
    <s v="Adrián"/>
    <s v="Cristóbal"/>
    <s v="Ruth"/>
    <s v="Insumos"/>
    <s v="PAPEL DE FILTRO 3 m/N USO GENERAL 58 X 58 SARTORIUS (unid.)"/>
    <n v="50"/>
    <s v="Pliegos"/>
    <x v="3"/>
    <n v="40"/>
    <n v="2000"/>
    <d v="2017-08-09T00:00:00"/>
    <d v="2017-08-08T00:00:00"/>
    <x v="1"/>
    <n v="-1"/>
    <s v="Repartidor"/>
    <s v="Paola"/>
    <s v="Ok. En condiciones. Revisa Caro Quevedo por Instrumental"/>
    <s v="0007-00023047"/>
    <s v="9997-00005221"/>
    <m/>
    <m/>
    <n v="8"/>
    <x v="2"/>
  </r>
  <r>
    <x v="108"/>
    <s v="Jorge"/>
    <s v="Jorge"/>
    <s v="Maria E"/>
    <s v="Gases"/>
    <s v="AIRE EXTRA PURO 10M3 (CL 22 NU 1002)"/>
    <n v="20"/>
    <s v="M3"/>
    <x v="25"/>
    <n v="139.07"/>
    <n v="2781.3999999999996"/>
    <d v="2017-08-09T00:00:00"/>
    <d v="2017-08-09T00:00:00"/>
    <x v="1"/>
    <n v="0"/>
    <s v="Repartidor"/>
    <m/>
    <s v="Ok. En condiciones"/>
    <s v="0050-00008245"/>
    <s v="0034-00001333"/>
    <m/>
    <m/>
    <n v="8"/>
    <x v="2"/>
  </r>
  <r>
    <x v="10"/>
    <s v="Jorge"/>
    <s v="Jorge"/>
    <s v="Maria E"/>
    <s v="Flete"/>
    <s v="Flete"/>
    <n v="1"/>
    <s v="Servicio"/>
    <x v="25"/>
    <n v="257.89999999999998"/>
    <n v="257.89999999999998"/>
    <d v="2017-08-09T00:00:00"/>
    <d v="2017-08-09T00:00:00"/>
    <x v="1"/>
    <n v="0"/>
    <s v="Repartidor"/>
    <m/>
    <s v="Ok. En condiciones"/>
    <s v="0050-00008245"/>
    <s v="0034-00001333"/>
    <m/>
    <m/>
    <n v="1"/>
    <x v="1"/>
  </r>
  <r>
    <x v="108"/>
    <s v="jorge"/>
    <s v="Jorge"/>
    <s v="Maria E"/>
    <s v="Gases"/>
    <s v="HELIO ULTRA PURO 8 M3 (CL 22 NU 1046)"/>
    <n v="8"/>
    <s v="M3"/>
    <x v="25"/>
    <n v="1531.07"/>
    <n v="12248.56"/>
    <d v="2017-08-09T00:00:00"/>
    <d v="2017-08-09T00:00:00"/>
    <x v="1"/>
    <n v="0"/>
    <s v="Repartidor"/>
    <m/>
    <s v="Ok. En condiciones"/>
    <s v="0050-00008245"/>
    <s v="0034-00001333"/>
    <m/>
    <m/>
    <n v="8"/>
    <x v="2"/>
  </r>
  <r>
    <x v="10"/>
    <s v="jorge"/>
    <s v="Jorge"/>
    <s v="Maria E"/>
    <s v="Flete"/>
    <s v="Flete"/>
    <n v="1"/>
    <s v="Servicio"/>
    <x v="25"/>
    <n v="12.9"/>
    <n v="12.9"/>
    <d v="2017-08-09T00:00:00"/>
    <d v="2017-08-09T00:00:00"/>
    <x v="1"/>
    <n v="0"/>
    <s v="Repartidor"/>
    <m/>
    <s v="Ok. En condiciones"/>
    <s v="0050-00008245"/>
    <s v="0034-00001333"/>
    <m/>
    <m/>
    <n v="1"/>
    <x v="1"/>
  </r>
  <r>
    <x v="109"/>
    <s v="Magucha"/>
    <s v="Cristóbal"/>
    <s v="Ruth"/>
    <s v="Servicio"/>
    <s v="Calibración del equipo FLUKE 1524-S/Nº9840049; en tres puntos (100ºC, 200ºC y 300ºC). Plazo de entrega 20 días hábiles, sujetos a ingreso de sonda nueva FLUKE 5616."/>
    <n v="1"/>
    <s v="Servicio"/>
    <x v="41"/>
    <s v="525 USD + IVA"/>
    <s v="525 USD + IVA"/>
    <m/>
    <m/>
    <x v="0"/>
    <s v="NO CONCRETADO"/>
    <m/>
    <m/>
    <s v="Fecha de entrega sujeta a llegada de sonda nueva."/>
    <m/>
    <m/>
    <m/>
    <m/>
    <n v="8"/>
    <x v="2"/>
  </r>
  <r>
    <x v="109"/>
    <s v="ana Maco"/>
    <s v="Cristóbal"/>
    <s v="Ruth"/>
    <s v="Droga"/>
    <s v="Percloroetileno PA, para uso IR (a chequear el grado de purificación con el uso)"/>
    <n v="60"/>
    <s v="Litros"/>
    <x v="8"/>
    <n v="445"/>
    <n v="26700"/>
    <m/>
    <m/>
    <x v="0"/>
    <s v="NO CONCRETADO"/>
    <m/>
    <m/>
    <m/>
    <m/>
    <s v="0002-00000209_x000a_0002-00000229"/>
    <m/>
    <m/>
    <n v="8"/>
    <x v="2"/>
  </r>
  <r>
    <x v="109"/>
    <s v="Laboratorios General"/>
    <s v="Andrea"/>
    <s v="Ruth"/>
    <s v="Insumos"/>
    <s v="Resma papel autor A4 75 GR.500HJX10"/>
    <n v="2"/>
    <s v="unidades"/>
    <x v="29"/>
    <n v="942.22699999999998"/>
    <n v="1884.454"/>
    <d v="2017-08-09T00:00:00"/>
    <d v="2017-08-09T00:00:00"/>
    <x v="1"/>
    <n v="0"/>
    <s v="En comercio"/>
    <s v="Andrea"/>
    <s v="Ok. En condiciones"/>
    <m/>
    <s v="0023-00020570"/>
    <m/>
    <m/>
    <n v="8"/>
    <x v="2"/>
  </r>
  <r>
    <x v="109"/>
    <s v="Laboratorios General"/>
    <s v="Andrea"/>
    <s v="Ruth"/>
    <s v="Insumos"/>
    <s v="Resma papel autor A4 80 GR.AM.250HJ"/>
    <n v="2"/>
    <s v="unidades"/>
    <x v="29"/>
    <n v="76.846999999999994"/>
    <n v="153.69399999999999"/>
    <d v="2017-08-09T00:00:00"/>
    <d v="2017-08-09T00:00:00"/>
    <x v="1"/>
    <n v="0"/>
    <s v="En comercio"/>
    <s v="Andrea"/>
    <s v="Ok. En condiciones"/>
    <m/>
    <s v="0023-00020570"/>
    <m/>
    <m/>
    <n v="8"/>
    <x v="2"/>
  </r>
  <r>
    <x v="109"/>
    <s v="Laboratorios General"/>
    <s v="Andrea"/>
    <s v="Ruth"/>
    <s v="Insumos"/>
    <s v="Folio Simbaal A4 REF. Cristal x 100"/>
    <n v="2"/>
    <s v="unidades"/>
    <x v="29"/>
    <n v="66.55"/>
    <n v="133.1"/>
    <d v="2017-08-09T00:00:00"/>
    <d v="2017-08-09T00:00:00"/>
    <x v="1"/>
    <n v="0"/>
    <s v="En comercio"/>
    <s v="Andrea"/>
    <s v="Ok. En condiciones"/>
    <m/>
    <s v="0023-00020570"/>
    <m/>
    <m/>
    <n v="8"/>
    <x v="2"/>
  </r>
  <r>
    <x v="109"/>
    <s v="Laboratorios General"/>
    <s v="Andrea"/>
    <s v="Ruth"/>
    <s v="Insumos"/>
    <s v="Papel Nopa Color a4 120gr.7880 100HJ"/>
    <n v="4"/>
    <s v="unidades"/>
    <x v="29"/>
    <n v="77.391999999999996"/>
    <n v="309.56799999999998"/>
    <d v="2017-08-09T00:00:00"/>
    <d v="2017-08-09T00:00:00"/>
    <x v="1"/>
    <n v="0"/>
    <s v="En comercio"/>
    <s v="Andrea"/>
    <s v="Ok. En condiciones"/>
    <m/>
    <s v="0023-00020570"/>
    <m/>
    <m/>
    <n v="8"/>
    <x v="2"/>
  </r>
  <r>
    <x v="109"/>
    <s v="Laboratorios General"/>
    <s v="Andrea"/>
    <s v="Ruth"/>
    <s v="Insumos"/>
    <s v="Marcador Uni PX-20 paint rojo"/>
    <n v="12"/>
    <s v="unidades"/>
    <x v="29"/>
    <n v="46.645000000000003"/>
    <n v="559.74"/>
    <d v="2017-08-09T00:00:00"/>
    <d v="2017-08-09T00:00:00"/>
    <x v="1"/>
    <n v="0"/>
    <s v="En comercio"/>
    <s v="Andrea"/>
    <s v="Ok. En condiciones"/>
    <m/>
    <s v="0023-00020570"/>
    <m/>
    <m/>
    <n v="8"/>
    <x v="2"/>
  </r>
  <r>
    <x v="109"/>
    <s v="Laboratorios General"/>
    <s v="Andrea"/>
    <s v="Ruth"/>
    <s v="Insumos"/>
    <s v="Etiqueta Pegasola caja 3025"/>
    <n v="5"/>
    <s v="unidades"/>
    <x v="29"/>
    <n v="47.734000000000002"/>
    <n v="238.67000000000002"/>
    <d v="2017-08-09T00:00:00"/>
    <d v="2017-08-09T00:00:00"/>
    <x v="1"/>
    <n v="0"/>
    <s v="En comercio"/>
    <s v="Andrea"/>
    <s v="Ok. En condiciones"/>
    <m/>
    <s v="0023-00020570"/>
    <m/>
    <m/>
    <n v="8"/>
    <x v="2"/>
  </r>
  <r>
    <x v="109"/>
    <s v="Laboratorios General"/>
    <s v="Andrea"/>
    <s v="Ruth"/>
    <s v="Insumos"/>
    <s v="Repuesto Cutter gde 18mmx10 ONIX"/>
    <n v="2"/>
    <s v="unidades"/>
    <x v="29"/>
    <n v="13.430999999999999"/>
    <n v="26.861999999999998"/>
    <d v="2017-08-09T00:00:00"/>
    <d v="2017-08-09T00:00:00"/>
    <x v="1"/>
    <n v="0"/>
    <s v="En comercio"/>
    <s v="Andrea"/>
    <s v="Ok. En condiciones"/>
    <m/>
    <s v="0023-00020570"/>
    <m/>
    <m/>
    <n v="8"/>
    <x v="2"/>
  </r>
  <r>
    <x v="109"/>
    <s v="Laboratorios General"/>
    <s v="Andrea"/>
    <s v="Ruth"/>
    <s v="Insumos"/>
    <s v="Broche p/maq Mit 24/8 x5000"/>
    <n v="1"/>
    <s v="unidades"/>
    <x v="29"/>
    <n v="85.364999999999995"/>
    <n v="85.364999999999995"/>
    <d v="2017-08-09T00:00:00"/>
    <d v="2017-08-09T00:00:00"/>
    <x v="1"/>
    <n v="0"/>
    <s v="En comercio"/>
    <s v="Andrea"/>
    <s v="Ok. En condiciones"/>
    <m/>
    <s v="0023-00020570"/>
    <m/>
    <m/>
    <n v="8"/>
    <x v="2"/>
  </r>
  <r>
    <x v="109"/>
    <s v="Laboratorios General"/>
    <s v="Andrea"/>
    <s v="Ruth"/>
    <s v="Insumos"/>
    <s v="Chinches"/>
    <n v="10"/>
    <s v="unidades"/>
    <x v="29"/>
    <n v="3.0489999999999999"/>
    <n v="30.49"/>
    <d v="2017-08-09T00:00:00"/>
    <d v="2017-08-09T00:00:00"/>
    <x v="1"/>
    <n v="0"/>
    <s v="En comercio"/>
    <s v="Andrea"/>
    <s v="Ok. En condiciones"/>
    <m/>
    <s v="0023-00020570"/>
    <m/>
    <m/>
    <n v="8"/>
    <x v="2"/>
  </r>
  <r>
    <x v="109"/>
    <s v="Laboratorios General"/>
    <s v="Andrea"/>
    <s v="Ruth"/>
    <s v="Insumos"/>
    <s v="Boligrafo bic trazo grueso"/>
    <n v="20"/>
    <s v="unidades"/>
    <x v="29"/>
    <n v="5.1669999999999998"/>
    <n v="103.34"/>
    <d v="2017-08-09T00:00:00"/>
    <d v="2017-08-09T00:00:00"/>
    <x v="1"/>
    <n v="0"/>
    <s v="En comercio"/>
    <s v="Andrea"/>
    <s v="Ok. En condiciones"/>
    <m/>
    <s v="0023-00020570"/>
    <m/>
    <m/>
    <n v="8"/>
    <x v="2"/>
  </r>
  <r>
    <x v="110"/>
    <s v="Carolina Narvarte"/>
    <s v="Cristóbal"/>
    <s v="Ruth"/>
    <s v="Insumo"/>
    <s v="Celda de cuarzo, de absorción, para Generador de vapores de hidruros marca Shimadzu modelo HVG-1. N/P 206-77607 "/>
    <n v="2"/>
    <s v="unidades"/>
    <x v="12"/>
    <n v="30622.15"/>
    <n v="61244.3"/>
    <d v="2017-08-28T00:00:00"/>
    <d v="2017-08-28T00:00:00"/>
    <x v="1"/>
    <n v="0"/>
    <s v="Rodriguez Hnos Transporte."/>
    <s v="Julieta"/>
    <s v="Revisa Carolina Narvarte, en condiciones.,,"/>
    <s v="0001-00036311"/>
    <s v="0003-00004089"/>
    <m/>
    <m/>
    <m/>
    <x v="4"/>
  </r>
  <r>
    <x v="110"/>
    <s v="NO APLICA"/>
    <s v="No aplica"/>
    <s v="No aplica"/>
    <s v="Flete"/>
    <s v="Flete/ Seguro/ Entrega"/>
    <n v="1"/>
    <s v="Servicio"/>
    <x v="16"/>
    <n v="809.65"/>
    <n v="809.65"/>
    <d v="2017-08-28T00:00:00"/>
    <d v="2017-08-28T00:00:00"/>
    <x v="1"/>
    <n v="0"/>
    <s v="Rodriguez Hnos Transporte."/>
    <s v="Julieta"/>
    <s v="Servicio contratado por Jenck"/>
    <m/>
    <s v="0009-00035577"/>
    <m/>
    <m/>
    <n v="8"/>
    <x v="2"/>
  </r>
  <r>
    <x v="110"/>
    <s v="Adrián"/>
    <s v="Cristóbal"/>
    <s v="Maria E."/>
    <s v="Droga"/>
    <s v="Sodio Hidróxido x 250gr. Alkemit."/>
    <n v="1"/>
    <s v="Unidad"/>
    <x v="0"/>
    <n v="71.39"/>
    <n v="71.39"/>
    <d v="2017-08-15T00:00:00"/>
    <d v="2017-08-18T00:00:00"/>
    <x v="2"/>
    <n v="3"/>
    <s v="Repartidor"/>
    <s v="Adrian"/>
    <s v="Ok. En condiciones"/>
    <s v="0001-00188498"/>
    <s v="0003-00006713"/>
    <m/>
    <m/>
    <n v="8"/>
    <x v="2"/>
  </r>
  <r>
    <x v="110"/>
    <s v="Adrián"/>
    <s v="Cristóbal"/>
    <s v="Maria E."/>
    <s v="Droga"/>
    <s v="Sodio Cloruro x 1Kg. Biopack."/>
    <n v="1"/>
    <s v="Unidad"/>
    <x v="0"/>
    <n v="183.92"/>
    <n v="183.92"/>
    <d v="2017-08-15T00:00:00"/>
    <d v="2017-10-04T00:00:00"/>
    <x v="2"/>
    <n v="50"/>
    <s v="Repartidor"/>
    <s v="Paola"/>
    <s v="Ok. En condiciones."/>
    <s v="0001-00190079"/>
    <s v="0003-00006877"/>
    <m/>
    <m/>
    <n v="8"/>
    <x v="2"/>
  </r>
  <r>
    <x v="110"/>
    <s v="Adrián"/>
    <s v="Cristóbal"/>
    <s v="Maria E."/>
    <s v="Droga"/>
    <s v="Permanganto de potasio x 2Kg. Biopack."/>
    <n v="1"/>
    <s v="Unidad"/>
    <x v="0"/>
    <n v="1931.16"/>
    <n v="1931.16"/>
    <d v="2017-08-15T00:00:00"/>
    <d v="2017-10-17T00:00:00"/>
    <x v="2"/>
    <n v="63"/>
    <s v="Repartidor"/>
    <s v="Adrián"/>
    <s v="Ok. Cambiaron a marca Alkemit."/>
    <s v="0001-00190452"/>
    <s v="0003-00006912"/>
    <m/>
    <m/>
    <n v="8"/>
    <x v="2"/>
  </r>
  <r>
    <x v="110"/>
    <s v="Adrián"/>
    <s v="Cristóbal"/>
    <s v="Maria E."/>
    <s v="Droga"/>
    <s v="Ácido Sulfámico x 250gr. Alkemit."/>
    <n v="1"/>
    <s v="Unidad"/>
    <x v="0"/>
    <n v="216.59"/>
    <n v="216.59"/>
    <d v="2017-08-15T00:00:00"/>
    <d v="2017-08-18T00:00:00"/>
    <x v="2"/>
    <n v="3"/>
    <m/>
    <s v="Adrian"/>
    <s v="Ok. En condiciones"/>
    <s v="0001-00188497"/>
    <s v="0003-00006714"/>
    <m/>
    <m/>
    <n v="8"/>
    <x v="2"/>
  </r>
  <r>
    <x v="110"/>
    <s v="ana Maco"/>
    <s v="Cristóbal"/>
    <s v="Maria E."/>
    <s v="Insumo"/>
    <s v="Cepillos de 25 mm, para probetas"/>
    <n v="4"/>
    <s v="unidades"/>
    <x v="0"/>
    <n v="15.737500000000001"/>
    <n v="62.95"/>
    <d v="2017-08-15T00:00:00"/>
    <d v="2017-08-18T00:00:00"/>
    <x v="2"/>
    <n v="3"/>
    <m/>
    <s v="Adrian"/>
    <s v="Ok. En condiciones"/>
    <s v="0001-00188497"/>
    <s v="0003-00006714"/>
    <m/>
    <m/>
    <n v="8"/>
    <x v="2"/>
  </r>
  <r>
    <x v="110"/>
    <s v="Laura Meneces"/>
    <s v="Cristóbal"/>
    <s v="Maria E."/>
    <s v="Droga"/>
    <s v="Ioduro de Potasio x 500gr P.A. Alkemit."/>
    <n v="1"/>
    <s v="Unidad"/>
    <x v="0"/>
    <n v="2795.1"/>
    <n v="2795.1"/>
    <d v="2017-08-15T00:00:00"/>
    <d v="2017-08-18T00:00:00"/>
    <x v="2"/>
    <n v="3"/>
    <m/>
    <s v="Adrian"/>
    <s v="Ok. En condiciones"/>
    <s v="0001-00188497"/>
    <s v="0003-00006714"/>
    <m/>
    <m/>
    <n v="8"/>
    <x v="2"/>
  </r>
  <r>
    <x v="110"/>
    <s v="Adrián"/>
    <s v="Cristóbal"/>
    <s v="Ruth"/>
    <s v="Insumo"/>
    <s v="Agua Destilada."/>
    <n v="150"/>
    <s v="Litros"/>
    <x v="2"/>
    <n v="5"/>
    <n v="750"/>
    <d v="2017-08-11T00:00:00"/>
    <d v="2017-08-14T00:00:00"/>
    <x v="2"/>
    <n v="3"/>
    <s v="Repartidor."/>
    <s v="Adrian"/>
    <s v="Ok. En condiciones."/>
    <m/>
    <s v="0004-00001101"/>
    <m/>
    <m/>
    <n v="8"/>
    <x v="2"/>
  </r>
  <r>
    <x v="110"/>
    <s v="Cristóbal"/>
    <s v="Cristóbal"/>
    <s v="Ruth"/>
    <s v="Insumo"/>
    <s v="Agua destilada. CE inferior a 4μS."/>
    <n v="200"/>
    <s v="Litros"/>
    <x v="2"/>
    <n v="5"/>
    <n v="1000"/>
    <d v="2017-08-11T00:00:00"/>
    <d v="2017-08-14T00:00:00"/>
    <x v="2"/>
    <n v="3"/>
    <s v="Repartidor"/>
    <s v="Adriana"/>
    <s v="Ok. En condiciones. CE: OK"/>
    <m/>
    <s v="0004-00001102"/>
    <m/>
    <m/>
    <n v="8"/>
    <x v="2"/>
  </r>
  <r>
    <x v="111"/>
    <s v="Cristóbal"/>
    <s v="Cristóbal"/>
    <s v="Maria E."/>
    <s v="Droga Sedronar"/>
    <s v="TOLUENO PA ACS SINTORGAN (1 L)"/>
    <n v="12"/>
    <s v="Litros"/>
    <x v="3"/>
    <n v="280"/>
    <n v="3360"/>
    <d v="2017-08-22T00:00:00"/>
    <d v="2017-08-22T00:00:00"/>
    <x v="1"/>
    <n v="0"/>
    <s v="Repartidor"/>
    <s v="Nancy Bertagna"/>
    <s v="Ok. En condiciones"/>
    <s v="0003-00228198"/>
    <s v="9995-00004545"/>
    <m/>
    <m/>
    <n v="8"/>
    <x v="2"/>
  </r>
  <r>
    <x v="111"/>
    <s v="Carolina Narvarte"/>
    <s v="Cristóbal"/>
    <s v="Maria E."/>
    <s v="Gases"/>
    <s v="Acetileno extrapuro para AA"/>
    <n v="22.5"/>
    <s v="KG"/>
    <x v="25"/>
    <n v="461.01"/>
    <n v="10372.725"/>
    <d v="2017-08-17T00:00:00"/>
    <d v="2017-08-25T00:00:00"/>
    <x v="2"/>
    <n v="8"/>
    <s v="Repartidor"/>
    <s v="Cristóbal_x000a_Adrián"/>
    <s v="17/08/17 Se recibe 1 tubo por 6 Kg. Ok. En condiciones._x000a_25/08/17 Se reciben 2 tubos por 10 kg. Ok, en condiciones. Adrián._x000a_30/08/17 AA informa que el tubo 1576-OSOZ, presenta carga, pero no encienden los equipos. Se reclama por correo al proveedor._x000a_Los analistas de AA deciden que por no haber mejoras en el funcionamiento de los equipos, se vovlerá a utilizar acetileno común. (No observan ninguna diferencia en las absorbancias. Además la aureola que deja la llama sigue siendo la misma, y la celda no ha presentado mejoras. _x000a_Remito de tubo devuelto: 00009605."/>
    <s v="0050-00008424_x000a__x000a_0050-00008611"/>
    <s v="0034-00001335"/>
    <m/>
    <m/>
    <n v="8"/>
    <x v="2"/>
  </r>
  <r>
    <x v="112"/>
    <s v="Jorge"/>
    <s v="Cristóbal"/>
    <s v="Maria E."/>
    <s v="Insumo"/>
    <s v="Tapones de encapsulado con septa de PTFE, 185,13 370,26 transparente/goma roja, Aluminio plateado (caja x 1000 unidades) Marca Agilent"/>
    <n v="2"/>
    <s v="Cajas"/>
    <x v="15"/>
    <n v="185.13"/>
    <n v="370.26"/>
    <d v="2017-09-06T00:00:00"/>
    <d v="2017-09-06T00:00:00"/>
    <x v="1"/>
    <n v="0"/>
    <s v="Rodriguez hnos. transportes S.A."/>
    <s v="Cristóbal"/>
    <s v="Cotizado en dolares. Pesos Argentinos: $6427,72"/>
    <s v="0001-00095771"/>
    <s v="0003-00004269"/>
    <m/>
    <m/>
    <n v="8"/>
    <x v="2"/>
  </r>
  <r>
    <x v="112"/>
    <s v="NO APLICA"/>
    <s v="No aplica"/>
    <s v="No aplica"/>
    <s v="Flete"/>
    <s v="Flete/Seguro/Entrega"/>
    <n v="1"/>
    <s v="Servicio"/>
    <x v="16"/>
    <n v="196.61"/>
    <n v="196.61"/>
    <d v="2017-09-06T00:00:00"/>
    <d v="2017-09-06T00:00:00"/>
    <x v="1"/>
    <n v="0"/>
    <s v="Rodriguez hnos. transportes S.A."/>
    <s v="Cristóbal"/>
    <s v="Ok. En condiciones."/>
    <m/>
    <s v="0010-00002828"/>
    <m/>
    <m/>
    <n v="8"/>
    <x v="2"/>
  </r>
  <r>
    <x v="113"/>
    <s v="Cristóbal"/>
    <s v="Maria E"/>
    <s v="Maria E."/>
    <s v="Droga"/>
    <s v="CARBONO DISULFURO PA (ACS) CICARELLI (1L)"/>
    <n v="1"/>
    <s v="Lt"/>
    <x v="3"/>
    <n v="1657"/>
    <n v="1657"/>
    <d v="2017-09-26T00:00:00"/>
    <d v="2017-09-12T00:00:00"/>
    <x v="1"/>
    <n v="-14"/>
    <s v="Repartidor"/>
    <s v="Ana"/>
    <s v="Ok. En condiciones."/>
    <s v="0007-00023259"/>
    <s v="9997-00005309"/>
    <m/>
    <m/>
    <n v="8"/>
    <x v="2"/>
  </r>
  <r>
    <x v="113"/>
    <s v="Cristóbal"/>
    <s v="Cristóbal"/>
    <s v="Maria E."/>
    <s v="Insumo"/>
    <s v="GUANTES EXAMEN NITRILO S/POLVO CHICO PRINTEX (100 UN)"/>
    <n v="10"/>
    <s v="Cajas"/>
    <x v="3"/>
    <n v="135"/>
    <n v="1350"/>
    <d v="2017-08-29T00:00:00"/>
    <d v="2017-09-20T00:00:00"/>
    <x v="2"/>
    <n v="22"/>
    <s v="Repartidor"/>
    <s v="Paola"/>
    <s v="23/08/17 Se reciben 4 cajas del pedido. En condiciones._x000a_20/09/17 Se recibe lo que falta del pedido."/>
    <s v="0007-00023143_x000a_0007-00023384_x000a_"/>
    <s v="9997-00005261_x000a_9997-00005355"/>
    <m/>
    <m/>
    <n v="8"/>
    <x v="2"/>
  </r>
  <r>
    <x v="113"/>
    <s v="Cristóbal"/>
    <s v="Cristóbal"/>
    <s v="Maria E."/>
    <s v="Insumo"/>
    <s v="GUANTES EXAMEN NITRILO S/POLVO MEDIANO PRINTEX (100 UN)"/>
    <n v="10"/>
    <s v="Cajas"/>
    <x v="3"/>
    <n v="135"/>
    <n v="1350"/>
    <d v="2017-08-29T00:00:00"/>
    <d v="2017-08-29T00:00:00"/>
    <x v="1"/>
    <n v="0"/>
    <s v="Repartidor"/>
    <s v="Cristóbal"/>
    <s v="23/08/17 Se reciben 4 cajas del pedido. En condiciones._x000a_29/08/17 Se recibe el resto del pedido."/>
    <s v="0007-00023143_x000a_0007-00023187"/>
    <s v="9997-00005261_x000a_9997-00005283"/>
    <m/>
    <m/>
    <n v="8"/>
    <x v="2"/>
  </r>
  <r>
    <x v="113"/>
    <s v="Cristóbal"/>
    <s v="Cristóbal"/>
    <s v="Maria E."/>
    <s v="Insumo"/>
    <s v="GUANTES EXAMEN NITRILO S/POLVO GRANDE PRINTEX (100 UN)"/>
    <n v="10"/>
    <s v="Cajas"/>
    <x v="3"/>
    <n v="135"/>
    <n v="1350"/>
    <d v="2017-08-29T00:00:00"/>
    <d v="2017-09-20T00:00:00"/>
    <x v="2"/>
    <n v="22"/>
    <s v="Repartidor"/>
    <s v="Paola"/>
    <s v="23/08/17 Se reciben 5 cajas del pedido. En condiciones._x000a_20/09/17 Se recibe el resto del pedido."/>
    <s v="0007-00023143_x000a_0007-00023384_x000a_"/>
    <s v="9997-00005261_x000a_9997-00005355"/>
    <m/>
    <m/>
    <n v="8"/>
    <x v="2"/>
  </r>
  <r>
    <x v="113"/>
    <s v="Cristóbal"/>
    <s v="Cristóbal"/>
    <s v="Maria E."/>
    <s v="Insumo"/>
    <s v="MEMBRANA NYLON 0,45UM 47 MM (100) WHATMAN"/>
    <n v="1"/>
    <s v="caja"/>
    <x v="3"/>
    <n v="7050"/>
    <n v="7050"/>
    <d v="2017-08-05T00:00:00"/>
    <d v="2017-09-12T00:00:00"/>
    <x v="2"/>
    <n v="38"/>
    <s v="Repartidor"/>
    <s v="Paola"/>
    <s v="Ok. En condiciones."/>
    <s v="0007-00023258"/>
    <s v="9997-00005308"/>
    <m/>
    <m/>
    <n v="8"/>
    <x v="2"/>
  </r>
  <r>
    <x v="113"/>
    <s v="Carolina Quevedo"/>
    <s v="Carolina_x000a_Cristóbal"/>
    <s v="Maria E."/>
    <s v="Insumo"/>
    <s v="Agua Destilada."/>
    <n v="150"/>
    <s v="Litros"/>
    <x v="2"/>
    <n v="5"/>
    <n v="750"/>
    <d v="2017-08-25T00:00:00"/>
    <d v="2017-08-25T00:00:00"/>
    <x v="1"/>
    <n v="0"/>
    <s v="Repartidor"/>
    <s v="Adrián "/>
    <s v="Ok. En condiciones."/>
    <m/>
    <s v="0004-00001123"/>
    <m/>
    <m/>
    <n v="8"/>
    <x v="2"/>
  </r>
  <r>
    <x v="114"/>
    <s v="Gerardo"/>
    <s v="Julieta"/>
    <s v="M L Barbeito"/>
    <s v="Servicio"/>
    <s v="Análisis de Uranio sobre muestras de agua, Protocolo N°16217"/>
    <n v="13"/>
    <s v="unidades"/>
    <x v="42"/>
    <n v="256"/>
    <n v="3328"/>
    <d v="2017-08-30T00:00:00"/>
    <d v="2017-08-30T00:00:00"/>
    <x v="1"/>
    <n v="0"/>
    <s v="Repartidor"/>
    <s v="Julieta"/>
    <s v="Ok. En condiciones"/>
    <m/>
    <s v="0002-00000218"/>
    <m/>
    <m/>
    <n v="8"/>
    <x v="2"/>
  </r>
  <r>
    <x v="115"/>
    <s v="Cristóbal"/>
    <s v="Cristóbal"/>
    <s v="Ruth"/>
    <s v="Insumo"/>
    <s v="Rollo Elegante 25x400 mts"/>
    <n v="6"/>
    <s v="Rollos"/>
    <x v="23"/>
    <n v="238"/>
    <n v="1428"/>
    <d v="2017-08-28T00:00:00"/>
    <d v="2017-08-29T00:00:00"/>
    <x v="2"/>
    <n v="1"/>
    <s v="Repartidor"/>
    <s v="Cristóbal"/>
    <s v="Ok. En condiciones."/>
    <m/>
    <s v="0004-00001015"/>
    <m/>
    <m/>
    <n v="8"/>
    <x v="2"/>
  </r>
  <r>
    <x v="115"/>
    <s v="Cristóbal"/>
    <s v="Cristóbal"/>
    <s v="Ruth"/>
    <s v="Insumo"/>
    <s v="Pack bolsa de consorcio x 100"/>
    <n v="1"/>
    <s v="pack"/>
    <x v="23"/>
    <n v="200"/>
    <n v="200"/>
    <d v="2017-08-28T00:00:00"/>
    <d v="2017-08-29T00:00:00"/>
    <x v="2"/>
    <n v="1"/>
    <s v="Repartidor"/>
    <s v="Cristóbal"/>
    <s v="Ok. En condiciones."/>
    <m/>
    <s v="0004-00001015"/>
    <m/>
    <m/>
    <n v="8"/>
    <x v="2"/>
  </r>
  <r>
    <x v="115"/>
    <s v="Cristóbal"/>
    <s v="Cristóbal"/>
    <s v="Ruth"/>
    <s v="Insumo"/>
    <s v="Pack bolsa de residuos x 100"/>
    <n v="3"/>
    <s v="pack"/>
    <x v="23"/>
    <n v="120"/>
    <n v="360"/>
    <d v="2017-08-28T00:00:00"/>
    <d v="2017-08-29T00:00:00"/>
    <x v="2"/>
    <n v="1"/>
    <s v="Repartidor"/>
    <s v="Cristóbal"/>
    <s v="Ok. En condiciones."/>
    <m/>
    <s v="0004-00001015"/>
    <m/>
    <m/>
    <n v="8"/>
    <x v="2"/>
  </r>
  <r>
    <x v="115"/>
    <s v="Cristóbal"/>
    <s v="Cristóbal"/>
    <s v="Ruth"/>
    <s v="Insumo"/>
    <s v="Mopa blanca repuesto"/>
    <n v="1"/>
    <s v="Unidad"/>
    <x v="23"/>
    <n v="30"/>
    <n v="30"/>
    <d v="2017-08-28T00:00:00"/>
    <d v="2017-08-29T00:00:00"/>
    <x v="2"/>
    <n v="1"/>
    <s v="Repartidor"/>
    <s v="Cristóbal"/>
    <s v="Ok. En condiciones. Cristóbal"/>
    <m/>
    <s v="0004-00001015"/>
    <m/>
    <m/>
    <n v="8"/>
    <x v="2"/>
  </r>
  <r>
    <x v="115"/>
    <s v="Cristóbal"/>
    <s v="Cristóbal"/>
    <s v="Ruth"/>
    <s v="Insumo"/>
    <s v="Agua Destilada con CE &lt; 4µS/cm x L"/>
    <n v="100"/>
    <s v="Litros"/>
    <x v="2"/>
    <n v="5"/>
    <n v="500"/>
    <d v="2017-08-25T00:00:00"/>
    <d v="2017-08-25T00:00:00"/>
    <x v="1"/>
    <n v="0"/>
    <s v="Repartidor"/>
    <s v="Cristóbal"/>
    <s v="Controla CE, En condiciones."/>
    <m/>
    <s v="0004-00001124"/>
    <m/>
    <m/>
    <n v="8"/>
    <x v="2"/>
  </r>
  <r>
    <x v="116"/>
    <s v="Jorge "/>
    <s v="Jorge"/>
    <s v="M E Barbeito"/>
    <s v="Gases"/>
    <s v="Aire extra puro"/>
    <n v="18"/>
    <s v="Kilogramos"/>
    <x v="25"/>
    <n v="181.41"/>
    <n v="3265.38"/>
    <d v="2017-08-30T00:00:00"/>
    <d v="2017-08-30T00:00:00"/>
    <x v="1"/>
    <n v="0"/>
    <s v="Repartidor"/>
    <s v="Adrián"/>
    <s v="Ok. En condiciones."/>
    <s v="0050-00008682"/>
    <s v="0034- 00001340"/>
    <m/>
    <m/>
    <n v="8"/>
    <x v="2"/>
  </r>
  <r>
    <x v="117"/>
    <s v="Gerardo"/>
    <s v="Julieta"/>
    <s v="Ruth"/>
    <s v="Servicio"/>
    <s v="Análisis de Uranio sobre muestras de agua, Protocolo N°16315"/>
    <n v="13"/>
    <s v="unidades"/>
    <x v="42"/>
    <n v="256"/>
    <n v="3328"/>
    <d v="2017-08-20T00:00:00"/>
    <d v="2017-08-20T00:00:00"/>
    <x v="1"/>
    <n v="0"/>
    <s v="Asociación Cooperadora Facultad de ciencias aplicadas a la industria."/>
    <s v="Julieta"/>
    <s v="Ok. En condiciones."/>
    <m/>
    <s v="0002-00000286"/>
    <m/>
    <m/>
    <n v="8"/>
    <x v="2"/>
  </r>
  <r>
    <x v="118"/>
    <s v="Carolina N."/>
    <s v="Cristóbal"/>
    <s v="Maria E_x000a_Barbeito"/>
    <s v="Gases"/>
    <s v="Acetileno"/>
    <n v="3"/>
    <s v="Tubos"/>
    <x v="25"/>
    <n v="6437.08"/>
    <n v="6437.08"/>
    <d v="2017-09-06T00:00:00"/>
    <d v="2017-09-06T00:00:00"/>
    <x v="1"/>
    <n v="0"/>
    <s v="Repartidor"/>
    <s v="Adrián _x000a_Cristóbal"/>
    <s v="Nro de pedido: 120813277._x000a_Ok, en condiciones."/>
    <s v="0050-00008843"/>
    <s v="0034- 00001349"/>
    <m/>
    <m/>
    <n v="9"/>
    <x v="2"/>
  </r>
  <r>
    <x v="119"/>
    <s v="Cristóbal"/>
    <s v="Cristóbal "/>
    <s v="M L Barbeito"/>
    <s v="Insumo"/>
    <s v="Agua Destilada con CE &lt; 4µS/cm x L"/>
    <n v="200"/>
    <s v="Litros"/>
    <x v="2"/>
    <n v="5"/>
    <n v="1000"/>
    <d v="2017-09-08T00:00:00"/>
    <d v="2017-09-08T00:00:00"/>
    <x v="1"/>
    <n v="0"/>
    <s v="Repartidor"/>
    <s v="Cristóbal"/>
    <s v="Ok, en condiciones. CE: &lt;4microS."/>
    <m/>
    <s v="0004-00001179"/>
    <m/>
    <m/>
    <n v="9"/>
    <x v="2"/>
  </r>
  <r>
    <x v="120"/>
    <s v="Cristóbal"/>
    <s v="Cristóbal "/>
    <s v="Ruth"/>
    <s v="Droga controlada por SEDRONAR"/>
    <s v="Xileno Para Análisis A.C.S. Sintorgan SIN-130003-01"/>
    <n v="24"/>
    <s v="Litros"/>
    <x v="44"/>
    <n v="195.53"/>
    <n v="4692.72"/>
    <d v="2017-09-29T00:00:00"/>
    <d v="2017-09-15T00:00:00"/>
    <x v="1"/>
    <n v="-14"/>
    <s v="Repartidor"/>
    <s v="Andrea_x000a_Leandro"/>
    <s v="Ok. En condiciones"/>
    <s v="0001-00044101"/>
    <s v="0002 - 00002150"/>
    <m/>
    <m/>
    <n v="9"/>
    <x v="2"/>
  </r>
  <r>
    <x v="120"/>
    <s v="Cristóbal"/>
    <s v="Leandro"/>
    <s v="Ruth"/>
    <s v="Droga controlada por SEDRONAR"/>
    <s v="Tolueno Para Análisis A.C.S. Sintorgan SIN-120003-01"/>
    <n v="30"/>
    <s v="Litros"/>
    <x v="44"/>
    <n v="177.84"/>
    <n v="5335.2"/>
    <d v="2017-09-29T00:00:00"/>
    <d v="2017-09-15T00:00:00"/>
    <x v="1"/>
    <n v="-14"/>
    <s v="Repartidor"/>
    <s v="Andrea_x000a_Leandro"/>
    <s v="Ok. En condiciones"/>
    <s v="0001-00044101"/>
    <s v="0002 - 00002150"/>
    <m/>
    <m/>
    <n v="9"/>
    <x v="2"/>
  </r>
  <r>
    <x v="120"/>
    <s v="Cristóbal"/>
    <s v="Cristóbal "/>
    <s v="Ruth"/>
    <s v="Droga controlada por SEDRONAR"/>
    <s v="Acetona Para Análisis A.C.S. Sintorgan SIN-027003-01"/>
    <n v="18"/>
    <s v="Litros"/>
    <x v="44"/>
    <n v="167.43"/>
    <n v="3013.7400000000002"/>
    <d v="2017-09-29T00:00:00"/>
    <d v="2017-09-15T00:00:00"/>
    <x v="1"/>
    <n v="-14"/>
    <s v="Repartidor"/>
    <s v="Andrea_x000a_Leandro"/>
    <s v="Ok. En condiciones"/>
    <s v="0001-00044101"/>
    <s v="0002 - 00002150"/>
    <m/>
    <m/>
    <n v="9"/>
    <x v="2"/>
  </r>
  <r>
    <x v="120"/>
    <s v="Sintorgan"/>
    <s v="No aplica"/>
    <s v="No aplica"/>
    <s v="Transporte"/>
    <s v="Flete/ Seguro/ Entrega"/>
    <n v="1"/>
    <s v="Servicio"/>
    <x v="16"/>
    <n v="913.57"/>
    <n v="913.57"/>
    <d v="2017-09-15T00:00:00"/>
    <d v="2017-09-15T00:00:00"/>
    <x v="1"/>
    <n v="0"/>
    <s v="Repartidor"/>
    <s v="Andrea"/>
    <s v="Ok. En condiciones"/>
    <m/>
    <s v="0009-00013841"/>
    <m/>
    <m/>
    <n v="9"/>
    <x v="2"/>
  </r>
  <r>
    <x v="120"/>
    <s v="Cristóbal"/>
    <s v="Cristóbal "/>
    <s v="Ruth"/>
    <s v="Droga controlada por SEDRONAR"/>
    <s v="Diclorometano Para Análisis A.C.S. Sintorgan SIN-102003-01"/>
    <n v="12"/>
    <s v="Litros"/>
    <x v="44"/>
    <n v="166.56"/>
    <n v="1998.72"/>
    <d v="2017-09-29T00:00:00"/>
    <d v="2017-09-15T00:00:00"/>
    <x v="1"/>
    <n v="-14"/>
    <s v="Repartidor"/>
    <s v="Andrea_x000a_Leandro"/>
    <s v="Ok. En condiciones"/>
    <s v="0001-00044102"/>
    <s v="0002 - 00002151"/>
    <m/>
    <m/>
    <n v="9"/>
    <x v="2"/>
  </r>
  <r>
    <x v="120"/>
    <s v="Sintorgan"/>
    <s v="No aplica"/>
    <s v="No aplica"/>
    <s v="Transporte"/>
    <s v="Flete/ Seguro/ Entrega"/>
    <n v="1"/>
    <s v="Servicio"/>
    <x v="16"/>
    <n v="331.01"/>
    <n v="331.01"/>
    <d v="2017-09-15T00:00:00"/>
    <d v="2017-09-16T00:00:00"/>
    <x v="2"/>
    <n v="1"/>
    <s v="Repartidor"/>
    <s v="Andrea"/>
    <s v="Ok. En condiciones."/>
    <m/>
    <s v="0009-00013842"/>
    <m/>
    <m/>
    <n v="9"/>
    <x v="2"/>
  </r>
  <r>
    <x v="121"/>
    <s v="Adrián"/>
    <s v="adrián"/>
    <s v="M E Barbeito"/>
    <s v="Insumo"/>
    <s v="Agua destilada"/>
    <n v="150"/>
    <s v="Litros"/>
    <x v="2"/>
    <n v="5"/>
    <n v="750"/>
    <d v="2017-09-15T00:00:00"/>
    <d v="2017-09-15T00:00:00"/>
    <x v="1"/>
    <n v="0"/>
    <s v="Repartidor"/>
    <s v="Adrián"/>
    <s v="Ok. En condiciones._x000a_12/09/17 Se reciben 80 lts de agua destilada._x000a_15/09/17 Se reciben 70 lts de agua destilada."/>
    <m/>
    <m/>
    <m/>
    <m/>
    <n v="9"/>
    <x v="2"/>
  </r>
  <r>
    <x v="122"/>
    <s v="Cristóbal"/>
    <s v="Cristóbal"/>
    <s v="Ruth"/>
    <s v="Insumo"/>
    <s v="Vaso vidrio precipitado X 400ML Marca: BT"/>
    <n v="10"/>
    <s v="unidades"/>
    <x v="7"/>
    <n v="159.72"/>
    <n v="1597.2"/>
    <d v="2017-10-10T00:00:00"/>
    <d v="2017-12-06T00:00:00"/>
    <x v="2"/>
    <n v="57"/>
    <s v="Repartidor"/>
    <s v="Ale"/>
    <s v="Ok, en condiciones. "/>
    <s v="0001-00030437"/>
    <s v="0009-00001235"/>
    <m/>
    <m/>
    <n v="9"/>
    <x v="2"/>
  </r>
  <r>
    <x v="123"/>
    <s v="Cristóbal"/>
    <s v="Cristóbal"/>
    <s v="M E Barbeito"/>
    <s v="Insumo"/>
    <s v="Agua Destilada con CE &lt; 4µS/cm x L"/>
    <n v="100"/>
    <s v="Litros"/>
    <x v="2"/>
    <n v="5"/>
    <n v="500"/>
    <d v="2017-09-22T00:00:00"/>
    <d v="2017-09-22T00:00:00"/>
    <x v="1"/>
    <n v="0"/>
    <s v="Repartidor"/>
    <s v="Cristóbal_x000a_Renzo"/>
    <s v="Ok. En condiciones. CE inferior a 4 microS."/>
    <m/>
    <s v="0004-00001208"/>
    <m/>
    <m/>
    <n v="9"/>
    <x v="2"/>
  </r>
  <r>
    <x v="124"/>
    <s v="Cristóbal"/>
    <s v="Cristóbal"/>
    <s v="Ruth"/>
    <s v="Droga controlada por SEDRONAR"/>
    <s v="Ácido clorhídrico x 25 Litros. Marca Merck."/>
    <n v="1"/>
    <s v="Bidón"/>
    <x v="0"/>
    <d v="1917-10-07T10:33:36"/>
    <n v="6490.44"/>
    <d v="2017-10-04T00:00:00"/>
    <d v="2017-10-04T00:00:00"/>
    <x v="1"/>
    <n v="0"/>
    <s v="Repartidor"/>
    <s v="Paola"/>
    <s v="Ok. En condiciones."/>
    <s v="0001-00190078"/>
    <s v="0003-00006876"/>
    <m/>
    <m/>
    <n v="9"/>
    <x v="2"/>
  </r>
  <r>
    <x v="125"/>
    <s v="General"/>
    <s v="Cristóbal"/>
    <s v="Ruth"/>
    <s v="Uniforme"/>
    <s v="Guardapolvos con bordado en bolsillo"/>
    <n v="23"/>
    <s v="Unidades"/>
    <x v="45"/>
    <n v="8644"/>
    <n v="8644"/>
    <d v="2017-10-26T00:00:00"/>
    <d v="2017-12-04T00:00:00"/>
    <x v="2"/>
    <n v="39"/>
    <s v="En comerio._x000a_Retira David"/>
    <s v="Cristóbal"/>
    <s v="15 Días luego de realizado el pago._x000a_Los bordados quedaron desprolijos."/>
    <m/>
    <s v="0014-00006448"/>
    <m/>
    <m/>
    <n v="9"/>
    <x v="2"/>
  </r>
  <r>
    <x v="126"/>
    <s v="Gerardo"/>
    <s v="Julieta"/>
    <s v="Ruth"/>
    <s v="Servicio"/>
    <s v="Análisis de Uranio sobre muestras de agua, Protocolo N°16315"/>
    <n v="13"/>
    <s v="Muestras"/>
    <x v="42"/>
    <n v="256"/>
    <n v="3328"/>
    <m/>
    <m/>
    <x v="0"/>
    <s v="NO CONCRETADO"/>
    <s v="Repartidor"/>
    <s v="Julieta"/>
    <s v="Ok. En condiciones."/>
    <m/>
    <m/>
    <m/>
    <m/>
    <m/>
    <x v="4"/>
  </r>
  <r>
    <x v="126"/>
    <s v="Adrián"/>
    <s v="Cristóbal"/>
    <s v="Ruth"/>
    <s v="Droga"/>
    <s v="ACIDO NITRICO 65% PA CICARELLI (1 L)"/>
    <n v="12"/>
    <s v="Litros"/>
    <x v="3"/>
    <n v="260"/>
    <n v="3120"/>
    <d v="2017-10-17T00:00:00"/>
    <d v="2017-10-11T00:00:00"/>
    <x v="1"/>
    <n v="-6"/>
    <s v="Repartidor"/>
    <s v="Paola"/>
    <s v="Ok. En condiciones."/>
    <s v="0007-00023555"/>
    <s v="9997-00005415"/>
    <m/>
    <m/>
    <n v="9"/>
    <x v="2"/>
  </r>
  <r>
    <x v="127"/>
    <s v="Carolina N."/>
    <s v="Cristóbal"/>
    <s v="M E Barbeito"/>
    <s v="Gases"/>
    <s v="Acetileno"/>
    <n v="3"/>
    <s v="Tubos"/>
    <x v="25"/>
    <n v="6437.08"/>
    <n v="6437.08"/>
    <d v="2017-10-03T00:00:00"/>
    <d v="2017-10-02T00:00:00"/>
    <x v="1"/>
    <n v="-1"/>
    <s v="Repartidor"/>
    <s v="Adrián_x000a_Cristóbal"/>
    <s v="Nro de pedido: 120928452._x000a_Ok. En condiciones."/>
    <s v="0050-00009318,"/>
    <s v="0034-00001363"/>
    <m/>
    <m/>
    <n v="9"/>
    <x v="2"/>
  </r>
  <r>
    <x v="127"/>
    <s v="Cristóbal"/>
    <s v="Cristóbal"/>
    <s v="M E Barbeito"/>
    <s v="Insumo"/>
    <s v="Propipetas de caucho. Marca Viking"/>
    <n v="15"/>
    <s v="Uniidades"/>
    <x v="0"/>
    <n v="239.58"/>
    <n v="3593.7000000000003"/>
    <d v="2017-10-10T00:00:00"/>
    <d v="2017-10-04T00:00:00"/>
    <x v="1"/>
    <n v="-6"/>
    <s v="Repartidor"/>
    <s v="Paola"/>
    <s v="Ok. En condiciones."/>
    <s v="0001-00190077"/>
    <s v="0003-00006875"/>
    <m/>
    <m/>
    <n v="9"/>
    <x v="2"/>
  </r>
  <r>
    <x v="127"/>
    <s v="Laura Meneces"/>
    <s v="Cristóbal"/>
    <s v="M E Barbeito"/>
    <s v="Droga controlada por SEDRONAR"/>
    <s v="ácido Clorhídrico x 2,5 Litros. Marca Merck."/>
    <n v="10"/>
    <s v="Botellones"/>
    <x v="0"/>
    <n v="1422.96"/>
    <n v="14229.6"/>
    <d v="2017-10-20T00:00:00"/>
    <d v="2017-10-19T00:00:00"/>
    <x v="1"/>
    <n v="-1"/>
    <s v="Repartidor"/>
    <s v="Adrián"/>
    <s v="Ok. En condiciones"/>
    <s v="0001-00190459"/>
    <s v="0003-00006951"/>
    <m/>
    <m/>
    <n v="9"/>
    <x v="2"/>
  </r>
  <r>
    <x v="127"/>
    <s v="Adriana Narvarte"/>
    <s v="Cristóbal"/>
    <s v="Ruth"/>
    <s v="Insumo"/>
    <s v="MEMBRANA SARTOLON NY POLIAMIDA 0.45 UM 47 MM SARTORIUS (100 UN)"/>
    <n v="1"/>
    <s v="Caja"/>
    <x v="3"/>
    <n v="1750"/>
    <n v="1750"/>
    <d v="2017-10-17T00:00:00"/>
    <d v="2017-10-03T00:00:00"/>
    <x v="1"/>
    <n v="-14"/>
    <s v="Repartidor"/>
    <s v="Renzo"/>
    <s v="Ok. En condiciones."/>
    <s v="0007-00023476"/>
    <s v="9997-00005388"/>
    <m/>
    <m/>
    <n v="9"/>
    <x v="2"/>
  </r>
  <r>
    <x v="128"/>
    <s v="M E Barbeito"/>
    <s v="Cristóbal"/>
    <s v="M E Barbeito"/>
    <s v="Equipo"/>
    <s v="MEDIDOR DE PH PARA MESADA CON AMPLIO CDIS HANNA."/>
    <n v="1"/>
    <s v="Equipo"/>
    <x v="3"/>
    <n v="16395"/>
    <n v="16395"/>
    <d v="2017-10-26T00:00:00"/>
    <d v="2017-10-25T00:00:00"/>
    <x v="1"/>
    <n v="-1"/>
    <s v="Repartidor"/>
    <s v="Paola"/>
    <s v="Ok. En condiciones."/>
    <s v="0007-00023666"/>
    <s v="9997-00005402"/>
    <m/>
    <m/>
    <n v="10"/>
    <x v="2"/>
  </r>
  <r>
    <x v="129"/>
    <s v="Adrián Quiroga"/>
    <s v="Cristóbal"/>
    <s v="M E Barbeito"/>
    <s v="Insumo"/>
    <s v="Agua destilada"/>
    <n v="150"/>
    <s v="Litros"/>
    <x v="2"/>
    <n v="5"/>
    <n v="750"/>
    <d v="2017-10-06T00:00:00"/>
    <d v="2017-10-06T00:00:00"/>
    <x v="1"/>
    <n v="0"/>
    <s v="Repartidor"/>
    <s v="Cristóbal"/>
    <s v="Ok. En condiciones."/>
    <m/>
    <s v="0004-00001281"/>
    <m/>
    <m/>
    <n v="10"/>
    <x v="2"/>
  </r>
  <r>
    <x v="129"/>
    <s v="Cristóbal"/>
    <s v="Cristóbal"/>
    <s v="M E Barbeito"/>
    <s v="Insumo"/>
    <s v="Agua Destilada con CE &lt; 4µS/cm x L"/>
    <n v="180"/>
    <s v="Litros"/>
    <x v="2"/>
    <n v="5"/>
    <n v="900"/>
    <d v="2017-10-06T00:00:00"/>
    <d v="2017-10-06T00:00:00"/>
    <x v="1"/>
    <n v="0"/>
    <s v="Repartidor"/>
    <s v="Cristóbal"/>
    <s v="Ok. En condiciones. Controla CE Leandr, en condiciones."/>
    <m/>
    <s v="0004-00001280"/>
    <m/>
    <m/>
    <n v="10"/>
    <x v="2"/>
  </r>
  <r>
    <x v="130"/>
    <s v="Cristóbal"/>
    <s v="Cristóbal"/>
    <s v="Ruth"/>
    <s v="Insumo"/>
    <s v="TUBOS PARA ENSAYO POUR PION ASTM D-97 Y D-2500 AFORADOS IVA (4UN)"/>
    <n v="3"/>
    <s v="Packs"/>
    <x v="3"/>
    <n v="1510"/>
    <n v="4530"/>
    <d v="2017-11-10T00:00:00"/>
    <d v="2017-12-06T00:00:00"/>
    <x v="2"/>
    <n v="26"/>
    <s v="Repartidor"/>
    <s v="Ale"/>
    <s v="Ok. En condiciones."/>
    <s v="0007-00024038"/>
    <s v="9997-00005584"/>
    <m/>
    <m/>
    <n v="10"/>
    <x v="2"/>
  </r>
  <r>
    <x v="130"/>
    <m/>
    <s v="Cristóbal"/>
    <s v="Ruth"/>
    <s v="Droga"/>
    <s v="MAGNESIO CLORURO 6-HIDRATO BIOPACK (1 KG)"/>
    <n v="1"/>
    <s v="Kg"/>
    <x v="3"/>
    <n v="405"/>
    <n v="405"/>
    <d v="2017-10-25T00:00:00"/>
    <d v="2017-10-25T00:00:00"/>
    <x v="1"/>
    <n v="0"/>
    <s v="Repartidor"/>
    <s v="Paola"/>
    <s v="Ok. En condiciones."/>
    <s v="0007-00023665"/>
    <s v="9997-00005454"/>
    <m/>
    <m/>
    <n v="10"/>
    <x v="2"/>
  </r>
  <r>
    <x v="131"/>
    <s v="Cristóbal"/>
    <s v="Cristóbal"/>
    <s v="Ruth"/>
    <s v="Droga controlada por SEDRONAR"/>
    <s v="ACIDO SULFURICO PA ACS 95-98% CICARELLI (1 L)"/>
    <n v="12"/>
    <s v="Litros"/>
    <x v="0"/>
    <n v="360.58"/>
    <n v="4326.96"/>
    <d v="2017-10-20T00:00:00"/>
    <d v="2017-10-17T00:00:00"/>
    <x v="1"/>
    <n v="-3"/>
    <s v="Repartidor"/>
    <s v="Paola"/>
    <s v="Ok. En condiciones."/>
    <s v="0001-00190420"/>
    <s v="0003-00006907"/>
    <m/>
    <m/>
    <n v="10"/>
    <x v="2"/>
  </r>
  <r>
    <x v="131"/>
    <s v="Alejandra Somonte"/>
    <s v="Cristóbal"/>
    <s v="Ruth"/>
    <s v="Droga controlada por SEDRONAR"/>
    <s v="Hidróxido de Amonio. Alkemit (1 L)"/>
    <n v="3"/>
    <s v="Litros"/>
    <x v="0"/>
    <n v="208.12"/>
    <n v="624.36"/>
    <d v="2017-10-20T00:00:00"/>
    <d v="2017-10-17T00:00:00"/>
    <x v="1"/>
    <n v="-3"/>
    <s v="Repartidor"/>
    <s v="Paola"/>
    <s v="Ok. En condiciones."/>
    <s v="0001-00190420"/>
    <s v="0003-00006907"/>
    <m/>
    <m/>
    <n v="10"/>
    <x v="2"/>
  </r>
  <r>
    <x v="131"/>
    <s v="Adrián"/>
    <s v="Cristóbal"/>
    <s v="Ruth"/>
    <s v="Droga controlada por SEDRONAR"/>
    <s v="ACIDO SULFURICO PA ACS 95-98% CICARELLI (1 L)"/>
    <n v="18"/>
    <s v="Litros"/>
    <x v="0"/>
    <n v="360.58"/>
    <n v="6490.44"/>
    <d v="2017-10-20T00:00:00"/>
    <m/>
    <x v="0"/>
    <s v="NO CONCRETADO"/>
    <s v="Repartidor"/>
    <s v="Marcela "/>
    <s v="17/10/17 Presentan 15 litros. Ok. En condiciones."/>
    <s v="0001-00190421"/>
    <s v="0003-00006908"/>
    <m/>
    <m/>
    <n v="10"/>
    <x v="2"/>
  </r>
  <r>
    <x v="132"/>
    <s v="Carolina Quevedo"/>
    <s v="Cristóbal"/>
    <s v="María E."/>
    <s v="Insumos"/>
    <s v="Probetas graduadas base plástica tapa de plástico de 100 ML. IVA"/>
    <n v="25"/>
    <s v="Unidades"/>
    <x v="3"/>
    <n v="332"/>
    <n v="8300"/>
    <d v="2017-10-26T00:00:00"/>
    <d v="2017-12-06T00:00:00"/>
    <x v="2"/>
    <n v="41"/>
    <s v="Repartidor"/>
    <s v="Renzo_x000a_Ale"/>
    <s v="19/10/17. Entregan 2 unidades, en condiciones._x000a_06/12/17. Entregan 23 unidades, en condiciones."/>
    <s v="0007-00023617_x000a_0007-00024040"/>
    <s v="9997-00005433_x000a_9997-00005585"/>
    <m/>
    <m/>
    <n v="10"/>
    <x v="2"/>
  </r>
  <r>
    <x v="132"/>
    <s v="Cristóbal"/>
    <s v="Cristóbal"/>
    <s v="María E."/>
    <s v="Insumos"/>
    <s v="Vaso de precipitado forma baja de 30 ml graduados"/>
    <n v="5"/>
    <s v="Unidades"/>
    <x v="3"/>
    <n v="124"/>
    <n v="620"/>
    <d v="2017-10-31T00:00:00"/>
    <d v="2017-11-14T00:00:00"/>
    <x v="2"/>
    <n v="14"/>
    <s v="Repartidor"/>
    <s v="Renzo"/>
    <s v="Ok. En condiciones."/>
    <s v="0007-00023876"/>
    <s v="9997-00005525"/>
    <m/>
    <m/>
    <n v="10"/>
    <x v="2"/>
  </r>
  <r>
    <x v="132"/>
    <s v="Cristóbal"/>
    <s v="Cristóbal"/>
    <s v="María E."/>
    <s v="Insumos"/>
    <s v="Vaso de precipitado forma baja de 50 ml graduados"/>
    <n v="5"/>
    <s v="Unidades"/>
    <x v="3"/>
    <n v="106"/>
    <n v="530"/>
    <d v="2017-10-19T00:00:00"/>
    <d v="2017-10-19T00:00:00"/>
    <x v="1"/>
    <n v="0"/>
    <s v="Repartidor"/>
    <s v="Renzo"/>
    <s v="Ok. En condiciones."/>
    <s v="0007-00023619"/>
    <s v="9997-00005435"/>
    <m/>
    <m/>
    <n v="10"/>
    <x v="2"/>
  </r>
  <r>
    <x v="132"/>
    <s v="Cristóbal"/>
    <s v="Cristóbal"/>
    <s v="María E."/>
    <s v="Insumos"/>
    <s v="Vaso de precipitado forma baja de 100 ml graduados"/>
    <n v="10"/>
    <s v="Unidades"/>
    <x v="3"/>
    <n v="110"/>
    <n v="1100"/>
    <d v="2017-10-19T00:00:00"/>
    <d v="2017-10-19T00:00:00"/>
    <x v="1"/>
    <n v="0"/>
    <s v="Repartidor"/>
    <s v="Renzo"/>
    <s v="Ok. En condiciones."/>
    <s v="0007-00023619"/>
    <s v="9997-00005435"/>
    <m/>
    <m/>
    <n v="10"/>
    <x v="2"/>
  </r>
  <r>
    <x v="132"/>
    <s v="Cristóbal"/>
    <s v="Cristóbal"/>
    <s v="María E."/>
    <s v="Insumos"/>
    <s v="Vaso de precipitado forma baja de 150 ml graduados"/>
    <n v="5"/>
    <s v="Unidades"/>
    <x v="3"/>
    <n v="119"/>
    <n v="595"/>
    <d v="2017-10-19T00:00:00"/>
    <d v="2017-10-19T00:00:00"/>
    <x v="1"/>
    <n v="0"/>
    <s v="Repartidor"/>
    <s v="Renzo"/>
    <s v="Ok. En condiciones."/>
    <s v="0007-00023619"/>
    <s v="9997-00005435"/>
    <m/>
    <m/>
    <n v="10"/>
    <x v="2"/>
  </r>
  <r>
    <x v="132"/>
    <s v="Laboratorios General"/>
    <s v="Cristóbal"/>
    <s v="Maria E."/>
    <s v="Insumos"/>
    <s v="RESMA PAPEL LED. AUTOR A4 75GR.500HJ X10"/>
    <n v="4"/>
    <s v="Unidades"/>
    <x v="46"/>
    <n v="1017.61"/>
    <n v="4070.44"/>
    <d v="2017-10-24T00:00:00"/>
    <d v="2017-10-26T00:00:00"/>
    <x v="2"/>
    <n v="2"/>
    <s v="Contaduria"/>
    <s v="Cristóbal"/>
    <s v="Ok. En condiciones."/>
    <s v="0001-00033718"/>
    <s v="0023-00022847"/>
    <m/>
    <m/>
    <n v="10"/>
    <x v="2"/>
  </r>
  <r>
    <x v="132"/>
    <s v="Laboratorios General"/>
    <s v="Cristóbal"/>
    <s v="Maria E."/>
    <s v="Insumos"/>
    <s v="RESMA PAPEL AUTOR A4 80GR.AMARILLO 250HJ"/>
    <n v="4"/>
    <s v="Unidades"/>
    <x v="46"/>
    <n v="82.99"/>
    <n v="331.96"/>
    <d v="2017-10-24T00:00:00"/>
    <d v="2017-10-26T00:00:00"/>
    <x v="2"/>
    <n v="2"/>
    <s v="Contaduria"/>
    <s v="Cristóbal"/>
    <s v="Ok. En condiciones."/>
    <s v="0001-00033718"/>
    <s v="0023-00022847"/>
    <m/>
    <m/>
    <n v="10"/>
    <x v="2"/>
  </r>
  <r>
    <x v="132"/>
    <s v="Laboratorios General"/>
    <s v="Cristóbal"/>
    <s v="Maria E."/>
    <s v="Insumos"/>
    <s v="RESMA PAPEL AUTOR A4 80GR.VERDE 250HJ"/>
    <n v="1"/>
    <s v="Unidad"/>
    <x v="46"/>
    <n v="82.99"/>
    <n v="82.99"/>
    <d v="2017-10-24T00:00:00"/>
    <d v="2017-10-26T00:00:00"/>
    <x v="2"/>
    <n v="2"/>
    <s v="Contaduria"/>
    <s v="Cristóbal"/>
    <s v="Ok. En condiciones."/>
    <s v="0001-00033718"/>
    <s v="0023-00022847"/>
    <m/>
    <m/>
    <n v="10"/>
    <x v="2"/>
  </r>
  <r>
    <x v="132"/>
    <s v="Laboratorios General"/>
    <s v="Cristóbal"/>
    <s v="Maria E."/>
    <s v="Insumos"/>
    <s v="PAPEL NOPA COLOR A4 120GR.7880 100HJ"/>
    <n v="3"/>
    <s v="Unidades"/>
    <x v="46"/>
    <n v="77.39"/>
    <n v="232.17000000000002"/>
    <d v="2017-10-24T00:00:00"/>
    <d v="2017-10-26T00:00:00"/>
    <x v="2"/>
    <n v="2"/>
    <s v="Contaduria"/>
    <s v="Cristóbal"/>
    <s v="Ok. En condiciones."/>
    <s v="0001-00033718"/>
    <s v="0023-00022847"/>
    <m/>
    <m/>
    <n v="10"/>
    <x v="2"/>
  </r>
  <r>
    <x v="132"/>
    <s v="Laboratorios General"/>
    <s v="Cristóbal"/>
    <s v="Maria E."/>
    <s v="Insumos"/>
    <s v="SOBRE BOLSA MANILA 27X37 X100 2629"/>
    <n v="1"/>
    <s v="Unidades"/>
    <x v="46"/>
    <n v="303"/>
    <n v="303"/>
    <d v="2017-10-24T00:00:00"/>
    <d v="2017-10-26T00:00:00"/>
    <x v="2"/>
    <n v="2"/>
    <s v="Contaduria"/>
    <s v="Cristóbal"/>
    <s v="Ok. En condiciones."/>
    <s v="0001-00033718"/>
    <s v="0023-00022847"/>
    <m/>
    <m/>
    <n v="10"/>
    <x v="2"/>
  </r>
  <r>
    <x v="132"/>
    <s v="Laboratorios General"/>
    <s v="Cristóbal"/>
    <s v="Maria E."/>
    <s v="Insumos"/>
    <s v="SOBRE BOLSA MANILA 24X30 X100 2667"/>
    <n v="2"/>
    <s v="Unidades"/>
    <x v="46"/>
    <n v="164.11"/>
    <n v="328.22"/>
    <d v="2017-10-24T00:00:00"/>
    <d v="2017-10-26T00:00:00"/>
    <x v="2"/>
    <n v="2"/>
    <s v="Contaduria"/>
    <s v="Cristóbal"/>
    <s v="Ok. En condiciones."/>
    <s v="0001-00033718"/>
    <s v="0023-00022847"/>
    <m/>
    <m/>
    <n v="10"/>
    <x v="2"/>
  </r>
  <r>
    <x v="132"/>
    <s v="Laboratorios General"/>
    <s v="Cristóbal"/>
    <s v="Maria E."/>
    <s v="Insumos"/>
    <s v="FOLIO LUMA EQ.COMERCIAL A4 REF.X100"/>
    <n v="3"/>
    <s v="Unidades"/>
    <x v="46"/>
    <n v="72.040000000000006"/>
    <n v="216.12"/>
    <d v="2017-10-24T00:00:00"/>
    <d v="2017-10-26T00:00:00"/>
    <x v="2"/>
    <n v="2"/>
    <s v="Contaduria"/>
    <s v="Cristóbal"/>
    <s v="Ok. En condiciones."/>
    <s v="0001-00033718"/>
    <s v="0023-00022847"/>
    <m/>
    <m/>
    <n v="10"/>
    <x v="2"/>
  </r>
  <r>
    <x v="132"/>
    <s v="Laboratorios General"/>
    <s v="Cristóbal"/>
    <s v="Maria E."/>
    <s v="Insumos"/>
    <s v="CINTA ADHESIVA AJEC 306 PAPEL 18X50"/>
    <n v="4"/>
    <s v="Unidades"/>
    <x v="46"/>
    <n v="18.79"/>
    <n v="75.16"/>
    <d v="2017-10-24T00:00:00"/>
    <d v="2017-10-26T00:00:00"/>
    <x v="2"/>
    <n v="2"/>
    <s v="Contaduria"/>
    <s v="Cristóbal"/>
    <s v="Ok. En condiciones."/>
    <s v="0001-00033718"/>
    <s v="0023-00022847"/>
    <m/>
    <m/>
    <n v="10"/>
    <x v="2"/>
  </r>
  <r>
    <x v="132"/>
    <s v="Laboratorios General"/>
    <s v="Cristóbal"/>
    <s v="Maria E."/>
    <s v="Insumos"/>
    <s v="CINTA ADHES.CONDOR 48X40 TRANSPARENTE"/>
    <n v="30"/>
    <s v="Unidades"/>
    <x v="46"/>
    <n v="14.86"/>
    <n v="445.79999999999995"/>
    <d v="2017-10-24T00:00:00"/>
    <d v="2017-10-26T00:00:00"/>
    <x v="2"/>
    <n v="2"/>
    <s v="Contaduria"/>
    <s v="Cristóbal"/>
    <s v="Ok. En condiciones."/>
    <s v="0001-00033718"/>
    <s v="0023-00022847"/>
    <m/>
    <m/>
    <n v="10"/>
    <x v="2"/>
  </r>
  <r>
    <x v="132"/>
    <s v="Laboratorios General"/>
    <s v="Cristóbal"/>
    <s v="Maria E."/>
    <s v="Insumos"/>
    <s v="TINTA PELIKAN P/SELLOS 28CC.4K NEGRA"/>
    <n v="1"/>
    <s v="Unidad"/>
    <x v="46"/>
    <n v="47.73"/>
    <n v="47.73"/>
    <d v="2017-10-24T00:00:00"/>
    <d v="2017-10-26T00:00:00"/>
    <x v="2"/>
    <n v="2"/>
    <s v="Contaduria"/>
    <s v="Cristóbal"/>
    <s v="Ok. En condiciones."/>
    <s v="0001-00033718"/>
    <s v="0023-00022847"/>
    <m/>
    <m/>
    <n v="10"/>
    <x v="2"/>
  </r>
  <r>
    <x v="132"/>
    <s v="Laboratorios General"/>
    <s v="Cristóbal"/>
    <s v="Maria E."/>
    <s v="Insumos"/>
    <s v="TINTA PELIKAN P/SELLOS 28CC.4K VERDE"/>
    <n v="1"/>
    <s v="Unidad"/>
    <x v="46"/>
    <n v="47.73"/>
    <n v="47.73"/>
    <d v="2017-10-24T00:00:00"/>
    <d v="2017-10-26T00:00:00"/>
    <x v="2"/>
    <n v="2"/>
    <s v="Contaduria"/>
    <s v="Cristóbal"/>
    <s v="Ok. En condiciones."/>
    <s v="0001-00033718"/>
    <s v="0023-00022847"/>
    <m/>
    <m/>
    <n v="10"/>
    <x v="2"/>
  </r>
  <r>
    <x v="132"/>
    <s v="Laboratorios General"/>
    <s v="Cristóbal"/>
    <s v="Maria E."/>
    <s v="Insumos"/>
    <s v="BOLIGRAFO BIC TRAZO MEDIO AZUL X50"/>
    <n v="1"/>
    <s v="Unidad"/>
    <x v="46"/>
    <n v="258.72000000000003"/>
    <n v="258.72000000000003"/>
    <d v="2017-10-24T00:00:00"/>
    <d v="2017-10-26T00:00:00"/>
    <x v="2"/>
    <n v="2"/>
    <s v="Contaduria"/>
    <s v="Cristóbal"/>
    <s v="Ok. En condiciones."/>
    <s v="0001-00033718"/>
    <s v="0023-00022847"/>
    <m/>
    <m/>
    <n v="10"/>
    <x v="2"/>
  </r>
  <r>
    <x v="132"/>
    <s v="Laboratorios General"/>
    <s v="Cristóbal"/>
    <s v="Maria E."/>
    <s v="Insumos"/>
    <s v="BOLIGRAFO BIC TRAZO MEDIO ROJA C/U"/>
    <n v="5"/>
    <s v="Unidades"/>
    <x v="46"/>
    <n v="5.2"/>
    <n v="26"/>
    <d v="2017-10-24T00:00:00"/>
    <d v="2017-10-26T00:00:00"/>
    <x v="2"/>
    <n v="2"/>
    <s v="Contaduria"/>
    <s v="Cristóbal"/>
    <s v="Ok. En condiciones."/>
    <s v="0001-00033718"/>
    <s v="0023-00022847"/>
    <m/>
    <m/>
    <n v="10"/>
    <x v="2"/>
  </r>
  <r>
    <x v="132"/>
    <s v="Laboratorios General"/>
    <s v="Cristóbal"/>
    <s v="Maria E."/>
    <s v="Insumos"/>
    <s v="MARCADOR EDDING PERM.E-400 NEGRO X10"/>
    <n v="2"/>
    <s v="Unidades"/>
    <x v="46"/>
    <n v="259.55"/>
    <n v="519.1"/>
    <d v="2017-10-24T00:00:00"/>
    <d v="2017-10-26T00:00:00"/>
    <x v="2"/>
    <n v="2"/>
    <s v="Contaduria"/>
    <s v="Cristóbal"/>
    <s v="Ok. En condiciones."/>
    <s v="0001-00033718"/>
    <s v="0023-00022847"/>
    <m/>
    <m/>
    <n v="10"/>
    <x v="2"/>
  </r>
  <r>
    <x v="132"/>
    <s v="Laboratorios General"/>
    <s v="Cristóbal"/>
    <s v="Maria E."/>
    <s v="Insumos"/>
    <s v="MARCADOR FABER RESALTADOR T49 VERDE C/U"/>
    <n v="5"/>
    <s v="Unidades"/>
    <x v="46"/>
    <n v="13.27"/>
    <n v="66.349999999999994"/>
    <d v="2017-10-24T00:00:00"/>
    <d v="2017-10-26T00:00:00"/>
    <x v="2"/>
    <n v="2"/>
    <s v="Contaduria"/>
    <s v="Cristóbal"/>
    <s v="Ok. En condiciones."/>
    <s v="0001-00033718"/>
    <s v="0023-00022847"/>
    <m/>
    <m/>
    <n v="10"/>
    <x v="2"/>
  </r>
  <r>
    <x v="132"/>
    <s v="Laboratorios General"/>
    <s v="Cristóbal"/>
    <s v="Maria E."/>
    <s v="Insumos"/>
    <s v="MARCADOR FABER RESALTADOR T49 NARANJA"/>
    <n v="5"/>
    <s v="Unidades"/>
    <x v="46"/>
    <n v="13.27"/>
    <n v="66.349999999999994"/>
    <d v="2017-10-24T00:00:00"/>
    <d v="2017-10-26T00:00:00"/>
    <x v="2"/>
    <n v="2"/>
    <s v="Contaduria"/>
    <s v="Cristóbal"/>
    <s v="Ok. En condiciones."/>
    <s v="0001-00033718"/>
    <s v="0023-00022847"/>
    <m/>
    <m/>
    <n v="10"/>
    <x v="2"/>
  </r>
  <r>
    <x v="132"/>
    <s v="Laboratorios General"/>
    <s v="Cristóbal"/>
    <s v="Maria E."/>
    <s v="Insumos"/>
    <s v="MARCADOR FABER RESALTADOR T49 AMARILLO"/>
    <n v="5"/>
    <s v="Unidades"/>
    <x v="46"/>
    <n v="13.27"/>
    <n v="66.349999999999994"/>
    <d v="2017-10-24T00:00:00"/>
    <d v="2017-10-26T00:00:00"/>
    <x v="2"/>
    <n v="2"/>
    <s v="Contaduria"/>
    <s v="Cristóbal"/>
    <s v="Ok. En condiciones."/>
    <s v="0001-00033718"/>
    <s v="0023-00022847"/>
    <m/>
    <m/>
    <n v="10"/>
    <x v="2"/>
  </r>
  <r>
    <x v="132"/>
    <s v="Laboratorios General"/>
    <s v="Cristóbal"/>
    <s v="Maria E."/>
    <s v="Insumos"/>
    <s v="TIJERA MAPED ADVANCED 21CM 499110"/>
    <n v="6"/>
    <s v="Unidades"/>
    <x v="46"/>
    <n v="44.09"/>
    <n v="264.54000000000002"/>
    <d v="2017-10-24T00:00:00"/>
    <d v="2017-10-26T00:00:00"/>
    <x v="2"/>
    <n v="2"/>
    <s v="Contaduria"/>
    <s v="Cristóbal"/>
    <s v="Ok. En condiciones."/>
    <s v="0001-00033718"/>
    <s v="0023-00022847"/>
    <m/>
    <m/>
    <n v="10"/>
    <x v="2"/>
  </r>
  <r>
    <x v="132"/>
    <s v="Laboratorios General"/>
    <s v="Cristóbal"/>
    <s v="Maria E."/>
    <s v="Insumos"/>
    <s v="TIJERA MAPED ADVANCED 17CM 496110"/>
    <n v="4"/>
    <s v="Unidades"/>
    <x v="46"/>
    <n v="31.29"/>
    <n v="125.16"/>
    <d v="2017-10-24T00:00:00"/>
    <d v="2017-10-26T00:00:00"/>
    <x v="2"/>
    <n v="2"/>
    <s v="Contaduria"/>
    <s v="Cristóbal"/>
    <s v="Ok. En condiciones."/>
    <s v="0001-00033718"/>
    <s v="0023-00022847"/>
    <m/>
    <m/>
    <n v="10"/>
    <x v="2"/>
  </r>
  <r>
    <x v="132"/>
    <s v="Laboratorios General"/>
    <s v="Cristóbal"/>
    <s v="Maria E."/>
    <s v="Insumos"/>
    <s v="SACAPUNTAS MAPED METAL 506600 C/U"/>
    <n v="2"/>
    <s v="Unidades"/>
    <x v="46"/>
    <n v="7.1"/>
    <n v="14.2"/>
    <d v="2017-10-24T00:00:00"/>
    <d v="2017-10-26T00:00:00"/>
    <x v="2"/>
    <n v="2"/>
    <s v="Contaduria"/>
    <s v="Cristóbal"/>
    <s v="Ok. En condiciones."/>
    <s v="0001-00033718"/>
    <s v="0023-00022847"/>
    <m/>
    <m/>
    <n v="10"/>
    <x v="2"/>
  </r>
  <r>
    <x v="132"/>
    <s v="Laboratorios General"/>
    <s v="Cristóbal"/>
    <s v="Maria E."/>
    <s v="Insumos"/>
    <s v="APRIETA PAPELES NEGRO 25MM LIGGO X12"/>
    <n v="2"/>
    <s v="Unidades"/>
    <x v="46"/>
    <n v="24.53"/>
    <n v="49.06"/>
    <d v="2017-10-24T00:00:00"/>
    <d v="2017-10-26T00:00:00"/>
    <x v="2"/>
    <n v="2"/>
    <s v="Contaduria"/>
    <s v="Cristóbal"/>
    <s v="Ok. En condiciones."/>
    <s v="0001-00033718"/>
    <s v="0023-00022847"/>
    <m/>
    <m/>
    <n v="10"/>
    <x v="2"/>
  </r>
  <r>
    <x v="132"/>
    <s v="Laboratorios General"/>
    <s v="Cristóbal"/>
    <s v="Maria E."/>
    <s v="Insumos"/>
    <s v="APRIETA PAPELES NEGRO 32MM LIGGO X12"/>
    <n v="2"/>
    <s v="Unidades"/>
    <x v="46"/>
    <n v="35.56"/>
    <n v="71.12"/>
    <d v="2017-10-24T00:00:00"/>
    <d v="2017-10-26T00:00:00"/>
    <x v="2"/>
    <n v="2"/>
    <s v="Contaduria"/>
    <s v="Cristóbal"/>
    <s v="Ok. En condiciones."/>
    <s v="0001-00033718"/>
    <s v="0023-00022847"/>
    <m/>
    <m/>
    <n v="10"/>
    <x v="2"/>
  </r>
  <r>
    <x v="132"/>
    <s v="Laboratorios General"/>
    <s v="Cristóbal"/>
    <s v="Maria E."/>
    <s v="Insumos"/>
    <s v="APRIETA PAPELES NEGRO 41MM LIGGO X12"/>
    <n v="2"/>
    <s v="Unidades"/>
    <x v="46"/>
    <n v="61.27"/>
    <n v="122.54"/>
    <d v="2017-10-24T00:00:00"/>
    <d v="2017-10-26T00:00:00"/>
    <x v="2"/>
    <n v="2"/>
    <s v="Contaduria"/>
    <s v="Cristóbal"/>
    <s v="Ok. En condiciones."/>
    <s v="0001-00033718"/>
    <s v="0023-00022847"/>
    <m/>
    <m/>
    <n v="10"/>
    <x v="2"/>
  </r>
  <r>
    <x v="132"/>
    <s v="Laboratorios General"/>
    <s v="Cristóbal"/>
    <s v="Maria E."/>
    <s v="Insumos"/>
    <s v="CARPETA TAPA TRANSPARENTE A4 1"/>
    <n v="10"/>
    <s v="Unidades"/>
    <x v="46"/>
    <n v="7.97"/>
    <n v="79.7"/>
    <d v="2017-10-24T00:00:00"/>
    <d v="2017-10-26T00:00:00"/>
    <x v="2"/>
    <n v="2"/>
    <s v="Contaduria"/>
    <s v="Cristóbal"/>
    <s v="Ok. En condiciones."/>
    <s v="0001-00033718"/>
    <s v="0023-00022847"/>
    <m/>
    <m/>
    <n v="10"/>
    <x v="2"/>
  </r>
  <r>
    <x v="132"/>
    <s v="Laboratorios General"/>
    <s v="Cristóbal"/>
    <s v="Maria E."/>
    <s v="Insumos"/>
    <s v="CARPETA PLASTICA 20 FOLIOS A4"/>
    <n v="5"/>
    <s v="Unidades"/>
    <x v="46"/>
    <n v="34.96"/>
    <n v="174.8"/>
    <d v="2017-10-24T00:00:00"/>
    <d v="2017-10-26T00:00:00"/>
    <x v="2"/>
    <n v="2"/>
    <s v="Contaduria"/>
    <s v="Cristóbal"/>
    <s v="Ok. En condiciones."/>
    <s v="0001-00033718"/>
    <s v="0023-00022847"/>
    <m/>
    <m/>
    <n v="10"/>
    <x v="2"/>
  </r>
  <r>
    <x v="132"/>
    <s v="Laboratorios General"/>
    <s v="Cristóbal"/>
    <s v="Maria E."/>
    <s v="Insumos"/>
    <s v="CARPETA PLASTICA 30 FOLIOS A4 LIGGO"/>
    <n v="5"/>
    <s v="Unidades"/>
    <x v="46"/>
    <n v="40.14"/>
    <n v="200.7"/>
    <d v="2017-10-24T00:00:00"/>
    <d v="2017-10-26T00:00:00"/>
    <x v="2"/>
    <n v="2"/>
    <s v="Contaduria"/>
    <s v="Cristóbal"/>
    <s v="Ok. En condiciones."/>
    <s v="0001-00033718"/>
    <s v="0023-00022847"/>
    <m/>
    <m/>
    <n v="10"/>
    <x v="2"/>
  </r>
  <r>
    <x v="132"/>
    <s v="Laboratorios General"/>
    <s v="Cristóbal"/>
    <s v="Maria E."/>
    <s v="Insumos"/>
    <s v="ETIQUETA PEGASOLA CAJA 3015"/>
    <n v="8"/>
    <s v="Unidades"/>
    <x v="46"/>
    <n v="47.73"/>
    <n v="381.84"/>
    <d v="2017-10-24T00:00:00"/>
    <d v="2017-10-26T00:00:00"/>
    <x v="2"/>
    <n v="2"/>
    <s v="Contaduria"/>
    <s v="Cristóbal"/>
    <s v="Ok. En condiciones."/>
    <s v="0001-00033718"/>
    <s v="0023-00022847"/>
    <m/>
    <m/>
    <n v="10"/>
    <x v="2"/>
  </r>
  <r>
    <x v="132"/>
    <s v="Laboratorios General"/>
    <s v="Cristóbal"/>
    <s v="Maria E."/>
    <s v="Insumos"/>
    <s v="CUADERNO TRIUNFANTE T/D 100HJ FORR. 1 azul, 1 verde, 1 rojo,1 anaranjado y 6 variados."/>
    <n v="10"/>
    <s v="Unidades"/>
    <x v="46"/>
    <n v="61.99"/>
    <n v="619.9"/>
    <d v="2017-10-24T00:00:00"/>
    <d v="2017-10-26T00:00:00"/>
    <x v="2"/>
    <n v="2"/>
    <s v="Contaduria"/>
    <s v="Cristóbal"/>
    <s v="Ok. En condiciones."/>
    <s v="0001-00033718"/>
    <s v="0023-00022847"/>
    <m/>
    <m/>
    <n v="10"/>
    <x v="2"/>
  </r>
  <r>
    <x v="132"/>
    <s v="Laboratorios General"/>
    <s v="Cristóbal"/>
    <s v="Maria E."/>
    <s v="Insumos"/>
    <s v="CUADERNO TRIUNFANTE C/ESP A4 120HJ T/C 2 verde, 1 bordo, 1 anaranjado, 1 de letras, 1 de números y 3 variados"/>
    <n v="9"/>
    <s v="Unidades"/>
    <x v="46"/>
    <n v="139.54"/>
    <n v="1255.8599999999999"/>
    <d v="2017-10-24T00:00:00"/>
    <d v="2017-10-26T00:00:00"/>
    <x v="2"/>
    <n v="2"/>
    <s v="Contaduria"/>
    <s v="Cristóbal"/>
    <s v="Ok. En condiciones."/>
    <s v="0001-00033718"/>
    <s v="0023-00022847"/>
    <m/>
    <m/>
    <n v="10"/>
    <x v="2"/>
  </r>
  <r>
    <x v="132"/>
    <s v="Laboratorios General"/>
    <s v="Cristóbal"/>
    <s v="Maria E."/>
    <s v="Insumos"/>
    <s v="BANDA ELASTICA 100GR.CREDENCIAL"/>
    <n v="1"/>
    <s v="Unidad"/>
    <x v="46"/>
    <n v="18.68"/>
    <n v="18.68"/>
    <d v="2017-10-24T00:00:00"/>
    <d v="2017-10-26T00:00:00"/>
    <x v="2"/>
    <n v="2"/>
    <s v="Contaduria"/>
    <s v="Cristóbal"/>
    <s v="Ok. En condiciones."/>
    <s v="0001-00033718"/>
    <s v="0023-00022847"/>
    <m/>
    <m/>
    <n v="10"/>
    <x v="2"/>
  </r>
  <r>
    <x v="132"/>
    <s v="Laboratorios General"/>
    <s v="Cristóbal"/>
    <s v="Maria E."/>
    <s v="Insumos"/>
    <s v="BIBLIORATO LIGGO A4 PVC LOMO 7CM NEGRO"/>
    <n v="2"/>
    <s v="Unidades"/>
    <x v="46"/>
    <n v="48.28"/>
    <n v="96.56"/>
    <d v="2017-10-24T00:00:00"/>
    <d v="2017-10-26T00:00:00"/>
    <x v="2"/>
    <n v="2"/>
    <s v="Contaduria"/>
    <s v="Cristóbal"/>
    <s v="Ok. En condiciones."/>
    <s v="0001-00033718"/>
    <s v="0023-00022847"/>
    <m/>
    <m/>
    <n v="10"/>
    <x v="2"/>
  </r>
  <r>
    <x v="132"/>
    <s v="Laboratorios General"/>
    <s v="Cristóbal"/>
    <s v="Maria E."/>
    <s v="Insumos"/>
    <s v="LAPIZ BIC GRAFITO EVOLUT.NEGRO C/U"/>
    <n v="10"/>
    <s v="Unidades"/>
    <x v="46"/>
    <n v="2.38"/>
    <n v="23.799999999999997"/>
    <d v="2017-10-24T00:00:00"/>
    <d v="2017-10-26T00:00:00"/>
    <x v="2"/>
    <n v="2"/>
    <s v="Contaduria"/>
    <s v="Cristóbal"/>
    <s v="Ok. En condiciones."/>
    <s v="0001-00033718"/>
    <s v="0023-00022847"/>
    <m/>
    <m/>
    <n v="10"/>
    <x v="2"/>
  </r>
  <r>
    <x v="132"/>
    <s v="Laboratorios General"/>
    <s v="Cristóbal"/>
    <s v="Maria E."/>
    <s v="Insumos"/>
    <s v="CINTA ADHES.STIKO DUCT TAPE 48X9MT AMAR."/>
    <n v="1"/>
    <s v="Unidad"/>
    <x v="46"/>
    <n v="81.680000000000007"/>
    <n v="81.680000000000007"/>
    <d v="2017-10-24T00:00:00"/>
    <d v="2017-10-26T00:00:00"/>
    <x v="2"/>
    <n v="2"/>
    <s v="Contaduria"/>
    <s v="Cristóbal"/>
    <s v="Ok. En condiciones."/>
    <s v="0001-00033718"/>
    <s v="0023-00022847"/>
    <m/>
    <m/>
    <n v="10"/>
    <x v="2"/>
  </r>
  <r>
    <x v="132"/>
    <s v="Laboratorios General"/>
    <s v="Cristóbal"/>
    <s v="Maria E."/>
    <s v="Insumos"/>
    <s v="LIBRETA S.VERDE 4060/660"/>
    <n v="5"/>
    <s v="Unidades"/>
    <x v="46"/>
    <n v="18.59"/>
    <n v="92.95"/>
    <d v="2017-10-24T00:00:00"/>
    <d v="2017-10-26T00:00:00"/>
    <x v="2"/>
    <n v="2"/>
    <s v="Contaduria"/>
    <s v="Cristóbal"/>
    <s v="Ok. En condiciones."/>
    <s v="0001-00033718"/>
    <s v="0023-00022847"/>
    <m/>
    <m/>
    <n v="10"/>
    <x v="2"/>
  </r>
  <r>
    <x v="132"/>
    <s v="Laboratorios General"/>
    <s v="Cristóbal"/>
    <s v="Maria E."/>
    <s v="Insumos"/>
    <s v="PAPEL ADHESIVO AMARILLO 7X7 X100"/>
    <n v="5"/>
    <s v="Unidades"/>
    <x v="46"/>
    <n v="10.95"/>
    <n v="54.75"/>
    <d v="2017-10-24T00:00:00"/>
    <d v="2017-10-26T00:00:00"/>
    <x v="2"/>
    <n v="2"/>
    <s v="Contaduria"/>
    <s v="Cristóbal"/>
    <s v="Ok. En condiciones."/>
    <s v="0001-00033718"/>
    <s v="0023-00022847"/>
    <m/>
    <m/>
    <n v="10"/>
    <x v="2"/>
  </r>
  <r>
    <x v="132"/>
    <s v="Laboratorios General"/>
    <s v="Cristóbal"/>
    <s v="Maria E."/>
    <s v="Insumos"/>
    <s v="PAPEL ADHESIVO FLUOR 7X7 X80"/>
    <n v="6"/>
    <s v="Unidades"/>
    <x v="46"/>
    <n v="16.75"/>
    <n v="100.5"/>
    <d v="2017-10-24T00:00:00"/>
    <d v="2017-10-26T00:00:00"/>
    <x v="2"/>
    <n v="2"/>
    <s v="Contaduria"/>
    <s v="Cristóbal"/>
    <s v="Ok. En condiciones."/>
    <s v="0001-00033718"/>
    <s v="0023-00022847"/>
    <m/>
    <m/>
    <n v="10"/>
    <x v="2"/>
  </r>
  <r>
    <x v="133"/>
    <s v="Adrián"/>
    <s v="Cristóbal"/>
    <s v="Maria E."/>
    <s v="Insumos"/>
    <s v="33806 Vaso HPV-100 de TFM, de 100 ml de_x000a_capacidad, para rotor HPR 1000/10."/>
    <n v="8"/>
    <s v="Unidades"/>
    <x v="47"/>
    <n v="183"/>
    <n v="1742.1599999999999"/>
    <d v="2017-10-24T00:00:00"/>
    <d v="2017-10-26T00:00:00"/>
    <x v="2"/>
    <n v="2"/>
    <s v="Contaduria"/>
    <s v="Cristóbal"/>
    <s v="Ok. En condiciones."/>
    <s v="0001-00033718"/>
    <s v="0023-00022847"/>
    <m/>
    <m/>
    <n v="10"/>
    <x v="2"/>
  </r>
  <r>
    <x v="133"/>
    <s v="Adrián"/>
    <s v="Cristóbal"/>
    <s v="Maria E."/>
    <s v="Insumos"/>
    <s v="DD00040 Vaso HPV-100 de TFM, de 100 ml de_x000a_capacidad, para rotor HPR 1000/10."/>
    <n v="4"/>
    <s v="Unidades"/>
    <x v="47"/>
    <n v="83"/>
    <n v="395.08"/>
    <d v="2017-10-24T00:00:00"/>
    <d v="2017-10-26T00:00:00"/>
    <x v="2"/>
    <n v="2"/>
    <s v="Contaduria"/>
    <s v="Cristóbal"/>
    <s v="Ok. En condiciones."/>
    <s v="0001-00033718"/>
    <s v="0023-00022847"/>
    <m/>
    <m/>
    <n v="10"/>
    <x v="2"/>
  </r>
  <r>
    <x v="133"/>
    <s v="Adrián"/>
    <s v="Cristóbal"/>
    <s v="Maria E."/>
    <s v="Insumos"/>
    <s v="34048 Protection Shield para rotor HPR 1000/10."/>
    <n v="8"/>
    <s v="Unidades"/>
    <x v="47"/>
    <n v="464"/>
    <n v="4417.28"/>
    <d v="2017-10-24T00:00:00"/>
    <d v="2017-10-26T00:00:00"/>
    <x v="2"/>
    <n v="2"/>
    <s v="Contaduria"/>
    <s v="Cristóbal"/>
    <s v="Ok. En condiciones."/>
    <s v="0001-00033718"/>
    <s v="0023-00022847"/>
    <m/>
    <m/>
    <n v="10"/>
    <x v="2"/>
  </r>
  <r>
    <x v="133"/>
    <s v="Adrián"/>
    <s v="Cristóbal"/>
    <s v="Maria E."/>
    <s v="Insumos"/>
    <s v="34056 Anillo Protector PR-56"/>
    <n v="8"/>
    <s v="Unidades"/>
    <x v="47"/>
    <n v="72"/>
    <n v="685.43999999999994"/>
    <d v="2017-10-24T00:00:00"/>
    <d v="2017-10-26T00:00:00"/>
    <x v="2"/>
    <n v="2"/>
    <s v="Contaduria"/>
    <s v="Cristóbal"/>
    <s v="Ok. En condiciones."/>
    <s v="0001-00033718"/>
    <s v="0023-00022847"/>
    <m/>
    <m/>
    <n v="10"/>
    <x v="2"/>
  </r>
  <r>
    <x v="133"/>
    <s v="Adrián"/>
    <s v="Cristóbal"/>
    <s v="Maria E."/>
    <s v="Insumos"/>
    <s v="Tapa de teflón termo resistente completa para recipiente de referencia con control de temperatura (incluye tapa, vaina cerámica, disco adaptador, resorte y herramienta para ajuste de sellos)."/>
    <n v="1"/>
    <s v="Unidades"/>
    <x v="47"/>
    <n v="1135"/>
    <n v="1350.6499999999999"/>
    <d v="2017-10-24T00:00:00"/>
    <d v="2017-10-26T00:00:00"/>
    <x v="2"/>
    <n v="2"/>
    <s v="Contaduria"/>
    <s v="Cristóbal"/>
    <s v="Ok. En condiciones."/>
    <s v="0001-00033718"/>
    <s v="0023-00022847"/>
    <m/>
    <m/>
    <n v="10"/>
    <x v="2"/>
  </r>
  <r>
    <x v="133"/>
    <s v="Adrián"/>
    <s v="Cristóbal"/>
    <s v="Maria E."/>
    <s v="Insumos"/>
    <s v="Insulating plate"/>
    <n v="8"/>
    <s v="Unidades"/>
    <x v="47"/>
    <n v="79"/>
    <n v="752.07999999999993"/>
    <d v="2017-10-24T00:00:00"/>
    <d v="2017-10-26T00:00:00"/>
    <x v="2"/>
    <n v="2"/>
    <s v="Contaduria"/>
    <s v="Cristóbal"/>
    <s v="Ok. En condiciones."/>
    <s v="0001-00033718"/>
    <s v="0023-00022847"/>
    <m/>
    <m/>
    <n v="10"/>
    <x v="2"/>
  </r>
  <r>
    <x v="134"/>
    <s v="Carolina N."/>
    <s v="Cristóbal"/>
    <s v="María E."/>
    <s v="Gases"/>
    <s v="Acetileno comun"/>
    <n v="3"/>
    <s v="tubos"/>
    <x v="25"/>
    <n v="4398.68"/>
    <n v="4398.68"/>
    <d v="2017-10-27T00:00:00"/>
    <d v="2017-10-25T00:00:00"/>
    <x v="1"/>
    <n v="-2"/>
    <s v="Repartidor"/>
    <s v="Adrián"/>
    <s v="atención: Diego. Nºde pedido: 120371975._x000a_Controla Adrián, en condiciones."/>
    <s v="0050-00009731"/>
    <s v="0034-00001369"/>
    <m/>
    <m/>
    <n v="10"/>
    <x v="2"/>
  </r>
  <r>
    <x v="135"/>
    <s v="Cristóbal"/>
    <s v="Cristóbal"/>
    <s v="Maria E."/>
    <s v="Insumos"/>
    <s v="Bobina de papel Elegante 20x400 mts"/>
    <n v="2"/>
    <s v="Bobinas"/>
    <x v="23"/>
    <n v="225"/>
    <n v="450"/>
    <d v="2017-10-27T00:00:00"/>
    <d v="2017-10-27T00:00:00"/>
    <x v="1"/>
    <n v="0"/>
    <s v="Repartidor"/>
    <s v="Renzo"/>
    <s v="Ok. En condiciones."/>
    <m/>
    <s v="0004-00001090"/>
    <m/>
    <m/>
    <n v="10"/>
    <x v="2"/>
  </r>
  <r>
    <x v="135"/>
    <s v="Cristóbal"/>
    <s v="Cristóbal"/>
    <s v="Maria E."/>
    <s v="Insumos"/>
    <s v="Bobina de papel Elegante 25x400 mts"/>
    <n v="4"/>
    <s v="Bobinas"/>
    <x v="23"/>
    <n v="260"/>
    <n v="1040"/>
    <d v="2017-10-27T00:00:00"/>
    <d v="2017-10-27T00:00:00"/>
    <x v="1"/>
    <n v="0"/>
    <s v="Repartidor"/>
    <s v="Renzo"/>
    <s v="Ok. En condiciones."/>
    <m/>
    <s v="0004-00001090"/>
    <m/>
    <m/>
    <n v="10"/>
    <x v="2"/>
  </r>
  <r>
    <x v="135"/>
    <s v="Adrián"/>
    <s v="Cristóbal"/>
    <s v="Maria E."/>
    <s v="Insumos"/>
    <s v="Bobina de papel Elite 25x400 mts"/>
    <n v="4"/>
    <s v="Bobinas"/>
    <x v="23"/>
    <n v="235"/>
    <n v="940"/>
    <d v="2017-10-27T00:00:00"/>
    <d v="2017-10-27T00:00:00"/>
    <x v="1"/>
    <n v="0"/>
    <s v="Repartidor"/>
    <s v="Renzo"/>
    <s v="Ok. En condiciones."/>
    <m/>
    <s v="0004-00001090"/>
    <m/>
    <m/>
    <n v="10"/>
    <x v="2"/>
  </r>
  <r>
    <x v="135"/>
    <s v="Silvia"/>
    <s v="Cristóbal"/>
    <s v="Maria E."/>
    <s v="Insumos"/>
    <s v="Film rollo x 250mts"/>
    <n v="1"/>
    <s v="Rollo"/>
    <x v="23"/>
    <n v="90"/>
    <n v="90"/>
    <d v="2017-10-27T00:00:00"/>
    <d v="2017-10-27T00:00:00"/>
    <x v="1"/>
    <n v="0"/>
    <s v="Repartidor"/>
    <s v="Renzo"/>
    <s v="Ok. En condiciones."/>
    <m/>
    <s v="0004-00001090"/>
    <m/>
    <m/>
    <n v="10"/>
    <x v="2"/>
  </r>
  <r>
    <x v="136"/>
    <s v="Laboratorios General"/>
    <s v="Cristóbal"/>
    <s v="Maria E."/>
    <s v="Insumos"/>
    <s v="CUADERNO TRIUNFANTE C/ESP A4 120HJ T/C SDC"/>
    <n v="1"/>
    <s v="Unidad"/>
    <x v="46"/>
    <n v="139.53700000000001"/>
    <n v="139.53700000000001"/>
    <d v="2017-10-28T00:00:00"/>
    <d v="2017-10-28T00:00:00"/>
    <x v="1"/>
    <n v="0"/>
    <s v="En comercio"/>
    <s v="Cristóbal"/>
    <s v="Ok. En condiciones."/>
    <m/>
    <s v="0023-00023026"/>
    <m/>
    <m/>
    <n v="10"/>
    <x v="2"/>
  </r>
  <r>
    <x v="136"/>
    <s v="Laboratorios General"/>
    <s v="Cristóbal"/>
    <s v="Maria E."/>
    <s v="Insumos"/>
    <s v="Block Triunfante A5 C/Esp 80 Hj"/>
    <n v="3"/>
    <s v="Unidades"/>
    <x v="46"/>
    <n v="23.861000000000001"/>
    <n v="71.582999999999998"/>
    <d v="2017-10-28T00:00:00"/>
    <d v="2017-10-28T00:00:00"/>
    <x v="1"/>
    <n v="0"/>
    <s v="En comercio"/>
    <s v="Cristóbal"/>
    <s v="Ok. En condiciones."/>
    <m/>
    <s v="0023-00023026"/>
    <m/>
    <m/>
    <n v="10"/>
    <x v="2"/>
  </r>
  <r>
    <x v="137"/>
    <s v="Carolina N"/>
    <s v="Cristóbal"/>
    <s v="Ruth"/>
    <s v="Insumos"/>
    <s v="Celda de cuarzo, de absorción, para Generador de vapores de hidruros. Marca: Shimadzu, modelo HVG-1. N/P 206-77607"/>
    <n v="1"/>
    <s v="Unidad"/>
    <x v="48"/>
    <n v="30536.61"/>
    <n v="30536.61"/>
    <d v="2017-11-13T00:00:00"/>
    <d v="2017-11-17T00:00:00"/>
    <x v="2"/>
    <n v="4"/>
    <s v="Rodriguez Hermanos transportes"/>
    <s v="Maria E."/>
    <s v="Ok. En condiciones"/>
    <s v="0001-00037244"/>
    <s v="0003-00004321"/>
    <m/>
    <m/>
    <n v="10"/>
    <x v="2"/>
  </r>
  <r>
    <x v="137"/>
    <s v="Carolina N"/>
    <s v="Cristóbal"/>
    <s v="Ruth"/>
    <s v="Insumos"/>
    <s v="Un Tubo de bomba para reactivos, color naranja, para generador de hidruros. Marca: Shimadzu, modelo HVG-1. N/P 208-90038-08x1 (reemplaza al N/P 200-54612-08x1)."/>
    <n v="2"/>
    <s v="Unidades"/>
    <x v="12"/>
    <n v="1009.73"/>
    <n v="2019.46"/>
    <d v="2017-11-13T00:00:00"/>
    <d v="2017-11-17T00:00:00"/>
    <x v="2"/>
    <n v="4"/>
    <s v="Rodriguez Hermanos transportes"/>
    <s v="Maria E."/>
    <s v="Ok. En condiciones"/>
    <s v="0001-00037244"/>
    <s v="0003-00004321"/>
    <m/>
    <m/>
    <n v="10"/>
    <x v="2"/>
  </r>
  <r>
    <x v="137"/>
    <s v="Carolina N"/>
    <s v="Cristóbal"/>
    <s v="Ruth"/>
    <s v="Insumos"/>
    <s v="Un Tubo de bomba para muestra, color azul, para Generador de hidruros. Marca Shimadzu, modelo HVG-1. N/P 208-90038-13x1 (Reemplaza al N/P 200-54612-13x1)."/>
    <n v="4"/>
    <s v="Unidades"/>
    <x v="12"/>
    <n v="1009.73"/>
    <n v="4038.92"/>
    <d v="2017-11-13T00:00:00"/>
    <d v="2017-11-17T00:00:00"/>
    <x v="2"/>
    <n v="4"/>
    <s v="Rodriguez Hermanos transportes"/>
    <s v="Maria E."/>
    <s v="Ok. En condiciones"/>
    <s v="0001-00037244"/>
    <s v="0003-00004321"/>
    <m/>
    <m/>
    <n v="10"/>
    <x v="2"/>
  </r>
  <r>
    <x v="137"/>
    <s v="Carolina N"/>
    <s v="Cristóbal"/>
    <s v="Ruth"/>
    <s v="Insumos"/>
    <s v="Tubería de plástico fluorocarbonado de 400mm. Marca: Shimadzu. N/P 206 60250-01."/>
    <n v="1"/>
    <s v="Unidad"/>
    <x v="12"/>
    <n v="2445.92"/>
    <n v="2445.92"/>
    <d v="2017-11-13T00:00:00"/>
    <d v="2017-11-17T00:00:00"/>
    <x v="2"/>
    <n v="4"/>
    <s v="Rodriguez Hermanos transportes"/>
    <s v="Maria E."/>
    <s v="Ok. En condiciones"/>
    <s v="0001-00037244"/>
    <s v="0003-00004321"/>
    <m/>
    <m/>
    <n v="10"/>
    <x v="2"/>
  </r>
  <r>
    <x v="137"/>
    <s v="NO APLICA"/>
    <s v="No aplica"/>
    <s v="No aplica"/>
    <s v="Flete"/>
    <s v="Flete/Seguro/Entrega"/>
    <n v="1"/>
    <s v="Servicio"/>
    <x v="16"/>
    <n v="588.04"/>
    <n v="588.04"/>
    <d v="2017-11-17T00:00:00"/>
    <d v="2017-11-17T00:00:00"/>
    <x v="1"/>
    <n v="0"/>
    <s v="Rodriguez Hermanos transportes"/>
    <s v="Maria E."/>
    <s v="La factura viene a nombre de UNC, se reclama a Jenck."/>
    <m/>
    <s v="0009-00015844"/>
    <m/>
    <m/>
    <n v="10"/>
    <x v="2"/>
  </r>
  <r>
    <x v="138"/>
    <s v="Cristóbal"/>
    <s v="Cristóbal"/>
    <s v="Ruth"/>
    <s v="Insumo"/>
    <s v="Soporte de 6 embudos con pie, de 55 de diametros, con una separación entre cada soporte (centro/centro) de 10cm"/>
    <n v="3"/>
    <s v="Unidades"/>
    <x v="7"/>
    <n v="1120"/>
    <n v="3360"/>
    <s v="No informa"/>
    <d v="2017-12-28T00:00:00"/>
    <x v="1"/>
    <e v="#VALUE!"/>
    <s v="Repartidor"/>
    <s v="Andrea"/>
    <s v="Ok. En condiciones."/>
    <s v="0001-00030639"/>
    <s v="0009-00001258"/>
    <m/>
    <m/>
    <n v="11"/>
    <x v="2"/>
  </r>
  <r>
    <x v="139"/>
    <s v="Paola"/>
    <s v="Cristóbal"/>
    <s v="Maria E"/>
    <s v="Gases"/>
    <s v="Nitrogeno gaseoso 9.42 M3"/>
    <n v="1"/>
    <s v="Tubo"/>
    <x v="25"/>
    <n v="500.61"/>
    <n v="500.61"/>
    <d v="2017-11-14T00:00:00"/>
    <d v="2017-11-14T00:00:00"/>
    <x v="1"/>
    <n v="0"/>
    <s v="Repartidor"/>
    <s v="Renzo"/>
    <s v="Ok. En condiciones."/>
    <s v="0050-00010075"/>
    <s v="0034-00001382"/>
    <m/>
    <m/>
    <n v="11"/>
    <x v="2"/>
  </r>
  <r>
    <x v="139"/>
    <s v="NO APLICA"/>
    <s v="No aplica"/>
    <s v="No aplica"/>
    <s v="Flete"/>
    <s v="Flete"/>
    <n v="1"/>
    <s v="Servicio"/>
    <x v="49"/>
    <n v="121.51"/>
    <n v="121.51"/>
    <d v="2017-11-14T00:00:00"/>
    <d v="2017-11-14T00:00:00"/>
    <x v="1"/>
    <n v="0"/>
    <s v="Repartidor"/>
    <s v="Renzo"/>
    <s v="Ok. En condiciones."/>
    <s v="0050-00010075"/>
    <s v="0034-00001382"/>
    <m/>
    <m/>
    <n v="11"/>
    <x v="2"/>
  </r>
  <r>
    <x v="140"/>
    <s v="Cristóbal"/>
    <s v="Cristóbal"/>
    <s v="Maria E."/>
    <s v="Insumos"/>
    <s v="Agua Destilada con CE &lt; 4µS/cm x L"/>
    <n v="160"/>
    <s v="Lts"/>
    <x v="2"/>
    <n v="6"/>
    <n v="960"/>
    <d v="2017-11-15T00:00:00"/>
    <d v="2017-11-16T00:00:00"/>
    <x v="2"/>
    <n v="1"/>
    <s v="Repartidor"/>
    <s v="Renzo"/>
    <s v="Ok. En condiciones. CE inferior a 4 microS."/>
    <m/>
    <s v="0004-00001389"/>
    <m/>
    <m/>
    <n v="11"/>
    <x v="2"/>
  </r>
  <r>
    <x v="141"/>
    <s v="Cristóbal"/>
    <s v="Cristóbal"/>
    <s v="Maria E."/>
    <s v="Insumos"/>
    <s v="Bidón virgen"/>
    <n v="2"/>
    <s v="unidades"/>
    <x v="2"/>
    <n v="50"/>
    <n v="100"/>
    <d v="2017-11-15T00:00:00"/>
    <d v="2017-11-16T00:00:00"/>
    <x v="2"/>
    <n v="1"/>
    <s v="Repartidor"/>
    <s v="Renzo"/>
    <s v="Ok. En condiciones."/>
    <m/>
    <s v="0004-00001389"/>
    <m/>
    <m/>
    <n v="11"/>
    <x v="2"/>
  </r>
  <r>
    <x v="142"/>
    <s v="Adrian"/>
    <s v="Cristóbal"/>
    <s v="Maria E."/>
    <s v="Insumos"/>
    <s v="Agua Destilada."/>
    <n v="150"/>
    <s v="Lts"/>
    <x v="2"/>
    <n v="6"/>
    <n v="900"/>
    <d v="2017-11-27T00:00:00"/>
    <d v="2017-11-16T00:00:00"/>
    <x v="1"/>
    <n v="-11"/>
    <s v="Repartidor"/>
    <s v="Adrián"/>
    <s v="Ok. En condiciones."/>
    <m/>
    <m/>
    <m/>
    <m/>
    <n v="11"/>
    <x v="2"/>
  </r>
  <r>
    <x v="142"/>
    <s v="Cristóbal"/>
    <s v="Cristóbal"/>
    <s v="Maria E."/>
    <s v="Insumos"/>
    <s v="Bidón virgen"/>
    <n v="3"/>
    <s v="Unidades"/>
    <x v="2"/>
    <n v="50"/>
    <n v="150"/>
    <d v="2017-11-27T00:00:00"/>
    <d v="2017-11-16T00:00:00"/>
    <x v="1"/>
    <n v="-11"/>
    <s v="Repartidor"/>
    <s v="Adrián"/>
    <s v="Ok. En condiciones."/>
    <m/>
    <m/>
    <m/>
    <m/>
    <n v="11"/>
    <x v="2"/>
  </r>
  <r>
    <x v="142"/>
    <s v="Carolina N"/>
    <s v="Cristóbal"/>
    <s v="Maria E."/>
    <s v="Gases"/>
    <s v="Óxido nitroso"/>
    <n v="2"/>
    <s v="Tubos"/>
    <x v="25"/>
    <s v="408.87"/>
    <s v="22,079.04"/>
    <d v="2017-11-28T00:00:00"/>
    <d v="2017-11-27T00:00:00"/>
    <x v="1"/>
    <n v="-1"/>
    <s v="Repartidor"/>
    <s v="Adrián"/>
    <s v="Ok. En condiciones."/>
    <s v="0050-00010309"/>
    <s v="0034-00001384"/>
    <m/>
    <m/>
    <n v="11"/>
    <x v="2"/>
  </r>
  <r>
    <x v="142"/>
    <s v="Carolina N"/>
    <s v="Cristóbal"/>
    <s v="Maria E."/>
    <s v="Gases"/>
    <s v="Acetileno"/>
    <n v="3"/>
    <s v="Tubos"/>
    <x v="25"/>
    <s v="357.62"/>
    <s v="3,754.97"/>
    <d v="2017-11-28T00:00:00"/>
    <d v="2017-11-27T00:00:00"/>
    <x v="1"/>
    <n v="-1"/>
    <s v="Repartidor"/>
    <s v="Adrián"/>
    <s v="Ok. En condiciones."/>
    <s v="0050-00010309"/>
    <s v="0034-00001384"/>
    <m/>
    <m/>
    <n v="11"/>
    <x v="2"/>
  </r>
  <r>
    <x v="143"/>
    <s v="Adrián"/>
    <s v="Cristobal"/>
    <s v="Ruth"/>
    <s v="Droga"/>
    <s v="Hidroxilamina clorhidrato x Kg. Marca Tetrahedron."/>
    <n v="2"/>
    <s v="Kilogramos"/>
    <x v="50"/>
    <n v="1185"/>
    <n v="2370"/>
    <d v="2017-11-28T00:00:00"/>
    <d v="2017-11-28T00:00:00"/>
    <x v="1"/>
    <n v="0"/>
    <s v="Miguel_x000a_Retira en laboratorio"/>
    <s v="Cristóbal"/>
    <s v="Ok. En condiciones."/>
    <m/>
    <s v="0002-00000227"/>
    <m/>
    <m/>
    <n v="11"/>
    <x v="2"/>
  </r>
  <r>
    <x v="144"/>
    <s v="Maria E. Barbeito"/>
    <s v="Cristóbal"/>
    <s v="María E."/>
    <s v="Droga"/>
    <s v="Potasio bromuro para espectroscopia IR Uvasol®. ENV. 100 G."/>
    <n v="1"/>
    <s v="Envase"/>
    <x v="51"/>
    <n v="3956.47"/>
    <n v="3956.47"/>
    <d v="2018-01-16T00:00:00"/>
    <d v="2018-02-14T00:00:00"/>
    <x v="2"/>
    <n v="29"/>
    <s v="Juan Pablo (Repartidor)"/>
    <s v="Cristóbal"/>
    <m/>
    <s v="0001-00004021"/>
    <m/>
    <m/>
    <m/>
    <n v="11"/>
    <x v="2"/>
  </r>
  <r>
    <x v="144"/>
    <s v="Cristóbal"/>
    <s v="Cristóbal"/>
    <s v="Ruth"/>
    <s v="Droga controlada por SEDRONAR"/>
    <s v="Tolueno Para Análisis A.C.S. Botella x1 L. Marca: Sintorgan®"/>
    <n v="48"/>
    <s v="Litros"/>
    <x v="44"/>
    <n v="10.25"/>
    <n v="492"/>
    <d v="2017-12-29T00:00:00"/>
    <d v="2017-12-13T00:00:00"/>
    <x v="1"/>
    <n v="-16"/>
    <s v="Rodriguez Hermanos transportes"/>
    <s v="Caro Q._x000a_Ruth"/>
    <s v="Ok. En condiciones."/>
    <s v="0001-0044529"/>
    <s v="0002 - 00002248"/>
    <m/>
    <m/>
    <n v="11"/>
    <x v="2"/>
  </r>
  <r>
    <x v="144"/>
    <s v="Cristóbal"/>
    <s v="Cristóbal"/>
    <s v="Ruth"/>
    <s v="Droga controlada por SEDRONAR"/>
    <s v="Xileno Para Análisis A.C.S. Botella x1 L. Marca: Sintorgan®"/>
    <n v="36"/>
    <s v="Litros"/>
    <x v="44"/>
    <n v="11.27"/>
    <n v="405.71999999999997"/>
    <d v="2017-12-29T00:00:00"/>
    <d v="2017-12-13T00:00:00"/>
    <x v="1"/>
    <n v="-16"/>
    <s v="Rodriguez Hermanos transportes"/>
    <s v="Caro Q._x000a_Ruth"/>
    <s v="Ok. En condiciones."/>
    <s v="0001-0044529"/>
    <s v="0002 - 00002248"/>
    <m/>
    <m/>
    <n v="11"/>
    <x v="2"/>
  </r>
  <r>
    <x v="144"/>
    <s v="Cristóbal"/>
    <s v="Cristóbal"/>
    <s v="Ruth"/>
    <s v="Droga controlada por SEDRONAR"/>
    <s v="Acetona Para Análisis A.C.S. Botella x1 L. Marca: Sintorgan®"/>
    <n v="24"/>
    <s v="Litros"/>
    <x v="44"/>
    <n v="9.65"/>
    <n v="231.60000000000002"/>
    <d v="2017-12-29T00:00:00"/>
    <d v="2017-12-13T00:00:00"/>
    <x v="1"/>
    <n v="-16"/>
    <s v="Rodriguez Hermanos transportes"/>
    <s v="Caro Q._x000a_Ruth"/>
    <s v="Ok. En condiciones."/>
    <s v="0001-0044529"/>
    <s v="0002 - 00002248"/>
    <m/>
    <m/>
    <n v="11"/>
    <x v="2"/>
  </r>
  <r>
    <x v="144"/>
    <s v="NO APLICA"/>
    <s v="No aplica"/>
    <s v="No aplica"/>
    <s v="Flete"/>
    <s v="Flete/Seguro/Entrega"/>
    <n v="1"/>
    <s v="Servicio"/>
    <x v="16"/>
    <n v="1433.05"/>
    <n v="1433.05"/>
    <d v="2017-12-13T00:00:00"/>
    <d v="2017-12-13T00:00:00"/>
    <x v="1"/>
    <n v="0"/>
    <s v="Rodriguez Hermanos transportes"/>
    <s v="Caro Q._x000a_Ruth"/>
    <s v="Referido a entrega de Xileno, Tolueno, Acetona"/>
    <m/>
    <s v="0009-00016672"/>
    <m/>
    <m/>
    <n v="11"/>
    <x v="2"/>
  </r>
  <r>
    <x v="144"/>
    <s v="ana Maco"/>
    <s v="Cristóbal"/>
    <s v="Ruth"/>
    <s v="Droga"/>
    <s v="Percloroetileno Para Análisis A.C.S. Botella x1 L. Marca: Sintorgan®"/>
    <n v="60"/>
    <s v="Litros"/>
    <x v="44"/>
    <n v="34.5"/>
    <n v="2070"/>
    <d v="2017-12-29T00:00:00"/>
    <m/>
    <x v="0"/>
    <s v="NO CONCRETADO"/>
    <m/>
    <m/>
    <m/>
    <m/>
    <m/>
    <m/>
    <m/>
    <n v="11"/>
    <x v="2"/>
  </r>
  <r>
    <x v="145"/>
    <s v="Adrián"/>
    <s v="Cristóbal"/>
    <s v="Ruth"/>
    <s v="Droga controlada por SEDRONAR"/>
    <s v="ACIDO CLORHIDRICO 36.5-38% PA CICARELLI (1 L)"/>
    <n v="30"/>
    <s v="Litros"/>
    <x v="3"/>
    <n v="230"/>
    <n v="6900"/>
    <d v="2017-12-29T00:00:00"/>
    <m/>
    <x v="0"/>
    <s v="NO CONCRETADO"/>
    <m/>
    <m/>
    <m/>
    <m/>
    <m/>
    <m/>
    <m/>
    <n v="11"/>
    <x v="2"/>
  </r>
  <r>
    <x v="145"/>
    <s v="Adrián"/>
    <s v="Cristóbal"/>
    <s v="Ruth"/>
    <s v="Droga controlada por SEDRONAR"/>
    <s v="ACIDO CLORHIDRICO PA ACS BAKER (2,5 L)"/>
    <n v="4"/>
    <s v="Bidones"/>
    <x v="3"/>
    <n v="460"/>
    <n v="1840"/>
    <d v="2017-12-11T00:00:00"/>
    <d v="2017-12-13T00:00:00"/>
    <x v="2"/>
    <n v="2"/>
    <s v="Repartidor"/>
    <s v="Paola"/>
    <s v="Ok. En condiciones."/>
    <s v="0007-00024099"/>
    <s v="9997-00005603"/>
    <m/>
    <m/>
    <n v="11"/>
    <x v="2"/>
  </r>
  <r>
    <x v="145"/>
    <s v="Adrián"/>
    <s v="Cristóbal"/>
    <s v="Ruth"/>
    <s v="Insumo"/>
    <s v="PAPEL DE FILTRO 3 m/N USO GENERAL 58 X 58 SARTORIUS"/>
    <n v="50"/>
    <s v="Pliegos"/>
    <x v="3"/>
    <n v="35"/>
    <n v="1750"/>
    <d v="2017-12-11T00:00:00"/>
    <d v="2017-12-01T00:00:00"/>
    <x v="1"/>
    <n v="-10"/>
    <s v="Repartidor"/>
    <s v="Cristóbal"/>
    <s v="Ok. En condiciones. Adrián avisa que los pliegos vienen con manchas de humedad."/>
    <s v="0007-00023998"/>
    <s v="9997-00005570"/>
    <m/>
    <m/>
    <n v="11"/>
    <x v="2"/>
  </r>
  <r>
    <x v="146"/>
    <s v="Leandro "/>
    <s v="Cristóbal"/>
    <s v="Maria L."/>
    <s v="Insumo"/>
    <s v="Agua Destilada con CE &lt; 4µS/cm x L"/>
    <n v="210"/>
    <s v="Litros"/>
    <x v="2"/>
    <n v="6"/>
    <n v="1260"/>
    <d v="2017-12-01T00:00:00"/>
    <d v="2017-12-01T00:00:00"/>
    <x v="1"/>
    <n v="0"/>
    <s v="Repartidor"/>
    <s v="Cristóbal"/>
    <s v="Ok. En condiciones. Controla Renzo"/>
    <m/>
    <s v="0004-00001412"/>
    <m/>
    <m/>
    <n v="11"/>
    <x v="2"/>
  </r>
  <r>
    <x v="146"/>
    <s v="Caro N"/>
    <s v="Cristóbal"/>
    <s v="Maria E."/>
    <s v="Insumo"/>
    <s v="Celda de cuarzo, de absorción, para Generador de vapores de hidruros_x000a_Marca: Shimadzu._x000a_Modelo: HVG-1. N/P 206-77607"/>
    <n v="2"/>
    <s v="Unidades"/>
    <x v="52"/>
    <n v="30108.93"/>
    <n v="60217.86"/>
    <d v="2017-12-14T00:00:00"/>
    <d v="2017-12-26T00:00:00"/>
    <x v="2"/>
    <n v="12"/>
    <s v="Rodriguez Hermanos transportes"/>
    <s v="Caro N."/>
    <s v="Ok. En condiciones. "/>
    <s v="0001-00037697"/>
    <s v="0003-00004417"/>
    <m/>
    <m/>
    <n v="11"/>
    <x v="2"/>
  </r>
  <r>
    <x v="146"/>
    <s v="Caro N"/>
    <s v="Cristóbal"/>
    <s v="Maria E."/>
    <s v="Insumo"/>
    <s v="Un Tubo de bomba para reactivos, color naranja, para generador de hidruros._x000a_Marca: Shimadzu._x000a_Modelo:  HVG-1. N/P 208-90038-08x1 (reemplaza al N/P 200-54612-08x1)."/>
    <n v="6"/>
    <s v="Unidades"/>
    <x v="52"/>
    <n v="995.59"/>
    <n v="5973.54"/>
    <d v="2017-12-14T00:00:00"/>
    <d v="2017-12-26T00:00:00"/>
    <x v="2"/>
    <n v="12"/>
    <s v="Rodriguez Hermanos transportes"/>
    <s v="Caro N."/>
    <s v="Ok. En condiciones. "/>
    <s v="0001-00037697"/>
    <s v="0003-00004417"/>
    <m/>
    <m/>
    <n v="11"/>
    <x v="2"/>
  </r>
  <r>
    <x v="146"/>
    <s v="NO APLICA"/>
    <s v="Jenck S.A."/>
    <s v="No aplica"/>
    <s v="Flete"/>
    <s v="Flete/Seguro"/>
    <n v="1"/>
    <s v="Servicio"/>
    <x v="16"/>
    <n v="829.18"/>
    <n v="829.18"/>
    <d v="2017-12-26T00:00:00"/>
    <d v="2017-12-26T00:00:00"/>
    <x v="1"/>
    <n v="0"/>
    <s v="Rodriguez Hermanos transportes"/>
    <s v="Caro N."/>
    <s v="Ok. En condiciones. "/>
    <s v="0001-00037697"/>
    <s v="0009-00017167"/>
    <m/>
    <m/>
    <n v="11"/>
    <x v="2"/>
  </r>
  <r>
    <x v="147"/>
    <s v="Cristóbal"/>
    <s v="Cristóbal"/>
    <s v="Ruth"/>
    <s v="Material calibrado"/>
    <s v="Termómetro para punto de escurrimiento ASTM 5C."/>
    <n v="1"/>
    <s v="Unidades."/>
    <x v="7"/>
    <n v="1934.79"/>
    <n v="1934.79"/>
    <d v="2017-12-11T00:00:00"/>
    <m/>
    <x v="0"/>
    <s v="NO CONCRETADO"/>
    <m/>
    <m/>
    <s v="Responde a pago de servicio prestado a Efluentes._x000a_Factura a nombre de Maria Cristina Quiroga."/>
    <s v="30110_x000a_30111"/>
    <s v="0009-00001191_x000a_0009-00001192_x000a_"/>
    <m/>
    <m/>
    <n v="12"/>
    <x v="2"/>
  </r>
  <r>
    <x v="147"/>
    <s v="Cristóbal"/>
    <s v="Cristóbal"/>
    <s v="Ruth"/>
    <s v="Material de vidrio"/>
    <s v="Matraz de 250ml"/>
    <n v="2"/>
    <s v="Unidades"/>
    <x v="7"/>
    <n v="213.6"/>
    <n v="427.2"/>
    <d v="2017-12-11T00:00:00"/>
    <m/>
    <x v="0"/>
    <s v="NO CONCRETADO"/>
    <m/>
    <m/>
    <s v="Responde a pago de servicio prestado a Efluentes._x000a_Factura a nombre de Maria Cristina Quiroga."/>
    <s v="30110_x000a_30111"/>
    <s v="0009-00001191_x000a_0009-00001192_x000a_"/>
    <m/>
    <m/>
    <n v="12"/>
    <x v="2"/>
  </r>
  <r>
    <x v="147"/>
    <s v="Ruth_x000a_Cristóbal"/>
    <s v="Cristóbal"/>
    <s v="Ruth"/>
    <s v="Material de vidrio"/>
    <s v="Equipo Soxhlet completo (matraz, cuerpo, condensador)_x000a_Marca: Glassco."/>
    <n v="1"/>
    <s v="Unidad"/>
    <x v="0"/>
    <n v="5327"/>
    <n v="5327"/>
    <d v="2017-12-12T00:00:00"/>
    <m/>
    <x v="0"/>
    <s v="NO CONCRETADO"/>
    <s v="Repartidor"/>
    <s v="Cristóbal ALE"/>
    <m/>
    <s v="0001-00194393"/>
    <s v="0003-00007369"/>
    <m/>
    <m/>
    <n v="12"/>
    <x v="2"/>
  </r>
  <r>
    <x v="147"/>
    <s v="Ruth_x000a_Cristóbal"/>
    <s v="Cristóbal"/>
    <s v="Ruth"/>
    <s v="Material de vidrio"/>
    <s v="Equipo Soxhlet completo (matraz, cuerpo, condensador)_x000a_Marca: Glassco."/>
    <n v="1"/>
    <s v="Unidad"/>
    <x v="0"/>
    <n v="5327"/>
    <n v="5327"/>
    <d v="2017-12-12T00:00:00"/>
    <m/>
    <x v="0"/>
    <s v="NO CONCRETADO"/>
    <s v="Repartidor"/>
    <s v="Cristóbal ALE"/>
    <s v="Responde a pago de servicio prestado a Teresa Rauek ._x000a_Orden de compra OC 17069"/>
    <s v="0001-00194394"/>
    <s v="0003-00007370"/>
    <m/>
    <m/>
    <n v="12"/>
    <x v="2"/>
  </r>
  <r>
    <x v="147"/>
    <s v="Ruth_x000a_Cristóbal"/>
    <s v="Cristóbal"/>
    <s v="Ruth"/>
    <s v="Material de vidrio"/>
    <s v="Equipo Soxhlet completo (matraz, cuerpo, condensador)_x000a_Marca: Glassco."/>
    <n v="1"/>
    <s v="Unidad"/>
    <x v="0"/>
    <n v="5327"/>
    <n v="5327"/>
    <d v="2017-12-12T00:00:00"/>
    <m/>
    <x v="0"/>
    <s v="NO CONCRETADO"/>
    <s v="Repartidor"/>
    <s v="Cristóbal ALE"/>
    <s v="Responde a pago de servicio prestado a Teresa Rauek ._x000a_Orden de compra OC 17070"/>
    <s v="0001-00194395"/>
    <s v="0003-00007371"/>
    <m/>
    <m/>
    <n v="12"/>
    <x v="2"/>
  </r>
  <r>
    <x v="147"/>
    <s v="Ruth_x000a_Cristóbal"/>
    <s v="Cristóbal"/>
    <s v="Ruth"/>
    <s v="Material de vidrio"/>
    <s v="Equipo Soxhlet completo (matraz, cuerpo, condensador)_x000a_Marca: Glassco."/>
    <n v="1"/>
    <s v="Unidad"/>
    <x v="0"/>
    <n v="5327"/>
    <n v="5327"/>
    <d v="2017-12-12T00:00:00"/>
    <m/>
    <x v="0"/>
    <s v="NO CONCRETADO"/>
    <s v="Repartidor"/>
    <s v="Cristóbal ALE"/>
    <s v="Responde a pago de servicio prestado proyecto Sectyp, Ruth ._x000a_Orden de compra OC 17071"/>
    <s v="0001-00194396"/>
    <s v="0003-00007372"/>
    <m/>
    <m/>
    <n v="12"/>
    <x v="2"/>
  </r>
  <r>
    <x v="148"/>
    <s v="Jorge"/>
    <s v="Cristóbal"/>
    <s v="Maria E."/>
    <s v="Insumo"/>
    <s v="Oil ultragrade 19 rotary pump. Bidón x 4 Lts."/>
    <n v="1"/>
    <s v="Bidón"/>
    <x v="39"/>
    <n v="124.03"/>
    <n v="124.03"/>
    <s v="Sujeto a Importación"/>
    <m/>
    <x v="0"/>
    <s v="NO CONCRETADO"/>
    <s v="Repartidor"/>
    <s v="Cristóbal ALE"/>
    <s v="En la cotización Informan que la fecha de entrega del producto esta sujeta a la importación del mismo._x000a_Precio en dolares."/>
    <m/>
    <m/>
    <m/>
    <m/>
    <n v="12"/>
    <x v="2"/>
  </r>
  <r>
    <x v="148"/>
    <s v="Caro N_x000a_Marcela"/>
    <s v="Cristóbal"/>
    <s v="Maria E."/>
    <s v="Estándar"/>
    <s v="AA29N-1.Lead AA Standard (Cantidad: 100 mL)_x000a_(Concentración: 1000 µg/mL in 2-5% Nitric Acid)_x000a_Marca: Accustandard"/>
    <n v="1"/>
    <s v="Unidad"/>
    <x v="15"/>
    <n v="47.19"/>
    <n v="47.19"/>
    <d v="2018-03-06T00:00:00"/>
    <d v="2018-02-22T00:00:00"/>
    <x v="1"/>
    <n v="-12"/>
    <s v="Camionera Mendocina"/>
    <s v="Cristóbal_x000a_Caro N"/>
    <s v="Ok. En condiciones"/>
    <s v="0001-00098781"/>
    <s v="0003-00004534"/>
    <m/>
    <m/>
    <n v="12"/>
    <x v="2"/>
  </r>
  <r>
    <x v="148"/>
    <s v="Caro N_x000a_Marcela"/>
    <s v="Cristóbal"/>
    <s v="Maria E."/>
    <s v="Estándar"/>
    <s v="AA03N-1.Arsenic AA Standard (Cantidad: 100 mL) (Concentración: 1000 µg/mL in 2-5% Nitric Acid) Marca: Accustandard"/>
    <n v="1"/>
    <s v="Unidad"/>
    <x v="15"/>
    <n v="50.82"/>
    <n v="50.82"/>
    <d v="2018-03-06T00:00:00"/>
    <d v="2018-02-22T00:00:00"/>
    <x v="1"/>
    <n v="-12"/>
    <s v="Camionera Mendocina"/>
    <s v="Cristóbal_x000a_Caro N"/>
    <s v="Ok. En condiciones"/>
    <s v="0001-00098781"/>
    <s v="0003-00004534"/>
    <m/>
    <m/>
    <n v="12"/>
    <x v="2"/>
  </r>
  <r>
    <x v="148"/>
    <s v="Caro N_x000a_Marcela"/>
    <s v="Cristóbal"/>
    <s v="Maria E."/>
    <s v="Estándar"/>
    <s v="AA02N-. Antimony AA Standard (Cantidad: 100 mL)_x000a_(Concentración: 1000 µg/mL in 2-5% Nitric Acid, tr_x000a_Tartaric acid) _x000a_Marca: Accustandard"/>
    <n v="1"/>
    <s v="Unidad"/>
    <x v="15"/>
    <n v="50.82"/>
    <n v="50.82"/>
    <d v="2018-03-06T00:00:00"/>
    <d v="2018-02-22T00:00:00"/>
    <x v="1"/>
    <n v="-12"/>
    <s v="Camionera Mendocina"/>
    <s v="Cristóbal_x000a_Caro N"/>
    <s v="Ok. En condiciones"/>
    <s v="0001-00098781"/>
    <s v="0003-00004534"/>
    <m/>
    <m/>
    <n v="12"/>
    <x v="2"/>
  </r>
  <r>
    <x v="148"/>
    <s v="Caro N_x000a_Marcela"/>
    <s v="Cristóbal"/>
    <s v="Maria E."/>
    <s v="Estándar"/>
    <s v="AA34N-1. Mercury AA Standard (Cantidad: 100 mL) (Concentración: 1000 µg/mL in 2-5% Nitric Acid) Marca: Accustandard"/>
    <n v="1"/>
    <s v="Unidad"/>
    <x v="15"/>
    <n v="50.82"/>
    <n v="50.82"/>
    <d v="2018-03-06T00:00:00"/>
    <d v="2018-02-22T00:00:00"/>
    <x v="1"/>
    <n v="-12"/>
    <s v="Camionera Mendocina"/>
    <s v="Cristóbal_x000a_Caro N"/>
    <s v="Ok. En condiciones"/>
    <s v="0001-00098781"/>
    <s v="0003-00004534"/>
    <m/>
    <m/>
    <n v="12"/>
    <x v="2"/>
  </r>
  <r>
    <x v="148"/>
    <s v="Caro N_x000a_Marcela"/>
    <s v="Cristóbal"/>
    <s v="Maria E."/>
    <s v="Estándar"/>
    <s v="AA01N-1. Aluminum AA Standard (Cantidad: 100 mL) (Concentración: 1000 µg/mL in 2-5% Nitric Acid) Marca: Accustandard"/>
    <n v="1"/>
    <s v="Unidad"/>
    <x v="15"/>
    <n v="50.82"/>
    <n v="50.82"/>
    <d v="2018-03-06T00:00:00"/>
    <d v="2018-02-22T00:00:00"/>
    <x v="1"/>
    <n v="-12"/>
    <s v="Camionera Mendocina"/>
    <s v="Cristóbal_x000a_Caro N"/>
    <s v="Ok. En condiciones"/>
    <s v="0001-00098781"/>
    <s v="0003-00004534"/>
    <m/>
    <m/>
    <n v="12"/>
    <x v="2"/>
  </r>
  <r>
    <x v="148"/>
    <s v="Caro N_x000a_Marcela"/>
    <s v="Cristóbal"/>
    <s v="Maria E."/>
    <s v="Estándar"/>
    <s v="AA15N-1. Copper AA Standard (Cantidad: 100 mL) (Concentración: 1000 µg/mL in 2-5% Nitric Acid) Marca: Accustandard"/>
    <n v="1"/>
    <s v="Unidad"/>
    <x v="15"/>
    <n v="47.19"/>
    <n v="47.19"/>
    <d v="2018-03-06T00:00:00"/>
    <d v="2018-02-22T00:00:00"/>
    <x v="1"/>
    <n v="-12"/>
    <s v="Camionera Mendocina"/>
    <s v="Cristóbal_x000a_Caro N"/>
    <s v="Ok. En condiciones"/>
    <s v="0001-00098781"/>
    <s v="0003-00004534"/>
    <m/>
    <m/>
    <n v="12"/>
    <x v="2"/>
  </r>
  <r>
    <x v="148"/>
    <s v="Caro N_x000a_Marcela"/>
    <s v="Cristóbal"/>
    <s v="Maria E."/>
    <s v="Estándar"/>
    <s v="AA27N-1. Iron AA Standard (Cantidad: 100 mL) (Concentración: 1000 µg/mL in 2-5% Nitric Acid) Marca: Accustandard"/>
    <n v="1"/>
    <s v="Unidad"/>
    <x v="15"/>
    <n v="47.19"/>
    <n v="47.19"/>
    <d v="2018-03-06T00:00:00"/>
    <d v="2018-02-22T00:00:00"/>
    <x v="1"/>
    <n v="-12"/>
    <s v="Camionera Mendocina"/>
    <s v="Cristóbal_x000a_Caro N"/>
    <s v="Ok. En condiciones"/>
    <s v="0001-00098781"/>
    <s v="0003-00004534"/>
    <m/>
    <m/>
    <n v="12"/>
    <x v="2"/>
  </r>
  <r>
    <x v="148"/>
    <s v="Caro N_x000a_Marcela"/>
    <s v="Cristóbal"/>
    <s v="Maria E."/>
    <s v="Estándar"/>
    <s v="AA43N-1. Potassium AA Standard (Cantidad: 100 mL) (Concentración: 1000 µg/mL in 2-5% Nitric Acid) Marca: Accustandard"/>
    <n v="1"/>
    <s v="Unidad"/>
    <x v="15"/>
    <n v="47.19"/>
    <n v="47.19"/>
    <d v="2018-03-06T00:00:00"/>
    <d v="2018-02-22T00:00:00"/>
    <x v="1"/>
    <n v="-12"/>
    <s v="Camionera Mendocina"/>
    <s v="Cristóbal_x000a_Caro N"/>
    <s v="Ok. En condiciones"/>
    <s v="0001-00098781"/>
    <s v="0003-00004534"/>
    <m/>
    <m/>
    <n v="12"/>
    <x v="2"/>
  </r>
  <r>
    <x v="148"/>
    <s v="Caro N_x000a_Marcela"/>
    <s v="Cristóbal"/>
    <s v="Maria E."/>
    <s v="Estándar"/>
    <s v="AA53N-1. Silver AA Standard (Cantidad: 100 mL) (Concentración: 1000 µg/mL in 2-5% Nitric Acid) Marca: Accustandard"/>
    <n v="1"/>
    <s v="Unidad"/>
    <x v="15"/>
    <n v="62.92"/>
    <n v="62.92"/>
    <d v="2018-03-06T00:00:00"/>
    <d v="2018-02-22T00:00:00"/>
    <x v="1"/>
    <n v="-12"/>
    <s v="Camionera Mendocina"/>
    <s v="Cristóbal_x000a_Caro N"/>
    <s v="Ok. En condiciones"/>
    <s v="0001-00098781"/>
    <s v="0003-00004534"/>
    <m/>
    <m/>
    <n v="12"/>
    <x v="2"/>
  </r>
  <r>
    <x v="148"/>
    <s v="Omnilab"/>
    <s v="No aplica"/>
    <s v="No aplica"/>
    <s v="Flete"/>
    <s v="Flete"/>
    <n v="1"/>
    <s v="Servicio"/>
    <x v="40"/>
    <n v="412.16"/>
    <n v="412.16"/>
    <d v="2018-02-22T00:00:00"/>
    <d v="2018-02-22T00:00:00"/>
    <x v="1"/>
    <n v="0"/>
    <s v="Camionera Mendocina"/>
    <s v="Julieta"/>
    <s v="Ok. En condiciones"/>
    <m/>
    <s v="0053-00000227"/>
    <m/>
    <m/>
    <n v="12"/>
    <x v="2"/>
  </r>
  <r>
    <x v="149"/>
    <s v="Cristóbal"/>
    <s v="Cristóbal"/>
    <s v="Maria E."/>
    <s v="Insumo"/>
    <s v="Bobina de papel Elegante 25x400 mts"/>
    <n v="8"/>
    <s v="Bobinas"/>
    <x v="23"/>
    <n v="260"/>
    <n v="2080"/>
    <d v="2017-12-12T00:00:00"/>
    <d v="2017-12-12T00:00:00"/>
    <x v="1"/>
    <n v="0"/>
    <s v="Repartidor"/>
    <s v="Cristóbal"/>
    <s v="Ok. En condiciones."/>
    <m/>
    <s v="0004-00001153"/>
    <m/>
    <m/>
    <n v="12"/>
    <x v="2"/>
  </r>
  <r>
    <x v="149"/>
    <s v="Adrián"/>
    <s v="Cristóbal"/>
    <s v="Maria E."/>
    <s v="Insumo"/>
    <s v="Agua destilada"/>
    <n v="100"/>
    <s v="Litros"/>
    <x v="2"/>
    <n v="6"/>
    <n v="600"/>
    <d v="2017-12-12T00:00:00"/>
    <d v="2017-12-12T00:00:00"/>
    <x v="1"/>
    <n v="0"/>
    <s v="Repartidor"/>
    <s v="Adrián_x000a_Cristóbal"/>
    <s v="Ok. En condiciones"/>
    <m/>
    <s v="0004-00001462"/>
    <m/>
    <m/>
    <n v="12"/>
    <x v="2"/>
  </r>
  <r>
    <x v="149"/>
    <s v="Cristóbal"/>
    <s v="Cristóbal"/>
    <s v="Maria E."/>
    <s v="Insumo"/>
    <s v="Agua Destilada con CE &lt; 4µS/cm x L"/>
    <n v="100"/>
    <s v="Litros"/>
    <x v="2"/>
    <n v="6"/>
    <n v="600"/>
    <d v="2017-12-12T00:00:00"/>
    <d v="2017-12-12T00:00:00"/>
    <x v="1"/>
    <n v="0"/>
    <s v="Repartidor"/>
    <s v="Leandro_x000a_Cristóbal"/>
    <s v="Ok. En condiciones. CE inferior a 4 microS."/>
    <m/>
    <s v="0004-00001461"/>
    <m/>
    <m/>
    <n v="12"/>
    <x v="2"/>
  </r>
  <r>
    <x v="150"/>
    <s v="Laura Meneces"/>
    <s v="Cristóbal"/>
    <s v="Maria E."/>
    <s v="Droga"/>
    <s v="Potasio ioduro PA X 1000. Alkemit. "/>
    <n v="500"/>
    <s v="gramos"/>
    <x v="0"/>
    <m/>
    <n v="0"/>
    <d v="2017-12-13T00:00:00"/>
    <d v="2017-12-13T00:00:00"/>
    <x v="1"/>
    <n v="0"/>
    <s v="Repartidor"/>
    <s v="Adrian"/>
    <s v="Ok. En condiciones"/>
    <s v="0001-00192212"/>
    <m/>
    <m/>
    <m/>
    <n v="12"/>
    <x v="2"/>
  </r>
  <r>
    <x v="151"/>
    <s v="Caro N"/>
    <s v="Cristóbal"/>
    <s v="Maria E."/>
    <s v="Gases"/>
    <s v="Acetileno"/>
    <n v="3"/>
    <s v="Tubos"/>
    <x v="25"/>
    <m/>
    <n v="0"/>
    <d v="2017-12-18T00:00:00"/>
    <d v="2017-12-18T00:00:00"/>
    <x v="1"/>
    <n v="0"/>
    <s v="Repartidor"/>
    <s v="Adrian"/>
    <s v="Ok. En condiciones"/>
    <s v="0050-00010608"/>
    <m/>
    <m/>
    <m/>
    <n v="12"/>
    <x v="2"/>
  </r>
  <r>
    <x v="151"/>
    <s v="Caro N"/>
    <s v="Cristóbal"/>
    <s v="Maria E."/>
    <s v="Gases"/>
    <s v="Argon"/>
    <n v="1"/>
    <s v="Tubo"/>
    <x v="25"/>
    <m/>
    <n v="0"/>
    <d v="2017-12-18T00:00:00"/>
    <d v="2017-12-18T00:00:00"/>
    <x v="1"/>
    <n v="0"/>
    <s v="Repartidor"/>
    <s v="Adrian"/>
    <s v="Ok. En condiciones"/>
    <s v="0050-00010608"/>
    <m/>
    <m/>
    <m/>
    <n v="12"/>
    <x v="2"/>
  </r>
  <r>
    <x v="151"/>
    <s v="Caro N"/>
    <s v="Cristóbal"/>
    <s v="Maria E."/>
    <s v="Gases"/>
    <s v="Oxido Nitroso"/>
    <n v="1"/>
    <s v="Tubo"/>
    <x v="25"/>
    <m/>
    <n v="0"/>
    <d v="2017-12-18T00:00:00"/>
    <d v="2017-12-18T00:00:00"/>
    <x v="1"/>
    <n v="0"/>
    <s v="Repartidor"/>
    <s v="Adrian"/>
    <s v="Ok. En condiciones"/>
    <s v="0050-00010608"/>
    <m/>
    <m/>
    <m/>
    <n v="12"/>
    <x v="2"/>
  </r>
  <r>
    <x v="152"/>
    <s v="M. L. Barbeito"/>
    <s v="Cristóbal"/>
    <s v="Ruth"/>
    <s v="Insumos"/>
    <s v="CRISOL DE HIERRO 70ML"/>
    <n v="4"/>
    <s v="Undidades"/>
    <x v="3"/>
    <n v="439"/>
    <n v="1756"/>
    <d v="2018-01-09T00:00:00"/>
    <m/>
    <x v="0"/>
    <s v="NO CONCRETADO"/>
    <s v="Repartidor"/>
    <s v="Cristóbal"/>
    <s v="Responde a pago por cadena I-11806._x000a_Orden de compra 17074."/>
    <s v="0007-00024227"/>
    <s v="9997-00005642"/>
    <m/>
    <m/>
    <n v="12"/>
    <x v="2"/>
  </r>
  <r>
    <x v="153"/>
    <s v="Adrián"/>
    <s v="Cristóbal"/>
    <s v="Ruth"/>
    <s v="Droga controlada por SEDRONAR"/>
    <s v="ACIDO SULFURICO PA ACS (2,5 L) Marca: Baker"/>
    <n v="8"/>
    <s v="Botellones"/>
    <x v="3"/>
    <n v="860"/>
    <n v="6880"/>
    <d v="2017-12-29T00:00:00"/>
    <m/>
    <x v="0"/>
    <s v="NO CONCRETADO"/>
    <m/>
    <m/>
    <m/>
    <m/>
    <m/>
    <m/>
    <m/>
    <n v="12"/>
    <x v="2"/>
  </r>
  <r>
    <x v="153"/>
    <s v="Cristóbal"/>
    <s v="Cristóbal"/>
    <s v="Ruth"/>
    <s v="Droga controlada por SEDRONAR"/>
    <s v="ACIDO SULFURICO PA ACS (2,5 L) Marca: Baker"/>
    <n v="4"/>
    <s v="Botellones"/>
    <x v="3"/>
    <n v="860"/>
    <n v="3440"/>
    <d v="2017-12-29T00:00:00"/>
    <m/>
    <x v="0"/>
    <s v="NO CONCRETADO"/>
    <m/>
    <m/>
    <m/>
    <m/>
    <m/>
    <m/>
    <m/>
    <n v="12"/>
    <x v="2"/>
  </r>
  <r>
    <x v="153"/>
    <s v="Adríián"/>
    <s v="Cristóbal"/>
    <s v="Ruth"/>
    <s v="Droga controlada por SEDRONAR"/>
    <s v="Hidróxido de sodio PA (250gr) Marca: Alkemit"/>
    <n v="1"/>
    <s v="Pote"/>
    <x v="0"/>
    <n v="217.8"/>
    <n v="217.8"/>
    <d v="2017-12-29T00:00:00"/>
    <d v="2017-12-29T00:00:00"/>
    <x v="1"/>
    <n v="0"/>
    <s v="Repartidor"/>
    <s v="Carolina N."/>
    <s v="Ok. En condiciones."/>
    <s v="0001-00192631"/>
    <s v="0003-00007204"/>
    <m/>
    <m/>
    <n v="12"/>
    <x v="2"/>
  </r>
  <r>
    <x v="154"/>
    <s v="Alejandra Somonte"/>
    <s v="Cristóbal"/>
    <s v="M L Barbeito"/>
    <s v="Insumo"/>
    <s v="Agua Destilada con CE &lt; 4µS/cm x L"/>
    <n v="150"/>
    <s v="Litros"/>
    <x v="2"/>
    <n v="6"/>
    <n v="900"/>
    <d v="2017-12-28T00:00:00"/>
    <d v="2017-12-28T00:00:00"/>
    <x v="1"/>
    <n v="0"/>
    <s v="Repartidor"/>
    <s v="Cristóbal"/>
    <s v="Controla CE Renzo: Ok"/>
    <m/>
    <s v="0004-00001483"/>
    <m/>
    <m/>
    <n v="12"/>
    <x v="2"/>
  </r>
  <r>
    <x v="155"/>
    <s v="Cristóbal"/>
    <s v="Cristóbal"/>
    <s v="Maria E."/>
    <s v="Insumo"/>
    <s v="PAPEL DE FILTRO CUANTITATIVO GRADO 388 DIAMETRO 125 MM SARTORIUS (100 UN)"/>
    <n v="4"/>
    <s v="Cajas"/>
    <x v="3"/>
    <n v="550"/>
    <n v="2200"/>
    <d v="2018-01-10T00:00:00"/>
    <m/>
    <x v="0"/>
    <s v="NO CONCRETADO"/>
    <m/>
    <m/>
    <m/>
    <m/>
    <m/>
    <m/>
    <m/>
    <n v="12"/>
    <x v="2"/>
  </r>
  <r>
    <x v="155"/>
    <s v="Cristóbal"/>
    <s v="Cristóbal"/>
    <s v="Maria E."/>
    <s v="Insumo"/>
    <s v="PAPEL DE FILTRO CUANTITATIVO GRADO 389 DIAMETRO 125 MM SARTORIUS (100 UN)"/>
    <n v="4"/>
    <s v="Cajas"/>
    <x v="3"/>
    <n v="550"/>
    <n v="2200"/>
    <d v="2018-01-10T00:00:00"/>
    <m/>
    <x v="0"/>
    <s v="NO CONCRETADO"/>
    <m/>
    <m/>
    <m/>
    <m/>
    <m/>
    <m/>
    <m/>
    <n v="12"/>
    <x v="2"/>
  </r>
  <r>
    <x v="155"/>
    <s v="Cristóbal"/>
    <s v="Cristóbal"/>
    <s v="Maria E."/>
    <s v="Insumo"/>
    <s v="PAPEL DE FILTRO CUANTITATIVO GRADO 391 DIAMETRO 125 MM SARTORIUS (100 UN)"/>
    <n v="4"/>
    <s v="Cajas"/>
    <x v="3"/>
    <n v="550"/>
    <n v="2200"/>
    <d v="2018-01-10T00:00:00"/>
    <m/>
    <x v="0"/>
    <s v="NO CONCRETADO"/>
    <m/>
    <m/>
    <m/>
    <m/>
    <m/>
    <m/>
    <m/>
    <n v="12"/>
    <x v="2"/>
  </r>
  <r>
    <x v="155"/>
    <s v="Cristóbal"/>
    <s v="Cristóbal"/>
    <s v="Maria E."/>
    <s v="Insumo"/>
    <s v="ALARGADERAS SIMPLES PARA DESTILACIóN HEMBRA 19/38"/>
    <n v="3"/>
    <s v="Unidades"/>
    <x v="3"/>
    <n v="490"/>
    <n v="1470"/>
    <d v="2018-02-07T00:00:00"/>
    <d v="2018-02-06T00:00:00"/>
    <x v="1"/>
    <n v="-1"/>
    <s v="Repartidor"/>
    <s v="Cristóbal"/>
    <s v="Ok, en condiciones."/>
    <s v="0007-00024481"/>
    <s v="9997-00005724"/>
    <m/>
    <m/>
    <n v="12"/>
    <x v="2"/>
  </r>
  <r>
    <x v="156"/>
    <s v="Maria E. Barbeito"/>
    <s v="Cristóbal"/>
    <s v="Maria E."/>
    <s v="Droga"/>
    <s v="Eter terc-butilmetilico x 1000cc. Marca: Merck"/>
    <n v="1"/>
    <s v="Litro"/>
    <x v="0"/>
    <n v="2897.95"/>
    <n v="2897.95"/>
    <d v="2018-02-08T00:00:00"/>
    <d v="2018-02-22T00:00:00"/>
    <x v="2"/>
    <n v="14"/>
    <s v="Repartidor"/>
    <s v="Cristóbal"/>
    <s v="Ok, en condiciones."/>
    <s v="0001-00194410"/>
    <s v="0003-00007374"/>
    <m/>
    <m/>
    <n v="12"/>
    <x v="2"/>
  </r>
  <r>
    <x v="157"/>
    <s v="Gerardo"/>
    <s v="Ruth"/>
    <s v="Ruth"/>
    <s v="Servicio"/>
    <s v="Decibelímetro - TES - 1353S"/>
    <n v="1"/>
    <s v="Servicio"/>
    <x v="53"/>
    <n v="2418.79"/>
    <n v="2418.79"/>
    <d v="2018-01-31T00:00:00"/>
    <d v="2018-01-31T00:00:00"/>
    <x v="1"/>
    <n v="0"/>
    <m/>
    <s v="G. Dragón"/>
    <s v="ok"/>
    <m/>
    <m/>
    <m/>
    <m/>
    <n v="1"/>
    <x v="5"/>
  </r>
  <r>
    <x v="158"/>
    <s v="Gerardo"/>
    <s v="Ruth"/>
    <s v="Ruth"/>
    <s v="Servicio"/>
    <s v="Service Hanna HI 9828/4"/>
    <n v="1"/>
    <s v="Servicio"/>
    <x v="38"/>
    <n v="7260"/>
    <n v="7260"/>
    <d v="2017-02-06T00:00:00"/>
    <m/>
    <x v="0"/>
    <s v="NO CONCRETADO"/>
    <m/>
    <m/>
    <m/>
    <m/>
    <m/>
    <m/>
    <m/>
    <n v="1"/>
    <x v="5"/>
  </r>
  <r>
    <x v="159"/>
    <s v="ana Maco"/>
    <s v="Cristóbal"/>
    <s v="Maria E."/>
    <s v="Droga"/>
    <s v="3372-07 - FLORISIL (60-100 MESH) ACTIV.675 P/ANALISIS RES.PEST.BAKER (4UN X500 G)"/>
    <n v="1"/>
    <s v="Pack"/>
    <x v="3"/>
    <n v="14150"/>
    <n v="14150"/>
    <d v="2017-05-16T00:00:00"/>
    <m/>
    <x v="0"/>
    <m/>
    <m/>
    <m/>
    <s v="Expresado en dolares estadounidenses."/>
    <m/>
    <m/>
    <m/>
    <m/>
    <n v="1"/>
    <x v="5"/>
  </r>
  <r>
    <x v="159"/>
    <s v="Adrián _x000a_Carolina Q."/>
    <s v="Cristóbal"/>
    <s v="Ruth"/>
    <s v="Equipo"/>
    <s v="Baño de Arena para laboratorio con temporizador, sensor y equipo de control de temperatura ajustable digital"/>
    <n v="1"/>
    <s v="Equipo"/>
    <x v="54"/>
    <n v="14500"/>
    <n v="14500"/>
    <s v="A convenir"/>
    <m/>
    <x v="0"/>
    <m/>
    <m/>
    <m/>
    <m/>
    <m/>
    <m/>
    <m/>
    <m/>
    <n v="1"/>
    <x v="5"/>
  </r>
  <r>
    <x v="159"/>
    <s v="Cristóbal"/>
    <s v="Cristóbal"/>
    <s v="Maria E."/>
    <s v="Insumos"/>
    <s v="GUANTES EXAMEN NITRILO S/POLVO CHICO PRINTEX (100 UN)."/>
    <n v="11"/>
    <s v="Cajas"/>
    <x v="3"/>
    <n v="155"/>
    <n v="1705"/>
    <d v="2018-02-07T00:00:00"/>
    <d v="2018-02-06T00:00:00"/>
    <x v="1"/>
    <n v="-1"/>
    <s v="Repartidor"/>
    <s v="Cristóbal"/>
    <s v="Ok, en condiciones."/>
    <m/>
    <m/>
    <m/>
    <m/>
    <n v="1"/>
    <x v="5"/>
  </r>
  <r>
    <x v="159"/>
    <s v="Cristóbal"/>
    <s v="Cristóbal"/>
    <s v="Maria E."/>
    <s v="Insumos"/>
    <s v="GUANTES EXAMEN NITRILO S/POLVO MEDIANO PRINTEX (100 UN)."/>
    <n v="11"/>
    <s v="Cajas"/>
    <x v="3"/>
    <n v="155"/>
    <n v="1705"/>
    <d v="2018-02-07T00:00:00"/>
    <d v="2018-02-06T00:00:00"/>
    <x v="1"/>
    <n v="-1"/>
    <s v="Repartidor"/>
    <s v="Cristóbal"/>
    <s v="Ok, en condiciones."/>
    <s v="_x000a_0007-00024482"/>
    <s v="9997-00005725"/>
    <m/>
    <m/>
    <n v="1"/>
    <x v="5"/>
  </r>
  <r>
    <x v="159"/>
    <s v="Cristóbal"/>
    <s v="Cristóbal"/>
    <s v="Maria E."/>
    <s v="Insumos"/>
    <s v="GUANTES EXAMEN NITRILO S/POLVO GRANDE PRINTEX (100 UN)."/>
    <n v="8"/>
    <s v="Cajas"/>
    <x v="3"/>
    <n v="155"/>
    <n v="1240"/>
    <d v="2018-02-07T00:00:00"/>
    <d v="2018-02-06T00:00:00"/>
    <x v="1"/>
    <n v="-1"/>
    <s v="Repartidor"/>
    <s v="Cristóbal"/>
    <s v="Ok, en condiciones."/>
    <s v="_x000a_0007-00024482"/>
    <s v="9997-00005725"/>
    <m/>
    <m/>
    <n v="1"/>
    <x v="5"/>
  </r>
  <r>
    <x v="159"/>
    <s v="Maria E. Barbeito"/>
    <s v="Cristóbal"/>
    <s v="Maria E."/>
    <s v="Droga"/>
    <s v="T2800-25G - O-TERPHENYL 99% SIGMA (25GR)."/>
    <n v="1"/>
    <s v="Envase"/>
    <x v="3"/>
    <n v="4790"/>
    <n v="4790"/>
    <d v="2017-03-15T00:00:00"/>
    <m/>
    <x v="0"/>
    <s v="NO CONCRETADO"/>
    <m/>
    <m/>
    <m/>
    <m/>
    <m/>
    <m/>
    <m/>
    <n v="1"/>
    <x v="5"/>
  </r>
  <r>
    <x v="160"/>
    <s v="Cristóbal _x000a_Alejandra"/>
    <s v="Cristóbal"/>
    <s v="Maria E."/>
    <s v="Insumos"/>
    <s v="Tapa con encastre. Diámetro superior 32 mm,_x000a_diámetro inferior 30 mm, altura 5 mm."/>
    <n v="1"/>
    <s v="pieza"/>
    <x v="55"/>
    <n v="780"/>
    <n v="943.8"/>
    <s v="A convenir"/>
    <m/>
    <x v="0"/>
    <s v="NO CONCRETADO"/>
    <m/>
    <m/>
    <m/>
    <m/>
    <m/>
    <m/>
    <m/>
    <n v="1"/>
    <x v="5"/>
  </r>
  <r>
    <x v="160"/>
    <s v="Gerardo"/>
    <s v="Ruth"/>
    <s v="Ruth"/>
    <s v="Service"/>
    <s v="Calibración con emisión de certificado, con trazabilidad PTB - TRANSMISORES y SONDAS DE PUNTO DE ROCÍO 1 Punto cercano a -35 Ctdp 2 Puntos entre -10 y 0 Ctdp Código: C13 C. _x000a_Equipo: Transmisor de punto de rocío_x000a_Marca: CS - ITEC._x000a_Modelo: 0699 0402 CS 200._x000a_Nro de serie: 4814 8794._x000a_"/>
    <n v="1"/>
    <s v="Service"/>
    <x v="56"/>
    <n v="1593.57"/>
    <n v="1593.57"/>
    <d v="2018-02-13T00:00:00"/>
    <d v="2018-02-09T00:00:00"/>
    <x v="1"/>
    <n v="-4"/>
    <s v="Expreso Luján."/>
    <s v="Julieta_x000a_Gerardo"/>
    <s v="Ok. En condiciones."/>
    <s v="0005-00013790"/>
    <s v="0004-00002006"/>
    <m/>
    <m/>
    <n v="1"/>
    <x v="5"/>
  </r>
  <r>
    <x v="160"/>
    <s v="NO APLICA"/>
    <s v="Testo Argentina S.A."/>
    <s v="No aplica"/>
    <s v="Flete"/>
    <s v="Flete"/>
    <n v="1"/>
    <s v="Servicio"/>
    <x v="19"/>
    <n v="303.04000000000002"/>
    <n v="303.04000000000002"/>
    <d v="2018-02-09T00:00:00"/>
    <d v="2018-02-09T00:00:00"/>
    <x v="1"/>
    <n v="0"/>
    <s v="Expreso Luján."/>
    <s v="Julieta_x000a_"/>
    <s v="Ok. En condiciones."/>
    <s v="0003-00893414"/>
    <s v="1001-00018661"/>
    <m/>
    <m/>
    <n v="1"/>
    <x v="5"/>
  </r>
  <r>
    <x v="161"/>
    <s v="Cristóbal"/>
    <s v="Cristóbal"/>
    <s v="Ruth"/>
    <s v="Droga"/>
    <s v="Potasio Ioduro PA (ACS) Cicarelli. 500 gr "/>
    <n v="1"/>
    <s v="Envase"/>
    <x v="3"/>
    <n v="2050"/>
    <n v="2050"/>
    <d v="2018-02-07T00:00:00"/>
    <d v="2018-02-06T00:00:00"/>
    <x v="1"/>
    <n v="-1"/>
    <s v="Repartidor"/>
    <s v="Cristóbal"/>
    <s v="Ok, en condiciones."/>
    <s v="0007-00024483"/>
    <s v="9997-00005726"/>
    <m/>
    <m/>
    <n v="1"/>
    <x v="5"/>
  </r>
  <r>
    <x v="162"/>
    <s v="ana Maco"/>
    <s v="Cristóbal"/>
    <s v="Maria E."/>
    <s v="Droga"/>
    <s v="Carbonio Tetracloruro Carlo Erba PA xL."/>
    <n v="2"/>
    <s v="Litros"/>
    <x v="8"/>
    <n v="1331"/>
    <n v="2662"/>
    <d v="2017-02-06T00:00:00"/>
    <m/>
    <x v="0"/>
    <s v="NO CONCRETADO"/>
    <m/>
    <m/>
    <m/>
    <m/>
    <s v="0002-00000240"/>
    <m/>
    <m/>
    <n v="2"/>
    <x v="5"/>
  </r>
  <r>
    <x v="163"/>
    <s v="Leandro "/>
    <s v="Cristóbal"/>
    <s v="Ruth"/>
    <s v="Insumo"/>
    <s v="Agua Destilada con CE &lt; 4µS/cm x L"/>
    <n v="220"/>
    <s v="Litros"/>
    <x v="2"/>
    <n v="6"/>
    <n v="1320"/>
    <d v="2018-02-20T00:00:00"/>
    <d v="2018-02-20T00:00:00"/>
    <x v="1"/>
    <n v="0"/>
    <s v="Repartidor"/>
    <s v="Leandro"/>
    <s v="Ok.En condiciones"/>
    <m/>
    <m/>
    <m/>
    <m/>
    <n v="2"/>
    <x v="5"/>
  </r>
  <r>
    <x v="164"/>
    <s v="Diego"/>
    <s v="Cristóbal"/>
    <s v="Maria E."/>
    <s v="Insumo"/>
    <s v="Agua Destilada"/>
    <n v="150"/>
    <s v="Litros"/>
    <x v="2"/>
    <n v="6"/>
    <n v="900"/>
    <d v="2018-03-01T00:00:00"/>
    <d v="2018-03-02T00:00:00"/>
    <x v="2"/>
    <n v="1"/>
    <s v="Repartidor"/>
    <s v="Adrián"/>
    <s v="Ok.En condiciones"/>
    <m/>
    <s v="0004-00001619"/>
    <m/>
    <m/>
    <n v="2"/>
    <x v="5"/>
  </r>
  <r>
    <x v="164"/>
    <s v="Cristóbal"/>
    <s v="Cristóbal"/>
    <s v="María E."/>
    <s v="Insumo"/>
    <s v="Agua Destilada con CE &lt; 4µS/cm x L"/>
    <n v="150"/>
    <s v="Litros"/>
    <x v="2"/>
    <n v="6"/>
    <n v="900"/>
    <d v="2018-03-01T00:00:00"/>
    <d v="2018-03-02T00:00:00"/>
    <x v="2"/>
    <n v="1"/>
    <s v="Repartidor"/>
    <s v="Renzo"/>
    <s v="Ok.En condiciones. CE en condiciones"/>
    <m/>
    <s v="0004-00001618"/>
    <m/>
    <m/>
    <n v="2"/>
    <x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1B00-000000000000}" name="Tabla dinámica1" cacheId="0" applyNumberFormats="0" applyBorderFormats="0" applyFontFormats="0" applyPatternFormats="0" applyAlignmentFormats="0" applyWidthHeightFormats="1" dataCaption="Valores" updatedVersion="5" minRefreshableVersion="3" itemPrintTitles="1" createdVersion="5" indent="0" outline="1" outlineData="1" multipleFieldFilters="0" rowHeaderCaption="PROVEEDOR">
  <location ref="A4:H134" firstHeaderRow="1" firstDataRow="2" firstDataCol="1"/>
  <pivotFields count="24">
    <pivotField showAll="0">
      <items count="168">
        <item m="1" x="165"/>
        <item x="79"/>
        <item x="0"/>
        <item x="1"/>
        <item x="2"/>
        <item x="3"/>
        <item x="4"/>
        <item x="5"/>
        <item x="6"/>
        <item x="7"/>
        <item x="8"/>
        <item x="9"/>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m="1" x="166"/>
        <item x="54"/>
        <item x="55"/>
        <item x="56"/>
        <item x="57"/>
        <item x="58"/>
        <item x="59"/>
        <item x="60"/>
        <item x="61"/>
        <item x="62"/>
        <item x="64"/>
        <item x="65"/>
        <item x="67"/>
        <item x="68"/>
        <item x="69"/>
        <item x="70"/>
        <item x="71"/>
        <item x="73"/>
        <item x="76"/>
        <item x="78"/>
        <item x="80"/>
        <item x="82"/>
        <item x="83"/>
        <item x="84"/>
        <item x="10"/>
        <item x="63"/>
        <item x="66"/>
        <item x="72"/>
        <item x="74"/>
        <item x="75"/>
        <item x="77"/>
        <item x="81"/>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t="default"/>
      </items>
    </pivotField>
    <pivotField showAll="0"/>
    <pivotField showAll="0" defaultSubtotal="0"/>
    <pivotField showAll="0"/>
    <pivotField showAll="0"/>
    <pivotField showAll="0"/>
    <pivotField dataField="1" showAll="0"/>
    <pivotField showAll="0"/>
    <pivotField axis="axisRow" showAll="0" sortType="ascending">
      <items count="59">
        <item m="1" x="57"/>
        <item x="39"/>
        <item x="10"/>
        <item x="18"/>
        <item x="43"/>
        <item x="42"/>
        <item x="53"/>
        <item x="40"/>
        <item x="36"/>
        <item x="3"/>
        <item x="47"/>
        <item x="35"/>
        <item x="11"/>
        <item x="30"/>
        <item x="9"/>
        <item x="41"/>
        <item x="19"/>
        <item x="20"/>
        <item x="31"/>
        <item x="5"/>
        <item x="54"/>
        <item x="25"/>
        <item x="7"/>
        <item x="49"/>
        <item x="51"/>
        <item x="38"/>
        <item x="37"/>
        <item x="21"/>
        <item x="27"/>
        <item sd="0" x="12"/>
        <item x="52"/>
        <item x="48"/>
        <item x="28"/>
        <item x="8"/>
        <item x="50"/>
        <item x="14"/>
        <item x="32"/>
        <item x="6"/>
        <item x="0"/>
        <item x="22"/>
        <item x="2"/>
        <item x="13"/>
        <item x="15"/>
        <item x="23"/>
        <item x="1"/>
        <item x="26"/>
        <item x="46"/>
        <item x="29"/>
        <item x="4"/>
        <item x="45"/>
        <item x="17"/>
        <item sd="0" x="16"/>
        <item sd="0" x="44"/>
        <item x="34"/>
        <item x="56"/>
        <item x="55"/>
        <item x="33"/>
        <item x="24"/>
        <item t="default"/>
      </items>
    </pivotField>
    <pivotField showAll="0"/>
    <pivotField showAll="0"/>
    <pivotField showAll="0"/>
    <pivotField showAll="0"/>
    <pivotField axis="axisRow" multipleItemSelectionAllowed="1" showAll="0">
      <items count="4">
        <item x="1"/>
        <item x="0"/>
        <item x="2"/>
        <item t="default"/>
      </items>
    </pivotField>
    <pivotField showAll="0"/>
    <pivotField showAll="0"/>
    <pivotField showAll="0"/>
    <pivotField showAll="0"/>
    <pivotField showAll="0"/>
    <pivotField showAll="0"/>
    <pivotField showAll="0"/>
    <pivotField showAll="0"/>
    <pivotField showAll="0" defaultSubtotal="0"/>
    <pivotField axis="axisCol" showAll="0" defaultSubtotal="0">
      <items count="6">
        <item sd="0" x="1"/>
        <item sd="0" x="0"/>
        <item sd="0" x="2"/>
        <item n="2018" sd="0" x="3"/>
        <item sd="0" x="4"/>
        <item sd="0" x="5"/>
      </items>
    </pivotField>
  </pivotFields>
  <rowFields count="2">
    <field x="8"/>
    <field x="13"/>
  </rowFields>
  <rowItems count="129">
    <i>
      <x v="1"/>
    </i>
    <i r="1">
      <x/>
    </i>
    <i r="1">
      <x v="1"/>
    </i>
    <i>
      <x v="2"/>
    </i>
    <i r="1">
      <x/>
    </i>
    <i r="1">
      <x v="2"/>
    </i>
    <i>
      <x v="3"/>
    </i>
    <i r="1">
      <x/>
    </i>
    <i r="1">
      <x v="2"/>
    </i>
    <i>
      <x v="4"/>
    </i>
    <i r="1">
      <x/>
    </i>
    <i>
      <x v="5"/>
    </i>
    <i r="1">
      <x/>
    </i>
    <i r="1">
      <x v="1"/>
    </i>
    <i>
      <x v="6"/>
    </i>
    <i r="1">
      <x/>
    </i>
    <i>
      <x v="7"/>
    </i>
    <i r="1">
      <x/>
    </i>
    <i>
      <x v="8"/>
    </i>
    <i r="1">
      <x/>
    </i>
    <i>
      <x v="9"/>
    </i>
    <i r="1">
      <x/>
    </i>
    <i r="1">
      <x v="1"/>
    </i>
    <i r="1">
      <x v="2"/>
    </i>
    <i>
      <x v="10"/>
    </i>
    <i r="1">
      <x v="2"/>
    </i>
    <i>
      <x v="11"/>
    </i>
    <i r="1">
      <x/>
    </i>
    <i>
      <x v="12"/>
    </i>
    <i r="1">
      <x v="2"/>
    </i>
    <i>
      <x v="13"/>
    </i>
    <i r="1">
      <x/>
    </i>
    <i>
      <x v="14"/>
    </i>
    <i r="1">
      <x v="2"/>
    </i>
    <i>
      <x v="15"/>
    </i>
    <i r="1">
      <x v="1"/>
    </i>
    <i>
      <x v="16"/>
    </i>
    <i r="1">
      <x/>
    </i>
    <i>
      <x v="17"/>
    </i>
    <i r="1">
      <x/>
    </i>
    <i>
      <x v="18"/>
    </i>
    <i r="1">
      <x/>
    </i>
    <i>
      <x v="19"/>
    </i>
    <i r="1">
      <x/>
    </i>
    <i>
      <x v="20"/>
    </i>
    <i r="1">
      <x v="1"/>
    </i>
    <i>
      <x v="21"/>
    </i>
    <i r="1">
      <x/>
    </i>
    <i r="1">
      <x v="2"/>
    </i>
    <i>
      <x v="22"/>
    </i>
    <i r="1">
      <x/>
    </i>
    <i r="1">
      <x v="1"/>
    </i>
    <i r="1">
      <x v="2"/>
    </i>
    <i>
      <x v="23"/>
    </i>
    <i r="1">
      <x/>
    </i>
    <i>
      <x v="24"/>
    </i>
    <i r="1">
      <x v="2"/>
    </i>
    <i>
      <x v="25"/>
    </i>
    <i r="1">
      <x v="1"/>
    </i>
    <i>
      <x v="26"/>
    </i>
    <i r="1">
      <x v="1"/>
    </i>
    <i>
      <x v="27"/>
    </i>
    <i r="1">
      <x v="1"/>
    </i>
    <i>
      <x v="28"/>
    </i>
    <i r="1">
      <x/>
    </i>
    <i>
      <x v="29"/>
    </i>
    <i>
      <x v="30"/>
    </i>
    <i r="1">
      <x v="2"/>
    </i>
    <i>
      <x v="31"/>
    </i>
    <i r="1">
      <x v="2"/>
    </i>
    <i>
      <x v="32"/>
    </i>
    <i r="1">
      <x/>
    </i>
    <i>
      <x v="33"/>
    </i>
    <i r="1">
      <x/>
    </i>
    <i r="1">
      <x v="1"/>
    </i>
    <i>
      <x v="34"/>
    </i>
    <i r="1">
      <x/>
    </i>
    <i>
      <x v="35"/>
    </i>
    <i r="1">
      <x/>
    </i>
    <i>
      <x v="36"/>
    </i>
    <i r="1">
      <x/>
    </i>
    <i>
      <x v="37"/>
    </i>
    <i r="1">
      <x/>
    </i>
    <i>
      <x v="38"/>
    </i>
    <i r="1">
      <x/>
    </i>
    <i r="1">
      <x v="1"/>
    </i>
    <i r="1">
      <x v="2"/>
    </i>
    <i>
      <x v="39"/>
    </i>
    <i r="1">
      <x v="1"/>
    </i>
    <i>
      <x v="40"/>
    </i>
    <i r="1">
      <x/>
    </i>
    <i r="1">
      <x v="2"/>
    </i>
    <i>
      <x v="41"/>
    </i>
    <i r="1">
      <x/>
    </i>
    <i r="1">
      <x v="2"/>
    </i>
    <i>
      <x v="42"/>
    </i>
    <i r="1">
      <x/>
    </i>
    <i>
      <x v="43"/>
    </i>
    <i r="1">
      <x/>
    </i>
    <i r="1">
      <x v="2"/>
    </i>
    <i>
      <x v="44"/>
    </i>
    <i r="1">
      <x/>
    </i>
    <i r="1">
      <x v="2"/>
    </i>
    <i>
      <x v="45"/>
    </i>
    <i r="1">
      <x v="2"/>
    </i>
    <i>
      <x v="46"/>
    </i>
    <i r="1">
      <x/>
    </i>
    <i r="1">
      <x v="2"/>
    </i>
    <i>
      <x v="47"/>
    </i>
    <i r="1">
      <x/>
    </i>
    <i>
      <x v="48"/>
    </i>
    <i r="1">
      <x/>
    </i>
    <i>
      <x v="49"/>
    </i>
    <i r="1">
      <x v="2"/>
    </i>
    <i>
      <x v="50"/>
    </i>
    <i r="1">
      <x/>
    </i>
    <i>
      <x v="51"/>
    </i>
    <i>
      <x v="52"/>
    </i>
    <i>
      <x v="53"/>
    </i>
    <i r="1">
      <x/>
    </i>
    <i>
      <x v="54"/>
    </i>
    <i r="1">
      <x/>
    </i>
    <i>
      <x v="55"/>
    </i>
    <i r="1">
      <x v="1"/>
    </i>
    <i>
      <x v="56"/>
    </i>
    <i r="1">
      <x/>
    </i>
    <i>
      <x v="57"/>
    </i>
    <i r="1">
      <x v="1"/>
    </i>
    <i t="grand">
      <x/>
    </i>
  </rowItems>
  <colFields count="1">
    <field x="23"/>
  </colFields>
  <colItems count="7">
    <i>
      <x/>
    </i>
    <i>
      <x v="1"/>
    </i>
    <i>
      <x v="2"/>
    </i>
    <i>
      <x v="3"/>
    </i>
    <i>
      <x v="4"/>
    </i>
    <i>
      <x v="5"/>
    </i>
    <i t="grand">
      <x/>
    </i>
  </colItems>
  <dataFields count="1">
    <dataField name="Cuenta de cantidad" fld="6" subtotal="count" baseField="0" baseItem="0"/>
  </dataFields>
  <formats count="5">
    <format dxfId="50">
      <pivotArea dataOnly="0" labelOnly="1" grandCol="1" outline="0" fieldPosition="0"/>
    </format>
    <format dxfId="49">
      <pivotArea dataOnly="0" fieldPosition="0">
        <references count="1">
          <reference field="8" count="23">
            <x v="2"/>
            <x v="3"/>
            <x v="9"/>
            <x v="12"/>
            <x v="14"/>
            <x v="19"/>
            <x v="21"/>
            <x v="22"/>
            <x v="28"/>
            <x v="29"/>
            <x v="32"/>
            <x v="33"/>
            <x v="35"/>
            <x v="37"/>
            <x v="38"/>
            <x v="39"/>
            <x v="40"/>
            <x v="41"/>
            <x v="43"/>
            <x v="44"/>
            <x v="45"/>
            <x v="48"/>
            <x v="57"/>
          </reference>
        </references>
      </pivotArea>
    </format>
    <format dxfId="48">
      <pivotArea outline="0" collapsedLevelsAreSubtotals="1" fieldPosition="0">
        <references count="1">
          <reference field="23" count="1" selected="0">
            <x v="2"/>
          </reference>
        </references>
      </pivotArea>
    </format>
    <format dxfId="47">
      <pivotArea type="topRight" dataOnly="0" labelOnly="1" outline="0" offset="A1" fieldPosition="0"/>
    </format>
    <format dxfId="46">
      <pivotArea dataOnly="0" labelOnly="1" fieldPosition="0">
        <references count="1">
          <reference field="23"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3:Y823" totalsRowShown="0" headerRowDxfId="77" dataDxfId="76">
  <autoFilter ref="A3:Y823" xr:uid="{00000000-0009-0000-0100-000001000000}"/>
  <sortState xmlns:xlrd2="http://schemas.microsoft.com/office/spreadsheetml/2017/richdata2" ref="A2:X235">
    <sortCondition ref="A1:A235"/>
  </sortState>
  <tableColumns count="25">
    <tableColumn id="1" xr3:uid="{00000000-0010-0000-0000-000001000000}" name="fecha_x000a_de_x000a_pedido" dataDxfId="75"/>
    <tableColumn id="25" xr3:uid="{00000000-0010-0000-0000-000019000000}" name="N° Orden de Compra" dataDxfId="74"/>
    <tableColumn id="2" xr3:uid="{00000000-0010-0000-0000-000002000000}" name="Realiza Requerimiento" dataDxfId="73"/>
    <tableColumn id="3" xr3:uid="{00000000-0010-0000-0000-000003000000}" name="Ejecuta" dataDxfId="72"/>
    <tableColumn id="4" xr3:uid="{00000000-0010-0000-0000-000004000000}" name="aprueba_x000a_pedido" dataDxfId="71"/>
    <tableColumn id="5" xr3:uid="{00000000-0010-0000-0000-000005000000}" name="tipo de servicio" dataDxfId="70"/>
    <tableColumn id="6" xr3:uid="{00000000-0010-0000-0000-000006000000}" name="elemento - especificación técnica -_x000a_servicio" dataDxfId="69"/>
    <tableColumn id="7" xr3:uid="{00000000-0010-0000-0000-000007000000}" name="cantidad" dataDxfId="68"/>
    <tableColumn id="8" xr3:uid="{00000000-0010-0000-0000-000008000000}" name="Unidad" dataDxfId="67"/>
    <tableColumn id="9" xr3:uid="{00000000-0010-0000-0000-000009000000}" name="proveedor" dataDxfId="66"/>
    <tableColumn id="10" xr3:uid="{00000000-0010-0000-0000-00000A000000}" name="Costo Unitario" dataDxfId="65"/>
    <tableColumn id="11" xr3:uid="{00000000-0010-0000-0000-00000B000000}" name=" Costo Total" dataDxfId="64"/>
    <tableColumn id="12" xr3:uid="{00000000-0010-0000-0000-00000C000000}" name="Fecha entrega pactada" dataDxfId="63"/>
    <tableColumn id="13" xr3:uid="{00000000-0010-0000-0000-00000D000000}" name="Fecha de entrega real" dataDxfId="62"/>
    <tableColumn id="14" xr3:uid="{00000000-0010-0000-0000-00000E000000}" name="Grado de cumplimiento" dataDxfId="61">
      <calculatedColumnFormula>IF( Tabla1[[#This Row],[Fecha de entrega real]]="","NO CONCRETADO",IF(N4&lt;=M4,"CUMPLIÓ","NO CUMPLIÓ"))</calculatedColumnFormula>
    </tableColumn>
    <tableColumn id="15" xr3:uid="{00000000-0010-0000-0000-00000F000000}" name="Dias de Atraso" dataDxfId="60"/>
    <tableColumn id="16" xr3:uid="{00000000-0010-0000-0000-000010000000}" name="entrega_x000a_pedido" dataDxfId="59"/>
    <tableColumn id="17" xr3:uid="{00000000-0010-0000-0000-000011000000}" name="recibe _x000a_pedido" dataDxfId="58"/>
    <tableColumn id="18" xr3:uid="{00000000-0010-0000-0000-000012000000}" name="inspección recepción/_x000a_observaciones" dataDxfId="57"/>
    <tableColumn id="19" xr3:uid="{00000000-0010-0000-0000-000013000000}" name="_x000a_remito nº_x000a_(si corresponde)" dataDxfId="56"/>
    <tableColumn id="20" xr3:uid="{00000000-0010-0000-0000-000014000000}" name="factura nº" dataDxfId="55"/>
    <tableColumn id="21" xr3:uid="{00000000-0010-0000-0000-000015000000}" name="fecha _x000a_de pago" dataDxfId="54"/>
    <tableColumn id="22" xr3:uid="{00000000-0010-0000-0000-000016000000}" name="observaciones" dataDxfId="53"/>
    <tableColumn id="23" xr3:uid="{00000000-0010-0000-0000-000017000000}" name="mes" dataDxfId="52">
      <calculatedColumnFormula>MONTH(Tabla1[[#This Row],[fecha
de
pedido]])</calculatedColumnFormula>
    </tableColumn>
    <tableColumn id="24" xr3:uid="{00000000-0010-0000-0000-000018000000}" name="año" dataDxfId="51">
      <calculatedColumnFormula>YEAR(Tabla1[[#This Row],[fecha
de
pedido]])</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mailto:industriamedicina@speedy.com.ar" TargetMode="External"/><Relationship Id="rId3" Type="http://schemas.openxmlformats.org/officeDocument/2006/relationships/hyperlink" Target="mailto:info@paam.com.ar" TargetMode="External"/><Relationship Id="rId7" Type="http://schemas.openxmlformats.org/officeDocument/2006/relationships/hyperlink" Target="mailto:abrilequipamientos@abrilequipamientos.com.ar" TargetMode="External"/><Relationship Id="rId2" Type="http://schemas.openxmlformats.org/officeDocument/2006/relationships/hyperlink" Target="mailto:labsa@speedy.com.ar" TargetMode="External"/><Relationship Id="rId1" Type="http://schemas.openxmlformats.org/officeDocument/2006/relationships/hyperlink" Target="mailto:chemeia2003@yahoo.com.ar" TargetMode="External"/><Relationship Id="rId6" Type="http://schemas.openxmlformats.org/officeDocument/2006/relationships/hyperlink" Target="mailto:info@cosmobio.com.ar" TargetMode="External"/><Relationship Id="rId5" Type="http://schemas.openxmlformats.org/officeDocument/2006/relationships/hyperlink" Target="mailto:dolzhnos@speedy.com.ar" TargetMode="External"/><Relationship Id="rId10" Type="http://schemas.openxmlformats.org/officeDocument/2006/relationships/printerSettings" Target="../printerSettings/printerSettings1.bin"/><Relationship Id="rId4" Type="http://schemas.openxmlformats.org/officeDocument/2006/relationships/hyperlink" Target="mailto:ariel.j.grillo@gmail.com" TargetMode="External"/><Relationship Id="rId9" Type="http://schemas.openxmlformats.org/officeDocument/2006/relationships/hyperlink" Target="mailto:info@baldorsrl.com.ar"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belen10rodriguez@hotmail.com" TargetMode="External"/><Relationship Id="rId13" Type="http://schemas.openxmlformats.org/officeDocument/2006/relationships/drawing" Target="../drawings/drawing1.xml"/><Relationship Id="rId3" Type="http://schemas.openxmlformats.org/officeDocument/2006/relationships/hyperlink" Target="mailto:ventas@macsrl.com.ar" TargetMode="External"/><Relationship Id="rId7" Type="http://schemas.openxmlformats.org/officeDocument/2006/relationships/hyperlink" Target="mailto:emanuel.conti@ingenieria.uncuyo.edu.ar" TargetMode="External"/><Relationship Id="rId12" Type="http://schemas.openxmlformats.org/officeDocument/2006/relationships/printerSettings" Target="../printerSettings/printerSettings2.bin"/><Relationship Id="rId2" Type="http://schemas.openxmlformats.org/officeDocument/2006/relationships/hyperlink" Target="mailto:labsa@speedy.com.ar" TargetMode="External"/><Relationship Id="rId1" Type="http://schemas.openxmlformats.org/officeDocument/2006/relationships/hyperlink" Target="mailto:abrilequipamientos@abrilequipamientos.com.ar" TargetMode="External"/><Relationship Id="rId6" Type="http://schemas.openxmlformats.org/officeDocument/2006/relationships/hyperlink" Target="mailto:cristina.quiroga@ingenieria.uncuyo.edu.ar" TargetMode="External"/><Relationship Id="rId11" Type="http://schemas.openxmlformats.org/officeDocument/2006/relationships/hyperlink" Target="mailto:info@qualitychecksrl.com" TargetMode="External"/><Relationship Id="rId5" Type="http://schemas.openxmlformats.org/officeDocument/2006/relationships/hyperlink" Target="mailto:Interlaboratorios@cofilab.org.ar" TargetMode="External"/><Relationship Id="rId15" Type="http://schemas.openxmlformats.org/officeDocument/2006/relationships/comments" Target="../comments1.xml"/><Relationship Id="rId10" Type="http://schemas.openxmlformats.org/officeDocument/2006/relationships/hyperlink" Target="mailto:ingenieria@ipeco.com.ar" TargetMode="External"/><Relationship Id="rId4" Type="http://schemas.openxmlformats.org/officeDocument/2006/relationships/hyperlink" Target="mailto:calidad@ivasa.com" TargetMode="External"/><Relationship Id="rId9" Type="http://schemas.openxmlformats.org/officeDocument/2006/relationships/hyperlink" Target="mailto:silvia.maturano@ingenieria.uncuyo.edu.ar" TargetMode="External"/><Relationship Id="rId1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hyperlink" Target="mailto:industriamedicina@speedy.com.ar" TargetMode="External"/><Relationship Id="rId13" Type="http://schemas.openxmlformats.org/officeDocument/2006/relationships/drawing" Target="../drawings/drawing2.xml"/><Relationship Id="rId3" Type="http://schemas.openxmlformats.org/officeDocument/2006/relationships/hyperlink" Target="mailto:info@cosmobio.com.ar" TargetMode="External"/><Relationship Id="rId7" Type="http://schemas.openxmlformats.org/officeDocument/2006/relationships/hyperlink" Target="mailto:azanon@chemicalcenter.com.ar" TargetMode="External"/><Relationship Id="rId12" Type="http://schemas.openxmlformats.org/officeDocument/2006/relationships/printerSettings" Target="../printerSettings/printerSettings3.bin"/><Relationship Id="rId2" Type="http://schemas.openxmlformats.org/officeDocument/2006/relationships/hyperlink" Target="mailto:chemeia2003@yahoo.com.ar" TargetMode="External"/><Relationship Id="rId1" Type="http://schemas.openxmlformats.org/officeDocument/2006/relationships/hyperlink" Target="mailto:info@baldorsrl.com.ar" TargetMode="External"/><Relationship Id="rId6" Type="http://schemas.openxmlformats.org/officeDocument/2006/relationships/hyperlink" Target="mailto:oxisoldgases@gmail.com" TargetMode="External"/><Relationship Id="rId11" Type="http://schemas.openxmlformats.org/officeDocument/2006/relationships/hyperlink" Target="mailto:ingenieria@ipeco.com.ar" TargetMode="External"/><Relationship Id="rId5" Type="http://schemas.openxmlformats.org/officeDocument/2006/relationships/hyperlink" Target="mailto:industriamedicina@speedy.com.ar" TargetMode="External"/><Relationship Id="rId15" Type="http://schemas.openxmlformats.org/officeDocument/2006/relationships/comments" Target="../comments2.xml"/><Relationship Id="rId10" Type="http://schemas.openxmlformats.org/officeDocument/2006/relationships/hyperlink" Target="mailto:dicgases@speedy.com.ar" TargetMode="External"/><Relationship Id="rId4" Type="http://schemas.openxmlformats.org/officeDocument/2006/relationships/hyperlink" Target="mailto:dolzhnos@speedy.com.ar" TargetMode="External"/><Relationship Id="rId9" Type="http://schemas.openxmlformats.org/officeDocument/2006/relationships/hyperlink" Target="mailto:ventas@salper.com.ar" TargetMode="External"/><Relationship Id="rId1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dimension ref="A1:S370"/>
  <sheetViews>
    <sheetView workbookViewId="0"/>
  </sheetViews>
  <sheetFormatPr baseColWidth="10" defaultRowHeight="12.75" x14ac:dyDescent="0.2"/>
  <cols>
    <col min="4" max="4" width="32" customWidth="1"/>
    <col min="5" max="5" width="85.5703125" customWidth="1"/>
    <col min="7" max="7" width="2" customWidth="1"/>
  </cols>
  <sheetData>
    <row r="1" spans="1:19" ht="13.5" thickBot="1" x14ac:dyDescent="0.25">
      <c r="B1" s="2" t="s">
        <v>28</v>
      </c>
      <c r="R1" t="s">
        <v>217</v>
      </c>
    </row>
    <row r="2" spans="1:19" ht="12.75" customHeight="1" x14ac:dyDescent="0.2">
      <c r="A2" s="713" t="s">
        <v>8</v>
      </c>
      <c r="B2" s="713" t="s">
        <v>9</v>
      </c>
      <c r="C2" s="713" t="s">
        <v>5</v>
      </c>
      <c r="D2" s="715" t="s">
        <v>0</v>
      </c>
      <c r="E2" s="717" t="s">
        <v>1</v>
      </c>
      <c r="F2" s="713" t="s">
        <v>8</v>
      </c>
      <c r="G2" s="9"/>
      <c r="H2" s="713" t="s">
        <v>8</v>
      </c>
      <c r="I2" s="713" t="s">
        <v>8</v>
      </c>
      <c r="J2" s="713" t="s">
        <v>8</v>
      </c>
      <c r="K2" s="713" t="s">
        <v>8</v>
      </c>
      <c r="L2" s="713" t="s">
        <v>8</v>
      </c>
      <c r="M2" s="713" t="s">
        <v>8</v>
      </c>
      <c r="N2" s="713" t="s">
        <v>8</v>
      </c>
      <c r="O2" s="713" t="s">
        <v>8</v>
      </c>
      <c r="P2" s="713" t="s">
        <v>8</v>
      </c>
      <c r="Q2" s="713" t="s">
        <v>8</v>
      </c>
      <c r="R2" s="711" t="s">
        <v>8</v>
      </c>
    </row>
    <row r="3" spans="1:19" ht="30" customHeight="1" thickBot="1" x14ac:dyDescent="0.25">
      <c r="A3" s="719"/>
      <c r="B3" s="714"/>
      <c r="C3" s="714"/>
      <c r="D3" s="716"/>
      <c r="E3" s="718"/>
      <c r="F3" s="719"/>
      <c r="G3" s="10"/>
      <c r="H3" s="719"/>
      <c r="I3" s="719"/>
      <c r="J3" s="719"/>
      <c r="K3" s="719"/>
      <c r="L3" s="719"/>
      <c r="M3" s="719"/>
      <c r="N3" s="719"/>
      <c r="O3" s="719"/>
      <c r="P3" s="719"/>
      <c r="Q3" s="719"/>
      <c r="R3" s="712"/>
    </row>
    <row r="4" spans="1:19" ht="12.75" customHeight="1" x14ac:dyDescent="0.2">
      <c r="A4" s="3">
        <v>42005</v>
      </c>
      <c r="B4" s="1" t="s">
        <v>11</v>
      </c>
      <c r="C4" s="1" t="s">
        <v>32</v>
      </c>
      <c r="D4" s="1" t="s">
        <v>39</v>
      </c>
      <c r="E4" s="17" t="s">
        <v>161</v>
      </c>
      <c r="F4" s="3">
        <v>42036</v>
      </c>
      <c r="G4" s="3"/>
      <c r="H4" s="3">
        <v>42064</v>
      </c>
      <c r="I4" s="3">
        <v>42095</v>
      </c>
      <c r="J4" s="3">
        <v>42125</v>
      </c>
      <c r="K4" s="3">
        <v>42156</v>
      </c>
      <c r="L4" s="3">
        <v>42186</v>
      </c>
      <c r="M4" s="3">
        <v>42217</v>
      </c>
      <c r="N4" s="3">
        <v>42248</v>
      </c>
      <c r="O4" s="3">
        <v>42278</v>
      </c>
      <c r="P4" s="3">
        <v>42309</v>
      </c>
      <c r="Q4" s="3">
        <v>42339</v>
      </c>
      <c r="R4" t="s">
        <v>218</v>
      </c>
    </row>
    <row r="5" spans="1:19" ht="12.75" customHeight="1" x14ac:dyDescent="0.2">
      <c r="A5" s="3"/>
      <c r="B5" s="1"/>
      <c r="C5" s="1"/>
      <c r="D5" s="1"/>
      <c r="E5" s="11" t="s">
        <v>159</v>
      </c>
      <c r="F5" s="3"/>
      <c r="G5" s="3"/>
      <c r="H5" s="3"/>
      <c r="I5" s="3"/>
      <c r="J5" s="3"/>
      <c r="K5" s="3"/>
      <c r="L5" s="3"/>
      <c r="M5" s="3"/>
      <c r="N5" s="3"/>
      <c r="O5" s="3"/>
      <c r="P5" s="3"/>
      <c r="Q5" s="3"/>
      <c r="R5" s="3">
        <v>42370</v>
      </c>
      <c r="S5" s="14" t="s">
        <v>219</v>
      </c>
    </row>
    <row r="6" spans="1:19" x14ac:dyDescent="0.2">
      <c r="A6" s="3">
        <v>42006</v>
      </c>
      <c r="B6" s="1" t="s">
        <v>29</v>
      </c>
      <c r="C6" s="1" t="s">
        <v>33</v>
      </c>
      <c r="D6" s="1" t="s">
        <v>40</v>
      </c>
      <c r="E6" s="12" t="s">
        <v>160</v>
      </c>
      <c r="F6" s="3">
        <v>42037</v>
      </c>
      <c r="G6" s="3"/>
      <c r="H6" s="3">
        <v>42065</v>
      </c>
      <c r="I6" s="3">
        <v>42096</v>
      </c>
      <c r="J6" s="3">
        <v>42126</v>
      </c>
      <c r="K6" s="3">
        <v>42157</v>
      </c>
      <c r="L6" s="3">
        <v>42187</v>
      </c>
      <c r="M6" s="3">
        <v>42218</v>
      </c>
      <c r="N6" s="3">
        <v>42249</v>
      </c>
      <c r="O6" s="3">
        <v>42279</v>
      </c>
      <c r="P6" s="3">
        <v>42310</v>
      </c>
      <c r="Q6" s="3">
        <v>42340</v>
      </c>
      <c r="R6" s="3">
        <v>42371</v>
      </c>
      <c r="S6" s="14" t="s">
        <v>220</v>
      </c>
    </row>
    <row r="7" spans="1:19" x14ac:dyDescent="0.2">
      <c r="A7" s="3">
        <v>42007</v>
      </c>
      <c r="B7" s="1" t="s">
        <v>30</v>
      </c>
      <c r="C7" s="1" t="s">
        <v>29</v>
      </c>
      <c r="D7" s="1" t="s">
        <v>41</v>
      </c>
      <c r="E7" s="6" t="s">
        <v>162</v>
      </c>
      <c r="F7" s="3">
        <v>42038</v>
      </c>
      <c r="G7" s="3"/>
      <c r="H7" s="3">
        <v>42066</v>
      </c>
      <c r="I7" s="3">
        <v>42097</v>
      </c>
      <c r="J7" s="3">
        <v>42127</v>
      </c>
      <c r="K7" s="3">
        <v>42158</v>
      </c>
      <c r="L7" s="3">
        <v>42188</v>
      </c>
      <c r="M7" s="3">
        <v>42219</v>
      </c>
      <c r="N7" s="3">
        <v>42250</v>
      </c>
      <c r="O7" s="3">
        <v>42280</v>
      </c>
      <c r="P7" s="3">
        <v>42311</v>
      </c>
      <c r="Q7" s="3">
        <v>42341</v>
      </c>
      <c r="R7" s="3">
        <v>42372</v>
      </c>
      <c r="S7" s="13" t="s">
        <v>143</v>
      </c>
    </row>
    <row r="8" spans="1:19" x14ac:dyDescent="0.2">
      <c r="A8" s="3">
        <v>42008</v>
      </c>
      <c r="B8" s="1" t="s">
        <v>31</v>
      </c>
      <c r="C8" s="1" t="s">
        <v>227</v>
      </c>
      <c r="D8" s="1" t="s">
        <v>42</v>
      </c>
      <c r="E8" s="6" t="s">
        <v>203</v>
      </c>
      <c r="F8" s="3">
        <v>42039</v>
      </c>
      <c r="G8" s="3"/>
      <c r="H8" s="3">
        <v>42067</v>
      </c>
      <c r="I8" s="3">
        <v>42098</v>
      </c>
      <c r="J8" s="3">
        <v>42128</v>
      </c>
      <c r="K8" s="3">
        <v>42159</v>
      </c>
      <c r="L8" s="3">
        <v>42189</v>
      </c>
      <c r="M8" s="3">
        <v>42220</v>
      </c>
      <c r="N8" s="3">
        <v>42251</v>
      </c>
      <c r="O8" s="3">
        <v>42281</v>
      </c>
      <c r="P8" s="3">
        <v>42312</v>
      </c>
      <c r="Q8" s="3">
        <v>42342</v>
      </c>
      <c r="R8" s="3">
        <v>42373</v>
      </c>
    </row>
    <row r="9" spans="1:19" x14ac:dyDescent="0.2">
      <c r="A9" s="3">
        <v>42009</v>
      </c>
      <c r="C9" s="1" t="s">
        <v>34</v>
      </c>
      <c r="D9" s="1" t="s">
        <v>60</v>
      </c>
      <c r="E9" s="6" t="s">
        <v>194</v>
      </c>
      <c r="F9" s="3">
        <v>42040</v>
      </c>
      <c r="G9" s="3"/>
      <c r="H9" s="3">
        <v>42068</v>
      </c>
      <c r="I9" s="3">
        <v>42099</v>
      </c>
      <c r="J9" s="3">
        <v>42129</v>
      </c>
      <c r="K9" s="3">
        <v>42160</v>
      </c>
      <c r="L9" s="3">
        <v>42190</v>
      </c>
      <c r="M9" s="3">
        <v>42221</v>
      </c>
      <c r="N9" s="3">
        <v>42252</v>
      </c>
      <c r="O9" s="3">
        <v>42282</v>
      </c>
      <c r="P9" s="3">
        <v>42313</v>
      </c>
      <c r="Q9" s="3">
        <v>42343</v>
      </c>
      <c r="R9" s="3">
        <v>42374</v>
      </c>
    </row>
    <row r="10" spans="1:19" x14ac:dyDescent="0.2">
      <c r="A10" s="3">
        <v>42010</v>
      </c>
      <c r="C10" s="1" t="s">
        <v>35</v>
      </c>
      <c r="D10" s="1" t="s">
        <v>61</v>
      </c>
      <c r="E10" s="6" t="s">
        <v>173</v>
      </c>
      <c r="F10" s="3">
        <v>42041</v>
      </c>
      <c r="G10" s="3"/>
      <c r="H10" s="3">
        <v>42069</v>
      </c>
      <c r="I10" s="3">
        <v>42100</v>
      </c>
      <c r="J10" s="3">
        <v>42130</v>
      </c>
      <c r="K10" s="3">
        <v>42161</v>
      </c>
      <c r="L10" s="3">
        <v>42191</v>
      </c>
      <c r="M10" s="3">
        <v>42222</v>
      </c>
      <c r="N10" s="3">
        <v>42253</v>
      </c>
      <c r="O10" s="3">
        <v>42283</v>
      </c>
      <c r="P10" s="3">
        <v>42314</v>
      </c>
      <c r="Q10" s="3">
        <v>42344</v>
      </c>
      <c r="R10" s="3">
        <v>42375</v>
      </c>
    </row>
    <row r="11" spans="1:19" x14ac:dyDescent="0.2">
      <c r="A11" s="3">
        <v>42011</v>
      </c>
      <c r="C11" s="1" t="s">
        <v>11</v>
      </c>
      <c r="D11" s="1" t="s">
        <v>43</v>
      </c>
      <c r="E11" s="6" t="s">
        <v>167</v>
      </c>
      <c r="F11" s="3">
        <v>42042</v>
      </c>
      <c r="G11" s="3"/>
      <c r="H11" s="3">
        <v>42070</v>
      </c>
      <c r="I11" s="3">
        <v>42101</v>
      </c>
      <c r="J11" s="3">
        <v>42131</v>
      </c>
      <c r="K11" s="3">
        <v>42162</v>
      </c>
      <c r="L11" s="3">
        <v>42192</v>
      </c>
      <c r="M11" s="3">
        <v>42223</v>
      </c>
      <c r="N11" s="3">
        <v>42254</v>
      </c>
      <c r="O11" s="3">
        <v>42284</v>
      </c>
      <c r="P11" s="3">
        <v>42315</v>
      </c>
      <c r="Q11" s="3">
        <v>42345</v>
      </c>
      <c r="R11" s="3">
        <v>42376</v>
      </c>
    </row>
    <row r="12" spans="1:19" x14ac:dyDescent="0.2">
      <c r="A12" s="3">
        <v>42012</v>
      </c>
      <c r="C12" s="1" t="s">
        <v>232</v>
      </c>
      <c r="D12" s="1" t="s">
        <v>62</v>
      </c>
      <c r="E12" s="6" t="s">
        <v>174</v>
      </c>
      <c r="F12" s="3">
        <v>42043</v>
      </c>
      <c r="G12" s="3"/>
      <c r="H12" s="3">
        <v>42071</v>
      </c>
      <c r="I12" s="3">
        <v>42102</v>
      </c>
      <c r="J12" s="3">
        <v>42132</v>
      </c>
      <c r="K12" s="3">
        <v>42163</v>
      </c>
      <c r="L12" s="3">
        <v>42193</v>
      </c>
      <c r="M12" s="3">
        <v>42224</v>
      </c>
      <c r="N12" s="3">
        <v>42255</v>
      </c>
      <c r="O12" s="3">
        <v>42285</v>
      </c>
      <c r="P12" s="3">
        <v>42316</v>
      </c>
      <c r="Q12" s="3">
        <v>42346</v>
      </c>
      <c r="R12" s="3">
        <v>42377</v>
      </c>
    </row>
    <row r="13" spans="1:19" x14ac:dyDescent="0.2">
      <c r="A13" s="3">
        <v>42013</v>
      </c>
      <c r="C13" s="1" t="s">
        <v>247</v>
      </c>
      <c r="D13" s="1" t="s">
        <v>63</v>
      </c>
      <c r="E13" s="6" t="s">
        <v>204</v>
      </c>
      <c r="F13" s="3">
        <v>42044</v>
      </c>
      <c r="G13" s="3"/>
      <c r="H13" s="3">
        <v>42072</v>
      </c>
      <c r="I13" s="3">
        <v>42103</v>
      </c>
      <c r="J13" s="3">
        <v>42133</v>
      </c>
      <c r="K13" s="3">
        <v>42164</v>
      </c>
      <c r="L13" s="3">
        <v>42194</v>
      </c>
      <c r="M13" s="3">
        <v>42225</v>
      </c>
      <c r="N13" s="3">
        <v>42256</v>
      </c>
      <c r="O13" s="3">
        <v>42286</v>
      </c>
      <c r="P13" s="3">
        <v>42317</v>
      </c>
      <c r="Q13" s="3">
        <v>42347</v>
      </c>
      <c r="R13" s="3">
        <v>42378</v>
      </c>
    </row>
    <row r="14" spans="1:19" ht="13.5" thickBot="1" x14ac:dyDescent="0.25">
      <c r="A14" s="3">
        <v>42014</v>
      </c>
      <c r="C14" s="1"/>
      <c r="D14" s="1" t="s">
        <v>15</v>
      </c>
      <c r="E14" s="6" t="s">
        <v>208</v>
      </c>
      <c r="F14" s="3">
        <v>42045</v>
      </c>
      <c r="G14" s="3"/>
      <c r="H14" s="3">
        <v>42073</v>
      </c>
      <c r="I14" s="3">
        <v>42104</v>
      </c>
      <c r="J14" s="3">
        <v>42134</v>
      </c>
      <c r="K14" s="3">
        <v>42165</v>
      </c>
      <c r="L14" s="3">
        <v>42195</v>
      </c>
      <c r="M14" s="3">
        <v>42226</v>
      </c>
      <c r="N14" s="3">
        <v>42257</v>
      </c>
      <c r="O14" s="3">
        <v>42287</v>
      </c>
      <c r="P14" s="3">
        <v>42318</v>
      </c>
      <c r="Q14" s="3">
        <v>42348</v>
      </c>
      <c r="R14" s="3">
        <v>42379</v>
      </c>
    </row>
    <row r="15" spans="1:19" x14ac:dyDescent="0.2">
      <c r="A15" s="3">
        <v>42015</v>
      </c>
      <c r="D15" s="1" t="s">
        <v>64</v>
      </c>
      <c r="E15" s="17" t="s">
        <v>207</v>
      </c>
      <c r="F15" s="3">
        <v>42046</v>
      </c>
      <c r="G15" s="3"/>
      <c r="H15" s="3">
        <v>42074</v>
      </c>
      <c r="I15" s="3">
        <v>42105</v>
      </c>
      <c r="J15" s="3">
        <v>42135</v>
      </c>
      <c r="K15" s="3">
        <v>42166</v>
      </c>
      <c r="L15" s="3">
        <v>42196</v>
      </c>
      <c r="M15" s="3">
        <v>42227</v>
      </c>
      <c r="N15" s="3">
        <v>42258</v>
      </c>
      <c r="O15" s="3">
        <v>42288</v>
      </c>
      <c r="P15" s="3">
        <v>42319</v>
      </c>
      <c r="Q15" s="3">
        <v>42349</v>
      </c>
      <c r="R15" s="3">
        <v>42380</v>
      </c>
    </row>
    <row r="16" spans="1:19" x14ac:dyDescent="0.2">
      <c r="A16" s="3">
        <v>42016</v>
      </c>
      <c r="D16" s="1" t="s">
        <v>78</v>
      </c>
      <c r="E16" s="5" t="s">
        <v>16</v>
      </c>
      <c r="F16" s="3">
        <v>42047</v>
      </c>
      <c r="G16" s="3"/>
      <c r="H16" s="3">
        <v>42075</v>
      </c>
      <c r="I16" s="3">
        <v>42106</v>
      </c>
      <c r="J16" s="3">
        <v>42136</v>
      </c>
      <c r="K16" s="3">
        <v>42167</v>
      </c>
      <c r="L16" s="3">
        <v>42197</v>
      </c>
      <c r="M16" s="3">
        <v>42228</v>
      </c>
      <c r="N16" s="3">
        <v>42259</v>
      </c>
      <c r="O16" s="3">
        <v>42289</v>
      </c>
      <c r="P16" s="3">
        <v>42320</v>
      </c>
      <c r="Q16" s="3">
        <v>42350</v>
      </c>
      <c r="R16" s="3">
        <v>42381</v>
      </c>
    </row>
    <row r="17" spans="1:18" x14ac:dyDescent="0.2">
      <c r="A17" s="3">
        <v>42017</v>
      </c>
      <c r="D17" s="1" t="s">
        <v>44</v>
      </c>
      <c r="E17" s="6" t="s">
        <v>200</v>
      </c>
      <c r="F17" s="3">
        <v>42048</v>
      </c>
      <c r="G17" s="3"/>
      <c r="H17" s="3">
        <v>42076</v>
      </c>
      <c r="I17" s="3">
        <v>42107</v>
      </c>
      <c r="J17" s="3">
        <v>42137</v>
      </c>
      <c r="K17" s="3">
        <v>42168</v>
      </c>
      <c r="L17" s="3">
        <v>42198</v>
      </c>
      <c r="M17" s="3">
        <v>42229</v>
      </c>
      <c r="N17" s="3">
        <v>42260</v>
      </c>
      <c r="O17" s="3">
        <v>42290</v>
      </c>
      <c r="P17" s="3">
        <v>42321</v>
      </c>
      <c r="Q17" s="3">
        <v>42351</v>
      </c>
      <c r="R17" s="3">
        <v>42382</v>
      </c>
    </row>
    <row r="18" spans="1:18" x14ac:dyDescent="0.2">
      <c r="A18" s="3">
        <v>42018</v>
      </c>
      <c r="D18" s="1" t="s">
        <v>79</v>
      </c>
      <c r="E18" s="6" t="s">
        <v>196</v>
      </c>
      <c r="F18" s="3">
        <v>42049</v>
      </c>
      <c r="G18" s="3"/>
      <c r="H18" s="3">
        <v>42077</v>
      </c>
      <c r="I18" s="3">
        <v>42108</v>
      </c>
      <c r="J18" s="3">
        <v>42138</v>
      </c>
      <c r="K18" s="3">
        <v>42169</v>
      </c>
      <c r="L18" s="3">
        <v>42199</v>
      </c>
      <c r="M18" s="3">
        <v>42230</v>
      </c>
      <c r="N18" s="3">
        <v>42261</v>
      </c>
      <c r="O18" s="3">
        <v>42291</v>
      </c>
      <c r="P18" s="3">
        <v>42322</v>
      </c>
      <c r="Q18" s="3">
        <v>42352</v>
      </c>
      <c r="R18" s="3">
        <v>42383</v>
      </c>
    </row>
    <row r="19" spans="1:18" x14ac:dyDescent="0.2">
      <c r="A19" s="3">
        <v>42019</v>
      </c>
      <c r="D19" s="1" t="s">
        <v>45</v>
      </c>
      <c r="E19" s="6" t="s">
        <v>180</v>
      </c>
      <c r="F19" s="3">
        <v>42050</v>
      </c>
      <c r="G19" s="3"/>
      <c r="H19" s="3">
        <v>42078</v>
      </c>
      <c r="I19" s="3">
        <v>42109</v>
      </c>
      <c r="J19" s="3">
        <v>42139</v>
      </c>
      <c r="K19" s="3">
        <v>42170</v>
      </c>
      <c r="L19" s="3">
        <v>42200</v>
      </c>
      <c r="M19" s="3">
        <v>42231</v>
      </c>
      <c r="N19" s="3">
        <v>42262</v>
      </c>
      <c r="O19" s="3">
        <v>42292</v>
      </c>
      <c r="P19" s="3">
        <v>42323</v>
      </c>
      <c r="Q19" s="3">
        <v>42353</v>
      </c>
      <c r="R19" s="3">
        <v>42384</v>
      </c>
    </row>
    <row r="20" spans="1:18" x14ac:dyDescent="0.2">
      <c r="A20" s="3">
        <v>42020</v>
      </c>
      <c r="D20" s="1" t="s">
        <v>80</v>
      </c>
      <c r="E20" s="11" t="s">
        <v>226</v>
      </c>
      <c r="F20" s="3">
        <v>42051</v>
      </c>
      <c r="G20" s="3"/>
      <c r="H20" s="3">
        <v>42079</v>
      </c>
      <c r="I20" s="3">
        <v>42110</v>
      </c>
      <c r="J20" s="3">
        <v>42140</v>
      </c>
      <c r="K20" s="3">
        <v>42171</v>
      </c>
      <c r="L20" s="3">
        <v>42201</v>
      </c>
      <c r="M20" s="3">
        <v>42232</v>
      </c>
      <c r="N20" s="3">
        <v>42263</v>
      </c>
      <c r="O20" s="3">
        <v>42293</v>
      </c>
      <c r="P20" s="3">
        <v>42324</v>
      </c>
      <c r="Q20" s="3">
        <v>42354</v>
      </c>
      <c r="R20" s="3">
        <v>42385</v>
      </c>
    </row>
    <row r="21" spans="1:18" x14ac:dyDescent="0.2">
      <c r="A21" s="3">
        <v>42021</v>
      </c>
      <c r="D21" s="1" t="s">
        <v>46</v>
      </c>
      <c r="E21" s="5" t="s">
        <v>147</v>
      </c>
      <c r="F21" s="3">
        <v>42052</v>
      </c>
      <c r="G21" s="3"/>
      <c r="H21" s="3">
        <v>42080</v>
      </c>
      <c r="I21" s="3">
        <v>42111</v>
      </c>
      <c r="J21" s="3">
        <v>42141</v>
      </c>
      <c r="K21" s="3">
        <v>42172</v>
      </c>
      <c r="L21" s="3">
        <v>42202</v>
      </c>
      <c r="M21" s="3">
        <v>42233</v>
      </c>
      <c r="N21" s="3">
        <v>42264</v>
      </c>
      <c r="O21" s="3">
        <v>42294</v>
      </c>
      <c r="P21" s="3">
        <v>42325</v>
      </c>
      <c r="Q21" s="3">
        <v>42355</v>
      </c>
      <c r="R21" s="3">
        <v>42386</v>
      </c>
    </row>
    <row r="22" spans="1:18" x14ac:dyDescent="0.2">
      <c r="A22" s="3">
        <v>42022</v>
      </c>
      <c r="D22" s="1" t="s">
        <v>81</v>
      </c>
      <c r="E22" s="5" t="s">
        <v>25</v>
      </c>
      <c r="F22" s="3">
        <v>42053</v>
      </c>
      <c r="G22" s="3"/>
      <c r="H22" s="3">
        <v>42081</v>
      </c>
      <c r="I22" s="3">
        <v>42112</v>
      </c>
      <c r="J22" s="3">
        <v>42142</v>
      </c>
      <c r="K22" s="3">
        <v>42173</v>
      </c>
      <c r="L22" s="3">
        <v>42203</v>
      </c>
      <c r="M22" s="3">
        <v>42234</v>
      </c>
      <c r="N22" s="3">
        <v>42265</v>
      </c>
      <c r="O22" s="3">
        <v>42295</v>
      </c>
      <c r="P22" s="3">
        <v>42326</v>
      </c>
      <c r="Q22" s="3">
        <v>42356</v>
      </c>
      <c r="R22" s="3">
        <v>42387</v>
      </c>
    </row>
    <row r="23" spans="1:18" x14ac:dyDescent="0.2">
      <c r="A23" s="3">
        <v>42023</v>
      </c>
      <c r="D23" s="1" t="s">
        <v>82</v>
      </c>
      <c r="E23" s="5" t="s">
        <v>124</v>
      </c>
      <c r="F23" s="3">
        <v>42054</v>
      </c>
      <c r="G23" s="3"/>
      <c r="H23" s="3">
        <v>42082</v>
      </c>
      <c r="I23" s="3">
        <v>42113</v>
      </c>
      <c r="J23" s="3">
        <v>42143</v>
      </c>
      <c r="K23" s="3">
        <v>42174</v>
      </c>
      <c r="L23" s="3">
        <v>42204</v>
      </c>
      <c r="M23" s="3">
        <v>42235</v>
      </c>
      <c r="N23" s="3">
        <v>42266</v>
      </c>
      <c r="O23" s="3">
        <v>42296</v>
      </c>
      <c r="P23" s="3">
        <v>42327</v>
      </c>
      <c r="Q23" s="3">
        <v>42357</v>
      </c>
      <c r="R23" s="3">
        <v>42388</v>
      </c>
    </row>
    <row r="24" spans="1:18" x14ac:dyDescent="0.2">
      <c r="A24" s="3">
        <v>42024</v>
      </c>
      <c r="D24" s="1" t="s">
        <v>83</v>
      </c>
      <c r="E24" s="5" t="s">
        <v>18</v>
      </c>
      <c r="F24" s="3">
        <v>42055</v>
      </c>
      <c r="G24" s="3"/>
      <c r="H24" s="3">
        <v>42083</v>
      </c>
      <c r="I24" s="3">
        <v>42114</v>
      </c>
      <c r="J24" s="3">
        <v>42144</v>
      </c>
      <c r="K24" s="3">
        <v>42175</v>
      </c>
      <c r="L24" s="3">
        <v>42205</v>
      </c>
      <c r="M24" s="3">
        <v>42236</v>
      </c>
      <c r="N24" s="3">
        <v>42267</v>
      </c>
      <c r="O24" s="3">
        <v>42297</v>
      </c>
      <c r="P24" s="3">
        <v>42328</v>
      </c>
      <c r="Q24" s="3">
        <v>42358</v>
      </c>
      <c r="R24" s="3">
        <v>42389</v>
      </c>
    </row>
    <row r="25" spans="1:18" x14ac:dyDescent="0.2">
      <c r="A25" s="3">
        <v>42025</v>
      </c>
      <c r="D25" s="1" t="s">
        <v>84</v>
      </c>
      <c r="E25" s="6" t="s">
        <v>90</v>
      </c>
      <c r="F25" s="3">
        <v>42056</v>
      </c>
      <c r="G25" s="3"/>
      <c r="H25" s="3">
        <v>42084</v>
      </c>
      <c r="I25" s="3">
        <v>42115</v>
      </c>
      <c r="J25" s="3">
        <v>42145</v>
      </c>
      <c r="K25" s="3">
        <v>42176</v>
      </c>
      <c r="L25" s="3">
        <v>42206</v>
      </c>
      <c r="M25" s="3">
        <v>42237</v>
      </c>
      <c r="N25" s="3">
        <v>42268</v>
      </c>
      <c r="O25" s="3">
        <v>42298</v>
      </c>
      <c r="P25" s="3">
        <v>42329</v>
      </c>
      <c r="Q25" s="3">
        <v>42359</v>
      </c>
      <c r="R25" s="3">
        <v>42390</v>
      </c>
    </row>
    <row r="26" spans="1:18" x14ac:dyDescent="0.2">
      <c r="A26" s="3">
        <v>42026</v>
      </c>
      <c r="D26" s="1" t="s">
        <v>47</v>
      </c>
      <c r="E26" s="6" t="s">
        <v>89</v>
      </c>
      <c r="F26" s="3">
        <v>42057</v>
      </c>
      <c r="G26" s="3"/>
      <c r="H26" s="3">
        <v>42085</v>
      </c>
      <c r="I26" s="3">
        <v>42116</v>
      </c>
      <c r="J26" s="3">
        <v>42146</v>
      </c>
      <c r="K26" s="3">
        <v>42177</v>
      </c>
      <c r="L26" s="3">
        <v>42207</v>
      </c>
      <c r="M26" s="3">
        <v>42238</v>
      </c>
      <c r="N26" s="3">
        <v>42269</v>
      </c>
      <c r="O26" s="3">
        <v>42299</v>
      </c>
      <c r="P26" s="3">
        <v>42330</v>
      </c>
      <c r="Q26" s="3">
        <v>42360</v>
      </c>
      <c r="R26" s="3">
        <v>42391</v>
      </c>
    </row>
    <row r="27" spans="1:18" x14ac:dyDescent="0.2">
      <c r="A27" s="3">
        <v>42027</v>
      </c>
      <c r="D27" s="1" t="s">
        <v>48</v>
      </c>
      <c r="E27" s="6" t="s">
        <v>91</v>
      </c>
      <c r="F27" s="3">
        <v>42058</v>
      </c>
      <c r="G27" s="3"/>
      <c r="H27" s="3">
        <v>42086</v>
      </c>
      <c r="I27" s="3">
        <v>42117</v>
      </c>
      <c r="J27" s="3">
        <v>42147</v>
      </c>
      <c r="K27" s="3">
        <v>42178</v>
      </c>
      <c r="L27" s="3">
        <v>42208</v>
      </c>
      <c r="M27" s="3">
        <v>42239</v>
      </c>
      <c r="N27" s="3">
        <v>42270</v>
      </c>
      <c r="O27" s="3">
        <v>42300</v>
      </c>
      <c r="P27" s="3">
        <v>42331</v>
      </c>
      <c r="Q27" s="3">
        <v>42361</v>
      </c>
      <c r="R27" s="3">
        <v>42392</v>
      </c>
    </row>
    <row r="28" spans="1:18" x14ac:dyDescent="0.2">
      <c r="A28" s="3">
        <v>42028</v>
      </c>
      <c r="D28" s="4" t="s">
        <v>76</v>
      </c>
      <c r="E28" s="5" t="s">
        <v>17</v>
      </c>
      <c r="F28" s="3">
        <v>42059</v>
      </c>
      <c r="G28" s="3"/>
      <c r="H28" s="3">
        <v>42087</v>
      </c>
      <c r="I28" s="3">
        <v>42118</v>
      </c>
      <c r="J28" s="3">
        <v>42148</v>
      </c>
      <c r="K28" s="3">
        <v>42179</v>
      </c>
      <c r="L28" s="3">
        <v>42209</v>
      </c>
      <c r="M28" s="3">
        <v>42240</v>
      </c>
      <c r="N28" s="3">
        <v>42271</v>
      </c>
      <c r="O28" s="3">
        <v>42301</v>
      </c>
      <c r="P28" s="3">
        <v>42332</v>
      </c>
      <c r="Q28" s="3">
        <v>42362</v>
      </c>
      <c r="R28" s="3">
        <v>42393</v>
      </c>
    </row>
    <row r="29" spans="1:18" x14ac:dyDescent="0.2">
      <c r="A29" s="3">
        <v>42029</v>
      </c>
      <c r="D29" s="4" t="s">
        <v>75</v>
      </c>
      <c r="E29" s="5" t="s">
        <v>19</v>
      </c>
      <c r="F29" s="3">
        <v>42060</v>
      </c>
      <c r="G29" s="3"/>
      <c r="H29" s="3">
        <v>42088</v>
      </c>
      <c r="I29" s="3">
        <v>42119</v>
      </c>
      <c r="J29" s="3">
        <v>42149</v>
      </c>
      <c r="K29" s="3">
        <v>42180</v>
      </c>
      <c r="L29" s="3">
        <v>42210</v>
      </c>
      <c r="M29" s="3">
        <v>42241</v>
      </c>
      <c r="N29" s="3">
        <v>42272</v>
      </c>
      <c r="O29" s="3">
        <v>42302</v>
      </c>
      <c r="P29" s="3">
        <v>42333</v>
      </c>
      <c r="Q29" s="3">
        <v>42363</v>
      </c>
      <c r="R29" s="3">
        <v>42394</v>
      </c>
    </row>
    <row r="30" spans="1:18" x14ac:dyDescent="0.2">
      <c r="A30" s="3">
        <v>42030</v>
      </c>
      <c r="D30" s="1" t="s">
        <v>74</v>
      </c>
      <c r="E30" s="6" t="s">
        <v>171</v>
      </c>
      <c r="F30" s="3">
        <v>42061</v>
      </c>
      <c r="G30" s="3"/>
      <c r="H30" s="3">
        <v>42089</v>
      </c>
      <c r="I30" s="3">
        <v>42120</v>
      </c>
      <c r="J30" s="3">
        <v>42150</v>
      </c>
      <c r="K30" s="3">
        <v>42181</v>
      </c>
      <c r="L30" s="3">
        <v>42211</v>
      </c>
      <c r="M30" s="3">
        <v>42242</v>
      </c>
      <c r="N30" s="3">
        <v>42273</v>
      </c>
      <c r="O30" s="3">
        <v>42303</v>
      </c>
      <c r="P30" s="3">
        <v>42334</v>
      </c>
      <c r="Q30" s="3">
        <v>42364</v>
      </c>
      <c r="R30" s="3">
        <v>42395</v>
      </c>
    </row>
    <row r="31" spans="1:18" x14ac:dyDescent="0.2">
      <c r="A31" s="3">
        <v>42031</v>
      </c>
      <c r="D31" s="1" t="s">
        <v>73</v>
      </c>
      <c r="E31" s="6" t="s">
        <v>170</v>
      </c>
      <c r="F31" s="3">
        <v>42062</v>
      </c>
      <c r="G31" s="3"/>
      <c r="H31" s="3">
        <v>42090</v>
      </c>
      <c r="I31" s="3">
        <v>42121</v>
      </c>
      <c r="J31" s="3">
        <v>42151</v>
      </c>
      <c r="K31" s="3">
        <v>42182</v>
      </c>
      <c r="L31" s="3">
        <v>42212</v>
      </c>
      <c r="M31" s="3">
        <v>42243</v>
      </c>
      <c r="N31" s="3">
        <v>42274</v>
      </c>
      <c r="O31" s="3">
        <v>42304</v>
      </c>
      <c r="P31" s="3">
        <v>42335</v>
      </c>
      <c r="Q31" s="3">
        <v>42365</v>
      </c>
      <c r="R31" s="3">
        <v>42396</v>
      </c>
    </row>
    <row r="32" spans="1:18" x14ac:dyDescent="0.2">
      <c r="A32" s="3">
        <v>42032</v>
      </c>
      <c r="D32" s="1" t="s">
        <v>49</v>
      </c>
      <c r="E32" s="6" t="s">
        <v>240</v>
      </c>
      <c r="F32" s="3">
        <v>42063</v>
      </c>
      <c r="G32" s="3"/>
      <c r="H32" s="3">
        <v>42091</v>
      </c>
      <c r="I32" s="3">
        <v>42122</v>
      </c>
      <c r="J32" s="3">
        <v>42152</v>
      </c>
      <c r="K32" s="3">
        <v>42183</v>
      </c>
      <c r="L32" s="3">
        <v>42213</v>
      </c>
      <c r="M32" s="3">
        <v>42244</v>
      </c>
      <c r="N32" s="3">
        <v>42275</v>
      </c>
      <c r="O32" s="3">
        <v>42305</v>
      </c>
      <c r="P32" s="3">
        <v>42336</v>
      </c>
      <c r="Q32" s="3">
        <v>42366</v>
      </c>
      <c r="R32" s="3">
        <v>42397</v>
      </c>
    </row>
    <row r="33" spans="1:18" x14ac:dyDescent="0.2">
      <c r="A33" s="3">
        <v>42033</v>
      </c>
      <c r="D33" s="1" t="s">
        <v>50</v>
      </c>
      <c r="E33" s="6" t="s">
        <v>185</v>
      </c>
      <c r="F33" s="3"/>
      <c r="G33" s="3"/>
      <c r="H33" s="3">
        <v>42092</v>
      </c>
      <c r="I33" s="3">
        <v>42123</v>
      </c>
      <c r="J33" s="3">
        <v>42153</v>
      </c>
      <c r="K33" s="3">
        <v>42184</v>
      </c>
      <c r="L33" s="3">
        <v>42214</v>
      </c>
      <c r="M33" s="3">
        <v>42245</v>
      </c>
      <c r="N33" s="3">
        <v>42276</v>
      </c>
      <c r="O33" s="3">
        <v>42306</v>
      </c>
      <c r="P33" s="3">
        <v>42337</v>
      </c>
      <c r="Q33" s="3">
        <v>42367</v>
      </c>
      <c r="R33" s="3">
        <v>42398</v>
      </c>
    </row>
    <row r="34" spans="1:18" x14ac:dyDescent="0.2">
      <c r="A34" s="3">
        <v>42034</v>
      </c>
      <c r="D34" s="1" t="s">
        <v>77</v>
      </c>
      <c r="E34" s="6" t="s">
        <v>202</v>
      </c>
      <c r="F34" s="3"/>
      <c r="G34" s="3"/>
      <c r="H34" s="3">
        <v>42093</v>
      </c>
      <c r="I34" s="3">
        <v>42124</v>
      </c>
      <c r="J34" s="3">
        <v>42154</v>
      </c>
      <c r="K34" s="3">
        <v>42185</v>
      </c>
      <c r="L34" s="3">
        <v>42215</v>
      </c>
      <c r="M34" s="3">
        <v>42246</v>
      </c>
      <c r="N34" s="3">
        <v>42277</v>
      </c>
      <c r="O34" s="3">
        <v>42307</v>
      </c>
      <c r="P34" s="3">
        <v>42338</v>
      </c>
      <c r="Q34" s="3">
        <v>42368</v>
      </c>
      <c r="R34" s="3">
        <v>42399</v>
      </c>
    </row>
    <row r="35" spans="1:18" x14ac:dyDescent="0.2">
      <c r="A35" s="3">
        <v>42035</v>
      </c>
      <c r="D35" s="1" t="s">
        <v>12</v>
      </c>
      <c r="E35" s="6" t="s">
        <v>199</v>
      </c>
      <c r="F35" s="3"/>
      <c r="G35" s="3"/>
      <c r="H35" s="3">
        <v>42094</v>
      </c>
      <c r="J35" s="3">
        <v>42155</v>
      </c>
      <c r="L35" s="3">
        <v>42216</v>
      </c>
      <c r="M35" s="3">
        <v>42247</v>
      </c>
      <c r="N35" s="3"/>
      <c r="O35" s="3">
        <v>42308</v>
      </c>
      <c r="P35" s="3"/>
      <c r="Q35" s="3">
        <v>42369</v>
      </c>
      <c r="R35" s="3">
        <v>42400</v>
      </c>
    </row>
    <row r="36" spans="1:18" x14ac:dyDescent="0.2">
      <c r="D36" s="1" t="s">
        <v>71</v>
      </c>
      <c r="E36" s="6" t="s">
        <v>197</v>
      </c>
      <c r="F36" s="3"/>
      <c r="G36" s="3"/>
      <c r="R36" s="3">
        <v>42401</v>
      </c>
    </row>
    <row r="37" spans="1:18" x14ac:dyDescent="0.2">
      <c r="D37" s="1" t="s">
        <v>51</v>
      </c>
      <c r="E37" s="6" t="s">
        <v>198</v>
      </c>
      <c r="R37" s="3">
        <v>42402</v>
      </c>
    </row>
    <row r="38" spans="1:18" x14ac:dyDescent="0.2">
      <c r="D38" s="1" t="s">
        <v>70</v>
      </c>
      <c r="E38" s="6" t="s">
        <v>195</v>
      </c>
      <c r="R38" s="3">
        <v>42403</v>
      </c>
    </row>
    <row r="39" spans="1:18" x14ac:dyDescent="0.2">
      <c r="D39" s="1" t="s">
        <v>52</v>
      </c>
      <c r="E39" s="7" t="s">
        <v>168</v>
      </c>
      <c r="R39" s="3">
        <v>42404</v>
      </c>
    </row>
    <row r="40" spans="1:18" x14ac:dyDescent="0.2">
      <c r="D40" s="1" t="s">
        <v>27</v>
      </c>
      <c r="E40" s="7" t="s">
        <v>156</v>
      </c>
      <c r="R40" s="3">
        <v>42405</v>
      </c>
    </row>
    <row r="41" spans="1:18" x14ac:dyDescent="0.2">
      <c r="D41" s="1" t="s">
        <v>69</v>
      </c>
      <c r="E41" s="7" t="s">
        <v>158</v>
      </c>
      <c r="R41" s="3">
        <v>42406</v>
      </c>
    </row>
    <row r="42" spans="1:18" x14ac:dyDescent="0.2">
      <c r="D42" s="1" t="s">
        <v>88</v>
      </c>
      <c r="E42" s="7" t="s">
        <v>157</v>
      </c>
      <c r="R42" s="3">
        <v>42407</v>
      </c>
    </row>
    <row r="43" spans="1:18" x14ac:dyDescent="0.2">
      <c r="D43" s="1" t="s">
        <v>53</v>
      </c>
      <c r="E43" s="7" t="s">
        <v>176</v>
      </c>
      <c r="R43" s="3">
        <v>42408</v>
      </c>
    </row>
    <row r="44" spans="1:18" x14ac:dyDescent="0.2">
      <c r="D44" s="1" t="s">
        <v>54</v>
      </c>
      <c r="E44" s="8" t="s">
        <v>137</v>
      </c>
      <c r="R44" s="3">
        <v>42409</v>
      </c>
    </row>
    <row r="45" spans="1:18" x14ac:dyDescent="0.2">
      <c r="D45" s="1" t="s">
        <v>67</v>
      </c>
      <c r="E45" s="8" t="s">
        <v>138</v>
      </c>
      <c r="R45" s="3">
        <v>42410</v>
      </c>
    </row>
    <row r="46" spans="1:18" x14ac:dyDescent="0.2">
      <c r="D46" s="1" t="s">
        <v>66</v>
      </c>
      <c r="E46" s="8" t="s">
        <v>141</v>
      </c>
      <c r="R46" s="3">
        <v>42411</v>
      </c>
    </row>
    <row r="47" spans="1:18" x14ac:dyDescent="0.2">
      <c r="D47" s="1" t="s">
        <v>68</v>
      </c>
      <c r="E47" s="8" t="s">
        <v>139</v>
      </c>
      <c r="R47" s="3">
        <v>42412</v>
      </c>
    </row>
    <row r="48" spans="1:18" x14ac:dyDescent="0.2">
      <c r="D48" s="1" t="s">
        <v>55</v>
      </c>
      <c r="E48" s="8" t="s">
        <v>140</v>
      </c>
      <c r="R48" s="3">
        <v>42413</v>
      </c>
    </row>
    <row r="49" spans="4:18" x14ac:dyDescent="0.2">
      <c r="D49" s="1" t="s">
        <v>72</v>
      </c>
      <c r="E49" s="8" t="s">
        <v>142</v>
      </c>
      <c r="R49" s="3">
        <v>42414</v>
      </c>
    </row>
    <row r="50" spans="4:18" x14ac:dyDescent="0.2">
      <c r="D50" s="1" t="s">
        <v>65</v>
      </c>
      <c r="E50" s="8" t="s">
        <v>146</v>
      </c>
      <c r="R50" s="3">
        <v>42415</v>
      </c>
    </row>
    <row r="51" spans="4:18" x14ac:dyDescent="0.2">
      <c r="D51" s="1" t="s">
        <v>56</v>
      </c>
      <c r="E51" s="8" t="s">
        <v>38</v>
      </c>
      <c r="R51" s="3">
        <v>42416</v>
      </c>
    </row>
    <row r="52" spans="4:18" x14ac:dyDescent="0.2">
      <c r="D52" s="1" t="s">
        <v>57</v>
      </c>
      <c r="E52" s="7" t="s">
        <v>163</v>
      </c>
      <c r="R52" s="3">
        <v>42417</v>
      </c>
    </row>
    <row r="53" spans="4:18" x14ac:dyDescent="0.2">
      <c r="D53" s="1" t="s">
        <v>58</v>
      </c>
      <c r="E53" s="8" t="s">
        <v>23</v>
      </c>
      <c r="R53" s="3">
        <v>42418</v>
      </c>
    </row>
    <row r="54" spans="4:18" x14ac:dyDescent="0.2">
      <c r="D54" s="1" t="s">
        <v>59</v>
      </c>
      <c r="E54" s="8" t="s">
        <v>22</v>
      </c>
      <c r="R54" s="3">
        <v>42419</v>
      </c>
    </row>
    <row r="55" spans="4:18" x14ac:dyDescent="0.2">
      <c r="D55" s="1" t="s">
        <v>186</v>
      </c>
      <c r="E55" s="8" t="s">
        <v>148</v>
      </c>
      <c r="R55" s="3">
        <v>42420</v>
      </c>
    </row>
    <row r="56" spans="4:18" x14ac:dyDescent="0.2">
      <c r="D56" s="1" t="s">
        <v>228</v>
      </c>
      <c r="E56" s="7" t="s">
        <v>165</v>
      </c>
      <c r="R56" s="3">
        <v>42421</v>
      </c>
    </row>
    <row r="57" spans="4:18" x14ac:dyDescent="0.2">
      <c r="D57" s="1" t="s">
        <v>234</v>
      </c>
      <c r="E57" s="8" t="s">
        <v>155</v>
      </c>
      <c r="R57" s="3">
        <v>42422</v>
      </c>
    </row>
    <row r="58" spans="4:18" x14ac:dyDescent="0.2">
      <c r="D58" s="1" t="s">
        <v>235</v>
      </c>
      <c r="E58" s="7" t="s">
        <v>169</v>
      </c>
      <c r="R58" s="3">
        <v>42423</v>
      </c>
    </row>
    <row r="59" spans="4:18" x14ac:dyDescent="0.2">
      <c r="D59" s="1" t="s">
        <v>238</v>
      </c>
      <c r="E59" s="8" t="s">
        <v>144</v>
      </c>
      <c r="R59" s="3">
        <v>42424</v>
      </c>
    </row>
    <row r="60" spans="4:18" x14ac:dyDescent="0.2">
      <c r="D60" s="1" t="s">
        <v>272</v>
      </c>
      <c r="E60" s="7" t="s">
        <v>215</v>
      </c>
      <c r="R60" s="3">
        <v>42425</v>
      </c>
    </row>
    <row r="61" spans="4:18" x14ac:dyDescent="0.2">
      <c r="D61" s="1" t="s">
        <v>299</v>
      </c>
      <c r="E61" s="7" t="s">
        <v>24</v>
      </c>
      <c r="R61" s="3">
        <v>42426</v>
      </c>
    </row>
    <row r="62" spans="4:18" x14ac:dyDescent="0.2">
      <c r="E62" s="7" t="s">
        <v>86</v>
      </c>
      <c r="R62" s="3">
        <v>42427</v>
      </c>
    </row>
    <row r="63" spans="4:18" x14ac:dyDescent="0.2">
      <c r="E63" s="7" t="s">
        <v>87</v>
      </c>
      <c r="R63" s="3">
        <v>42428</v>
      </c>
    </row>
    <row r="64" spans="4:18" x14ac:dyDescent="0.2">
      <c r="E64" s="7" t="s">
        <v>85</v>
      </c>
      <c r="R64" s="3">
        <v>42429</v>
      </c>
    </row>
    <row r="65" spans="5:18" x14ac:dyDescent="0.2">
      <c r="E65" s="7" t="s">
        <v>172</v>
      </c>
      <c r="R65" s="3">
        <v>42430</v>
      </c>
    </row>
    <row r="66" spans="5:18" x14ac:dyDescent="0.2">
      <c r="E66" s="7" t="s">
        <v>190</v>
      </c>
      <c r="R66" s="3">
        <v>42431</v>
      </c>
    </row>
    <row r="67" spans="5:18" x14ac:dyDescent="0.2">
      <c r="E67" s="7" t="s">
        <v>178</v>
      </c>
      <c r="R67" s="3">
        <v>42432</v>
      </c>
    </row>
    <row r="68" spans="5:18" x14ac:dyDescent="0.2">
      <c r="E68" s="7" t="s">
        <v>205</v>
      </c>
      <c r="R68" s="3">
        <v>42433</v>
      </c>
    </row>
    <row r="69" spans="5:18" x14ac:dyDescent="0.2">
      <c r="E69" s="7" t="s">
        <v>206</v>
      </c>
      <c r="R69" s="3">
        <v>42434</v>
      </c>
    </row>
    <row r="70" spans="5:18" x14ac:dyDescent="0.2">
      <c r="E70" s="8" t="s">
        <v>21</v>
      </c>
      <c r="R70" s="3">
        <v>42435</v>
      </c>
    </row>
    <row r="71" spans="5:18" x14ac:dyDescent="0.2">
      <c r="E71" s="7" t="s">
        <v>209</v>
      </c>
      <c r="R71" s="3">
        <v>42436</v>
      </c>
    </row>
    <row r="72" spans="5:18" x14ac:dyDescent="0.2">
      <c r="E72" s="7" t="s">
        <v>189</v>
      </c>
      <c r="R72" s="3">
        <v>42437</v>
      </c>
    </row>
    <row r="73" spans="5:18" x14ac:dyDescent="0.2">
      <c r="E73" s="7" t="s">
        <v>134</v>
      </c>
      <c r="R73" s="3">
        <v>42438</v>
      </c>
    </row>
    <row r="74" spans="5:18" x14ac:dyDescent="0.2">
      <c r="E74" s="7" t="s">
        <v>130</v>
      </c>
      <c r="R74" s="3">
        <v>42439</v>
      </c>
    </row>
    <row r="75" spans="5:18" x14ac:dyDescent="0.2">
      <c r="E75" s="7" t="s">
        <v>132</v>
      </c>
      <c r="R75" s="3">
        <v>42440</v>
      </c>
    </row>
    <row r="76" spans="5:18" x14ac:dyDescent="0.2">
      <c r="E76" s="7" t="s">
        <v>125</v>
      </c>
      <c r="R76" s="3">
        <v>42441</v>
      </c>
    </row>
    <row r="77" spans="5:18" x14ac:dyDescent="0.2">
      <c r="E77" s="7" t="s">
        <v>127</v>
      </c>
      <c r="R77" s="3">
        <v>42442</v>
      </c>
    </row>
    <row r="78" spans="5:18" x14ac:dyDescent="0.2">
      <c r="E78" s="7" t="s">
        <v>129</v>
      </c>
      <c r="R78" s="3">
        <v>42443</v>
      </c>
    </row>
    <row r="79" spans="5:18" x14ac:dyDescent="0.2">
      <c r="E79" s="7" t="s">
        <v>187</v>
      </c>
      <c r="R79" s="3">
        <v>42444</v>
      </c>
    </row>
    <row r="80" spans="5:18" x14ac:dyDescent="0.2">
      <c r="E80" s="7" t="s">
        <v>131</v>
      </c>
      <c r="R80" s="3">
        <v>42445</v>
      </c>
    </row>
    <row r="81" spans="5:18" x14ac:dyDescent="0.2">
      <c r="E81" s="7" t="s">
        <v>133</v>
      </c>
      <c r="R81" s="3">
        <v>42446</v>
      </c>
    </row>
    <row r="82" spans="5:18" x14ac:dyDescent="0.2">
      <c r="E82" s="7" t="s">
        <v>126</v>
      </c>
      <c r="R82" s="3">
        <v>42447</v>
      </c>
    </row>
    <row r="83" spans="5:18" x14ac:dyDescent="0.2">
      <c r="E83" s="7" t="s">
        <v>128</v>
      </c>
      <c r="R83" s="3">
        <v>42448</v>
      </c>
    </row>
    <row r="84" spans="5:18" x14ac:dyDescent="0.2">
      <c r="E84" s="7" t="s">
        <v>184</v>
      </c>
      <c r="R84" s="3">
        <v>42449</v>
      </c>
    </row>
    <row r="85" spans="5:18" x14ac:dyDescent="0.2">
      <c r="E85" s="7" t="s">
        <v>183</v>
      </c>
      <c r="R85" s="3">
        <v>42450</v>
      </c>
    </row>
    <row r="86" spans="5:18" x14ac:dyDescent="0.2">
      <c r="E86" s="7" t="s">
        <v>182</v>
      </c>
      <c r="R86" s="3">
        <v>42451</v>
      </c>
    </row>
    <row r="87" spans="5:18" x14ac:dyDescent="0.2">
      <c r="E87" s="7" t="s">
        <v>177</v>
      </c>
      <c r="R87" s="3">
        <v>42452</v>
      </c>
    </row>
    <row r="88" spans="5:18" x14ac:dyDescent="0.2">
      <c r="E88" s="7" t="s">
        <v>236</v>
      </c>
      <c r="R88" s="3">
        <v>42453</v>
      </c>
    </row>
    <row r="89" spans="5:18" x14ac:dyDescent="0.2">
      <c r="E89" s="7" t="s">
        <v>237</v>
      </c>
      <c r="R89" s="3">
        <v>42454</v>
      </c>
    </row>
    <row r="90" spans="5:18" x14ac:dyDescent="0.2">
      <c r="E90" s="7" t="s">
        <v>179</v>
      </c>
      <c r="R90" s="3">
        <v>42455</v>
      </c>
    </row>
    <row r="91" spans="5:18" x14ac:dyDescent="0.2">
      <c r="E91" s="7" t="s">
        <v>233</v>
      </c>
      <c r="R91" s="3">
        <v>42456</v>
      </c>
    </row>
    <row r="92" spans="5:18" x14ac:dyDescent="0.2">
      <c r="E92" s="8" t="s">
        <v>151</v>
      </c>
      <c r="R92" s="3">
        <v>42457</v>
      </c>
    </row>
    <row r="93" spans="5:18" x14ac:dyDescent="0.2">
      <c r="E93" s="8" t="s">
        <v>154</v>
      </c>
      <c r="R93" s="3">
        <v>42458</v>
      </c>
    </row>
    <row r="94" spans="5:18" x14ac:dyDescent="0.2">
      <c r="E94" s="8" t="s">
        <v>150</v>
      </c>
      <c r="R94" s="3">
        <v>42459</v>
      </c>
    </row>
    <row r="95" spans="5:18" x14ac:dyDescent="0.2">
      <c r="E95" s="8" t="s">
        <v>153</v>
      </c>
      <c r="R95" s="3">
        <v>42460</v>
      </c>
    </row>
    <row r="96" spans="5:18" x14ac:dyDescent="0.2">
      <c r="E96" s="8" t="s">
        <v>149</v>
      </c>
      <c r="R96" s="3">
        <v>42461</v>
      </c>
    </row>
    <row r="97" spans="5:18" x14ac:dyDescent="0.2">
      <c r="E97" s="8" t="s">
        <v>152</v>
      </c>
      <c r="R97" s="3">
        <v>42462</v>
      </c>
    </row>
    <row r="98" spans="5:18" x14ac:dyDescent="0.2">
      <c r="E98" s="8" t="s">
        <v>135</v>
      </c>
      <c r="R98" s="3">
        <v>42463</v>
      </c>
    </row>
    <row r="99" spans="5:18" x14ac:dyDescent="0.2">
      <c r="E99" s="8" t="s">
        <v>136</v>
      </c>
      <c r="R99" s="3">
        <v>42464</v>
      </c>
    </row>
    <row r="100" spans="5:18" x14ac:dyDescent="0.2">
      <c r="E100" s="7" t="s">
        <v>166</v>
      </c>
      <c r="R100" s="3">
        <v>42465</v>
      </c>
    </row>
    <row r="101" spans="5:18" x14ac:dyDescent="0.2">
      <c r="E101" s="7" t="s">
        <v>175</v>
      </c>
      <c r="R101" s="3">
        <v>42466</v>
      </c>
    </row>
    <row r="102" spans="5:18" x14ac:dyDescent="0.2">
      <c r="E102" s="7" t="s">
        <v>188</v>
      </c>
      <c r="R102" s="3">
        <v>42467</v>
      </c>
    </row>
    <row r="103" spans="5:18" x14ac:dyDescent="0.2">
      <c r="E103" s="8" t="s">
        <v>37</v>
      </c>
      <c r="R103" s="3">
        <v>42468</v>
      </c>
    </row>
    <row r="104" spans="5:18" x14ac:dyDescent="0.2">
      <c r="E104" s="7" t="s">
        <v>239</v>
      </c>
      <c r="R104" s="3">
        <v>42469</v>
      </c>
    </row>
    <row r="105" spans="5:18" x14ac:dyDescent="0.2">
      <c r="E105" s="8" t="s">
        <v>36</v>
      </c>
      <c r="R105" s="3">
        <v>42470</v>
      </c>
    </row>
    <row r="106" spans="5:18" x14ac:dyDescent="0.2">
      <c r="E106" s="7" t="s">
        <v>201</v>
      </c>
      <c r="R106" s="3">
        <v>42471</v>
      </c>
    </row>
    <row r="107" spans="5:18" x14ac:dyDescent="0.2">
      <c r="E107" s="7" t="s">
        <v>164</v>
      </c>
      <c r="R107" s="3">
        <v>42472</v>
      </c>
    </row>
    <row r="108" spans="5:18" x14ac:dyDescent="0.2">
      <c r="E108" s="7" t="s">
        <v>229</v>
      </c>
      <c r="R108" s="3">
        <v>42473</v>
      </c>
    </row>
    <row r="109" spans="5:18" x14ac:dyDescent="0.2">
      <c r="E109" s="7" t="s">
        <v>181</v>
      </c>
      <c r="R109" s="3">
        <v>42474</v>
      </c>
    </row>
    <row r="110" spans="5:18" x14ac:dyDescent="0.2">
      <c r="E110" s="7" t="s">
        <v>121</v>
      </c>
      <c r="R110" s="3">
        <v>42475</v>
      </c>
    </row>
    <row r="111" spans="5:18" x14ac:dyDescent="0.2">
      <c r="E111" s="7" t="s">
        <v>122</v>
      </c>
      <c r="R111" s="3">
        <v>42476</v>
      </c>
    </row>
    <row r="112" spans="5:18" x14ac:dyDescent="0.2">
      <c r="E112" s="7" t="s">
        <v>123</v>
      </c>
      <c r="R112" s="3">
        <v>42477</v>
      </c>
    </row>
    <row r="113" spans="5:18" x14ac:dyDescent="0.2">
      <c r="E113" s="7" t="s">
        <v>114</v>
      </c>
      <c r="R113" s="3">
        <v>42478</v>
      </c>
    </row>
    <row r="114" spans="5:18" x14ac:dyDescent="0.2">
      <c r="E114" s="7" t="s">
        <v>105</v>
      </c>
      <c r="R114" s="3">
        <v>42479</v>
      </c>
    </row>
    <row r="115" spans="5:18" x14ac:dyDescent="0.2">
      <c r="E115" s="7" t="s">
        <v>96</v>
      </c>
      <c r="R115" s="3">
        <v>42480</v>
      </c>
    </row>
    <row r="116" spans="5:18" x14ac:dyDescent="0.2">
      <c r="E116" s="7" t="s">
        <v>94</v>
      </c>
      <c r="R116" s="3">
        <v>42481</v>
      </c>
    </row>
    <row r="117" spans="5:18" x14ac:dyDescent="0.2">
      <c r="E117" s="7" t="s">
        <v>93</v>
      </c>
      <c r="R117" s="3">
        <v>42482</v>
      </c>
    </row>
    <row r="118" spans="5:18" x14ac:dyDescent="0.2">
      <c r="E118" s="7" t="s">
        <v>92</v>
      </c>
      <c r="R118" s="3">
        <v>42483</v>
      </c>
    </row>
    <row r="119" spans="5:18" x14ac:dyDescent="0.2">
      <c r="E119" s="7" t="s">
        <v>115</v>
      </c>
      <c r="R119" s="3">
        <v>42484</v>
      </c>
    </row>
    <row r="120" spans="5:18" x14ac:dyDescent="0.2">
      <c r="E120" s="7" t="s">
        <v>106</v>
      </c>
      <c r="R120" s="3">
        <v>42485</v>
      </c>
    </row>
    <row r="121" spans="5:18" x14ac:dyDescent="0.2">
      <c r="E121" s="7" t="s">
        <v>97</v>
      </c>
      <c r="R121" s="3">
        <v>42486</v>
      </c>
    </row>
    <row r="122" spans="5:18" x14ac:dyDescent="0.2">
      <c r="E122" s="7" t="s">
        <v>120</v>
      </c>
      <c r="R122" s="3">
        <v>42487</v>
      </c>
    </row>
    <row r="123" spans="5:18" x14ac:dyDescent="0.2">
      <c r="E123" s="7" t="s">
        <v>111</v>
      </c>
      <c r="R123" s="3">
        <v>42488</v>
      </c>
    </row>
    <row r="124" spans="5:18" x14ac:dyDescent="0.2">
      <c r="E124" s="7" t="s">
        <v>102</v>
      </c>
      <c r="R124" s="3">
        <v>42489</v>
      </c>
    </row>
    <row r="125" spans="5:18" x14ac:dyDescent="0.2">
      <c r="E125" s="7" t="s">
        <v>116</v>
      </c>
      <c r="R125" s="3">
        <v>42490</v>
      </c>
    </row>
    <row r="126" spans="5:18" x14ac:dyDescent="0.2">
      <c r="E126" s="7" t="s">
        <v>107</v>
      </c>
      <c r="R126" s="3">
        <v>42491</v>
      </c>
    </row>
    <row r="127" spans="5:18" x14ac:dyDescent="0.2">
      <c r="E127" s="7" t="s">
        <v>98</v>
      </c>
      <c r="R127" s="3">
        <v>42492</v>
      </c>
    </row>
    <row r="128" spans="5:18" x14ac:dyDescent="0.2">
      <c r="E128" s="7" t="s">
        <v>117</v>
      </c>
      <c r="R128" s="3">
        <v>42493</v>
      </c>
    </row>
    <row r="129" spans="5:18" x14ac:dyDescent="0.2">
      <c r="E129" s="7" t="s">
        <v>108</v>
      </c>
      <c r="R129" s="3">
        <v>42494</v>
      </c>
    </row>
    <row r="130" spans="5:18" x14ac:dyDescent="0.2">
      <c r="E130" s="7" t="s">
        <v>99</v>
      </c>
      <c r="R130" s="3">
        <v>42495</v>
      </c>
    </row>
    <row r="131" spans="5:18" x14ac:dyDescent="0.2">
      <c r="E131" s="7" t="s">
        <v>112</v>
      </c>
      <c r="R131" s="3">
        <v>42496</v>
      </c>
    </row>
    <row r="132" spans="5:18" x14ac:dyDescent="0.2">
      <c r="E132" s="11" t="s">
        <v>103</v>
      </c>
      <c r="R132" s="3">
        <v>42497</v>
      </c>
    </row>
    <row r="133" spans="5:18" x14ac:dyDescent="0.2">
      <c r="E133" s="11" t="s">
        <v>113</v>
      </c>
      <c r="R133" s="3">
        <v>42498</v>
      </c>
    </row>
    <row r="134" spans="5:18" x14ac:dyDescent="0.2">
      <c r="E134" s="11" t="s">
        <v>104</v>
      </c>
      <c r="R134" s="3">
        <v>42499</v>
      </c>
    </row>
    <row r="135" spans="5:18" x14ac:dyDescent="0.2">
      <c r="E135" s="11" t="s">
        <v>95</v>
      </c>
      <c r="R135" s="3">
        <v>42500</v>
      </c>
    </row>
    <row r="136" spans="5:18" x14ac:dyDescent="0.2">
      <c r="E136" s="11" t="s">
        <v>118</v>
      </c>
      <c r="R136" s="3">
        <v>42501</v>
      </c>
    </row>
    <row r="137" spans="5:18" x14ac:dyDescent="0.2">
      <c r="E137" s="11" t="s">
        <v>109</v>
      </c>
      <c r="R137" s="3">
        <v>42502</v>
      </c>
    </row>
    <row r="138" spans="5:18" x14ac:dyDescent="0.2">
      <c r="E138" s="11" t="s">
        <v>100</v>
      </c>
      <c r="R138" s="3">
        <v>42503</v>
      </c>
    </row>
    <row r="139" spans="5:18" x14ac:dyDescent="0.2">
      <c r="E139" s="11" t="s">
        <v>119</v>
      </c>
      <c r="R139" s="3">
        <v>42504</v>
      </c>
    </row>
    <row r="140" spans="5:18" x14ac:dyDescent="0.2">
      <c r="E140" s="11" t="s">
        <v>110</v>
      </c>
      <c r="R140" s="3">
        <v>42505</v>
      </c>
    </row>
    <row r="141" spans="5:18" x14ac:dyDescent="0.2">
      <c r="E141" s="11" t="s">
        <v>101</v>
      </c>
      <c r="R141" s="3">
        <v>42506</v>
      </c>
    </row>
    <row r="142" spans="5:18" x14ac:dyDescent="0.2">
      <c r="E142" s="11" t="s">
        <v>191</v>
      </c>
      <c r="R142" s="3">
        <v>42507</v>
      </c>
    </row>
    <row r="143" spans="5:18" x14ac:dyDescent="0.2">
      <c r="E143" s="11" t="s">
        <v>210</v>
      </c>
      <c r="R143" s="3">
        <v>42508</v>
      </c>
    </row>
    <row r="144" spans="5:18" x14ac:dyDescent="0.2">
      <c r="E144" s="11" t="s">
        <v>211</v>
      </c>
      <c r="R144" s="3">
        <v>42509</v>
      </c>
    </row>
    <row r="145" spans="5:18" x14ac:dyDescent="0.2">
      <c r="E145" s="11" t="s">
        <v>193</v>
      </c>
      <c r="R145" s="3">
        <v>42510</v>
      </c>
    </row>
    <row r="146" spans="5:18" x14ac:dyDescent="0.2">
      <c r="E146" s="11" t="s">
        <v>212</v>
      </c>
      <c r="R146" s="3">
        <v>42511</v>
      </c>
    </row>
    <row r="147" spans="5:18" x14ac:dyDescent="0.2">
      <c r="E147" s="11" t="s">
        <v>213</v>
      </c>
      <c r="R147" s="3">
        <v>42512</v>
      </c>
    </row>
    <row r="148" spans="5:18" x14ac:dyDescent="0.2">
      <c r="E148" s="11" t="s">
        <v>192</v>
      </c>
      <c r="R148" s="3">
        <v>42513</v>
      </c>
    </row>
    <row r="149" spans="5:18" x14ac:dyDescent="0.2">
      <c r="E149" s="11" t="s">
        <v>214</v>
      </c>
      <c r="R149" s="3">
        <v>42514</v>
      </c>
    </row>
    <row r="150" spans="5:18" ht="13.5" thickBot="1" x14ac:dyDescent="0.25">
      <c r="E150" s="11" t="s">
        <v>243</v>
      </c>
      <c r="R150" s="3">
        <v>42515</v>
      </c>
    </row>
    <row r="151" spans="5:18" x14ac:dyDescent="0.2">
      <c r="E151" s="17" t="s">
        <v>254</v>
      </c>
      <c r="R151" s="3">
        <v>42516</v>
      </c>
    </row>
    <row r="152" spans="5:18" x14ac:dyDescent="0.2">
      <c r="E152" s="11" t="s">
        <v>255</v>
      </c>
      <c r="R152" s="3">
        <v>42517</v>
      </c>
    </row>
    <row r="153" spans="5:18" x14ac:dyDescent="0.2">
      <c r="E153" s="11" t="s">
        <v>264</v>
      </c>
      <c r="R153" s="3">
        <v>42518</v>
      </c>
    </row>
    <row r="154" spans="5:18" x14ac:dyDescent="0.2">
      <c r="E154" s="11" t="s">
        <v>265</v>
      </c>
      <c r="R154" s="3">
        <v>42519</v>
      </c>
    </row>
    <row r="155" spans="5:18" x14ac:dyDescent="0.2">
      <c r="E155" s="11" t="s">
        <v>266</v>
      </c>
      <c r="R155" s="3">
        <v>42520</v>
      </c>
    </row>
    <row r="156" spans="5:18" x14ac:dyDescent="0.2">
      <c r="R156" s="3">
        <v>42521</v>
      </c>
    </row>
    <row r="157" spans="5:18" x14ac:dyDescent="0.2">
      <c r="R157" s="3">
        <v>42522</v>
      </c>
    </row>
    <row r="158" spans="5:18" x14ac:dyDescent="0.2">
      <c r="R158" s="3">
        <v>42523</v>
      </c>
    </row>
    <row r="159" spans="5:18" x14ac:dyDescent="0.2">
      <c r="R159" s="3">
        <v>42524</v>
      </c>
    </row>
    <row r="160" spans="5:18" x14ac:dyDescent="0.2">
      <c r="R160" s="3">
        <v>42525</v>
      </c>
    </row>
    <row r="161" spans="18:18" x14ac:dyDescent="0.2">
      <c r="R161" s="3">
        <v>42526</v>
      </c>
    </row>
    <row r="162" spans="18:18" x14ac:dyDescent="0.2">
      <c r="R162" s="3">
        <v>42527</v>
      </c>
    </row>
    <row r="163" spans="18:18" x14ac:dyDescent="0.2">
      <c r="R163" s="3">
        <v>42528</v>
      </c>
    </row>
    <row r="164" spans="18:18" x14ac:dyDescent="0.2">
      <c r="R164" s="3">
        <v>42529</v>
      </c>
    </row>
    <row r="165" spans="18:18" x14ac:dyDescent="0.2">
      <c r="R165" s="3">
        <v>42530</v>
      </c>
    </row>
    <row r="166" spans="18:18" x14ac:dyDescent="0.2">
      <c r="R166" s="3">
        <v>42531</v>
      </c>
    </row>
    <row r="167" spans="18:18" x14ac:dyDescent="0.2">
      <c r="R167" s="3">
        <v>42532</v>
      </c>
    </row>
    <row r="168" spans="18:18" x14ac:dyDescent="0.2">
      <c r="R168" s="3">
        <v>42533</v>
      </c>
    </row>
    <row r="169" spans="18:18" x14ac:dyDescent="0.2">
      <c r="R169" s="3">
        <v>42534</v>
      </c>
    </row>
    <row r="170" spans="18:18" x14ac:dyDescent="0.2">
      <c r="R170" s="3">
        <v>42535</v>
      </c>
    </row>
    <row r="171" spans="18:18" x14ac:dyDescent="0.2">
      <c r="R171" s="3">
        <v>42536</v>
      </c>
    </row>
    <row r="172" spans="18:18" x14ac:dyDescent="0.2">
      <c r="R172" s="3">
        <v>42537</v>
      </c>
    </row>
    <row r="173" spans="18:18" x14ac:dyDescent="0.2">
      <c r="R173" s="3">
        <v>42538</v>
      </c>
    </row>
    <row r="174" spans="18:18" x14ac:dyDescent="0.2">
      <c r="R174" s="3">
        <v>42539</v>
      </c>
    </row>
    <row r="175" spans="18:18" x14ac:dyDescent="0.2">
      <c r="R175" s="3">
        <v>42540</v>
      </c>
    </row>
    <row r="176" spans="18:18" x14ac:dyDescent="0.2">
      <c r="R176" s="3">
        <v>42541</v>
      </c>
    </row>
    <row r="177" spans="18:18" x14ac:dyDescent="0.2">
      <c r="R177" s="3">
        <v>42542</v>
      </c>
    </row>
    <row r="178" spans="18:18" x14ac:dyDescent="0.2">
      <c r="R178" s="3">
        <v>42543</v>
      </c>
    </row>
    <row r="179" spans="18:18" x14ac:dyDescent="0.2">
      <c r="R179" s="3">
        <v>42544</v>
      </c>
    </row>
    <row r="180" spans="18:18" x14ac:dyDescent="0.2">
      <c r="R180" s="3">
        <v>42545</v>
      </c>
    </row>
    <row r="181" spans="18:18" x14ac:dyDescent="0.2">
      <c r="R181" s="3">
        <v>42546</v>
      </c>
    </row>
    <row r="182" spans="18:18" x14ac:dyDescent="0.2">
      <c r="R182" s="3">
        <v>42547</v>
      </c>
    </row>
    <row r="183" spans="18:18" x14ac:dyDescent="0.2">
      <c r="R183" s="3">
        <v>42548</v>
      </c>
    </row>
    <row r="184" spans="18:18" x14ac:dyDescent="0.2">
      <c r="R184" s="3">
        <v>42549</v>
      </c>
    </row>
    <row r="185" spans="18:18" x14ac:dyDescent="0.2">
      <c r="R185" s="3">
        <v>42550</v>
      </c>
    </row>
    <row r="186" spans="18:18" x14ac:dyDescent="0.2">
      <c r="R186" s="3">
        <v>42551</v>
      </c>
    </row>
    <row r="187" spans="18:18" x14ac:dyDescent="0.2">
      <c r="R187" s="3">
        <v>42552</v>
      </c>
    </row>
    <row r="188" spans="18:18" x14ac:dyDescent="0.2">
      <c r="R188" s="3">
        <v>42553</v>
      </c>
    </row>
    <row r="189" spans="18:18" x14ac:dyDescent="0.2">
      <c r="R189" s="3">
        <v>42554</v>
      </c>
    </row>
    <row r="190" spans="18:18" x14ac:dyDescent="0.2">
      <c r="R190" s="3">
        <v>42555</v>
      </c>
    </row>
    <row r="191" spans="18:18" x14ac:dyDescent="0.2">
      <c r="R191" s="3">
        <v>42556</v>
      </c>
    </row>
    <row r="192" spans="18:18" x14ac:dyDescent="0.2">
      <c r="R192" s="3">
        <v>42557</v>
      </c>
    </row>
    <row r="193" spans="18:18" x14ac:dyDescent="0.2">
      <c r="R193" s="3">
        <v>42558</v>
      </c>
    </row>
    <row r="194" spans="18:18" x14ac:dyDescent="0.2">
      <c r="R194" s="3">
        <v>42559</v>
      </c>
    </row>
    <row r="195" spans="18:18" x14ac:dyDescent="0.2">
      <c r="R195" s="3">
        <v>42560</v>
      </c>
    </row>
    <row r="196" spans="18:18" x14ac:dyDescent="0.2">
      <c r="R196" s="3">
        <v>42561</v>
      </c>
    </row>
    <row r="197" spans="18:18" x14ac:dyDescent="0.2">
      <c r="R197" s="3">
        <v>42562</v>
      </c>
    </row>
    <row r="198" spans="18:18" x14ac:dyDescent="0.2">
      <c r="R198" s="3">
        <v>42563</v>
      </c>
    </row>
    <row r="199" spans="18:18" x14ac:dyDescent="0.2">
      <c r="R199" s="3">
        <v>42564</v>
      </c>
    </row>
    <row r="200" spans="18:18" x14ac:dyDescent="0.2">
      <c r="R200" s="3">
        <v>42565</v>
      </c>
    </row>
    <row r="201" spans="18:18" x14ac:dyDescent="0.2">
      <c r="R201" s="3">
        <v>42566</v>
      </c>
    </row>
    <row r="202" spans="18:18" x14ac:dyDescent="0.2">
      <c r="R202" s="3">
        <v>42567</v>
      </c>
    </row>
    <row r="203" spans="18:18" x14ac:dyDescent="0.2">
      <c r="R203" s="3">
        <v>42568</v>
      </c>
    </row>
    <row r="204" spans="18:18" x14ac:dyDescent="0.2">
      <c r="R204" s="3">
        <v>42569</v>
      </c>
    </row>
    <row r="205" spans="18:18" x14ac:dyDescent="0.2">
      <c r="R205" s="3">
        <v>42570</v>
      </c>
    </row>
    <row r="206" spans="18:18" x14ac:dyDescent="0.2">
      <c r="R206" s="3">
        <v>42571</v>
      </c>
    </row>
    <row r="207" spans="18:18" x14ac:dyDescent="0.2">
      <c r="R207" s="3">
        <v>42572</v>
      </c>
    </row>
    <row r="208" spans="18:18" x14ac:dyDescent="0.2">
      <c r="R208" s="3">
        <v>42573</v>
      </c>
    </row>
    <row r="209" spans="18:18" x14ac:dyDescent="0.2">
      <c r="R209" s="3">
        <v>42574</v>
      </c>
    </row>
    <row r="210" spans="18:18" x14ac:dyDescent="0.2">
      <c r="R210" s="3">
        <v>42575</v>
      </c>
    </row>
    <row r="211" spans="18:18" x14ac:dyDescent="0.2">
      <c r="R211" s="3">
        <v>42576</v>
      </c>
    </row>
    <row r="212" spans="18:18" x14ac:dyDescent="0.2">
      <c r="R212" s="3">
        <v>42577</v>
      </c>
    </row>
    <row r="213" spans="18:18" x14ac:dyDescent="0.2">
      <c r="R213" s="3">
        <v>42578</v>
      </c>
    </row>
    <row r="214" spans="18:18" x14ac:dyDescent="0.2">
      <c r="R214" s="3">
        <v>42579</v>
      </c>
    </row>
    <row r="215" spans="18:18" x14ac:dyDescent="0.2">
      <c r="R215" s="3">
        <v>42580</v>
      </c>
    </row>
    <row r="216" spans="18:18" x14ac:dyDescent="0.2">
      <c r="R216" s="3">
        <v>42581</v>
      </c>
    </row>
    <row r="217" spans="18:18" x14ac:dyDescent="0.2">
      <c r="R217" s="3">
        <v>42582</v>
      </c>
    </row>
    <row r="218" spans="18:18" x14ac:dyDescent="0.2">
      <c r="R218" s="3">
        <v>42583</v>
      </c>
    </row>
    <row r="219" spans="18:18" x14ac:dyDescent="0.2">
      <c r="R219" s="3">
        <v>42584</v>
      </c>
    </row>
    <row r="220" spans="18:18" x14ac:dyDescent="0.2">
      <c r="R220" s="3">
        <v>42585</v>
      </c>
    </row>
    <row r="221" spans="18:18" x14ac:dyDescent="0.2">
      <c r="R221" s="3">
        <v>42586</v>
      </c>
    </row>
    <row r="222" spans="18:18" x14ac:dyDescent="0.2">
      <c r="R222" s="3">
        <v>42587</v>
      </c>
    </row>
    <row r="223" spans="18:18" x14ac:dyDescent="0.2">
      <c r="R223" s="3">
        <v>42588</v>
      </c>
    </row>
    <row r="224" spans="18:18" x14ac:dyDescent="0.2">
      <c r="R224" s="3">
        <v>42589</v>
      </c>
    </row>
    <row r="225" spans="18:18" x14ac:dyDescent="0.2">
      <c r="R225" s="3">
        <v>42590</v>
      </c>
    </row>
    <row r="226" spans="18:18" x14ac:dyDescent="0.2">
      <c r="R226" s="3">
        <v>42591</v>
      </c>
    </row>
    <row r="227" spans="18:18" x14ac:dyDescent="0.2">
      <c r="R227" s="3">
        <v>42592</v>
      </c>
    </row>
    <row r="228" spans="18:18" x14ac:dyDescent="0.2">
      <c r="R228" s="3">
        <v>42593</v>
      </c>
    </row>
    <row r="229" spans="18:18" x14ac:dyDescent="0.2">
      <c r="R229" s="3">
        <v>42594</v>
      </c>
    </row>
    <row r="230" spans="18:18" x14ac:dyDescent="0.2">
      <c r="R230" s="3">
        <v>42595</v>
      </c>
    </row>
    <row r="231" spans="18:18" x14ac:dyDescent="0.2">
      <c r="R231" s="3">
        <v>42596</v>
      </c>
    </row>
    <row r="232" spans="18:18" x14ac:dyDescent="0.2">
      <c r="R232" s="3">
        <v>42597</v>
      </c>
    </row>
    <row r="233" spans="18:18" x14ac:dyDescent="0.2">
      <c r="R233" s="3">
        <v>42598</v>
      </c>
    </row>
    <row r="234" spans="18:18" x14ac:dyDescent="0.2">
      <c r="R234" s="3">
        <v>42599</v>
      </c>
    </row>
    <row r="235" spans="18:18" x14ac:dyDescent="0.2">
      <c r="R235" s="3">
        <v>42600</v>
      </c>
    </row>
    <row r="236" spans="18:18" x14ac:dyDescent="0.2">
      <c r="R236" s="3">
        <v>42601</v>
      </c>
    </row>
    <row r="237" spans="18:18" x14ac:dyDescent="0.2">
      <c r="R237" s="3">
        <v>42602</v>
      </c>
    </row>
    <row r="238" spans="18:18" x14ac:dyDescent="0.2">
      <c r="R238" s="3">
        <v>42603</v>
      </c>
    </row>
    <row r="239" spans="18:18" x14ac:dyDescent="0.2">
      <c r="R239" s="3">
        <v>42604</v>
      </c>
    </row>
    <row r="240" spans="18:18" x14ac:dyDescent="0.2">
      <c r="R240" s="3">
        <v>42605</v>
      </c>
    </row>
    <row r="241" spans="18:18" x14ac:dyDescent="0.2">
      <c r="R241" s="3">
        <v>42606</v>
      </c>
    </row>
    <row r="242" spans="18:18" x14ac:dyDescent="0.2">
      <c r="R242" s="3">
        <v>42607</v>
      </c>
    </row>
    <row r="243" spans="18:18" x14ac:dyDescent="0.2">
      <c r="R243" s="3">
        <v>42608</v>
      </c>
    </row>
    <row r="244" spans="18:18" x14ac:dyDescent="0.2">
      <c r="R244" s="3">
        <v>42609</v>
      </c>
    </row>
    <row r="245" spans="18:18" x14ac:dyDescent="0.2">
      <c r="R245" s="3">
        <v>42610</v>
      </c>
    </row>
    <row r="246" spans="18:18" x14ac:dyDescent="0.2">
      <c r="R246" s="3">
        <v>42611</v>
      </c>
    </row>
    <row r="247" spans="18:18" x14ac:dyDescent="0.2">
      <c r="R247" s="3">
        <v>42612</v>
      </c>
    </row>
    <row r="248" spans="18:18" x14ac:dyDescent="0.2">
      <c r="R248" s="3">
        <v>42613</v>
      </c>
    </row>
    <row r="249" spans="18:18" x14ac:dyDescent="0.2">
      <c r="R249" s="3">
        <v>42614</v>
      </c>
    </row>
    <row r="250" spans="18:18" x14ac:dyDescent="0.2">
      <c r="R250" s="3">
        <v>42615</v>
      </c>
    </row>
    <row r="251" spans="18:18" x14ac:dyDescent="0.2">
      <c r="R251" s="3">
        <v>42616</v>
      </c>
    </row>
    <row r="252" spans="18:18" x14ac:dyDescent="0.2">
      <c r="R252" s="3">
        <v>42617</v>
      </c>
    </row>
    <row r="253" spans="18:18" x14ac:dyDescent="0.2">
      <c r="R253" s="3">
        <v>42618</v>
      </c>
    </row>
    <row r="254" spans="18:18" x14ac:dyDescent="0.2">
      <c r="R254" s="3">
        <v>42619</v>
      </c>
    </row>
    <row r="255" spans="18:18" x14ac:dyDescent="0.2">
      <c r="R255" s="3">
        <v>42620</v>
      </c>
    </row>
    <row r="256" spans="18:18" x14ac:dyDescent="0.2">
      <c r="R256" s="3">
        <v>42621</v>
      </c>
    </row>
    <row r="257" spans="18:18" x14ac:dyDescent="0.2">
      <c r="R257" s="3">
        <v>42622</v>
      </c>
    </row>
    <row r="258" spans="18:18" x14ac:dyDescent="0.2">
      <c r="R258" s="3">
        <v>42623</v>
      </c>
    </row>
    <row r="259" spans="18:18" x14ac:dyDescent="0.2">
      <c r="R259" s="3">
        <v>42624</v>
      </c>
    </row>
    <row r="260" spans="18:18" x14ac:dyDescent="0.2">
      <c r="R260" s="3">
        <v>42625</v>
      </c>
    </row>
    <row r="261" spans="18:18" x14ac:dyDescent="0.2">
      <c r="R261" s="3">
        <v>42626</v>
      </c>
    </row>
    <row r="262" spans="18:18" x14ac:dyDescent="0.2">
      <c r="R262" s="3">
        <v>42627</v>
      </c>
    </row>
    <row r="263" spans="18:18" x14ac:dyDescent="0.2">
      <c r="R263" s="3">
        <v>42628</v>
      </c>
    </row>
    <row r="264" spans="18:18" x14ac:dyDescent="0.2">
      <c r="R264" s="3">
        <v>42629</v>
      </c>
    </row>
    <row r="265" spans="18:18" x14ac:dyDescent="0.2">
      <c r="R265" s="3">
        <v>42630</v>
      </c>
    </row>
    <row r="266" spans="18:18" x14ac:dyDescent="0.2">
      <c r="R266" s="3">
        <v>42631</v>
      </c>
    </row>
    <row r="267" spans="18:18" x14ac:dyDescent="0.2">
      <c r="R267" s="3">
        <v>42632</v>
      </c>
    </row>
    <row r="268" spans="18:18" x14ac:dyDescent="0.2">
      <c r="R268" s="3">
        <v>42633</v>
      </c>
    </row>
    <row r="269" spans="18:18" x14ac:dyDescent="0.2">
      <c r="R269" s="3">
        <v>42634</v>
      </c>
    </row>
    <row r="270" spans="18:18" x14ac:dyDescent="0.2">
      <c r="R270" s="3">
        <v>42635</v>
      </c>
    </row>
    <row r="271" spans="18:18" x14ac:dyDescent="0.2">
      <c r="R271" s="3">
        <v>42636</v>
      </c>
    </row>
    <row r="272" spans="18:18" x14ac:dyDescent="0.2">
      <c r="R272" s="3">
        <v>42637</v>
      </c>
    </row>
    <row r="273" spans="18:18" x14ac:dyDescent="0.2">
      <c r="R273" s="3">
        <v>42638</v>
      </c>
    </row>
    <row r="274" spans="18:18" x14ac:dyDescent="0.2">
      <c r="R274" s="3">
        <v>42639</v>
      </c>
    </row>
    <row r="275" spans="18:18" x14ac:dyDescent="0.2">
      <c r="R275" s="3">
        <v>42640</v>
      </c>
    </row>
    <row r="276" spans="18:18" x14ac:dyDescent="0.2">
      <c r="R276" s="3">
        <v>42641</v>
      </c>
    </row>
    <row r="277" spans="18:18" x14ac:dyDescent="0.2">
      <c r="R277" s="3">
        <v>42642</v>
      </c>
    </row>
    <row r="278" spans="18:18" x14ac:dyDescent="0.2">
      <c r="R278" s="3">
        <v>42643</v>
      </c>
    </row>
    <row r="279" spans="18:18" x14ac:dyDescent="0.2">
      <c r="R279" s="3">
        <v>42644</v>
      </c>
    </row>
    <row r="280" spans="18:18" x14ac:dyDescent="0.2">
      <c r="R280" s="3">
        <v>42645</v>
      </c>
    </row>
    <row r="281" spans="18:18" x14ac:dyDescent="0.2">
      <c r="R281" s="3">
        <v>42646</v>
      </c>
    </row>
    <row r="282" spans="18:18" x14ac:dyDescent="0.2">
      <c r="R282" s="3">
        <v>42647</v>
      </c>
    </row>
    <row r="283" spans="18:18" x14ac:dyDescent="0.2">
      <c r="R283" s="3">
        <v>42648</v>
      </c>
    </row>
    <row r="284" spans="18:18" x14ac:dyDescent="0.2">
      <c r="R284" s="3">
        <v>42649</v>
      </c>
    </row>
    <row r="285" spans="18:18" x14ac:dyDescent="0.2">
      <c r="R285" s="3">
        <v>42650</v>
      </c>
    </row>
    <row r="286" spans="18:18" x14ac:dyDescent="0.2">
      <c r="R286" s="3">
        <v>42651</v>
      </c>
    </row>
    <row r="287" spans="18:18" x14ac:dyDescent="0.2">
      <c r="R287" s="3">
        <v>42652</v>
      </c>
    </row>
    <row r="288" spans="18:18" x14ac:dyDescent="0.2">
      <c r="R288" s="3">
        <v>42653</v>
      </c>
    </row>
    <row r="289" spans="18:18" x14ac:dyDescent="0.2">
      <c r="R289" s="3">
        <v>42654</v>
      </c>
    </row>
    <row r="290" spans="18:18" x14ac:dyDescent="0.2">
      <c r="R290" s="3">
        <v>42655</v>
      </c>
    </row>
    <row r="291" spans="18:18" x14ac:dyDescent="0.2">
      <c r="R291" s="3">
        <v>42656</v>
      </c>
    </row>
    <row r="292" spans="18:18" x14ac:dyDescent="0.2">
      <c r="R292" s="3">
        <v>42657</v>
      </c>
    </row>
    <row r="293" spans="18:18" x14ac:dyDescent="0.2">
      <c r="R293" s="3">
        <v>42658</v>
      </c>
    </row>
    <row r="294" spans="18:18" x14ac:dyDescent="0.2">
      <c r="R294" s="3">
        <v>42659</v>
      </c>
    </row>
    <row r="295" spans="18:18" x14ac:dyDescent="0.2">
      <c r="R295" s="3">
        <v>42660</v>
      </c>
    </row>
    <row r="296" spans="18:18" x14ac:dyDescent="0.2">
      <c r="R296" s="3">
        <v>42661</v>
      </c>
    </row>
    <row r="297" spans="18:18" x14ac:dyDescent="0.2">
      <c r="R297" s="3">
        <v>42662</v>
      </c>
    </row>
    <row r="298" spans="18:18" x14ac:dyDescent="0.2">
      <c r="R298" s="3">
        <v>42663</v>
      </c>
    </row>
    <row r="299" spans="18:18" x14ac:dyDescent="0.2">
      <c r="R299" s="3">
        <v>42664</v>
      </c>
    </row>
    <row r="300" spans="18:18" x14ac:dyDescent="0.2">
      <c r="R300" s="3">
        <v>42665</v>
      </c>
    </row>
    <row r="301" spans="18:18" x14ac:dyDescent="0.2">
      <c r="R301" s="3">
        <v>42666</v>
      </c>
    </row>
    <row r="302" spans="18:18" x14ac:dyDescent="0.2">
      <c r="R302" s="3">
        <v>42667</v>
      </c>
    </row>
    <row r="303" spans="18:18" x14ac:dyDescent="0.2">
      <c r="R303" s="3">
        <v>42668</v>
      </c>
    </row>
    <row r="304" spans="18:18" x14ac:dyDescent="0.2">
      <c r="R304" s="3">
        <v>42669</v>
      </c>
    </row>
    <row r="305" spans="18:18" x14ac:dyDescent="0.2">
      <c r="R305" s="3">
        <v>42670</v>
      </c>
    </row>
    <row r="306" spans="18:18" x14ac:dyDescent="0.2">
      <c r="R306" s="3">
        <v>42671</v>
      </c>
    </row>
    <row r="307" spans="18:18" x14ac:dyDescent="0.2">
      <c r="R307" s="3">
        <v>42672</v>
      </c>
    </row>
    <row r="308" spans="18:18" x14ac:dyDescent="0.2">
      <c r="R308" s="3">
        <v>42673</v>
      </c>
    </row>
    <row r="309" spans="18:18" x14ac:dyDescent="0.2">
      <c r="R309" s="3">
        <v>42674</v>
      </c>
    </row>
    <row r="310" spans="18:18" x14ac:dyDescent="0.2">
      <c r="R310" s="3">
        <v>42675</v>
      </c>
    </row>
    <row r="311" spans="18:18" x14ac:dyDescent="0.2">
      <c r="R311" s="3">
        <v>42676</v>
      </c>
    </row>
    <row r="312" spans="18:18" x14ac:dyDescent="0.2">
      <c r="R312" s="3">
        <v>42677</v>
      </c>
    </row>
    <row r="313" spans="18:18" x14ac:dyDescent="0.2">
      <c r="R313" s="3">
        <v>42678</v>
      </c>
    </row>
    <row r="314" spans="18:18" x14ac:dyDescent="0.2">
      <c r="R314" s="3">
        <v>42679</v>
      </c>
    </row>
    <row r="315" spans="18:18" x14ac:dyDescent="0.2">
      <c r="R315" s="3">
        <v>42680</v>
      </c>
    </row>
    <row r="316" spans="18:18" x14ac:dyDescent="0.2">
      <c r="R316" s="3">
        <v>42681</v>
      </c>
    </row>
    <row r="317" spans="18:18" x14ac:dyDescent="0.2">
      <c r="R317" s="3">
        <v>42682</v>
      </c>
    </row>
    <row r="318" spans="18:18" x14ac:dyDescent="0.2">
      <c r="R318" s="3">
        <v>42683</v>
      </c>
    </row>
    <row r="319" spans="18:18" x14ac:dyDescent="0.2">
      <c r="R319" s="3">
        <v>42684</v>
      </c>
    </row>
    <row r="320" spans="18:18" x14ac:dyDescent="0.2">
      <c r="R320" s="3">
        <v>42685</v>
      </c>
    </row>
    <row r="321" spans="18:18" x14ac:dyDescent="0.2">
      <c r="R321" s="3">
        <v>42686</v>
      </c>
    </row>
    <row r="322" spans="18:18" x14ac:dyDescent="0.2">
      <c r="R322" s="3">
        <v>42687</v>
      </c>
    </row>
    <row r="323" spans="18:18" x14ac:dyDescent="0.2">
      <c r="R323" s="3">
        <v>42688</v>
      </c>
    </row>
    <row r="324" spans="18:18" x14ac:dyDescent="0.2">
      <c r="R324" s="3">
        <v>42689</v>
      </c>
    </row>
    <row r="325" spans="18:18" x14ac:dyDescent="0.2">
      <c r="R325" s="3">
        <v>42690</v>
      </c>
    </row>
    <row r="326" spans="18:18" x14ac:dyDescent="0.2">
      <c r="R326" s="3">
        <v>42691</v>
      </c>
    </row>
    <row r="327" spans="18:18" x14ac:dyDescent="0.2">
      <c r="R327" s="3">
        <v>42692</v>
      </c>
    </row>
    <row r="328" spans="18:18" x14ac:dyDescent="0.2">
      <c r="R328" s="3">
        <v>42693</v>
      </c>
    </row>
    <row r="329" spans="18:18" x14ac:dyDescent="0.2">
      <c r="R329" s="3">
        <v>42694</v>
      </c>
    </row>
    <row r="330" spans="18:18" x14ac:dyDescent="0.2">
      <c r="R330" s="3">
        <v>42695</v>
      </c>
    </row>
    <row r="331" spans="18:18" x14ac:dyDescent="0.2">
      <c r="R331" s="3">
        <v>42696</v>
      </c>
    </row>
    <row r="332" spans="18:18" x14ac:dyDescent="0.2">
      <c r="R332" s="3">
        <v>42697</v>
      </c>
    </row>
    <row r="333" spans="18:18" x14ac:dyDescent="0.2">
      <c r="R333" s="3">
        <v>42698</v>
      </c>
    </row>
    <row r="334" spans="18:18" x14ac:dyDescent="0.2">
      <c r="R334" s="3">
        <v>42699</v>
      </c>
    </row>
    <row r="335" spans="18:18" x14ac:dyDescent="0.2">
      <c r="R335" s="3">
        <v>42700</v>
      </c>
    </row>
    <row r="336" spans="18:18" x14ac:dyDescent="0.2">
      <c r="R336" s="3">
        <v>42701</v>
      </c>
    </row>
    <row r="337" spans="18:18" x14ac:dyDescent="0.2">
      <c r="R337" s="3">
        <v>42702</v>
      </c>
    </row>
    <row r="338" spans="18:18" x14ac:dyDescent="0.2">
      <c r="R338" s="3">
        <v>42703</v>
      </c>
    </row>
    <row r="339" spans="18:18" x14ac:dyDescent="0.2">
      <c r="R339" s="3">
        <v>42704</v>
      </c>
    </row>
    <row r="340" spans="18:18" x14ac:dyDescent="0.2">
      <c r="R340" s="3">
        <v>42705</v>
      </c>
    </row>
    <row r="341" spans="18:18" x14ac:dyDescent="0.2">
      <c r="R341" s="3">
        <v>42706</v>
      </c>
    </row>
    <row r="342" spans="18:18" x14ac:dyDescent="0.2">
      <c r="R342" s="3">
        <v>42707</v>
      </c>
    </row>
    <row r="343" spans="18:18" x14ac:dyDescent="0.2">
      <c r="R343" s="3">
        <v>42708</v>
      </c>
    </row>
    <row r="344" spans="18:18" x14ac:dyDescent="0.2">
      <c r="R344" s="3">
        <v>42709</v>
      </c>
    </row>
    <row r="345" spans="18:18" x14ac:dyDescent="0.2">
      <c r="R345" s="3">
        <v>42710</v>
      </c>
    </row>
    <row r="346" spans="18:18" x14ac:dyDescent="0.2">
      <c r="R346" s="3">
        <v>42711</v>
      </c>
    </row>
    <row r="347" spans="18:18" x14ac:dyDescent="0.2">
      <c r="R347" s="3">
        <v>42712</v>
      </c>
    </row>
    <row r="348" spans="18:18" x14ac:dyDescent="0.2">
      <c r="R348" s="3">
        <v>42713</v>
      </c>
    </row>
    <row r="349" spans="18:18" x14ac:dyDescent="0.2">
      <c r="R349" s="3">
        <v>42714</v>
      </c>
    </row>
    <row r="350" spans="18:18" x14ac:dyDescent="0.2">
      <c r="R350" s="3">
        <v>42715</v>
      </c>
    </row>
    <row r="351" spans="18:18" x14ac:dyDescent="0.2">
      <c r="R351" s="3">
        <v>42716</v>
      </c>
    </row>
    <row r="352" spans="18:18" x14ac:dyDescent="0.2">
      <c r="R352" s="3">
        <v>42717</v>
      </c>
    </row>
    <row r="353" spans="18:18" x14ac:dyDescent="0.2">
      <c r="R353" s="3">
        <v>42718</v>
      </c>
    </row>
    <row r="354" spans="18:18" x14ac:dyDescent="0.2">
      <c r="R354" s="3">
        <v>42719</v>
      </c>
    </row>
    <row r="355" spans="18:18" x14ac:dyDescent="0.2">
      <c r="R355" s="3">
        <v>42720</v>
      </c>
    </row>
    <row r="356" spans="18:18" x14ac:dyDescent="0.2">
      <c r="R356" s="3">
        <v>42721</v>
      </c>
    </row>
    <row r="357" spans="18:18" x14ac:dyDescent="0.2">
      <c r="R357" s="3">
        <v>42722</v>
      </c>
    </row>
    <row r="358" spans="18:18" x14ac:dyDescent="0.2">
      <c r="R358" s="3">
        <v>42723</v>
      </c>
    </row>
    <row r="359" spans="18:18" x14ac:dyDescent="0.2">
      <c r="R359" s="3">
        <v>42724</v>
      </c>
    </row>
    <row r="360" spans="18:18" x14ac:dyDescent="0.2">
      <c r="R360" s="3">
        <v>42725</v>
      </c>
    </row>
    <row r="361" spans="18:18" x14ac:dyDescent="0.2">
      <c r="R361" s="3">
        <v>42726</v>
      </c>
    </row>
    <row r="362" spans="18:18" x14ac:dyDescent="0.2">
      <c r="R362" s="3">
        <v>42727</v>
      </c>
    </row>
    <row r="363" spans="18:18" x14ac:dyDescent="0.2">
      <c r="R363" s="3">
        <v>42728</v>
      </c>
    </row>
    <row r="364" spans="18:18" x14ac:dyDescent="0.2">
      <c r="R364" s="3">
        <v>42729</v>
      </c>
    </row>
    <row r="365" spans="18:18" x14ac:dyDescent="0.2">
      <c r="R365" s="3">
        <v>42730</v>
      </c>
    </row>
    <row r="366" spans="18:18" x14ac:dyDescent="0.2">
      <c r="R366" s="3">
        <v>42731</v>
      </c>
    </row>
    <row r="367" spans="18:18" x14ac:dyDescent="0.2">
      <c r="R367" s="3">
        <v>42732</v>
      </c>
    </row>
    <row r="368" spans="18:18" x14ac:dyDescent="0.2">
      <c r="R368" s="3">
        <v>42733</v>
      </c>
    </row>
    <row r="369" spans="18:18" x14ac:dyDescent="0.2">
      <c r="R369" s="3">
        <v>42734</v>
      </c>
    </row>
    <row r="370" spans="18:18" x14ac:dyDescent="0.2">
      <c r="R370" s="3">
        <v>42735</v>
      </c>
    </row>
  </sheetData>
  <sheetProtection algorithmName="SHA-512" hashValue="5LAnRndoH6la//N+x+ELXmBJsN3B997sGIfArgBr8MLMk6IMevGSR26ouSCugCKwXb73ZJt65OQPSlawC7+5ZA==" saltValue="om+MRu2leHCaOIlnYFLDMA==" spinCount="100000" sheet="1" objects="1" scenarios="1"/>
  <sortState xmlns:xlrd2="http://schemas.microsoft.com/office/spreadsheetml/2017/richdata2" ref="E4:E150">
    <sortCondition ref="E4"/>
  </sortState>
  <mergeCells count="17">
    <mergeCell ref="A2:A3"/>
    <mergeCell ref="F2:F3"/>
    <mergeCell ref="N2:N3"/>
    <mergeCell ref="O2:O3"/>
    <mergeCell ref="P2:P3"/>
    <mergeCell ref="H2:H3"/>
    <mergeCell ref="I2:I3"/>
    <mergeCell ref="J2:J3"/>
    <mergeCell ref="K2:K3"/>
    <mergeCell ref="L2:L3"/>
    <mergeCell ref="M2:M3"/>
    <mergeCell ref="R2:R3"/>
    <mergeCell ref="B2:B3"/>
    <mergeCell ref="C2:C3"/>
    <mergeCell ref="D2:D3"/>
    <mergeCell ref="E2:E3"/>
    <mergeCell ref="Q2:Q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64"/>
  <sheetViews>
    <sheetView workbookViewId="0">
      <selection sqref="A1:B2"/>
    </sheetView>
  </sheetViews>
  <sheetFormatPr baseColWidth="10" defaultRowHeight="12.75" x14ac:dyDescent="0.25"/>
  <cols>
    <col min="1" max="1" width="2.7109375" style="334" customWidth="1"/>
    <col min="2" max="2" width="18.7109375" style="333" customWidth="1"/>
    <col min="3" max="3" width="15.28515625" style="333" customWidth="1"/>
    <col min="4" max="4" width="5.5703125" style="333" customWidth="1"/>
    <col min="5" max="5" width="5" style="333" customWidth="1"/>
    <col min="6" max="7" width="5.5703125" style="333" customWidth="1"/>
    <col min="8" max="8" width="7.28515625" style="333" customWidth="1"/>
    <col min="9" max="10" width="5.85546875" style="333" customWidth="1"/>
    <col min="11" max="11" width="5.7109375" style="333" customWidth="1"/>
    <col min="12" max="12" width="17.28515625" style="333" customWidth="1"/>
    <col min="13" max="14" width="12.28515625" style="384" hidden="1" customWidth="1"/>
    <col min="15" max="24" width="8.7109375" style="384" hidden="1" customWidth="1"/>
    <col min="25" max="28" width="0" style="333" hidden="1" customWidth="1"/>
    <col min="29" max="16384" width="11.42578125" style="333"/>
  </cols>
  <sheetData>
    <row r="1" spans="1:39" ht="48.75" customHeight="1" thickBot="1" x14ac:dyDescent="0.3">
      <c r="A1" s="815"/>
      <c r="B1" s="816"/>
      <c r="C1" s="819" t="s">
        <v>1657</v>
      </c>
      <c r="D1" s="820"/>
      <c r="E1" s="820"/>
      <c r="F1" s="820"/>
      <c r="G1" s="820"/>
      <c r="H1" s="820"/>
      <c r="I1" s="820"/>
      <c r="J1" s="820"/>
      <c r="K1" s="820"/>
      <c r="L1" s="821"/>
      <c r="M1" s="330"/>
      <c r="N1" s="331"/>
      <c r="O1" s="331"/>
      <c r="P1" s="331"/>
      <c r="Q1" s="331"/>
      <c r="R1" s="331"/>
      <c r="S1" s="331"/>
      <c r="T1" s="331"/>
      <c r="U1" s="331"/>
      <c r="V1" s="331"/>
      <c r="W1" s="331"/>
      <c r="X1" s="331"/>
      <c r="Y1" s="332"/>
      <c r="Z1" s="332"/>
      <c r="AA1" s="332"/>
      <c r="AB1" s="332"/>
    </row>
    <row r="2" spans="1:39" ht="24.75" customHeight="1" thickBot="1" x14ac:dyDescent="0.3">
      <c r="A2" s="817"/>
      <c r="B2" s="818"/>
      <c r="C2" s="822" t="s">
        <v>1658</v>
      </c>
      <c r="D2" s="823"/>
      <c r="E2" s="824"/>
      <c r="F2" s="822" t="s">
        <v>1659</v>
      </c>
      <c r="G2" s="823"/>
      <c r="H2" s="823"/>
      <c r="I2" s="823"/>
      <c r="J2" s="823"/>
      <c r="K2" s="823"/>
      <c r="L2" s="824"/>
      <c r="M2" s="331"/>
      <c r="N2" s="331"/>
      <c r="O2" s="331"/>
      <c r="P2" s="331"/>
      <c r="Q2" s="331"/>
      <c r="R2" s="331"/>
      <c r="S2" s="331"/>
      <c r="T2" s="331"/>
      <c r="U2" s="331"/>
      <c r="V2" s="331"/>
      <c r="W2" s="331"/>
      <c r="X2" s="331"/>
      <c r="Y2" s="332"/>
      <c r="Z2" s="332"/>
      <c r="AA2" s="332"/>
      <c r="AB2" s="332"/>
    </row>
    <row r="3" spans="1:39" ht="9" customHeight="1" thickBot="1" x14ac:dyDescent="0.35">
      <c r="B3" s="335"/>
      <c r="C3" s="336"/>
      <c r="D3" s="336"/>
      <c r="E3" s="336"/>
      <c r="F3" s="336"/>
      <c r="G3" s="336"/>
      <c r="H3" s="336"/>
      <c r="I3" s="336"/>
      <c r="J3" s="336"/>
      <c r="K3" s="336"/>
      <c r="L3" s="336"/>
      <c r="M3" s="331"/>
      <c r="N3" s="331"/>
      <c r="O3" s="331"/>
      <c r="P3" s="331"/>
      <c r="Q3" s="331"/>
      <c r="R3" s="331"/>
      <c r="S3" s="331"/>
      <c r="T3" s="331"/>
      <c r="U3" s="331"/>
      <c r="V3" s="331"/>
      <c r="W3" s="331"/>
      <c r="X3" s="331"/>
      <c r="Y3" s="332"/>
      <c r="Z3" s="332"/>
      <c r="AA3" s="332"/>
      <c r="AB3" s="332"/>
    </row>
    <row r="4" spans="1:39" s="339" customFormat="1" ht="18.75" customHeight="1" thickBot="1" x14ac:dyDescent="0.25">
      <c r="A4" s="825" t="s">
        <v>1660</v>
      </c>
      <c r="B4" s="826"/>
      <c r="C4" s="826"/>
      <c r="D4" s="826"/>
      <c r="E4" s="826"/>
      <c r="F4" s="826"/>
      <c r="G4" s="826"/>
      <c r="H4" s="826"/>
      <c r="I4" s="826"/>
      <c r="J4" s="826"/>
      <c r="K4" s="826"/>
      <c r="L4" s="827"/>
      <c r="M4" s="337"/>
      <c r="N4" s="337"/>
      <c r="O4" s="337"/>
      <c r="P4" s="337"/>
      <c r="Q4" s="337"/>
      <c r="R4" s="337"/>
      <c r="S4" s="337"/>
      <c r="T4" s="337"/>
      <c r="U4" s="337"/>
      <c r="V4" s="337"/>
      <c r="W4" s="337"/>
      <c r="X4" s="337"/>
      <c r="Y4" s="338"/>
      <c r="Z4" s="338"/>
      <c r="AA4" s="338"/>
      <c r="AB4" s="338"/>
    </row>
    <row r="5" spans="1:39" s="339" customFormat="1" ht="16.5" customHeight="1" thickBot="1" x14ac:dyDescent="0.25">
      <c r="A5" s="810" t="s">
        <v>1661</v>
      </c>
      <c r="B5" s="811"/>
      <c r="C5" s="812" t="s">
        <v>47</v>
      </c>
      <c r="D5" s="813"/>
      <c r="E5" s="813"/>
      <c r="F5" s="813"/>
      <c r="G5" s="813"/>
      <c r="H5" s="813"/>
      <c r="I5" s="813"/>
      <c r="J5" s="813"/>
      <c r="K5" s="813"/>
      <c r="L5" s="814"/>
      <c r="M5" s="337"/>
      <c r="N5" s="337"/>
      <c r="O5" s="337"/>
      <c r="P5" s="337"/>
      <c r="Q5" s="337"/>
      <c r="R5" s="337"/>
      <c r="S5" s="337"/>
      <c r="T5" s="337"/>
      <c r="U5" s="337"/>
      <c r="V5" s="337"/>
      <c r="W5" s="337"/>
      <c r="X5" s="337"/>
      <c r="Y5" s="338"/>
      <c r="Z5" s="338"/>
      <c r="AA5" s="338"/>
      <c r="AB5" s="338"/>
    </row>
    <row r="6" spans="1:39" ht="16.5" customHeight="1" thickBot="1" x14ac:dyDescent="0.3">
      <c r="A6" s="830" t="s">
        <v>1662</v>
      </c>
      <c r="B6" s="831"/>
      <c r="C6" s="832" t="s">
        <v>1663</v>
      </c>
      <c r="D6" s="833"/>
      <c r="E6" s="833"/>
      <c r="F6" s="833"/>
      <c r="G6" s="833"/>
      <c r="H6" s="833"/>
      <c r="I6" s="833"/>
      <c r="J6" s="833"/>
      <c r="K6" s="833"/>
      <c r="L6" s="834"/>
      <c r="M6" s="331"/>
      <c r="N6" s="331"/>
      <c r="O6" s="331"/>
      <c r="P6" s="331"/>
      <c r="Q6" s="331"/>
      <c r="R6" s="331"/>
      <c r="S6" s="331"/>
      <c r="T6" s="331"/>
      <c r="U6" s="331"/>
      <c r="V6" s="331"/>
      <c r="W6" s="331"/>
      <c r="X6" s="331"/>
      <c r="Y6" s="332"/>
      <c r="Z6" s="332"/>
      <c r="AA6" s="332"/>
      <c r="AB6" s="332"/>
    </row>
    <row r="7" spans="1:39" ht="12" customHeight="1" thickBot="1" x14ac:dyDescent="0.35">
      <c r="B7" s="340"/>
      <c r="D7" s="334"/>
      <c r="E7" s="334"/>
      <c r="F7" s="334"/>
      <c r="G7" s="334"/>
      <c r="H7" s="334"/>
      <c r="I7" s="334"/>
      <c r="J7" s="334"/>
      <c r="K7" s="334"/>
      <c r="L7" s="334"/>
      <c r="M7" s="331"/>
      <c r="N7" s="331"/>
      <c r="O7" s="331"/>
      <c r="P7" s="331"/>
      <c r="Q7" s="331"/>
      <c r="R7" s="331"/>
      <c r="S7" s="331"/>
      <c r="T7" s="331"/>
      <c r="U7" s="331"/>
      <c r="V7" s="331"/>
      <c r="W7" s="331"/>
      <c r="X7" s="331"/>
      <c r="Y7" s="332"/>
      <c r="Z7" s="332"/>
      <c r="AA7" s="332"/>
      <c r="AB7" s="332"/>
    </row>
    <row r="8" spans="1:39" ht="15" customHeight="1" thickBot="1" x14ac:dyDescent="0.3">
      <c r="A8" s="835" t="s">
        <v>1664</v>
      </c>
      <c r="B8" s="836"/>
      <c r="C8" s="836"/>
      <c r="D8" s="836"/>
      <c r="E8" s="836"/>
      <c r="F8" s="836"/>
      <c r="G8" s="836"/>
      <c r="H8" s="836"/>
      <c r="I8" s="836"/>
      <c r="J8" s="836"/>
      <c r="K8" s="836"/>
      <c r="L8" s="837"/>
      <c r="M8" s="331"/>
      <c r="N8" s="331"/>
      <c r="O8" s="331"/>
      <c r="P8" s="331"/>
      <c r="Q8" s="331"/>
      <c r="R8" s="331"/>
      <c r="S8" s="331"/>
      <c r="T8" s="331"/>
      <c r="U8" s="331"/>
      <c r="V8" s="331"/>
      <c r="W8" s="331"/>
      <c r="X8" s="331"/>
      <c r="Y8" s="332"/>
      <c r="Z8" s="332"/>
      <c r="AA8" s="332"/>
      <c r="AB8" s="332"/>
    </row>
    <row r="9" spans="1:39" ht="20.25" customHeight="1" x14ac:dyDescent="0.3">
      <c r="B9" s="340"/>
      <c r="D9" s="334"/>
      <c r="E9" s="334"/>
      <c r="F9" s="334"/>
      <c r="G9" s="334"/>
      <c r="H9" s="334"/>
      <c r="I9" s="334"/>
      <c r="J9" s="334"/>
      <c r="K9" s="334"/>
      <c r="L9" s="334"/>
      <c r="M9" s="331"/>
      <c r="N9" s="331"/>
      <c r="O9" s="331"/>
      <c r="P9" s="331"/>
      <c r="Q9" s="331"/>
      <c r="R9" s="331"/>
      <c r="S9" s="331"/>
      <c r="T9" s="331"/>
      <c r="U9" s="331"/>
      <c r="V9" s="331"/>
      <c r="W9" s="331"/>
      <c r="X9" s="331"/>
      <c r="Y9" s="332"/>
      <c r="Z9" s="332"/>
      <c r="AA9" s="332"/>
      <c r="AB9" s="332"/>
    </row>
    <row r="10" spans="1:39" ht="13.5" x14ac:dyDescent="0.3">
      <c r="B10" s="340"/>
      <c r="D10" s="838" t="s">
        <v>1665</v>
      </c>
      <c r="E10" s="838"/>
      <c r="F10" s="838"/>
      <c r="G10" s="838"/>
      <c r="H10" s="839" t="s">
        <v>1666</v>
      </c>
      <c r="I10" s="840"/>
      <c r="J10" s="840"/>
      <c r="K10" s="841"/>
      <c r="L10" s="341" t="s">
        <v>1667</v>
      </c>
      <c r="M10" s="331"/>
      <c r="N10" s="331"/>
      <c r="O10" s="331"/>
      <c r="P10" s="331"/>
      <c r="Q10" s="331"/>
      <c r="R10" s="331"/>
      <c r="S10" s="331"/>
      <c r="T10" s="331"/>
      <c r="U10" s="331"/>
      <c r="V10" s="331"/>
      <c r="W10" s="331"/>
      <c r="X10" s="331"/>
      <c r="Y10" s="332"/>
      <c r="Z10" s="332"/>
      <c r="AA10" s="332"/>
      <c r="AB10" s="332"/>
    </row>
    <row r="11" spans="1:39" ht="13.5" x14ac:dyDescent="0.3">
      <c r="A11" s="342" t="s">
        <v>1668</v>
      </c>
      <c r="B11" s="842" t="s">
        <v>1669</v>
      </c>
      <c r="C11" s="842"/>
      <c r="D11" s="343">
        <v>1</v>
      </c>
      <c r="E11" s="343">
        <v>2</v>
      </c>
      <c r="F11" s="343">
        <v>3</v>
      </c>
      <c r="G11" s="344">
        <v>4</v>
      </c>
      <c r="H11" s="345" t="s">
        <v>1670</v>
      </c>
      <c r="I11" s="345" t="s">
        <v>1671</v>
      </c>
      <c r="J11" s="345" t="s">
        <v>1672</v>
      </c>
      <c r="K11" s="345" t="s">
        <v>1673</v>
      </c>
      <c r="L11" s="342" t="s">
        <v>1674</v>
      </c>
      <c r="M11" s="346" t="s">
        <v>1675</v>
      </c>
      <c r="N11" s="346" t="s">
        <v>1676</v>
      </c>
      <c r="O11" s="843" t="s">
        <v>1677</v>
      </c>
      <c r="P11" s="843"/>
      <c r="Q11" s="843"/>
      <c r="R11" s="843"/>
      <c r="S11" s="844"/>
      <c r="T11" s="843" t="s">
        <v>1666</v>
      </c>
      <c r="U11" s="843"/>
      <c r="V11" s="843"/>
      <c r="W11" s="843"/>
      <c r="X11" s="843"/>
      <c r="Y11" s="332"/>
      <c r="Z11" s="332"/>
      <c r="AA11" s="332"/>
      <c r="AB11" s="332"/>
      <c r="AC11" s="347"/>
      <c r="AD11" s="347"/>
      <c r="AE11" s="347"/>
      <c r="AF11" s="347"/>
      <c r="AG11" s="347"/>
      <c r="AH11" s="347"/>
      <c r="AI11" s="347"/>
      <c r="AJ11" s="347"/>
      <c r="AK11" s="347"/>
      <c r="AL11" s="347"/>
      <c r="AM11" s="347"/>
    </row>
    <row r="12" spans="1:39" ht="13.5" x14ac:dyDescent="0.3">
      <c r="A12" s="348">
        <v>1</v>
      </c>
      <c r="B12" s="845" t="s">
        <v>1678</v>
      </c>
      <c r="C12" s="846"/>
      <c r="D12" s="349"/>
      <c r="E12" s="349"/>
      <c r="F12" s="349"/>
      <c r="G12" s="350"/>
      <c r="H12" s="349" t="s">
        <v>1679</v>
      </c>
      <c r="I12" s="349"/>
      <c r="J12" s="349"/>
      <c r="K12" s="350"/>
      <c r="L12" s="351">
        <f t="shared" ref="L12:L18" si="0">IF($M$19=0,0,N12/$M$19)</f>
        <v>0</v>
      </c>
      <c r="M12" s="346">
        <f t="shared" ref="M12:M18" si="1">+X12*10</f>
        <v>0</v>
      </c>
      <c r="N12" s="346">
        <f t="shared" ref="N12:N18" si="2">+S12*X12</f>
        <v>0</v>
      </c>
      <c r="O12" s="352">
        <f t="shared" ref="O12:O18" si="3">IF(D12="X",2.5,0)</f>
        <v>0</v>
      </c>
      <c r="P12" s="353">
        <f t="shared" ref="P12:P18" si="4">IF(E12="X",5,0)</f>
        <v>0</v>
      </c>
      <c r="Q12" s="353">
        <f t="shared" ref="Q12:Q18" si="5">IF(F12="X",7.5,0)</f>
        <v>0</v>
      </c>
      <c r="R12" s="353">
        <f t="shared" ref="R12:R18" si="6">IF(G12="X",10,0)</f>
        <v>0</v>
      </c>
      <c r="S12" s="354">
        <f t="shared" ref="S12:S18" si="7">SUM(O12:R12)</f>
        <v>0</v>
      </c>
      <c r="T12" s="352">
        <f t="shared" ref="T12:T18" si="8">IF(H12="X",0,0)</f>
        <v>0</v>
      </c>
      <c r="U12" s="353">
        <f t="shared" ref="U12:U18" si="9">IF(I12="X",10,0)</f>
        <v>0</v>
      </c>
      <c r="V12" s="353">
        <f t="shared" ref="V12:V18" si="10">IF(J12="X",20,0)</f>
        <v>0</v>
      </c>
      <c r="W12" s="353">
        <f t="shared" ref="W12:W18" si="11">IF(K12="X",30,0)</f>
        <v>0</v>
      </c>
      <c r="X12" s="354">
        <f t="shared" ref="X12:X18" si="12">SUM(U12:W12)</f>
        <v>0</v>
      </c>
      <c r="Y12" s="332"/>
      <c r="Z12" s="332"/>
      <c r="AA12" s="332"/>
      <c r="AB12" s="332"/>
      <c r="AC12" s="347"/>
      <c r="AD12" s="347"/>
      <c r="AE12" s="347"/>
      <c r="AF12" s="347"/>
      <c r="AG12" s="347"/>
      <c r="AH12" s="347"/>
      <c r="AI12" s="347"/>
      <c r="AJ12" s="347"/>
      <c r="AK12" s="347"/>
      <c r="AL12" s="347"/>
      <c r="AM12" s="347"/>
    </row>
    <row r="13" spans="1:39" ht="13.5" x14ac:dyDescent="0.3">
      <c r="A13" s="355">
        <v>2</v>
      </c>
      <c r="B13" s="828" t="s">
        <v>1680</v>
      </c>
      <c r="C13" s="829"/>
      <c r="D13" s="356"/>
      <c r="E13" s="356" t="s">
        <v>1679</v>
      </c>
      <c r="F13" s="356"/>
      <c r="G13" s="357"/>
      <c r="H13" s="356"/>
      <c r="I13" s="356"/>
      <c r="J13" s="356"/>
      <c r="K13" s="356" t="s">
        <v>1679</v>
      </c>
      <c r="L13" s="358">
        <f t="shared" si="0"/>
        <v>0.125</v>
      </c>
      <c r="M13" s="346">
        <f t="shared" si="1"/>
        <v>300</v>
      </c>
      <c r="N13" s="346">
        <f t="shared" si="2"/>
        <v>150</v>
      </c>
      <c r="O13" s="359">
        <f t="shared" si="3"/>
        <v>0</v>
      </c>
      <c r="P13" s="331">
        <f t="shared" si="4"/>
        <v>5</v>
      </c>
      <c r="Q13" s="331">
        <f t="shared" si="5"/>
        <v>0</v>
      </c>
      <c r="R13" s="331">
        <f t="shared" si="6"/>
        <v>0</v>
      </c>
      <c r="S13" s="360">
        <f t="shared" si="7"/>
        <v>5</v>
      </c>
      <c r="T13" s="359">
        <f t="shared" si="8"/>
        <v>0</v>
      </c>
      <c r="U13" s="331">
        <f t="shared" si="9"/>
        <v>0</v>
      </c>
      <c r="V13" s="331">
        <f t="shared" si="10"/>
        <v>0</v>
      </c>
      <c r="W13" s="331">
        <f t="shared" si="11"/>
        <v>30</v>
      </c>
      <c r="X13" s="360">
        <f t="shared" si="12"/>
        <v>30</v>
      </c>
      <c r="Y13" s="332"/>
      <c r="Z13" s="332"/>
      <c r="AA13" s="332"/>
      <c r="AB13" s="332"/>
      <c r="AC13" s="347"/>
      <c r="AD13" s="347"/>
      <c r="AE13" s="347"/>
      <c r="AF13" s="347"/>
      <c r="AG13" s="347"/>
      <c r="AH13" s="347"/>
      <c r="AI13" s="347"/>
      <c r="AJ13" s="347"/>
      <c r="AK13" s="347"/>
      <c r="AL13" s="347"/>
      <c r="AM13" s="347"/>
    </row>
    <row r="14" spans="1:39" ht="13.5" x14ac:dyDescent="0.3">
      <c r="A14" s="355">
        <v>3</v>
      </c>
      <c r="B14" s="828" t="s">
        <v>1681</v>
      </c>
      <c r="C14" s="829"/>
      <c r="D14" s="356"/>
      <c r="E14" s="357" t="s">
        <v>1679</v>
      </c>
      <c r="F14" s="357"/>
      <c r="G14" s="357"/>
      <c r="H14" s="356"/>
      <c r="I14" s="356"/>
      <c r="J14" s="356"/>
      <c r="K14" s="357" t="s">
        <v>1679</v>
      </c>
      <c r="L14" s="358">
        <f t="shared" si="0"/>
        <v>0.125</v>
      </c>
      <c r="M14" s="346">
        <f t="shared" si="1"/>
        <v>300</v>
      </c>
      <c r="N14" s="346">
        <f t="shared" si="2"/>
        <v>150</v>
      </c>
      <c r="O14" s="359">
        <f t="shared" si="3"/>
        <v>0</v>
      </c>
      <c r="P14" s="331">
        <f t="shared" si="4"/>
        <v>5</v>
      </c>
      <c r="Q14" s="331">
        <f t="shared" si="5"/>
        <v>0</v>
      </c>
      <c r="R14" s="331">
        <f t="shared" si="6"/>
        <v>0</v>
      </c>
      <c r="S14" s="360">
        <f t="shared" si="7"/>
        <v>5</v>
      </c>
      <c r="T14" s="359">
        <f t="shared" si="8"/>
        <v>0</v>
      </c>
      <c r="U14" s="331">
        <f t="shared" si="9"/>
        <v>0</v>
      </c>
      <c r="V14" s="331">
        <f t="shared" si="10"/>
        <v>0</v>
      </c>
      <c r="W14" s="331">
        <f t="shared" si="11"/>
        <v>30</v>
      </c>
      <c r="X14" s="360">
        <f t="shared" si="12"/>
        <v>30</v>
      </c>
      <c r="Y14" s="332"/>
      <c r="Z14" s="332"/>
      <c r="AA14" s="332"/>
      <c r="AB14" s="332"/>
      <c r="AC14" s="347"/>
      <c r="AD14" s="347"/>
      <c r="AE14" s="347"/>
      <c r="AF14" s="347"/>
      <c r="AG14" s="347"/>
      <c r="AH14" s="347"/>
      <c r="AI14" s="347"/>
      <c r="AJ14" s="347"/>
      <c r="AK14" s="347"/>
      <c r="AL14" s="347"/>
      <c r="AM14" s="347"/>
    </row>
    <row r="15" spans="1:39" ht="13.5" x14ac:dyDescent="0.3">
      <c r="A15" s="355">
        <v>4</v>
      </c>
      <c r="B15" s="828" t="s">
        <v>1682</v>
      </c>
      <c r="C15" s="829"/>
      <c r="D15" s="356"/>
      <c r="E15" s="356"/>
      <c r="F15" s="356" t="s">
        <v>1679</v>
      </c>
      <c r="G15" s="357"/>
      <c r="H15" s="356"/>
      <c r="I15" s="356"/>
      <c r="J15" s="356"/>
      <c r="K15" s="357" t="s">
        <v>1679</v>
      </c>
      <c r="L15" s="358">
        <f t="shared" si="0"/>
        <v>0.1875</v>
      </c>
      <c r="M15" s="346">
        <f t="shared" si="1"/>
        <v>300</v>
      </c>
      <c r="N15" s="346">
        <f t="shared" si="2"/>
        <v>225</v>
      </c>
      <c r="O15" s="359">
        <f t="shared" si="3"/>
        <v>0</v>
      </c>
      <c r="P15" s="331">
        <f t="shared" si="4"/>
        <v>0</v>
      </c>
      <c r="Q15" s="331">
        <f t="shared" si="5"/>
        <v>7.5</v>
      </c>
      <c r="R15" s="331">
        <f t="shared" si="6"/>
        <v>0</v>
      </c>
      <c r="S15" s="360">
        <f t="shared" si="7"/>
        <v>7.5</v>
      </c>
      <c r="T15" s="359">
        <f t="shared" si="8"/>
        <v>0</v>
      </c>
      <c r="U15" s="331">
        <f t="shared" si="9"/>
        <v>0</v>
      </c>
      <c r="V15" s="331">
        <f t="shared" si="10"/>
        <v>0</v>
      </c>
      <c r="W15" s="331">
        <f t="shared" si="11"/>
        <v>30</v>
      </c>
      <c r="X15" s="360">
        <f t="shared" si="12"/>
        <v>30</v>
      </c>
      <c r="Y15" s="332"/>
      <c r="Z15" s="332"/>
      <c r="AA15" s="332"/>
      <c r="AB15" s="332"/>
      <c r="AC15" s="347"/>
      <c r="AD15" s="347"/>
      <c r="AE15" s="347"/>
      <c r="AF15" s="347"/>
      <c r="AG15" s="347"/>
      <c r="AH15" s="347"/>
      <c r="AI15" s="347"/>
      <c r="AJ15" s="347"/>
      <c r="AK15" s="347"/>
      <c r="AL15" s="347"/>
      <c r="AM15" s="347"/>
    </row>
    <row r="16" spans="1:39" ht="13.5" x14ac:dyDescent="0.3">
      <c r="A16" s="355">
        <v>5</v>
      </c>
      <c r="B16" s="828" t="s">
        <v>1586</v>
      </c>
      <c r="C16" s="829"/>
      <c r="D16" s="356"/>
      <c r="E16" s="356"/>
      <c r="F16" s="356"/>
      <c r="G16" s="357"/>
      <c r="H16" s="356" t="s">
        <v>1679</v>
      </c>
      <c r="I16" s="356"/>
      <c r="J16" s="356"/>
      <c r="K16" s="357"/>
      <c r="L16" s="358">
        <f t="shared" si="0"/>
        <v>0</v>
      </c>
      <c r="M16" s="346">
        <f t="shared" si="1"/>
        <v>0</v>
      </c>
      <c r="N16" s="346">
        <f t="shared" si="2"/>
        <v>0</v>
      </c>
      <c r="O16" s="359">
        <f t="shared" si="3"/>
        <v>0</v>
      </c>
      <c r="P16" s="331">
        <f t="shared" si="4"/>
        <v>0</v>
      </c>
      <c r="Q16" s="331">
        <f t="shared" si="5"/>
        <v>0</v>
      </c>
      <c r="R16" s="331">
        <f t="shared" si="6"/>
        <v>0</v>
      </c>
      <c r="S16" s="360">
        <f t="shared" si="7"/>
        <v>0</v>
      </c>
      <c r="T16" s="359">
        <f t="shared" si="8"/>
        <v>0</v>
      </c>
      <c r="U16" s="331">
        <f t="shared" si="9"/>
        <v>0</v>
      </c>
      <c r="V16" s="331">
        <f t="shared" si="10"/>
        <v>0</v>
      </c>
      <c r="W16" s="331">
        <f t="shared" si="11"/>
        <v>0</v>
      </c>
      <c r="X16" s="360">
        <f t="shared" si="12"/>
        <v>0</v>
      </c>
      <c r="Y16" s="332"/>
      <c r="Z16" s="332"/>
      <c r="AA16" s="332"/>
      <c r="AB16" s="332"/>
      <c r="AC16" s="347"/>
      <c r="AD16" s="347"/>
      <c r="AE16" s="347"/>
      <c r="AF16" s="347"/>
      <c r="AG16" s="347"/>
      <c r="AH16" s="347"/>
      <c r="AI16" s="347"/>
      <c r="AJ16" s="347"/>
      <c r="AK16" s="347"/>
      <c r="AL16" s="347"/>
      <c r="AM16" s="347"/>
    </row>
    <row r="17" spans="1:39" ht="13.5" x14ac:dyDescent="0.3">
      <c r="A17" s="355">
        <v>6</v>
      </c>
      <c r="B17" s="847" t="s">
        <v>1683</v>
      </c>
      <c r="C17" s="847"/>
      <c r="D17" s="356" t="s">
        <v>1679</v>
      </c>
      <c r="E17" s="356"/>
      <c r="F17" s="356"/>
      <c r="G17" s="361"/>
      <c r="H17" s="356" t="s">
        <v>1679</v>
      </c>
      <c r="I17" s="356"/>
      <c r="J17" s="356"/>
      <c r="K17" s="361"/>
      <c r="L17" s="358">
        <f t="shared" si="0"/>
        <v>0</v>
      </c>
      <c r="M17" s="346">
        <f t="shared" si="1"/>
        <v>0</v>
      </c>
      <c r="N17" s="346">
        <f t="shared" si="2"/>
        <v>0</v>
      </c>
      <c r="O17" s="359">
        <f t="shared" si="3"/>
        <v>2.5</v>
      </c>
      <c r="P17" s="331">
        <f t="shared" si="4"/>
        <v>0</v>
      </c>
      <c r="Q17" s="331">
        <f t="shared" si="5"/>
        <v>0</v>
      </c>
      <c r="R17" s="331">
        <f t="shared" si="6"/>
        <v>0</v>
      </c>
      <c r="S17" s="360">
        <f t="shared" si="7"/>
        <v>2.5</v>
      </c>
      <c r="T17" s="359">
        <f t="shared" si="8"/>
        <v>0</v>
      </c>
      <c r="U17" s="331">
        <f t="shared" si="9"/>
        <v>0</v>
      </c>
      <c r="V17" s="331">
        <f t="shared" si="10"/>
        <v>0</v>
      </c>
      <c r="W17" s="331">
        <f t="shared" si="11"/>
        <v>0</v>
      </c>
      <c r="X17" s="360">
        <f t="shared" si="12"/>
        <v>0</v>
      </c>
      <c r="Y17" s="332"/>
      <c r="Z17" s="332"/>
      <c r="AA17" s="332"/>
      <c r="AB17" s="332"/>
      <c r="AC17" s="347"/>
      <c r="AD17" s="347"/>
      <c r="AE17" s="347"/>
      <c r="AF17" s="347"/>
      <c r="AG17" s="347"/>
      <c r="AH17" s="347"/>
      <c r="AI17" s="347"/>
      <c r="AJ17" s="347"/>
      <c r="AK17" s="347"/>
      <c r="AL17" s="347"/>
      <c r="AM17" s="347"/>
    </row>
    <row r="18" spans="1:39" ht="13.5" x14ac:dyDescent="0.3">
      <c r="A18" s="362">
        <v>7</v>
      </c>
      <c r="B18" s="848" t="s">
        <v>1684</v>
      </c>
      <c r="C18" s="848"/>
      <c r="D18" s="361" t="s">
        <v>1679</v>
      </c>
      <c r="E18" s="361"/>
      <c r="F18" s="361"/>
      <c r="G18" s="361"/>
      <c r="H18" s="361"/>
      <c r="I18" s="361"/>
      <c r="J18" s="361"/>
      <c r="K18" s="361" t="s">
        <v>1679</v>
      </c>
      <c r="L18" s="363">
        <f t="shared" si="0"/>
        <v>6.25E-2</v>
      </c>
      <c r="M18" s="346">
        <f t="shared" si="1"/>
        <v>300</v>
      </c>
      <c r="N18" s="346">
        <f t="shared" si="2"/>
        <v>75</v>
      </c>
      <c r="O18" s="364">
        <f t="shared" si="3"/>
        <v>2.5</v>
      </c>
      <c r="P18" s="365">
        <f t="shared" si="4"/>
        <v>0</v>
      </c>
      <c r="Q18" s="365">
        <f t="shared" si="5"/>
        <v>0</v>
      </c>
      <c r="R18" s="365">
        <f t="shared" si="6"/>
        <v>0</v>
      </c>
      <c r="S18" s="366">
        <f t="shared" si="7"/>
        <v>2.5</v>
      </c>
      <c r="T18" s="364">
        <f t="shared" si="8"/>
        <v>0</v>
      </c>
      <c r="U18" s="365">
        <f t="shared" si="9"/>
        <v>0</v>
      </c>
      <c r="V18" s="365">
        <f t="shared" si="10"/>
        <v>0</v>
      </c>
      <c r="W18" s="365">
        <f t="shared" si="11"/>
        <v>30</v>
      </c>
      <c r="X18" s="366">
        <f t="shared" si="12"/>
        <v>30</v>
      </c>
      <c r="Y18" s="332"/>
      <c r="Z18" s="332"/>
      <c r="AA18" s="332"/>
      <c r="AB18" s="332"/>
      <c r="AC18" s="347"/>
      <c r="AD18" s="347"/>
      <c r="AE18" s="347"/>
      <c r="AF18" s="347"/>
      <c r="AG18" s="347"/>
      <c r="AH18" s="347"/>
      <c r="AI18" s="347"/>
      <c r="AJ18" s="347"/>
      <c r="AK18" s="347"/>
      <c r="AL18" s="347"/>
      <c r="AM18" s="347"/>
    </row>
    <row r="19" spans="1:39" ht="14.25" thickBot="1" x14ac:dyDescent="0.35">
      <c r="L19" s="367">
        <f>SUM(L12:L18)</f>
        <v>0.5</v>
      </c>
      <c r="M19" s="346">
        <f>SUM(M12:M18)</f>
        <v>1200</v>
      </c>
      <c r="N19" s="346">
        <f>SUM(N12:N18)</f>
        <v>600</v>
      </c>
      <c r="O19" s="331"/>
      <c r="P19" s="331"/>
      <c r="Q19" s="331"/>
      <c r="R19" s="331"/>
      <c r="S19" s="331"/>
      <c r="T19" s="331"/>
      <c r="U19" s="331"/>
      <c r="V19" s="331"/>
      <c r="W19" s="331"/>
      <c r="X19" s="331"/>
      <c r="Y19" s="332"/>
      <c r="Z19" s="332"/>
      <c r="AA19" s="332"/>
      <c r="AB19" s="332"/>
      <c r="AC19" s="347"/>
      <c r="AD19" s="347"/>
      <c r="AE19" s="347"/>
      <c r="AF19" s="347"/>
      <c r="AG19" s="347"/>
      <c r="AH19" s="347"/>
      <c r="AI19" s="347"/>
      <c r="AJ19" s="347"/>
      <c r="AK19" s="347"/>
      <c r="AL19" s="347"/>
      <c r="AM19" s="347"/>
    </row>
    <row r="20" spans="1:39" x14ac:dyDescent="0.25">
      <c r="B20" s="332"/>
      <c r="C20" s="332"/>
      <c r="D20" s="332"/>
      <c r="E20" s="332"/>
      <c r="F20" s="332"/>
      <c r="G20" s="332"/>
      <c r="H20" s="332"/>
      <c r="I20" s="332"/>
      <c r="J20" s="332"/>
      <c r="K20" s="332"/>
      <c r="L20" s="332"/>
      <c r="M20" s="331"/>
      <c r="N20" s="331">
        <f>IF($L$19&gt;85%,5,0)</f>
        <v>0</v>
      </c>
      <c r="O20" s="331">
        <f>IF($L$19&lt;=85%,2,0)</f>
        <v>2</v>
      </c>
      <c r="P20" s="331">
        <f>IF($L$19&gt;70%,2,0)</f>
        <v>0</v>
      </c>
      <c r="Q20" s="331">
        <f>IF($L$19&lt;=70%,3,0)</f>
        <v>3</v>
      </c>
      <c r="R20" s="331">
        <f>IF($L$19&gt;45%,1,0)</f>
        <v>1</v>
      </c>
      <c r="S20" s="331">
        <f>IF($L$19&lt;=45%,1,0)</f>
        <v>0</v>
      </c>
      <c r="T20" s="331"/>
      <c r="U20" s="331">
        <f>IF($L$19&gt;0%,2,0)</f>
        <v>2</v>
      </c>
      <c r="V20" s="331"/>
      <c r="W20" s="331"/>
      <c r="X20" s="331"/>
      <c r="Y20" s="332"/>
      <c r="Z20" s="332"/>
      <c r="AA20" s="332"/>
      <c r="AB20" s="332"/>
      <c r="AC20" s="347"/>
      <c r="AD20" s="347"/>
      <c r="AE20" s="347"/>
      <c r="AF20" s="347"/>
      <c r="AG20" s="347"/>
      <c r="AH20" s="347"/>
      <c r="AI20" s="347"/>
      <c r="AJ20" s="347"/>
      <c r="AK20" s="347"/>
      <c r="AL20" s="347"/>
      <c r="AM20" s="347"/>
    </row>
    <row r="21" spans="1:39" ht="12.75" customHeight="1" x14ac:dyDescent="0.3">
      <c r="A21" s="849" t="s">
        <v>1685</v>
      </c>
      <c r="B21" s="849"/>
      <c r="C21" s="368">
        <f>+L19</f>
        <v>0.5</v>
      </c>
      <c r="E21" s="850" t="str">
        <f>+IF(L19&gt;=0.86,"A",IF(AND(L19&lt;0.86,L19&gt;=0.71),"B",IF(AND(L19&lt;0.71,L19&gt;=0.46),"C",IF(AND(L19&lt;0.46,L19&gt;0),"No califica",IF(L19=0,"No evaluado",)))))</f>
        <v>C</v>
      </c>
      <c r="F21" s="850"/>
      <c r="H21" s="854" t="s">
        <v>1686</v>
      </c>
      <c r="I21" s="854"/>
      <c r="J21" s="854"/>
      <c r="K21" s="854"/>
      <c r="L21" s="369" t="str">
        <f>+IF(E21="A","Excelente",IF(E21="B","Muy Bueno",IF(E21="C","Bueno a regular",IF(E21="No evaluado","","No califica"))))</f>
        <v>Bueno a regular</v>
      </c>
      <c r="M21" s="331"/>
      <c r="N21" s="331">
        <f>+N20</f>
        <v>0</v>
      </c>
      <c r="O21" s="851">
        <f>+O20*P20</f>
        <v>0</v>
      </c>
      <c r="P21" s="851"/>
      <c r="Q21" s="851">
        <f>+Q20*R20</f>
        <v>3</v>
      </c>
      <c r="R21" s="851"/>
      <c r="S21" s="851">
        <f>+S20*U20</f>
        <v>0</v>
      </c>
      <c r="T21" s="851"/>
      <c r="U21" s="851"/>
      <c r="V21" s="331">
        <f>SUM(N21:U21)</f>
        <v>3</v>
      </c>
      <c r="W21" s="331"/>
      <c r="X21" s="331"/>
      <c r="Y21" s="332"/>
      <c r="Z21" s="332"/>
      <c r="AA21" s="332"/>
      <c r="AB21" s="332"/>
    </row>
    <row r="22" spans="1:39" ht="12" customHeight="1" x14ac:dyDescent="0.3">
      <c r="B22" s="370"/>
      <c r="C22" s="332"/>
      <c r="D22" s="332"/>
      <c r="E22" s="332"/>
      <c r="F22" s="332"/>
      <c r="H22" s="371"/>
      <c r="I22" s="371"/>
      <c r="J22" s="372"/>
      <c r="K22" s="373"/>
      <c r="L22" s="374"/>
      <c r="M22" s="331"/>
      <c r="N22" s="331"/>
      <c r="O22" s="331"/>
      <c r="P22" s="331"/>
      <c r="Q22" s="331"/>
      <c r="R22" s="331"/>
      <c r="S22" s="331"/>
      <c r="T22" s="331"/>
      <c r="U22" s="331"/>
      <c r="V22" s="331"/>
      <c r="W22" s="331"/>
      <c r="X22" s="331"/>
      <c r="Y22" s="332"/>
      <c r="Z22" s="332"/>
      <c r="AA22" s="332"/>
      <c r="AB22" s="332"/>
    </row>
    <row r="23" spans="1:39" ht="12.75" customHeight="1" x14ac:dyDescent="0.25">
      <c r="A23" s="852" t="s">
        <v>1687</v>
      </c>
      <c r="B23" s="852"/>
      <c r="C23" s="853" t="s">
        <v>1721</v>
      </c>
      <c r="D23" s="853"/>
      <c r="E23" s="853"/>
      <c r="F23" s="853"/>
      <c r="H23" s="854" t="s">
        <v>1689</v>
      </c>
      <c r="I23" s="854"/>
      <c r="J23" s="854"/>
      <c r="K23" s="854"/>
      <c r="L23" s="375">
        <v>42629</v>
      </c>
      <c r="M23" s="331"/>
      <c r="N23" s="331"/>
      <c r="O23" s="331"/>
      <c r="P23" s="331"/>
      <c r="Q23" s="331"/>
      <c r="R23" s="331"/>
      <c r="S23" s="331"/>
      <c r="T23" s="331"/>
      <c r="U23" s="331"/>
      <c r="V23" s="331"/>
      <c r="W23" s="331"/>
      <c r="X23" s="331"/>
      <c r="Y23" s="332"/>
      <c r="Z23" s="332"/>
      <c r="AA23" s="332"/>
      <c r="AB23" s="332"/>
    </row>
    <row r="24" spans="1:39" ht="9" customHeight="1" thickBot="1" x14ac:dyDescent="0.3">
      <c r="B24" s="332"/>
      <c r="C24" s="332"/>
      <c r="D24" s="332"/>
      <c r="E24" s="332"/>
      <c r="F24" s="332"/>
      <c r="G24" s="332"/>
      <c r="H24" s="332"/>
      <c r="I24" s="332"/>
      <c r="M24" s="331"/>
      <c r="N24" s="331"/>
      <c r="O24" s="331"/>
      <c r="P24" s="331"/>
      <c r="Q24" s="331"/>
      <c r="R24" s="331"/>
      <c r="S24" s="331"/>
      <c r="T24" s="331"/>
      <c r="U24" s="331"/>
      <c r="V24" s="331"/>
      <c r="W24" s="331"/>
      <c r="X24" s="331"/>
      <c r="Y24" s="332"/>
      <c r="Z24" s="332"/>
      <c r="AA24" s="332"/>
      <c r="AB24" s="332"/>
    </row>
    <row r="25" spans="1:39" s="376" customFormat="1" ht="14.25" customHeight="1" thickBot="1" x14ac:dyDescent="0.25">
      <c r="A25" s="855" t="s">
        <v>1690</v>
      </c>
      <c r="B25" s="856"/>
      <c r="C25" s="856"/>
      <c r="D25" s="856"/>
      <c r="E25" s="856"/>
      <c r="F25" s="856"/>
      <c r="G25" s="856"/>
      <c r="H25" s="856"/>
      <c r="I25" s="856"/>
      <c r="J25" s="856"/>
      <c r="K25" s="856"/>
      <c r="L25" s="857"/>
      <c r="M25" s="337"/>
      <c r="N25" s="337"/>
      <c r="O25" s="337"/>
      <c r="P25" s="337"/>
      <c r="Q25" s="337"/>
      <c r="R25" s="337"/>
      <c r="S25" s="337"/>
      <c r="T25" s="337"/>
      <c r="U25" s="337"/>
      <c r="V25" s="337"/>
      <c r="W25" s="337"/>
      <c r="X25" s="337"/>
      <c r="Y25" s="337"/>
      <c r="Z25" s="337"/>
      <c r="AA25" s="337"/>
      <c r="AB25" s="337"/>
    </row>
    <row r="26" spans="1:39" ht="6.75" customHeight="1" x14ac:dyDescent="0.3">
      <c r="B26" s="340"/>
      <c r="D26" s="334"/>
      <c r="E26" s="334"/>
      <c r="F26" s="334"/>
      <c r="G26" s="334"/>
      <c r="H26" s="334"/>
      <c r="I26" s="334"/>
      <c r="J26" s="334"/>
      <c r="K26" s="334"/>
      <c r="L26" s="334"/>
      <c r="M26" s="331"/>
      <c r="N26" s="331"/>
      <c r="O26" s="331"/>
      <c r="P26" s="331"/>
      <c r="Q26" s="331"/>
      <c r="R26" s="331"/>
      <c r="S26" s="331"/>
      <c r="T26" s="331"/>
      <c r="U26" s="331"/>
      <c r="V26" s="331"/>
      <c r="W26" s="331"/>
      <c r="X26" s="331"/>
      <c r="Y26" s="332"/>
      <c r="Z26" s="332"/>
      <c r="AA26" s="332"/>
      <c r="AB26" s="332"/>
    </row>
    <row r="27" spans="1:39" ht="13.5" x14ac:dyDescent="0.3">
      <c r="B27" s="340"/>
      <c r="D27" s="858" t="s">
        <v>1665</v>
      </c>
      <c r="E27" s="858"/>
      <c r="F27" s="858"/>
      <c r="G27" s="858"/>
      <c r="H27" s="859" t="s">
        <v>1666</v>
      </c>
      <c r="I27" s="860"/>
      <c r="J27" s="860"/>
      <c r="K27" s="861"/>
      <c r="L27" s="341" t="s">
        <v>1667</v>
      </c>
      <c r="M27" s="331"/>
      <c r="N27" s="331"/>
      <c r="O27" s="331"/>
      <c r="P27" s="331"/>
      <c r="Q27" s="331"/>
      <c r="R27" s="331"/>
      <c r="S27" s="331"/>
      <c r="T27" s="331"/>
      <c r="U27" s="331"/>
      <c r="V27" s="331"/>
      <c r="W27" s="331"/>
      <c r="X27" s="331"/>
      <c r="Y27" s="332"/>
      <c r="Z27" s="332"/>
      <c r="AA27" s="332"/>
      <c r="AB27" s="332"/>
    </row>
    <row r="28" spans="1:39" ht="13.5" x14ac:dyDescent="0.3">
      <c r="A28" s="342" t="s">
        <v>1668</v>
      </c>
      <c r="B28" s="842" t="s">
        <v>1669</v>
      </c>
      <c r="C28" s="842"/>
      <c r="D28" s="343">
        <v>1</v>
      </c>
      <c r="E28" s="343">
        <v>2</v>
      </c>
      <c r="F28" s="343">
        <v>3</v>
      </c>
      <c r="G28" s="344">
        <v>4</v>
      </c>
      <c r="H28" s="345" t="s">
        <v>1670</v>
      </c>
      <c r="I28" s="345" t="s">
        <v>1671</v>
      </c>
      <c r="J28" s="345" t="s">
        <v>1672</v>
      </c>
      <c r="K28" s="345" t="s">
        <v>1673</v>
      </c>
      <c r="L28" s="342" t="s">
        <v>1674</v>
      </c>
      <c r="M28" s="346" t="s">
        <v>1675</v>
      </c>
      <c r="N28" s="346" t="s">
        <v>1676</v>
      </c>
      <c r="O28" s="843" t="s">
        <v>1677</v>
      </c>
      <c r="P28" s="843"/>
      <c r="Q28" s="843"/>
      <c r="R28" s="843"/>
      <c r="S28" s="844"/>
      <c r="T28" s="843" t="s">
        <v>1666</v>
      </c>
      <c r="U28" s="843"/>
      <c r="V28" s="843"/>
      <c r="W28" s="843"/>
      <c r="X28" s="843"/>
      <c r="Y28" s="332"/>
      <c r="Z28" s="332"/>
      <c r="AA28" s="332"/>
      <c r="AB28" s="332"/>
      <c r="AC28" s="347"/>
      <c r="AD28" s="347"/>
      <c r="AE28" s="347"/>
      <c r="AF28" s="347"/>
      <c r="AG28" s="347"/>
      <c r="AH28" s="347"/>
      <c r="AI28" s="347"/>
      <c r="AJ28" s="347"/>
      <c r="AK28" s="347"/>
      <c r="AL28" s="347"/>
      <c r="AM28" s="347"/>
    </row>
    <row r="29" spans="1:39" ht="13.5" x14ac:dyDescent="0.3">
      <c r="A29" s="348">
        <v>1</v>
      </c>
      <c r="B29" s="845" t="s">
        <v>1691</v>
      </c>
      <c r="C29" s="862"/>
      <c r="D29" s="349"/>
      <c r="E29" s="349"/>
      <c r="F29" s="349"/>
      <c r="G29" s="350" t="s">
        <v>1679</v>
      </c>
      <c r="H29" s="349"/>
      <c r="I29" s="349"/>
      <c r="J29" s="349"/>
      <c r="K29" s="350" t="s">
        <v>1679</v>
      </c>
      <c r="L29" s="351">
        <f t="shared" ref="L29:L43" si="13">IF($M$44=0,0,N29/$M$44)</f>
        <v>7.3170731707317069E-2</v>
      </c>
      <c r="M29" s="346">
        <f t="shared" ref="M29:M43" si="14">+X29*10</f>
        <v>300</v>
      </c>
      <c r="N29" s="346">
        <f t="shared" ref="N29:N43" si="15">+S29*X29</f>
        <v>300</v>
      </c>
      <c r="O29" s="359">
        <f t="shared" ref="O29:O44" si="16">IF(D29="X",2.5,0)</f>
        <v>0</v>
      </c>
      <c r="P29" s="331">
        <f t="shared" ref="P29:P44" si="17">IF(E29="X",5,0)</f>
        <v>0</v>
      </c>
      <c r="Q29" s="331">
        <f t="shared" ref="Q29:Q44" si="18">IF(F29="X",7.5,0)</f>
        <v>0</v>
      </c>
      <c r="R29" s="331">
        <f t="shared" ref="R29:R44" si="19">IF(G29="X",10,0)</f>
        <v>10</v>
      </c>
      <c r="S29" s="346">
        <f t="shared" ref="S29:S44" si="20">SUM(O29:R29)</f>
        <v>10</v>
      </c>
      <c r="T29" s="359">
        <f t="shared" ref="T29:T44" si="21">IF(H29="X",0,0)</f>
        <v>0</v>
      </c>
      <c r="U29" s="331">
        <f t="shared" ref="U29:U44" si="22">IF(I29="X",10,0)</f>
        <v>0</v>
      </c>
      <c r="V29" s="331">
        <f t="shared" ref="V29:V44" si="23">IF(J29="X",20,0)</f>
        <v>0</v>
      </c>
      <c r="W29" s="331">
        <f t="shared" ref="W29:W44" si="24">IF(K29="X",30,0)</f>
        <v>30</v>
      </c>
      <c r="X29" s="377">
        <f t="shared" ref="X29:X44" si="25">SUM(U29:W29)</f>
        <v>30</v>
      </c>
      <c r="Y29" s="332"/>
      <c r="Z29" s="332"/>
      <c r="AA29" s="332"/>
      <c r="AB29" s="332"/>
      <c r="AC29" s="347"/>
      <c r="AD29" s="347"/>
      <c r="AE29" s="347"/>
      <c r="AF29" s="347"/>
      <c r="AG29" s="347"/>
      <c r="AH29" s="347"/>
      <c r="AI29" s="347"/>
      <c r="AJ29" s="347"/>
      <c r="AK29" s="347"/>
      <c r="AL29" s="347"/>
      <c r="AM29" s="347"/>
    </row>
    <row r="30" spans="1:39" ht="13.5" x14ac:dyDescent="0.3">
      <c r="A30" s="355">
        <v>2</v>
      </c>
      <c r="B30" s="828" t="s">
        <v>1692</v>
      </c>
      <c r="C30" s="829"/>
      <c r="D30" s="356"/>
      <c r="E30" s="356" t="s">
        <v>1679</v>
      </c>
      <c r="F30" s="356"/>
      <c r="G30" s="357"/>
      <c r="H30" s="356"/>
      <c r="I30" s="356"/>
      <c r="J30" s="356"/>
      <c r="K30" s="357" t="s">
        <v>1679</v>
      </c>
      <c r="L30" s="358">
        <f t="shared" si="13"/>
        <v>3.6585365853658534E-2</v>
      </c>
      <c r="M30" s="346">
        <f t="shared" si="14"/>
        <v>300</v>
      </c>
      <c r="N30" s="346">
        <f t="shared" si="15"/>
        <v>150</v>
      </c>
      <c r="O30" s="359">
        <f t="shared" si="16"/>
        <v>0</v>
      </c>
      <c r="P30" s="331">
        <f>IF(E30="X",5,0)</f>
        <v>5</v>
      </c>
      <c r="Q30" s="331">
        <f t="shared" si="18"/>
        <v>0</v>
      </c>
      <c r="R30" s="331">
        <f>IF(G30="X",10,0)</f>
        <v>0</v>
      </c>
      <c r="S30" s="346">
        <f t="shared" si="20"/>
        <v>5</v>
      </c>
      <c r="T30" s="359">
        <f t="shared" si="21"/>
        <v>0</v>
      </c>
      <c r="U30" s="331">
        <f t="shared" si="22"/>
        <v>0</v>
      </c>
      <c r="V30" s="331">
        <f t="shared" si="23"/>
        <v>0</v>
      </c>
      <c r="W30" s="331">
        <f t="shared" si="24"/>
        <v>30</v>
      </c>
      <c r="X30" s="377">
        <f t="shared" si="25"/>
        <v>30</v>
      </c>
      <c r="Y30" s="332"/>
      <c r="Z30" s="332"/>
      <c r="AA30" s="332"/>
      <c r="AB30" s="332"/>
      <c r="AC30" s="347"/>
      <c r="AD30" s="347"/>
      <c r="AE30" s="347"/>
      <c r="AF30" s="347"/>
      <c r="AG30" s="347"/>
      <c r="AH30" s="347"/>
      <c r="AI30" s="347"/>
      <c r="AJ30" s="347"/>
      <c r="AK30" s="347"/>
      <c r="AL30" s="347"/>
      <c r="AM30" s="347"/>
    </row>
    <row r="31" spans="1:39" ht="13.5" x14ac:dyDescent="0.3">
      <c r="A31" s="348">
        <v>3</v>
      </c>
      <c r="B31" s="828" t="s">
        <v>1693</v>
      </c>
      <c r="C31" s="829"/>
      <c r="D31" s="356"/>
      <c r="E31" s="356"/>
      <c r="F31" s="356"/>
      <c r="G31" s="357"/>
      <c r="H31" s="356" t="s">
        <v>1679</v>
      </c>
      <c r="I31" s="356"/>
      <c r="J31" s="356"/>
      <c r="K31" s="357"/>
      <c r="L31" s="358">
        <f t="shared" si="13"/>
        <v>0</v>
      </c>
      <c r="M31" s="346">
        <f t="shared" si="14"/>
        <v>0</v>
      </c>
      <c r="N31" s="346">
        <f t="shared" si="15"/>
        <v>0</v>
      </c>
      <c r="O31" s="359">
        <f t="shared" si="16"/>
        <v>0</v>
      </c>
      <c r="P31" s="331">
        <f t="shared" si="17"/>
        <v>0</v>
      </c>
      <c r="Q31" s="331">
        <f t="shared" si="18"/>
        <v>0</v>
      </c>
      <c r="R31" s="331">
        <f t="shared" si="19"/>
        <v>0</v>
      </c>
      <c r="S31" s="346">
        <f t="shared" si="20"/>
        <v>0</v>
      </c>
      <c r="T31" s="359">
        <f t="shared" si="21"/>
        <v>0</v>
      </c>
      <c r="U31" s="331">
        <f t="shared" si="22"/>
        <v>0</v>
      </c>
      <c r="V31" s="331">
        <f t="shared" si="23"/>
        <v>0</v>
      </c>
      <c r="W31" s="331">
        <f t="shared" si="24"/>
        <v>0</v>
      </c>
      <c r="X31" s="377">
        <f t="shared" si="25"/>
        <v>0</v>
      </c>
      <c r="Y31" s="332"/>
      <c r="Z31" s="332"/>
      <c r="AA31" s="332"/>
      <c r="AB31" s="332"/>
      <c r="AC31" s="347"/>
      <c r="AD31" s="347"/>
      <c r="AE31" s="347"/>
      <c r="AF31" s="347"/>
      <c r="AG31" s="347"/>
      <c r="AH31" s="347"/>
      <c r="AI31" s="347"/>
      <c r="AJ31" s="347"/>
      <c r="AK31" s="347"/>
      <c r="AL31" s="347"/>
      <c r="AM31" s="347"/>
    </row>
    <row r="32" spans="1:39" ht="13.5" x14ac:dyDescent="0.3">
      <c r="A32" s="355">
        <v>4</v>
      </c>
      <c r="B32" s="828" t="s">
        <v>1694</v>
      </c>
      <c r="C32" s="829"/>
      <c r="D32" s="356"/>
      <c r="E32" s="356" t="s">
        <v>1679</v>
      </c>
      <c r="F32" s="356"/>
      <c r="G32" s="357"/>
      <c r="H32" s="356"/>
      <c r="I32" s="356"/>
      <c r="J32" s="356"/>
      <c r="K32" s="357" t="s">
        <v>1679</v>
      </c>
      <c r="L32" s="358">
        <f t="shared" si="13"/>
        <v>3.6585365853658534E-2</v>
      </c>
      <c r="M32" s="346">
        <f t="shared" si="14"/>
        <v>300</v>
      </c>
      <c r="N32" s="346">
        <f t="shared" si="15"/>
        <v>150</v>
      </c>
      <c r="O32" s="359">
        <f>IF(D32="X",2.5,0)</f>
        <v>0</v>
      </c>
      <c r="P32" s="331">
        <f t="shared" si="17"/>
        <v>5</v>
      </c>
      <c r="Q32" s="331">
        <f>IF(F32="X",7.5,0)</f>
        <v>0</v>
      </c>
      <c r="R32" s="331">
        <f t="shared" si="19"/>
        <v>0</v>
      </c>
      <c r="S32" s="346">
        <f t="shared" si="20"/>
        <v>5</v>
      </c>
      <c r="T32" s="359">
        <f t="shared" si="21"/>
        <v>0</v>
      </c>
      <c r="U32" s="331">
        <f t="shared" si="22"/>
        <v>0</v>
      </c>
      <c r="V32" s="331">
        <f>IF(J32="X",20,0)</f>
        <v>0</v>
      </c>
      <c r="W32" s="331">
        <f>IF(K32="X",30,0)</f>
        <v>30</v>
      </c>
      <c r="X32" s="377">
        <f t="shared" si="25"/>
        <v>30</v>
      </c>
      <c r="Y32" s="332"/>
      <c r="Z32" s="332"/>
      <c r="AA32" s="332"/>
      <c r="AB32" s="332"/>
      <c r="AC32" s="347"/>
      <c r="AD32" s="347"/>
      <c r="AE32" s="347"/>
      <c r="AF32" s="347"/>
      <c r="AG32" s="347"/>
      <c r="AH32" s="347"/>
      <c r="AI32" s="347"/>
      <c r="AJ32" s="347"/>
      <c r="AK32" s="347"/>
      <c r="AL32" s="347"/>
      <c r="AM32" s="347"/>
    </row>
    <row r="33" spans="1:39" ht="13.5" x14ac:dyDescent="0.3">
      <c r="A33" s="348">
        <v>5</v>
      </c>
      <c r="B33" s="828" t="s">
        <v>1695</v>
      </c>
      <c r="C33" s="829"/>
      <c r="D33" s="356" t="s">
        <v>1679</v>
      </c>
      <c r="E33" s="356"/>
      <c r="F33" s="356"/>
      <c r="G33" s="357"/>
      <c r="H33" s="356"/>
      <c r="I33" s="356"/>
      <c r="J33" s="356" t="s">
        <v>1679</v>
      </c>
      <c r="K33" s="357"/>
      <c r="L33" s="358">
        <f t="shared" si="13"/>
        <v>1.2195121951219513E-2</v>
      </c>
      <c r="M33" s="346">
        <f t="shared" si="14"/>
        <v>200</v>
      </c>
      <c r="N33" s="346">
        <f t="shared" si="15"/>
        <v>50</v>
      </c>
      <c r="O33" s="359">
        <f t="shared" si="16"/>
        <v>2.5</v>
      </c>
      <c r="P33" s="331">
        <f t="shared" si="17"/>
        <v>0</v>
      </c>
      <c r="Q33" s="331">
        <f t="shared" si="18"/>
        <v>0</v>
      </c>
      <c r="R33" s="331">
        <f t="shared" si="19"/>
        <v>0</v>
      </c>
      <c r="S33" s="346">
        <f t="shared" si="20"/>
        <v>2.5</v>
      </c>
      <c r="T33" s="359">
        <f t="shared" si="21"/>
        <v>0</v>
      </c>
      <c r="U33" s="331">
        <f t="shared" si="22"/>
        <v>0</v>
      </c>
      <c r="V33" s="331">
        <f t="shared" si="23"/>
        <v>20</v>
      </c>
      <c r="W33" s="331">
        <f t="shared" si="24"/>
        <v>0</v>
      </c>
      <c r="X33" s="377">
        <f t="shared" si="25"/>
        <v>20</v>
      </c>
      <c r="Y33" s="332"/>
      <c r="Z33" s="332"/>
      <c r="AA33" s="332"/>
      <c r="AB33" s="332"/>
      <c r="AC33" s="347"/>
      <c r="AD33" s="347"/>
      <c r="AE33" s="347"/>
      <c r="AF33" s="347"/>
      <c r="AG33" s="347"/>
      <c r="AH33" s="347"/>
      <c r="AI33" s="347"/>
      <c r="AJ33" s="347"/>
      <c r="AK33" s="347"/>
      <c r="AL33" s="347"/>
      <c r="AM33" s="347"/>
    </row>
    <row r="34" spans="1:39" ht="13.5" x14ac:dyDescent="0.3">
      <c r="A34" s="355">
        <v>6</v>
      </c>
      <c r="B34" s="828" t="s">
        <v>1696</v>
      </c>
      <c r="C34" s="829"/>
      <c r="D34" s="356" t="s">
        <v>1679</v>
      </c>
      <c r="E34" s="356"/>
      <c r="F34" s="356"/>
      <c r="G34" s="357"/>
      <c r="H34" s="356"/>
      <c r="I34" s="356"/>
      <c r="J34" s="356"/>
      <c r="K34" s="357" t="s">
        <v>1679</v>
      </c>
      <c r="L34" s="358">
        <f t="shared" si="13"/>
        <v>1.8292682926829267E-2</v>
      </c>
      <c r="M34" s="346">
        <f t="shared" si="14"/>
        <v>300</v>
      </c>
      <c r="N34" s="346">
        <f t="shared" si="15"/>
        <v>75</v>
      </c>
      <c r="O34" s="359">
        <f t="shared" si="16"/>
        <v>2.5</v>
      </c>
      <c r="P34" s="331">
        <f t="shared" si="17"/>
        <v>0</v>
      </c>
      <c r="Q34" s="331">
        <f t="shared" si="18"/>
        <v>0</v>
      </c>
      <c r="R34" s="331">
        <f t="shared" si="19"/>
        <v>0</v>
      </c>
      <c r="S34" s="346">
        <f t="shared" si="20"/>
        <v>2.5</v>
      </c>
      <c r="T34" s="359">
        <f t="shared" si="21"/>
        <v>0</v>
      </c>
      <c r="U34" s="331">
        <f t="shared" si="22"/>
        <v>0</v>
      </c>
      <c r="V34" s="331">
        <f t="shared" si="23"/>
        <v>0</v>
      </c>
      <c r="W34" s="331">
        <f t="shared" si="24"/>
        <v>30</v>
      </c>
      <c r="X34" s="377">
        <f t="shared" si="25"/>
        <v>30</v>
      </c>
      <c r="Y34" s="332"/>
      <c r="Z34" s="332"/>
      <c r="AA34" s="332"/>
      <c r="AB34" s="332"/>
      <c r="AC34" s="347"/>
      <c r="AD34" s="347"/>
      <c r="AE34" s="347"/>
      <c r="AF34" s="347"/>
      <c r="AG34" s="347"/>
      <c r="AH34" s="347"/>
      <c r="AI34" s="347"/>
      <c r="AJ34" s="347"/>
      <c r="AK34" s="347"/>
      <c r="AL34" s="347"/>
      <c r="AM34" s="347"/>
    </row>
    <row r="35" spans="1:39" ht="13.5" x14ac:dyDescent="0.3">
      <c r="A35" s="348">
        <v>7</v>
      </c>
      <c r="B35" s="828" t="s">
        <v>1697</v>
      </c>
      <c r="C35" s="829"/>
      <c r="D35" s="356"/>
      <c r="E35" s="356"/>
      <c r="F35" s="356"/>
      <c r="G35" s="357" t="s">
        <v>1679</v>
      </c>
      <c r="H35" s="356"/>
      <c r="I35" s="356"/>
      <c r="J35" s="356"/>
      <c r="K35" s="357" t="s">
        <v>1679</v>
      </c>
      <c r="L35" s="358">
        <f t="shared" si="13"/>
        <v>7.3170731707317069E-2</v>
      </c>
      <c r="M35" s="346">
        <f t="shared" si="14"/>
        <v>300</v>
      </c>
      <c r="N35" s="346">
        <f t="shared" si="15"/>
        <v>300</v>
      </c>
      <c r="O35" s="359">
        <f t="shared" si="16"/>
        <v>0</v>
      </c>
      <c r="P35" s="331">
        <f t="shared" si="17"/>
        <v>0</v>
      </c>
      <c r="Q35" s="331">
        <f t="shared" si="18"/>
        <v>0</v>
      </c>
      <c r="R35" s="331">
        <f t="shared" si="19"/>
        <v>10</v>
      </c>
      <c r="S35" s="346">
        <f t="shared" si="20"/>
        <v>10</v>
      </c>
      <c r="T35" s="359">
        <f t="shared" si="21"/>
        <v>0</v>
      </c>
      <c r="U35" s="331">
        <f t="shared" si="22"/>
        <v>0</v>
      </c>
      <c r="V35" s="331">
        <f t="shared" si="23"/>
        <v>0</v>
      </c>
      <c r="W35" s="331">
        <f t="shared" si="24"/>
        <v>30</v>
      </c>
      <c r="X35" s="377">
        <f t="shared" si="25"/>
        <v>30</v>
      </c>
      <c r="Y35" s="332"/>
      <c r="Z35" s="332"/>
      <c r="AA35" s="332"/>
      <c r="AB35" s="332"/>
      <c r="AC35" s="347"/>
      <c r="AD35" s="347"/>
      <c r="AE35" s="347"/>
      <c r="AF35" s="347"/>
      <c r="AG35" s="347"/>
      <c r="AH35" s="347"/>
      <c r="AI35" s="347"/>
      <c r="AJ35" s="347"/>
      <c r="AK35" s="347"/>
      <c r="AL35" s="347"/>
      <c r="AM35" s="347"/>
    </row>
    <row r="36" spans="1:39" ht="13.5" x14ac:dyDescent="0.3">
      <c r="A36" s="355">
        <v>8</v>
      </c>
      <c r="B36" s="828" t="s">
        <v>1698</v>
      </c>
      <c r="C36" s="829"/>
      <c r="D36" s="356"/>
      <c r="E36" s="356"/>
      <c r="F36" s="356"/>
      <c r="G36" s="357" t="s">
        <v>1679</v>
      </c>
      <c r="H36" s="356"/>
      <c r="I36" s="356"/>
      <c r="J36" s="356"/>
      <c r="K36" s="357" t="s">
        <v>1679</v>
      </c>
      <c r="L36" s="358">
        <f t="shared" si="13"/>
        <v>7.3170731707317069E-2</v>
      </c>
      <c r="M36" s="346">
        <f t="shared" si="14"/>
        <v>300</v>
      </c>
      <c r="N36" s="346">
        <f t="shared" si="15"/>
        <v>300</v>
      </c>
      <c r="O36" s="359">
        <f t="shared" si="16"/>
        <v>0</v>
      </c>
      <c r="P36" s="331">
        <f t="shared" si="17"/>
        <v>0</v>
      </c>
      <c r="Q36" s="331">
        <f t="shared" si="18"/>
        <v>0</v>
      </c>
      <c r="R36" s="331">
        <f t="shared" si="19"/>
        <v>10</v>
      </c>
      <c r="S36" s="346">
        <f t="shared" si="20"/>
        <v>10</v>
      </c>
      <c r="T36" s="359">
        <f t="shared" si="21"/>
        <v>0</v>
      </c>
      <c r="U36" s="331">
        <f t="shared" si="22"/>
        <v>0</v>
      </c>
      <c r="V36" s="331">
        <f t="shared" si="23"/>
        <v>0</v>
      </c>
      <c r="W36" s="331">
        <f t="shared" si="24"/>
        <v>30</v>
      </c>
      <c r="X36" s="377">
        <f t="shared" si="25"/>
        <v>30</v>
      </c>
      <c r="Y36" s="332"/>
      <c r="Z36" s="332"/>
      <c r="AA36" s="332"/>
      <c r="AB36" s="332"/>
      <c r="AC36" s="347"/>
      <c r="AD36" s="347"/>
      <c r="AE36" s="347"/>
      <c r="AF36" s="347"/>
      <c r="AG36" s="347"/>
      <c r="AH36" s="347"/>
      <c r="AI36" s="347"/>
      <c r="AJ36" s="347"/>
      <c r="AK36" s="347"/>
      <c r="AL36" s="347"/>
      <c r="AM36" s="347"/>
    </row>
    <row r="37" spans="1:39" ht="13.5" x14ac:dyDescent="0.3">
      <c r="A37" s="348">
        <v>9</v>
      </c>
      <c r="B37" s="828" t="s">
        <v>1699</v>
      </c>
      <c r="C37" s="829"/>
      <c r="D37" s="356" t="s">
        <v>1679</v>
      </c>
      <c r="E37" s="356"/>
      <c r="F37" s="356"/>
      <c r="G37" s="357"/>
      <c r="H37" s="356"/>
      <c r="I37" s="356"/>
      <c r="J37" s="356"/>
      <c r="K37" s="357" t="s">
        <v>1679</v>
      </c>
      <c r="L37" s="358">
        <f>IF($M$44=0,0,N37/$M$44)</f>
        <v>1.8292682926829267E-2</v>
      </c>
      <c r="M37" s="346">
        <f>+X37*10</f>
        <v>300</v>
      </c>
      <c r="N37" s="346">
        <f>+S37*X37</f>
        <v>75</v>
      </c>
      <c r="O37" s="359">
        <f>IF(D37="X",2.5,0)</f>
        <v>2.5</v>
      </c>
      <c r="P37" s="331">
        <f>IF(E37="X",5,0)</f>
        <v>0</v>
      </c>
      <c r="Q37" s="331">
        <f>IF(F37="X",7.5,0)</f>
        <v>0</v>
      </c>
      <c r="R37" s="331">
        <f>IF(G37="X",10,0)</f>
        <v>0</v>
      </c>
      <c r="S37" s="346">
        <f>SUM(O37:R37)</f>
        <v>2.5</v>
      </c>
      <c r="T37" s="359">
        <f>IF(H37="X",0,0)</f>
        <v>0</v>
      </c>
      <c r="U37" s="331">
        <f>IF(I37="X",10,0)</f>
        <v>0</v>
      </c>
      <c r="V37" s="331">
        <f>IF(J37="X",20,0)</f>
        <v>0</v>
      </c>
      <c r="W37" s="331">
        <f>IF(K37="X",30,0)</f>
        <v>30</v>
      </c>
      <c r="X37" s="377">
        <f>SUM(U37:W37)</f>
        <v>30</v>
      </c>
      <c r="Y37" s="332"/>
      <c r="Z37" s="332"/>
      <c r="AA37" s="332"/>
      <c r="AB37" s="332"/>
      <c r="AC37" s="347"/>
      <c r="AD37" s="347"/>
      <c r="AE37" s="347"/>
      <c r="AF37" s="347"/>
      <c r="AG37" s="347"/>
      <c r="AH37" s="347"/>
      <c r="AI37" s="347"/>
      <c r="AJ37" s="347"/>
      <c r="AK37" s="347"/>
      <c r="AL37" s="347"/>
      <c r="AM37" s="347"/>
    </row>
    <row r="38" spans="1:39" ht="13.5" x14ac:dyDescent="0.3">
      <c r="A38" s="355">
        <v>10</v>
      </c>
      <c r="B38" s="828" t="s">
        <v>1700</v>
      </c>
      <c r="C38" s="829"/>
      <c r="D38" s="356"/>
      <c r="E38" s="356"/>
      <c r="F38" s="356"/>
      <c r="G38" s="357" t="s">
        <v>1679</v>
      </c>
      <c r="H38" s="356"/>
      <c r="I38" s="356"/>
      <c r="J38" s="356"/>
      <c r="K38" s="357" t="s">
        <v>1679</v>
      </c>
      <c r="L38" s="358">
        <f t="shared" si="13"/>
        <v>7.3170731707317069E-2</v>
      </c>
      <c r="M38" s="346">
        <f t="shared" si="14"/>
        <v>300</v>
      </c>
      <c r="N38" s="346">
        <f t="shared" si="15"/>
        <v>300</v>
      </c>
      <c r="O38" s="359">
        <f t="shared" si="16"/>
        <v>0</v>
      </c>
      <c r="P38" s="331">
        <f t="shared" si="17"/>
        <v>0</v>
      </c>
      <c r="Q38" s="331">
        <f t="shared" si="18"/>
        <v>0</v>
      </c>
      <c r="R38" s="331">
        <f t="shared" si="19"/>
        <v>10</v>
      </c>
      <c r="S38" s="346">
        <f t="shared" si="20"/>
        <v>10</v>
      </c>
      <c r="T38" s="359">
        <f t="shared" si="21"/>
        <v>0</v>
      </c>
      <c r="U38" s="331">
        <f t="shared" si="22"/>
        <v>0</v>
      </c>
      <c r="V38" s="331">
        <f t="shared" si="23"/>
        <v>0</v>
      </c>
      <c r="W38" s="331">
        <f t="shared" si="24"/>
        <v>30</v>
      </c>
      <c r="X38" s="377">
        <f t="shared" si="25"/>
        <v>30</v>
      </c>
      <c r="Y38" s="332"/>
      <c r="Z38" s="332"/>
      <c r="AA38" s="332"/>
      <c r="AB38" s="332"/>
      <c r="AC38" s="347"/>
      <c r="AD38" s="347"/>
      <c r="AE38" s="347"/>
      <c r="AF38" s="347"/>
      <c r="AG38" s="347"/>
      <c r="AH38" s="347"/>
      <c r="AI38" s="347"/>
      <c r="AJ38" s="347"/>
      <c r="AK38" s="347"/>
      <c r="AL38" s="347"/>
      <c r="AM38" s="347"/>
    </row>
    <row r="39" spans="1:39" ht="13.5" x14ac:dyDescent="0.3">
      <c r="A39" s="348">
        <v>11</v>
      </c>
      <c r="B39" s="828" t="s">
        <v>1701</v>
      </c>
      <c r="C39" s="829"/>
      <c r="D39" s="356"/>
      <c r="E39" s="356" t="s">
        <v>1679</v>
      </c>
      <c r="F39" s="356"/>
      <c r="G39" s="357"/>
      <c r="H39" s="356"/>
      <c r="I39" s="356"/>
      <c r="J39" s="356"/>
      <c r="K39" s="357" t="s">
        <v>1679</v>
      </c>
      <c r="L39" s="358">
        <f t="shared" si="13"/>
        <v>3.6585365853658534E-2</v>
      </c>
      <c r="M39" s="346">
        <f t="shared" si="14"/>
        <v>300</v>
      </c>
      <c r="N39" s="346">
        <f t="shared" si="15"/>
        <v>150</v>
      </c>
      <c r="O39" s="359">
        <f t="shared" si="16"/>
        <v>0</v>
      </c>
      <c r="P39" s="331">
        <f t="shared" si="17"/>
        <v>5</v>
      </c>
      <c r="Q39" s="331">
        <f t="shared" si="18"/>
        <v>0</v>
      </c>
      <c r="R39" s="331">
        <f t="shared" si="19"/>
        <v>0</v>
      </c>
      <c r="S39" s="346">
        <f t="shared" si="20"/>
        <v>5</v>
      </c>
      <c r="T39" s="359">
        <f t="shared" si="21"/>
        <v>0</v>
      </c>
      <c r="U39" s="331">
        <f t="shared" si="22"/>
        <v>0</v>
      </c>
      <c r="V39" s="331">
        <f t="shared" si="23"/>
        <v>0</v>
      </c>
      <c r="W39" s="331">
        <f t="shared" si="24"/>
        <v>30</v>
      </c>
      <c r="X39" s="377">
        <f t="shared" si="25"/>
        <v>30</v>
      </c>
      <c r="Y39" s="332"/>
      <c r="Z39" s="332"/>
      <c r="AA39" s="332"/>
      <c r="AB39" s="332"/>
      <c r="AC39" s="347"/>
      <c r="AD39" s="347"/>
      <c r="AE39" s="347"/>
      <c r="AF39" s="347"/>
      <c r="AG39" s="347"/>
      <c r="AH39" s="347"/>
      <c r="AI39" s="347"/>
      <c r="AJ39" s="347"/>
      <c r="AK39" s="347"/>
      <c r="AL39" s="347"/>
      <c r="AM39" s="347"/>
    </row>
    <row r="40" spans="1:39" ht="13.5" x14ac:dyDescent="0.3">
      <c r="A40" s="355">
        <v>12</v>
      </c>
      <c r="B40" s="828" t="s">
        <v>1702</v>
      </c>
      <c r="C40" s="829"/>
      <c r="D40" s="356"/>
      <c r="E40" s="356"/>
      <c r="F40" s="356"/>
      <c r="G40" s="357" t="s">
        <v>1679</v>
      </c>
      <c r="H40" s="356"/>
      <c r="I40" s="356"/>
      <c r="J40" s="356"/>
      <c r="K40" s="356" t="s">
        <v>1679</v>
      </c>
      <c r="L40" s="358">
        <f t="shared" si="13"/>
        <v>7.3170731707317069E-2</v>
      </c>
      <c r="M40" s="346">
        <f t="shared" si="14"/>
        <v>300</v>
      </c>
      <c r="N40" s="346">
        <f t="shared" si="15"/>
        <v>300</v>
      </c>
      <c r="O40" s="359">
        <f t="shared" si="16"/>
        <v>0</v>
      </c>
      <c r="P40" s="331">
        <f t="shared" si="17"/>
        <v>0</v>
      </c>
      <c r="Q40" s="331">
        <f t="shared" si="18"/>
        <v>0</v>
      </c>
      <c r="R40" s="331">
        <f t="shared" si="19"/>
        <v>10</v>
      </c>
      <c r="S40" s="346">
        <f t="shared" si="20"/>
        <v>10</v>
      </c>
      <c r="T40" s="359">
        <f t="shared" si="21"/>
        <v>0</v>
      </c>
      <c r="U40" s="331">
        <f t="shared" si="22"/>
        <v>0</v>
      </c>
      <c r="V40" s="331">
        <f t="shared" si="23"/>
        <v>0</v>
      </c>
      <c r="W40" s="331">
        <f t="shared" si="24"/>
        <v>30</v>
      </c>
      <c r="X40" s="377">
        <f t="shared" si="25"/>
        <v>30</v>
      </c>
      <c r="Y40" s="332"/>
      <c r="Z40" s="332"/>
      <c r="AA40" s="332"/>
      <c r="AB40" s="332"/>
      <c r="AC40" s="347"/>
      <c r="AD40" s="347"/>
      <c r="AE40" s="347"/>
      <c r="AF40" s="347"/>
      <c r="AG40" s="347"/>
      <c r="AH40" s="347"/>
      <c r="AI40" s="347"/>
      <c r="AJ40" s="347"/>
      <c r="AK40" s="347"/>
      <c r="AL40" s="347"/>
      <c r="AM40" s="347"/>
    </row>
    <row r="41" spans="1:39" ht="13.5" x14ac:dyDescent="0.3">
      <c r="A41" s="348">
        <v>13</v>
      </c>
      <c r="B41" s="828" t="s">
        <v>1703</v>
      </c>
      <c r="C41" s="829"/>
      <c r="D41" s="356"/>
      <c r="E41" s="356"/>
      <c r="F41" s="356"/>
      <c r="G41" s="357" t="s">
        <v>1679</v>
      </c>
      <c r="H41" s="356"/>
      <c r="I41" s="356"/>
      <c r="J41" s="356"/>
      <c r="K41" s="356" t="s">
        <v>1679</v>
      </c>
      <c r="L41" s="358">
        <f t="shared" si="13"/>
        <v>7.3170731707317069E-2</v>
      </c>
      <c r="M41" s="346">
        <f t="shared" si="14"/>
        <v>300</v>
      </c>
      <c r="N41" s="346">
        <f t="shared" si="15"/>
        <v>300</v>
      </c>
      <c r="O41" s="359">
        <f t="shared" si="16"/>
        <v>0</v>
      </c>
      <c r="P41" s="331">
        <f t="shared" si="17"/>
        <v>0</v>
      </c>
      <c r="Q41" s="331">
        <f t="shared" si="18"/>
        <v>0</v>
      </c>
      <c r="R41" s="331">
        <f t="shared" si="19"/>
        <v>10</v>
      </c>
      <c r="S41" s="346">
        <f t="shared" si="20"/>
        <v>10</v>
      </c>
      <c r="T41" s="359">
        <f t="shared" si="21"/>
        <v>0</v>
      </c>
      <c r="U41" s="331">
        <f t="shared" si="22"/>
        <v>0</v>
      </c>
      <c r="V41" s="331">
        <f t="shared" si="23"/>
        <v>0</v>
      </c>
      <c r="W41" s="331">
        <f t="shared" si="24"/>
        <v>30</v>
      </c>
      <c r="X41" s="377">
        <f t="shared" si="25"/>
        <v>30</v>
      </c>
      <c r="Y41" s="332"/>
      <c r="Z41" s="332"/>
      <c r="AA41" s="332"/>
      <c r="AB41" s="332"/>
      <c r="AC41" s="347"/>
      <c r="AD41" s="347"/>
      <c r="AE41" s="347"/>
      <c r="AF41" s="347"/>
      <c r="AG41" s="347"/>
      <c r="AH41" s="347"/>
      <c r="AI41" s="347"/>
      <c r="AJ41" s="347"/>
      <c r="AK41" s="347"/>
      <c r="AL41" s="347"/>
      <c r="AM41" s="347"/>
    </row>
    <row r="42" spans="1:39" ht="13.5" x14ac:dyDescent="0.3">
      <c r="A42" s="355">
        <v>14</v>
      </c>
      <c r="B42" s="828" t="s">
        <v>1704</v>
      </c>
      <c r="C42" s="829"/>
      <c r="D42" s="356"/>
      <c r="E42" s="356" t="s">
        <v>1679</v>
      </c>
      <c r="F42" s="356"/>
      <c r="G42" s="357"/>
      <c r="H42" s="356"/>
      <c r="I42" s="356"/>
      <c r="J42" s="356"/>
      <c r="K42" s="357" t="s">
        <v>1679</v>
      </c>
      <c r="L42" s="358">
        <f t="shared" si="13"/>
        <v>3.6585365853658534E-2</v>
      </c>
      <c r="M42" s="346">
        <f t="shared" si="14"/>
        <v>300</v>
      </c>
      <c r="N42" s="346">
        <f t="shared" si="15"/>
        <v>150</v>
      </c>
      <c r="O42" s="359">
        <f t="shared" si="16"/>
        <v>0</v>
      </c>
      <c r="P42" s="331">
        <f t="shared" si="17"/>
        <v>5</v>
      </c>
      <c r="Q42" s="331">
        <f t="shared" si="18"/>
        <v>0</v>
      </c>
      <c r="R42" s="331">
        <f t="shared" si="19"/>
        <v>0</v>
      </c>
      <c r="S42" s="346">
        <f t="shared" si="20"/>
        <v>5</v>
      </c>
      <c r="T42" s="359">
        <f t="shared" si="21"/>
        <v>0</v>
      </c>
      <c r="U42" s="331">
        <f t="shared" si="22"/>
        <v>0</v>
      </c>
      <c r="V42" s="331">
        <f t="shared" si="23"/>
        <v>0</v>
      </c>
      <c r="W42" s="331">
        <f t="shared" si="24"/>
        <v>30</v>
      </c>
      <c r="X42" s="377">
        <f t="shared" si="25"/>
        <v>30</v>
      </c>
      <c r="Y42" s="332"/>
      <c r="Z42" s="332"/>
      <c r="AA42" s="332"/>
      <c r="AB42" s="332"/>
      <c r="AC42" s="347"/>
      <c r="AD42" s="347"/>
      <c r="AE42" s="347"/>
      <c r="AF42" s="347"/>
      <c r="AG42" s="347"/>
      <c r="AH42" s="347"/>
      <c r="AI42" s="347"/>
      <c r="AJ42" s="347"/>
      <c r="AK42" s="347"/>
      <c r="AL42" s="347"/>
      <c r="AM42" s="347"/>
    </row>
    <row r="43" spans="1:39" ht="14.25" thickBot="1" x14ac:dyDescent="0.35">
      <c r="A43" s="348">
        <v>15</v>
      </c>
      <c r="B43" s="848" t="s">
        <v>1705</v>
      </c>
      <c r="C43" s="848"/>
      <c r="D43" s="361"/>
      <c r="E43" s="361"/>
      <c r="F43" s="361"/>
      <c r="G43" s="378" t="s">
        <v>1679</v>
      </c>
      <c r="H43" s="361"/>
      <c r="I43" s="361"/>
      <c r="J43" s="361"/>
      <c r="K43" s="378" t="s">
        <v>1679</v>
      </c>
      <c r="L43" s="363">
        <f t="shared" si="13"/>
        <v>7.3170731707317069E-2</v>
      </c>
      <c r="M43" s="346">
        <f t="shared" si="14"/>
        <v>300</v>
      </c>
      <c r="N43" s="346">
        <f t="shared" si="15"/>
        <v>300</v>
      </c>
      <c r="O43" s="364">
        <f t="shared" si="16"/>
        <v>0</v>
      </c>
      <c r="P43" s="365">
        <f t="shared" si="17"/>
        <v>0</v>
      </c>
      <c r="Q43" s="365">
        <f t="shared" si="18"/>
        <v>0</v>
      </c>
      <c r="R43" s="365">
        <f t="shared" si="19"/>
        <v>10</v>
      </c>
      <c r="S43" s="379">
        <f t="shared" si="20"/>
        <v>10</v>
      </c>
      <c r="T43" s="364">
        <f t="shared" si="21"/>
        <v>0</v>
      </c>
      <c r="U43" s="365">
        <f t="shared" si="22"/>
        <v>0</v>
      </c>
      <c r="V43" s="365">
        <f t="shared" si="23"/>
        <v>0</v>
      </c>
      <c r="W43" s="365">
        <f t="shared" si="24"/>
        <v>30</v>
      </c>
      <c r="X43" s="380">
        <f t="shared" si="25"/>
        <v>30</v>
      </c>
      <c r="Y43" s="332"/>
      <c r="Z43" s="332"/>
      <c r="AA43" s="332"/>
      <c r="AB43" s="381"/>
      <c r="AC43" s="347"/>
      <c r="AD43" s="347"/>
      <c r="AE43" s="347"/>
      <c r="AF43" s="347"/>
      <c r="AG43" s="347"/>
      <c r="AH43" s="347"/>
      <c r="AI43" s="347"/>
      <c r="AJ43" s="347"/>
      <c r="AK43" s="347"/>
      <c r="AL43" s="347"/>
      <c r="AM43" s="347"/>
    </row>
    <row r="44" spans="1:39" ht="14.25" thickBot="1" x14ac:dyDescent="0.35">
      <c r="L44" s="382">
        <f>SUM(L29:L43)</f>
        <v>0.70731707317073167</v>
      </c>
      <c r="M44" s="346">
        <f>SUM(M29:M43)</f>
        <v>4100</v>
      </c>
      <c r="N44" s="383">
        <f>SUM(N29:N43)</f>
        <v>2900</v>
      </c>
      <c r="O44" s="364">
        <f t="shared" si="16"/>
        <v>0</v>
      </c>
      <c r="P44" s="365">
        <f t="shared" si="17"/>
        <v>0</v>
      </c>
      <c r="Q44" s="365">
        <f t="shared" si="18"/>
        <v>0</v>
      </c>
      <c r="R44" s="365">
        <f t="shared" si="19"/>
        <v>0</v>
      </c>
      <c r="S44" s="379">
        <f t="shared" si="20"/>
        <v>0</v>
      </c>
      <c r="T44" s="364">
        <f t="shared" si="21"/>
        <v>0</v>
      </c>
      <c r="U44" s="365">
        <f t="shared" si="22"/>
        <v>0</v>
      </c>
      <c r="V44" s="365">
        <f t="shared" si="23"/>
        <v>0</v>
      </c>
      <c r="W44" s="365">
        <f t="shared" si="24"/>
        <v>0</v>
      </c>
      <c r="X44" s="380">
        <f t="shared" si="25"/>
        <v>0</v>
      </c>
      <c r="Y44" s="332"/>
      <c r="Z44" s="332"/>
      <c r="AA44" s="332"/>
      <c r="AB44" s="332"/>
      <c r="AC44" s="347"/>
      <c r="AD44" s="347"/>
      <c r="AE44" s="347"/>
      <c r="AF44" s="347"/>
      <c r="AG44" s="347"/>
      <c r="AH44" s="347"/>
      <c r="AI44" s="347"/>
      <c r="AJ44" s="347"/>
      <c r="AK44" s="347"/>
      <c r="AL44" s="347"/>
      <c r="AM44" s="347"/>
    </row>
    <row r="45" spans="1:39" ht="10.5" customHeight="1" x14ac:dyDescent="0.25">
      <c r="B45" s="332"/>
      <c r="C45" s="332"/>
      <c r="D45" s="332"/>
      <c r="E45" s="332"/>
      <c r="F45" s="332"/>
      <c r="G45" s="332"/>
      <c r="H45" s="332"/>
      <c r="I45" s="332"/>
      <c r="J45" s="332"/>
      <c r="K45" s="332"/>
      <c r="L45" s="332"/>
      <c r="O45" s="331"/>
      <c r="P45" s="331"/>
      <c r="Q45" s="331"/>
      <c r="R45" s="331"/>
      <c r="S45" s="331"/>
      <c r="T45" s="331"/>
      <c r="U45" s="331"/>
      <c r="V45" s="331"/>
      <c r="W45" s="331"/>
      <c r="X45" s="331"/>
      <c r="Y45" s="332"/>
      <c r="Z45" s="332"/>
      <c r="AA45" s="332"/>
      <c r="AB45" s="332"/>
      <c r="AC45" s="347"/>
      <c r="AD45" s="347"/>
      <c r="AE45" s="347"/>
      <c r="AF45" s="347"/>
      <c r="AG45" s="347"/>
      <c r="AH45" s="347"/>
      <c r="AI45" s="347"/>
      <c r="AJ45" s="347"/>
      <c r="AK45" s="347"/>
      <c r="AL45" s="347"/>
      <c r="AM45" s="347"/>
    </row>
    <row r="46" spans="1:39" x14ac:dyDescent="0.25">
      <c r="M46" s="331"/>
      <c r="N46" s="331">
        <f>IF($L$44&gt;85%,5,0)</f>
        <v>0</v>
      </c>
      <c r="O46" s="331">
        <f>IF($L$44&lt;=85%,2,0)</f>
        <v>2</v>
      </c>
      <c r="P46" s="331">
        <f>IF($L$44&gt;70%,2,0)</f>
        <v>2</v>
      </c>
      <c r="Q46" s="331">
        <f>IF($L$44&lt;=70%,3,0)</f>
        <v>0</v>
      </c>
      <c r="R46" s="331">
        <f>IF($L$44&gt;45%,1,0)</f>
        <v>1</v>
      </c>
      <c r="S46" s="331">
        <f>IF($L$44&lt;=45%,1,0)</f>
        <v>0</v>
      </c>
      <c r="T46" s="331"/>
      <c r="U46" s="331">
        <f>IF($L$44&gt;0%,2,0)</f>
        <v>2</v>
      </c>
      <c r="V46" s="331"/>
      <c r="W46" s="331"/>
      <c r="X46" s="331"/>
      <c r="Y46" s="332"/>
      <c r="Z46" s="332"/>
      <c r="AA46" s="332"/>
      <c r="AB46" s="332"/>
    </row>
    <row r="47" spans="1:39" ht="13.5" x14ac:dyDescent="0.3">
      <c r="A47" s="849" t="s">
        <v>1706</v>
      </c>
      <c r="B47" s="849"/>
      <c r="C47" s="368">
        <f>L44</f>
        <v>0.70731707317073167</v>
      </c>
      <c r="E47" s="850" t="str">
        <f>+IF(L44&gt;=0.86,"A",IF(AND(L44&lt;0.86,L44&gt;=0.71),"B",IF(AND(L44&lt;0.71,L44&gt;=0.46),"C",IF(AND(L44&lt;0.46,L44&gt;0),"No califica",IF(L44=0,"No evaluado")))))</f>
        <v>C</v>
      </c>
      <c r="F47" s="850"/>
      <c r="G47" s="385"/>
      <c r="H47" s="854" t="s">
        <v>1686</v>
      </c>
      <c r="I47" s="854"/>
      <c r="J47" s="854"/>
      <c r="K47" s="854"/>
      <c r="L47" s="369" t="str">
        <f>+IF(E47="A","Excelente",IF(E47="B","Muy Bueno",IF(E47="C","Bueno a regular",IF(E47="No evaluado","","No califica"))))</f>
        <v>Bueno a regular</v>
      </c>
      <c r="M47" s="331"/>
      <c r="N47" s="331">
        <f>+N46</f>
        <v>0</v>
      </c>
      <c r="O47" s="851">
        <f>+O46*P46</f>
        <v>4</v>
      </c>
      <c r="P47" s="851"/>
      <c r="Q47" s="851">
        <f>+Q46*R46</f>
        <v>0</v>
      </c>
      <c r="R47" s="851"/>
      <c r="S47" s="851">
        <f>+S46*U46</f>
        <v>0</v>
      </c>
      <c r="T47" s="851"/>
      <c r="U47" s="851"/>
      <c r="V47" s="331">
        <f>SUM(N47:U47)</f>
        <v>4</v>
      </c>
      <c r="W47" s="331"/>
      <c r="X47" s="331"/>
      <c r="Y47" s="332"/>
      <c r="Z47" s="332"/>
      <c r="AA47" s="332"/>
      <c r="AB47" s="332"/>
    </row>
    <row r="48" spans="1:39" ht="12.75" customHeight="1" x14ac:dyDescent="0.3">
      <c r="B48" s="386"/>
      <c r="C48" s="332"/>
      <c r="D48" s="332"/>
      <c r="E48" s="332"/>
      <c r="F48" s="332"/>
      <c r="G48" s="387"/>
      <c r="H48" s="371"/>
      <c r="I48" s="371"/>
      <c r="J48" s="372"/>
      <c r="K48" s="373"/>
      <c r="L48" s="374"/>
      <c r="M48" s="331"/>
      <c r="N48" s="331"/>
      <c r="O48" s="331"/>
      <c r="P48" s="331"/>
      <c r="Q48" s="331"/>
      <c r="R48" s="331"/>
      <c r="S48" s="331"/>
      <c r="T48" s="331"/>
      <c r="U48" s="331"/>
      <c r="V48" s="331"/>
      <c r="W48" s="331"/>
      <c r="X48" s="331"/>
      <c r="Y48" s="332"/>
      <c r="Z48" s="332"/>
      <c r="AA48" s="332"/>
      <c r="AB48" s="332"/>
    </row>
    <row r="49" spans="1:28" s="387" customFormat="1" ht="12.75" customHeight="1" x14ac:dyDescent="0.25">
      <c r="A49" s="863" t="s">
        <v>1687</v>
      </c>
      <c r="B49" s="863"/>
      <c r="C49" s="853" t="s">
        <v>1707</v>
      </c>
      <c r="D49" s="853"/>
      <c r="E49" s="853"/>
      <c r="F49" s="853"/>
      <c r="G49" s="385"/>
      <c r="H49" s="854" t="s">
        <v>1689</v>
      </c>
      <c r="I49" s="854"/>
      <c r="J49" s="854"/>
      <c r="K49" s="854"/>
      <c r="L49" s="375">
        <v>43154</v>
      </c>
      <c r="M49" s="388"/>
      <c r="N49" s="388"/>
      <c r="O49" s="388"/>
      <c r="P49" s="388"/>
      <c r="Q49" s="388"/>
      <c r="R49" s="388"/>
      <c r="S49" s="388"/>
      <c r="T49" s="388"/>
      <c r="U49" s="388"/>
      <c r="V49" s="388"/>
      <c r="W49" s="388"/>
      <c r="X49" s="388"/>
      <c r="Y49" s="389"/>
      <c r="Z49" s="389"/>
      <c r="AA49" s="389"/>
      <c r="AB49" s="389"/>
    </row>
    <row r="50" spans="1:28" ht="11.25" customHeight="1" x14ac:dyDescent="0.25">
      <c r="B50" s="390"/>
      <c r="C50" s="391"/>
      <c r="D50" s="334"/>
      <c r="E50" s="334"/>
      <c r="F50" s="334"/>
      <c r="G50" s="392"/>
      <c r="H50" s="373"/>
      <c r="I50" s="373"/>
      <c r="J50" s="373"/>
      <c r="M50" s="331"/>
      <c r="N50" s="331"/>
      <c r="O50" s="331"/>
      <c r="P50" s="331"/>
      <c r="Q50" s="331"/>
      <c r="R50" s="331"/>
      <c r="S50" s="331"/>
      <c r="T50" s="331"/>
      <c r="U50" s="331"/>
      <c r="V50" s="331"/>
      <c r="W50" s="331"/>
      <c r="X50" s="331"/>
      <c r="Y50" s="332"/>
      <c r="Z50" s="332"/>
      <c r="AA50" s="332"/>
      <c r="AB50" s="332"/>
    </row>
    <row r="51" spans="1:28" ht="13.5" x14ac:dyDescent="0.25">
      <c r="B51" s="390"/>
      <c r="C51" s="391"/>
      <c r="D51" s="334"/>
      <c r="E51" s="334"/>
      <c r="F51" s="334"/>
      <c r="G51" s="392"/>
      <c r="H51" s="392"/>
      <c r="I51" s="392"/>
      <c r="J51" s="392"/>
      <c r="K51" s="334"/>
      <c r="L51" s="334"/>
      <c r="M51" s="331"/>
      <c r="N51" s="331"/>
      <c r="O51" s="331"/>
      <c r="P51" s="331"/>
      <c r="Q51" s="331"/>
      <c r="R51" s="331"/>
      <c r="S51" s="331"/>
      <c r="T51" s="331"/>
      <c r="U51" s="331"/>
      <c r="V51" s="331"/>
      <c r="W51" s="331"/>
      <c r="X51" s="331"/>
      <c r="Y51" s="332"/>
      <c r="Z51" s="332"/>
      <c r="AA51" s="332"/>
      <c r="AB51" s="332"/>
    </row>
    <row r="52" spans="1:28" ht="12.75" customHeight="1" x14ac:dyDescent="0.3">
      <c r="A52" s="866" t="s">
        <v>1708</v>
      </c>
      <c r="B52" s="866"/>
      <c r="C52" s="368">
        <f>IF(L44=0,L19,(L19*0.5+L44*0.5))</f>
        <v>0.60365853658536583</v>
      </c>
      <c r="D52" s="393"/>
      <c r="E52" s="850" t="str">
        <f>+IF($C$52&gt;=0.86,"A",IF(AND($C$52&lt;0.86,$C$52&gt;=0.71),"B",IF(AND($C$52&lt;0.71,$C$52&gt;=0.46),"C",IF(AND($C$52&lt;0.46,$C$52&gt;0),"No califica",IF(C52=0,"No evaluado",)))))</f>
        <v>C</v>
      </c>
      <c r="F52" s="850"/>
      <c r="G52" s="867" t="s">
        <v>1686</v>
      </c>
      <c r="H52" s="867"/>
      <c r="I52" s="867"/>
      <c r="J52" s="867"/>
      <c r="K52" s="867"/>
      <c r="L52" s="369" t="str">
        <f>+IF(E52="A","Excelente",IF(E52="B","Muy Bueno",IF(E52="C","Bueno a regular",IF(E52="No evaluado","","No califica"))))</f>
        <v>Bueno a regular</v>
      </c>
      <c r="M52" s="331"/>
      <c r="N52" s="331"/>
      <c r="O52" s="331"/>
      <c r="P52" s="331"/>
      <c r="Q52" s="331"/>
      <c r="R52" s="331"/>
      <c r="S52" s="331"/>
      <c r="T52" s="331"/>
      <c r="U52" s="331"/>
      <c r="V52" s="331"/>
      <c r="W52" s="331"/>
      <c r="X52" s="331"/>
      <c r="Y52" s="332"/>
      <c r="Z52" s="332"/>
      <c r="AA52" s="332"/>
      <c r="AB52" s="332"/>
    </row>
    <row r="53" spans="1:28" ht="14.25" x14ac:dyDescent="0.3">
      <c r="B53" s="386"/>
      <c r="C53" s="332"/>
      <c r="D53" s="332"/>
      <c r="E53" s="332"/>
      <c r="F53" s="332"/>
      <c r="G53" s="394"/>
      <c r="H53" s="394"/>
      <c r="I53" s="394"/>
      <c r="J53" s="394"/>
      <c r="K53" s="395"/>
      <c r="L53" s="374"/>
      <c r="M53" s="331"/>
      <c r="N53" s="331"/>
      <c r="O53" s="331"/>
      <c r="P53" s="331"/>
      <c r="Q53" s="331"/>
      <c r="R53" s="331"/>
      <c r="S53" s="331"/>
      <c r="T53" s="331"/>
      <c r="U53" s="331"/>
      <c r="V53" s="331"/>
      <c r="W53" s="331"/>
      <c r="X53" s="331"/>
      <c r="Y53" s="332"/>
      <c r="Z53" s="332"/>
      <c r="AA53" s="332"/>
      <c r="AB53" s="332"/>
    </row>
    <row r="54" spans="1:28" ht="12" customHeight="1" x14ac:dyDescent="0.3">
      <c r="B54" s="396"/>
      <c r="C54" s="332"/>
      <c r="E54" s="332"/>
      <c r="F54" s="332"/>
      <c r="G54" s="868" t="s">
        <v>1709</v>
      </c>
      <c r="H54" s="868"/>
      <c r="I54" s="868"/>
      <c r="J54" s="868"/>
      <c r="K54" s="868"/>
      <c r="L54" s="375">
        <v>43154</v>
      </c>
      <c r="M54" s="331"/>
      <c r="N54" s="331"/>
      <c r="O54" s="331"/>
      <c r="P54" s="331"/>
      <c r="Q54" s="331"/>
      <c r="R54" s="331"/>
      <c r="S54" s="331"/>
      <c r="T54" s="331"/>
      <c r="U54" s="331"/>
      <c r="V54" s="331"/>
      <c r="W54" s="331"/>
      <c r="X54" s="331"/>
      <c r="Y54" s="332"/>
      <c r="Z54" s="332"/>
      <c r="AA54" s="332"/>
      <c r="AB54" s="332"/>
    </row>
    <row r="55" spans="1:28" x14ac:dyDescent="0.25">
      <c r="B55" s="332"/>
      <c r="C55" s="332"/>
      <c r="D55" s="332"/>
      <c r="E55" s="332"/>
      <c r="F55" s="332"/>
      <c r="G55" s="332"/>
      <c r="H55" s="332"/>
      <c r="I55" s="332"/>
      <c r="J55" s="332"/>
      <c r="K55" s="332"/>
      <c r="L55" s="332"/>
      <c r="M55" s="331"/>
      <c r="N55" s="331"/>
      <c r="O55" s="331"/>
      <c r="P55" s="331"/>
      <c r="Q55" s="331"/>
      <c r="R55" s="331"/>
      <c r="S55" s="331"/>
      <c r="T55" s="331"/>
      <c r="U55" s="331"/>
      <c r="V55" s="331"/>
      <c r="W55" s="331"/>
      <c r="X55" s="331"/>
      <c r="Y55" s="332"/>
      <c r="Z55" s="332"/>
      <c r="AA55" s="332"/>
      <c r="AB55" s="332"/>
    </row>
    <row r="56" spans="1:28" x14ac:dyDescent="0.25">
      <c r="B56" s="332"/>
      <c r="C56" s="332"/>
      <c r="D56" s="332"/>
      <c r="E56" s="332"/>
      <c r="F56" s="332"/>
      <c r="G56" s="332"/>
      <c r="H56" s="332"/>
      <c r="I56" s="332"/>
      <c r="J56" s="332"/>
      <c r="K56" s="332"/>
      <c r="L56" s="332"/>
      <c r="M56" s="331"/>
      <c r="N56" s="331"/>
      <c r="O56" s="331"/>
      <c r="P56" s="331"/>
      <c r="Q56" s="331"/>
      <c r="R56" s="331"/>
      <c r="S56" s="331"/>
      <c r="T56" s="331"/>
      <c r="U56" s="331"/>
      <c r="V56" s="331"/>
      <c r="W56" s="331"/>
      <c r="X56" s="331"/>
      <c r="Y56" s="332"/>
      <c r="Z56" s="332"/>
      <c r="AA56" s="332"/>
      <c r="AB56" s="332"/>
    </row>
    <row r="57" spans="1:28" ht="12.75" customHeight="1" x14ac:dyDescent="0.3">
      <c r="A57" s="869" t="s">
        <v>1710</v>
      </c>
      <c r="B57" s="869"/>
      <c r="C57" s="870" t="s">
        <v>1722</v>
      </c>
      <c r="D57" s="870"/>
      <c r="E57" s="870"/>
      <c r="F57" s="870"/>
      <c r="G57" s="870"/>
      <c r="H57" s="870"/>
      <c r="I57" s="870"/>
      <c r="J57" s="870"/>
      <c r="K57" s="870"/>
      <c r="L57" s="870"/>
      <c r="M57" s="331"/>
      <c r="N57" s="331"/>
      <c r="O57" s="331"/>
      <c r="P57" s="331"/>
      <c r="Q57" s="331"/>
      <c r="R57" s="331"/>
      <c r="S57" s="331"/>
      <c r="T57" s="331"/>
      <c r="U57" s="331"/>
      <c r="V57" s="331"/>
      <c r="W57" s="331"/>
      <c r="X57" s="331"/>
      <c r="Y57" s="332"/>
      <c r="Z57" s="332"/>
      <c r="AA57" s="332"/>
      <c r="AB57" s="332"/>
    </row>
    <row r="58" spans="1:28" ht="12.75" customHeight="1" x14ac:dyDescent="0.25">
      <c r="A58" s="864"/>
      <c r="B58" s="864"/>
      <c r="C58" s="864"/>
      <c r="D58" s="864"/>
      <c r="E58" s="864"/>
      <c r="F58" s="864"/>
      <c r="G58" s="864"/>
      <c r="H58" s="864"/>
      <c r="I58" s="864"/>
      <c r="J58" s="864"/>
      <c r="K58" s="864"/>
      <c r="L58" s="864"/>
      <c r="M58" s="331"/>
      <c r="N58" s="331"/>
      <c r="O58" s="331"/>
      <c r="P58" s="331"/>
      <c r="Q58" s="331"/>
      <c r="R58" s="331"/>
      <c r="S58" s="331"/>
      <c r="T58" s="331"/>
      <c r="U58" s="331"/>
      <c r="V58" s="331"/>
      <c r="W58" s="331"/>
      <c r="X58" s="331"/>
      <c r="Y58" s="332"/>
      <c r="Z58" s="332"/>
      <c r="AA58" s="332"/>
      <c r="AB58" s="332"/>
    </row>
    <row r="59" spans="1:28" ht="9.75" customHeight="1" x14ac:dyDescent="0.25"/>
    <row r="60" spans="1:28" s="339" customFormat="1" ht="24" customHeight="1" x14ac:dyDescent="0.2">
      <c r="A60" s="865" t="s">
        <v>1712</v>
      </c>
      <c r="B60" s="865"/>
      <c r="C60" s="865"/>
      <c r="D60" s="865"/>
      <c r="E60" s="865"/>
      <c r="F60" s="865"/>
      <c r="G60" s="865"/>
      <c r="H60" s="865"/>
      <c r="I60" s="865"/>
      <c r="J60" s="865"/>
      <c r="K60" s="865"/>
      <c r="L60" s="865"/>
      <c r="M60" s="397"/>
      <c r="N60" s="397"/>
      <c r="O60" s="397"/>
      <c r="P60" s="397"/>
      <c r="Q60" s="397"/>
      <c r="R60" s="397"/>
      <c r="S60" s="397"/>
      <c r="T60" s="397"/>
      <c r="U60" s="397"/>
      <c r="V60" s="397"/>
      <c r="W60" s="397"/>
      <c r="X60" s="397"/>
    </row>
    <row r="61" spans="1:28" ht="13.5" x14ac:dyDescent="0.3">
      <c r="H61" s="396" t="s">
        <v>1713</v>
      </c>
      <c r="I61" s="396"/>
      <c r="J61" s="340"/>
      <c r="L61" s="398" t="s">
        <v>1714</v>
      </c>
    </row>
    <row r="62" spans="1:28" ht="13.5" x14ac:dyDescent="0.3">
      <c r="H62" s="396" t="s">
        <v>1715</v>
      </c>
      <c r="I62" s="396"/>
      <c r="J62" s="340"/>
      <c r="L62" s="398" t="s">
        <v>1716</v>
      </c>
    </row>
    <row r="63" spans="1:28" ht="13.5" x14ac:dyDescent="0.3">
      <c r="H63" s="396" t="s">
        <v>1717</v>
      </c>
      <c r="I63" s="396"/>
      <c r="J63" s="340"/>
      <c r="L63" s="398" t="s">
        <v>1718</v>
      </c>
    </row>
    <row r="64" spans="1:28" ht="13.5" x14ac:dyDescent="0.3">
      <c r="H64" s="396" t="s">
        <v>1719</v>
      </c>
      <c r="I64" s="396"/>
      <c r="J64" s="340"/>
      <c r="L64" s="398" t="s">
        <v>1720</v>
      </c>
    </row>
  </sheetData>
  <mergeCells count="69">
    <mergeCell ref="A58:L58"/>
    <mergeCell ref="A60:L60"/>
    <mergeCell ref="A52:B52"/>
    <mergeCell ref="E52:F52"/>
    <mergeCell ref="G52:K52"/>
    <mergeCell ref="G54:K54"/>
    <mergeCell ref="A57:B57"/>
    <mergeCell ref="C57:L57"/>
    <mergeCell ref="O47:P47"/>
    <mergeCell ref="Q47:R47"/>
    <mergeCell ref="S47:U47"/>
    <mergeCell ref="A49:B49"/>
    <mergeCell ref="C49:F49"/>
    <mergeCell ref="H49:K49"/>
    <mergeCell ref="H47:K47"/>
    <mergeCell ref="B41:C41"/>
    <mergeCell ref="B42:C42"/>
    <mergeCell ref="B43:C43"/>
    <mergeCell ref="A47:B47"/>
    <mergeCell ref="E47:F47"/>
    <mergeCell ref="B40:C40"/>
    <mergeCell ref="B29:C29"/>
    <mergeCell ref="B30:C30"/>
    <mergeCell ref="B31:C31"/>
    <mergeCell ref="B32:C32"/>
    <mergeCell ref="B33:C33"/>
    <mergeCell ref="B34:C34"/>
    <mergeCell ref="B35:C35"/>
    <mergeCell ref="B36:C36"/>
    <mergeCell ref="B37:C37"/>
    <mergeCell ref="B38:C38"/>
    <mergeCell ref="B39:C39"/>
    <mergeCell ref="T28:X28"/>
    <mergeCell ref="O21:P21"/>
    <mergeCell ref="Q21:R21"/>
    <mergeCell ref="S21:U21"/>
    <mergeCell ref="A23:B23"/>
    <mergeCell ref="C23:F23"/>
    <mergeCell ref="H23:K23"/>
    <mergeCell ref="H21:K21"/>
    <mergeCell ref="A25:L25"/>
    <mergeCell ref="D27:G27"/>
    <mergeCell ref="H27:K27"/>
    <mergeCell ref="B28:C28"/>
    <mergeCell ref="O28:S28"/>
    <mergeCell ref="B16:C16"/>
    <mergeCell ref="B17:C17"/>
    <mergeCell ref="B18:C18"/>
    <mergeCell ref="A21:B21"/>
    <mergeCell ref="E21:F21"/>
    <mergeCell ref="O11:S11"/>
    <mergeCell ref="T11:X11"/>
    <mergeCell ref="B12:C12"/>
    <mergeCell ref="B13:C13"/>
    <mergeCell ref="B14:C14"/>
    <mergeCell ref="B15:C15"/>
    <mergeCell ref="A6:B6"/>
    <mergeCell ref="C6:L6"/>
    <mergeCell ref="A8:L8"/>
    <mergeCell ref="D10:G10"/>
    <mergeCell ref="H10:K10"/>
    <mergeCell ref="B11:C11"/>
    <mergeCell ref="A5:B5"/>
    <mergeCell ref="C5:L5"/>
    <mergeCell ref="A1:B2"/>
    <mergeCell ref="C1:L1"/>
    <mergeCell ref="C2:E2"/>
    <mergeCell ref="F2:L2"/>
    <mergeCell ref="A4:L4"/>
  </mergeCells>
  <pageMargins left="0.74803149606299213" right="0.74803149606299213" top="0.98425196850393704" bottom="0.98425196850393704" header="0" footer="0"/>
  <pageSetup paperSize="9" scale="78" orientation="portrait" r:id="rId1"/>
  <headerFooter alignWithMargins="0">
    <oddFooter>&amp;L&amp;7EMISIÓN: 5/05/10 
Revisión 1&amp;C&amp;7Revisa y Aprueba : Ruth Clausen&amp;R&amp;7&amp;P de &amp;N</oddFooter>
  </headerFooter>
  <colBreaks count="1" manualBreakCount="1">
    <brk id="1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M64"/>
  <sheetViews>
    <sheetView workbookViewId="0">
      <selection sqref="A1:B2"/>
    </sheetView>
  </sheetViews>
  <sheetFormatPr baseColWidth="10" defaultRowHeight="11.25" x14ac:dyDescent="0.2"/>
  <cols>
    <col min="1" max="1" width="2.7109375" style="533" customWidth="1"/>
    <col min="2" max="2" width="18.7109375" style="532" customWidth="1"/>
    <col min="3" max="3" width="15.28515625" style="532" customWidth="1"/>
    <col min="4" max="4" width="5.5703125" style="532" customWidth="1"/>
    <col min="5" max="5" width="5" style="532" customWidth="1"/>
    <col min="6" max="7" width="5.5703125" style="532" customWidth="1"/>
    <col min="8" max="8" width="7.28515625" style="532" customWidth="1"/>
    <col min="9" max="10" width="5.85546875" style="532" customWidth="1"/>
    <col min="11" max="11" width="5.7109375" style="532" customWidth="1"/>
    <col min="12" max="12" width="17.28515625" style="532" customWidth="1"/>
    <col min="13" max="14" width="12.28515625" style="583" hidden="1" customWidth="1"/>
    <col min="15" max="23" width="8.7109375" style="583" hidden="1" customWidth="1"/>
    <col min="24" max="24" width="8.5703125" style="583" hidden="1" customWidth="1"/>
    <col min="25" max="25" width="8" style="532" customWidth="1"/>
    <col min="26" max="26" width="11.5703125" style="532" customWidth="1"/>
    <col min="27" max="27" width="10.7109375" style="532" customWidth="1"/>
    <col min="28" max="28" width="4.42578125" style="532" customWidth="1"/>
    <col min="29" max="16384" width="11.42578125" style="532"/>
  </cols>
  <sheetData>
    <row r="1" spans="1:39" ht="48.75" customHeight="1" thickBot="1" x14ac:dyDescent="0.25">
      <c r="A1" s="919"/>
      <c r="B1" s="920"/>
      <c r="C1" s="923" t="s">
        <v>1657</v>
      </c>
      <c r="D1" s="924"/>
      <c r="E1" s="924"/>
      <c r="F1" s="924"/>
      <c r="G1" s="924"/>
      <c r="H1" s="924"/>
      <c r="I1" s="924"/>
      <c r="J1" s="924"/>
      <c r="K1" s="924"/>
      <c r="L1" s="925"/>
      <c r="M1" s="529"/>
      <c r="N1" s="530"/>
      <c r="O1" s="530"/>
      <c r="P1" s="530"/>
      <c r="Q1" s="530"/>
      <c r="R1" s="530"/>
      <c r="S1" s="530"/>
      <c r="T1" s="530"/>
      <c r="U1" s="530"/>
      <c r="V1" s="530"/>
      <c r="W1" s="530"/>
      <c r="X1" s="530"/>
      <c r="Y1" s="531"/>
      <c r="Z1" s="531"/>
      <c r="AA1" s="531"/>
      <c r="AB1" s="531"/>
    </row>
    <row r="2" spans="1:39" ht="24.75" customHeight="1" thickBot="1" x14ac:dyDescent="0.25">
      <c r="A2" s="921"/>
      <c r="B2" s="922"/>
      <c r="C2" s="926" t="s">
        <v>1658</v>
      </c>
      <c r="D2" s="927"/>
      <c r="E2" s="928"/>
      <c r="F2" s="926" t="s">
        <v>1659</v>
      </c>
      <c r="G2" s="927"/>
      <c r="H2" s="927"/>
      <c r="I2" s="927"/>
      <c r="J2" s="927"/>
      <c r="K2" s="927"/>
      <c r="L2" s="928"/>
      <c r="M2" s="530"/>
      <c r="N2" s="530"/>
      <c r="O2" s="530"/>
      <c r="P2" s="530"/>
      <c r="Q2" s="530"/>
      <c r="R2" s="530"/>
      <c r="S2" s="530"/>
      <c r="T2" s="530"/>
      <c r="U2" s="530"/>
      <c r="V2" s="530"/>
      <c r="W2" s="530"/>
      <c r="X2" s="530"/>
      <c r="Y2" s="531"/>
      <c r="Z2" s="531"/>
      <c r="AA2" s="531"/>
      <c r="AB2" s="531"/>
    </row>
    <row r="3" spans="1:39" ht="9" customHeight="1" thickBot="1" x14ac:dyDescent="0.25">
      <c r="B3" s="534"/>
      <c r="C3" s="535"/>
      <c r="D3" s="535"/>
      <c r="E3" s="535"/>
      <c r="F3" s="535"/>
      <c r="G3" s="535"/>
      <c r="H3" s="535"/>
      <c r="I3" s="535"/>
      <c r="J3" s="535"/>
      <c r="K3" s="535"/>
      <c r="L3" s="535"/>
      <c r="M3" s="530"/>
      <c r="N3" s="530"/>
      <c r="O3" s="530"/>
      <c r="P3" s="530"/>
      <c r="Q3" s="530"/>
      <c r="R3" s="530"/>
      <c r="S3" s="530"/>
      <c r="T3" s="530"/>
      <c r="U3" s="530"/>
      <c r="V3" s="530"/>
      <c r="W3" s="530"/>
      <c r="X3" s="530"/>
      <c r="Y3" s="531"/>
      <c r="Z3" s="531"/>
      <c r="AA3" s="531"/>
      <c r="AB3" s="531"/>
    </row>
    <row r="4" spans="1:39" s="538" customFormat="1" ht="18.75" customHeight="1" thickBot="1" x14ac:dyDescent="0.25">
      <c r="A4" s="929" t="s">
        <v>1660</v>
      </c>
      <c r="B4" s="930"/>
      <c r="C4" s="930"/>
      <c r="D4" s="930"/>
      <c r="E4" s="930"/>
      <c r="F4" s="930"/>
      <c r="G4" s="930"/>
      <c r="H4" s="930"/>
      <c r="I4" s="930"/>
      <c r="J4" s="930"/>
      <c r="K4" s="930"/>
      <c r="L4" s="931"/>
      <c r="M4" s="536"/>
      <c r="N4" s="536"/>
      <c r="O4" s="536"/>
      <c r="P4" s="536"/>
      <c r="Q4" s="536"/>
      <c r="R4" s="536"/>
      <c r="S4" s="536"/>
      <c r="T4" s="536"/>
      <c r="U4" s="536"/>
      <c r="V4" s="536"/>
      <c r="W4" s="536"/>
      <c r="X4" s="536"/>
      <c r="Y4" s="537"/>
      <c r="Z4" s="537"/>
      <c r="AA4" s="537"/>
      <c r="AB4" s="537"/>
    </row>
    <row r="5" spans="1:39" s="538" customFormat="1" ht="16.5" customHeight="1" thickBot="1" x14ac:dyDescent="0.25">
      <c r="A5" s="914" t="s">
        <v>1661</v>
      </c>
      <c r="B5" s="915"/>
      <c r="C5" s="916" t="s">
        <v>47</v>
      </c>
      <c r="D5" s="917"/>
      <c r="E5" s="917"/>
      <c r="F5" s="917"/>
      <c r="G5" s="917"/>
      <c r="H5" s="917"/>
      <c r="I5" s="917"/>
      <c r="J5" s="917"/>
      <c r="K5" s="917"/>
      <c r="L5" s="918"/>
      <c r="M5" s="536"/>
      <c r="N5" s="536"/>
      <c r="O5" s="536"/>
      <c r="P5" s="536"/>
      <c r="Q5" s="536"/>
      <c r="R5" s="536"/>
      <c r="S5" s="536"/>
      <c r="T5" s="536"/>
      <c r="U5" s="536"/>
      <c r="V5" s="536"/>
      <c r="W5" s="536"/>
      <c r="X5" s="536"/>
      <c r="Y5" s="537"/>
      <c r="Z5" s="537"/>
      <c r="AA5" s="537"/>
      <c r="AB5" s="537"/>
    </row>
    <row r="6" spans="1:39" ht="16.5" customHeight="1" thickBot="1" x14ac:dyDescent="0.25">
      <c r="A6" s="902" t="s">
        <v>1662</v>
      </c>
      <c r="B6" s="903"/>
      <c r="C6" s="904" t="s">
        <v>1663</v>
      </c>
      <c r="D6" s="905"/>
      <c r="E6" s="905"/>
      <c r="F6" s="905"/>
      <c r="G6" s="905"/>
      <c r="H6" s="905"/>
      <c r="I6" s="905"/>
      <c r="J6" s="905"/>
      <c r="K6" s="905"/>
      <c r="L6" s="906"/>
      <c r="M6" s="530"/>
      <c r="N6" s="530"/>
      <c r="O6" s="530"/>
      <c r="P6" s="530"/>
      <c r="Q6" s="530"/>
      <c r="R6" s="530"/>
      <c r="S6" s="530"/>
      <c r="T6" s="530"/>
      <c r="U6" s="530"/>
      <c r="V6" s="530"/>
      <c r="W6" s="530"/>
      <c r="X6" s="530"/>
      <c r="Y6" s="531"/>
      <c r="Z6" s="531"/>
      <c r="AA6" s="531"/>
      <c r="AB6" s="531"/>
    </row>
    <row r="7" spans="1:39" ht="12" customHeight="1" thickBot="1" x14ac:dyDescent="0.25">
      <c r="B7" s="539"/>
      <c r="D7" s="533"/>
      <c r="E7" s="533"/>
      <c r="F7" s="533"/>
      <c r="G7" s="533"/>
      <c r="H7" s="533"/>
      <c r="I7" s="533"/>
      <c r="J7" s="533"/>
      <c r="K7" s="533"/>
      <c r="L7" s="533"/>
      <c r="M7" s="530"/>
      <c r="N7" s="530"/>
      <c r="O7" s="530"/>
      <c r="P7" s="530"/>
      <c r="Q7" s="530"/>
      <c r="R7" s="530"/>
      <c r="S7" s="530"/>
      <c r="T7" s="530"/>
      <c r="U7" s="530"/>
      <c r="V7" s="530"/>
      <c r="W7" s="530"/>
      <c r="X7" s="530"/>
      <c r="Y7" s="531"/>
      <c r="Z7" s="531"/>
      <c r="AA7" s="531"/>
      <c r="AB7" s="531"/>
    </row>
    <row r="8" spans="1:39" ht="15" customHeight="1" thickBot="1" x14ac:dyDescent="0.25">
      <c r="A8" s="907" t="s">
        <v>1664</v>
      </c>
      <c r="B8" s="908"/>
      <c r="C8" s="908"/>
      <c r="D8" s="908"/>
      <c r="E8" s="908"/>
      <c r="F8" s="908"/>
      <c r="G8" s="908"/>
      <c r="H8" s="908"/>
      <c r="I8" s="908"/>
      <c r="J8" s="908"/>
      <c r="K8" s="908"/>
      <c r="L8" s="909"/>
      <c r="M8" s="530"/>
      <c r="N8" s="530"/>
      <c r="O8" s="530"/>
      <c r="P8" s="530"/>
      <c r="Q8" s="530"/>
      <c r="R8" s="530"/>
      <c r="S8" s="530"/>
      <c r="T8" s="530"/>
      <c r="U8" s="530"/>
      <c r="V8" s="530"/>
      <c r="W8" s="530"/>
      <c r="X8" s="530"/>
      <c r="Y8" s="531"/>
      <c r="Z8" s="531"/>
      <c r="AA8" s="531"/>
      <c r="AB8" s="531"/>
    </row>
    <row r="9" spans="1:39" ht="20.25" customHeight="1" x14ac:dyDescent="0.2">
      <c r="B9" s="539"/>
      <c r="D9" s="533"/>
      <c r="E9" s="533"/>
      <c r="F9" s="533"/>
      <c r="G9" s="533"/>
      <c r="H9" s="533"/>
      <c r="I9" s="533"/>
      <c r="J9" s="533"/>
      <c r="K9" s="533"/>
      <c r="L9" s="533"/>
      <c r="M9" s="530"/>
      <c r="N9" s="530"/>
      <c r="O9" s="530"/>
      <c r="P9" s="530"/>
      <c r="Q9" s="530"/>
      <c r="R9" s="530"/>
      <c r="S9" s="530"/>
      <c r="T9" s="530"/>
      <c r="U9" s="530"/>
      <c r="V9" s="530"/>
      <c r="W9" s="530"/>
      <c r="X9" s="530"/>
      <c r="Y9" s="531"/>
      <c r="Z9" s="531"/>
      <c r="AA9" s="531"/>
      <c r="AB9" s="531"/>
    </row>
    <row r="10" spans="1:39" x14ac:dyDescent="0.2">
      <c r="B10" s="539"/>
      <c r="D10" s="910" t="s">
        <v>1665</v>
      </c>
      <c r="E10" s="910"/>
      <c r="F10" s="910"/>
      <c r="G10" s="910"/>
      <c r="H10" s="911" t="s">
        <v>1666</v>
      </c>
      <c r="I10" s="912"/>
      <c r="J10" s="912"/>
      <c r="K10" s="913"/>
      <c r="L10" s="540" t="s">
        <v>1667</v>
      </c>
      <c r="M10" s="530"/>
      <c r="N10" s="530"/>
      <c r="O10" s="530"/>
      <c r="P10" s="530"/>
      <c r="Q10" s="530"/>
      <c r="R10" s="530"/>
      <c r="S10" s="530"/>
      <c r="T10" s="530"/>
      <c r="U10" s="530"/>
      <c r="V10" s="530"/>
      <c r="W10" s="530"/>
      <c r="X10" s="530"/>
      <c r="Y10" s="531"/>
      <c r="Z10" s="531"/>
      <c r="AA10" s="531"/>
      <c r="AB10" s="531"/>
    </row>
    <row r="11" spans="1:39" x14ac:dyDescent="0.2">
      <c r="A11" s="541" t="s">
        <v>1668</v>
      </c>
      <c r="B11" s="898" t="s">
        <v>1669</v>
      </c>
      <c r="C11" s="898"/>
      <c r="D11" s="542">
        <v>1</v>
      </c>
      <c r="E11" s="542">
        <v>2</v>
      </c>
      <c r="F11" s="542">
        <v>3</v>
      </c>
      <c r="G11" s="543">
        <v>4</v>
      </c>
      <c r="H11" s="544" t="s">
        <v>1670</v>
      </c>
      <c r="I11" s="544" t="s">
        <v>1671</v>
      </c>
      <c r="J11" s="544" t="s">
        <v>1672</v>
      </c>
      <c r="K11" s="544" t="s">
        <v>1673</v>
      </c>
      <c r="L11" s="541" t="s">
        <v>1674</v>
      </c>
      <c r="M11" s="545" t="s">
        <v>1675</v>
      </c>
      <c r="N11" s="545" t="s">
        <v>1676</v>
      </c>
      <c r="O11" s="889" t="s">
        <v>1677</v>
      </c>
      <c r="P11" s="889"/>
      <c r="Q11" s="889"/>
      <c r="R11" s="889"/>
      <c r="S11" s="899"/>
      <c r="T11" s="889" t="s">
        <v>1666</v>
      </c>
      <c r="U11" s="889"/>
      <c r="V11" s="889"/>
      <c r="W11" s="889"/>
      <c r="X11" s="889"/>
      <c r="Y11" s="531"/>
      <c r="Z11" s="531"/>
      <c r="AA11" s="531"/>
      <c r="AB11" s="531"/>
      <c r="AC11" s="546"/>
      <c r="AD11" s="546"/>
      <c r="AE11" s="546"/>
      <c r="AF11" s="546"/>
      <c r="AG11" s="546"/>
      <c r="AH11" s="546"/>
      <c r="AI11" s="546"/>
      <c r="AJ11" s="546"/>
      <c r="AK11" s="546"/>
      <c r="AL11" s="546"/>
      <c r="AM11" s="546"/>
    </row>
    <row r="12" spans="1:39" x14ac:dyDescent="0.2">
      <c r="A12" s="547">
        <v>1</v>
      </c>
      <c r="B12" s="887" t="s">
        <v>1678</v>
      </c>
      <c r="C12" s="901"/>
      <c r="D12" s="548"/>
      <c r="E12" s="548"/>
      <c r="F12" s="548" t="s">
        <v>1679</v>
      </c>
      <c r="G12" s="549"/>
      <c r="H12" s="548"/>
      <c r="I12" s="548"/>
      <c r="J12" s="548" t="s">
        <v>1679</v>
      </c>
      <c r="K12" s="549"/>
      <c r="L12" s="550">
        <f t="shared" ref="L12:L18" si="0">IF($M$19=0,0,N12/$M$19)</f>
        <v>8.8235294117647065E-2</v>
      </c>
      <c r="M12" s="545">
        <f t="shared" ref="M12:M18" si="1">+X12*10</f>
        <v>200</v>
      </c>
      <c r="N12" s="545">
        <f t="shared" ref="N12:N18" si="2">+S12*X12</f>
        <v>150</v>
      </c>
      <c r="O12" s="551">
        <f t="shared" ref="O12:O18" si="3">IF(D12="X",2.5,0)</f>
        <v>0</v>
      </c>
      <c r="P12" s="552">
        <f t="shared" ref="P12:P18" si="4">IF(E12="X",5,0)</f>
        <v>0</v>
      </c>
      <c r="Q12" s="552">
        <f t="shared" ref="Q12:Q18" si="5">IF(F12="X",7.5,0)</f>
        <v>7.5</v>
      </c>
      <c r="R12" s="552">
        <f t="shared" ref="R12:R18" si="6">IF(G12="X",10,0)</f>
        <v>0</v>
      </c>
      <c r="S12" s="553">
        <f t="shared" ref="S12:S18" si="7">SUM(O12:R12)</f>
        <v>7.5</v>
      </c>
      <c r="T12" s="551">
        <f t="shared" ref="T12:T18" si="8">IF(H12="X",0,0)</f>
        <v>0</v>
      </c>
      <c r="U12" s="552">
        <f t="shared" ref="U12:U18" si="9">IF(I12="X",10,0)</f>
        <v>0</v>
      </c>
      <c r="V12" s="552">
        <f t="shared" ref="V12:V18" si="10">IF(J12="X",20,0)</f>
        <v>20</v>
      </c>
      <c r="W12" s="552">
        <f t="shared" ref="W12:W18" si="11">IF(K12="X",30,0)</f>
        <v>0</v>
      </c>
      <c r="X12" s="553">
        <f t="shared" ref="X12:X18" si="12">SUM(U12:W12)</f>
        <v>20</v>
      </c>
      <c r="Y12" s="531"/>
      <c r="Z12" s="531"/>
      <c r="AA12" s="531"/>
      <c r="AB12" s="531"/>
      <c r="AC12" s="546"/>
      <c r="AD12" s="546"/>
      <c r="AE12" s="546"/>
      <c r="AF12" s="546"/>
      <c r="AG12" s="546"/>
      <c r="AH12" s="546"/>
      <c r="AI12" s="546"/>
      <c r="AJ12" s="546"/>
      <c r="AK12" s="546"/>
      <c r="AL12" s="546"/>
      <c r="AM12" s="546"/>
    </row>
    <row r="13" spans="1:39" x14ac:dyDescent="0.2">
      <c r="A13" s="554">
        <v>2</v>
      </c>
      <c r="B13" s="883" t="s">
        <v>1680</v>
      </c>
      <c r="C13" s="884"/>
      <c r="D13" s="555"/>
      <c r="E13" s="555"/>
      <c r="F13" s="555" t="s">
        <v>1679</v>
      </c>
      <c r="G13" s="556"/>
      <c r="H13" s="555"/>
      <c r="I13" s="555"/>
      <c r="J13" s="555"/>
      <c r="K13" s="555" t="s">
        <v>1679</v>
      </c>
      <c r="L13" s="557">
        <f t="shared" si="0"/>
        <v>0.13235294117647059</v>
      </c>
      <c r="M13" s="545">
        <f t="shared" si="1"/>
        <v>300</v>
      </c>
      <c r="N13" s="545">
        <f>+S13*X13</f>
        <v>225</v>
      </c>
      <c r="O13" s="558">
        <f t="shared" si="3"/>
        <v>0</v>
      </c>
      <c r="P13" s="530">
        <f t="shared" si="4"/>
        <v>0</v>
      </c>
      <c r="Q13" s="530">
        <f t="shared" si="5"/>
        <v>7.5</v>
      </c>
      <c r="R13" s="530">
        <f t="shared" si="6"/>
        <v>0</v>
      </c>
      <c r="S13" s="559">
        <f t="shared" si="7"/>
        <v>7.5</v>
      </c>
      <c r="T13" s="558">
        <f t="shared" si="8"/>
        <v>0</v>
      </c>
      <c r="U13" s="530">
        <f t="shared" si="9"/>
        <v>0</v>
      </c>
      <c r="V13" s="530">
        <f t="shared" si="10"/>
        <v>0</v>
      </c>
      <c r="W13" s="530">
        <f t="shared" si="11"/>
        <v>30</v>
      </c>
      <c r="X13" s="559">
        <f t="shared" si="12"/>
        <v>30</v>
      </c>
      <c r="Y13" s="531"/>
      <c r="Z13" s="531"/>
      <c r="AA13" s="531"/>
      <c r="AB13" s="531"/>
      <c r="AC13" s="546"/>
      <c r="AD13" s="546"/>
      <c r="AE13" s="546"/>
      <c r="AF13" s="546"/>
      <c r="AG13" s="546"/>
      <c r="AH13" s="546"/>
      <c r="AI13" s="546"/>
      <c r="AJ13" s="546"/>
      <c r="AK13" s="546"/>
      <c r="AL13" s="546"/>
      <c r="AM13" s="546"/>
    </row>
    <row r="14" spans="1:39" x14ac:dyDescent="0.2">
      <c r="A14" s="554">
        <v>3</v>
      </c>
      <c r="B14" s="883" t="s">
        <v>1681</v>
      </c>
      <c r="C14" s="884"/>
      <c r="D14" s="555"/>
      <c r="E14" s="556"/>
      <c r="F14" s="556" t="s">
        <v>1679</v>
      </c>
      <c r="G14" s="556"/>
      <c r="H14" s="555"/>
      <c r="I14" s="555"/>
      <c r="J14" s="555"/>
      <c r="K14" s="556" t="s">
        <v>1679</v>
      </c>
      <c r="L14" s="557">
        <f t="shared" si="0"/>
        <v>0.13235294117647059</v>
      </c>
      <c r="M14" s="545">
        <f t="shared" si="1"/>
        <v>300</v>
      </c>
      <c r="N14" s="545">
        <f t="shared" si="2"/>
        <v>225</v>
      </c>
      <c r="O14" s="558">
        <f t="shared" si="3"/>
        <v>0</v>
      </c>
      <c r="P14" s="530">
        <f t="shared" si="4"/>
        <v>0</v>
      </c>
      <c r="Q14" s="530">
        <f t="shared" si="5"/>
        <v>7.5</v>
      </c>
      <c r="R14" s="530">
        <f t="shared" si="6"/>
        <v>0</v>
      </c>
      <c r="S14" s="559">
        <f t="shared" si="7"/>
        <v>7.5</v>
      </c>
      <c r="T14" s="558">
        <f t="shared" si="8"/>
        <v>0</v>
      </c>
      <c r="U14" s="530">
        <f t="shared" si="9"/>
        <v>0</v>
      </c>
      <c r="V14" s="530">
        <f t="shared" si="10"/>
        <v>0</v>
      </c>
      <c r="W14" s="530">
        <f t="shared" si="11"/>
        <v>30</v>
      </c>
      <c r="X14" s="559">
        <f t="shared" si="12"/>
        <v>30</v>
      </c>
      <c r="Y14" s="531"/>
      <c r="Z14" s="531"/>
      <c r="AA14" s="531"/>
      <c r="AB14" s="531"/>
      <c r="AC14" s="546"/>
      <c r="AD14" s="546"/>
      <c r="AE14" s="546"/>
      <c r="AF14" s="546"/>
      <c r="AG14" s="546"/>
      <c r="AH14" s="546"/>
      <c r="AI14" s="546"/>
      <c r="AJ14" s="546"/>
      <c r="AK14" s="546"/>
      <c r="AL14" s="546"/>
      <c r="AM14" s="546"/>
    </row>
    <row r="15" spans="1:39" x14ac:dyDescent="0.2">
      <c r="A15" s="554">
        <v>4</v>
      </c>
      <c r="B15" s="883" t="s">
        <v>1682</v>
      </c>
      <c r="C15" s="884"/>
      <c r="D15" s="555"/>
      <c r="E15" s="555"/>
      <c r="F15" s="555" t="s">
        <v>1679</v>
      </c>
      <c r="G15" s="556"/>
      <c r="H15" s="555"/>
      <c r="I15" s="555"/>
      <c r="J15" s="555"/>
      <c r="K15" s="556" t="s">
        <v>1679</v>
      </c>
      <c r="L15" s="557">
        <f t="shared" si="0"/>
        <v>0.13235294117647059</v>
      </c>
      <c r="M15" s="545">
        <f t="shared" si="1"/>
        <v>300</v>
      </c>
      <c r="N15" s="545">
        <f t="shared" si="2"/>
        <v>225</v>
      </c>
      <c r="O15" s="558">
        <f t="shared" si="3"/>
        <v>0</v>
      </c>
      <c r="P15" s="530">
        <f t="shared" si="4"/>
        <v>0</v>
      </c>
      <c r="Q15" s="530">
        <f t="shared" si="5"/>
        <v>7.5</v>
      </c>
      <c r="R15" s="530">
        <f t="shared" si="6"/>
        <v>0</v>
      </c>
      <c r="S15" s="559">
        <f t="shared" si="7"/>
        <v>7.5</v>
      </c>
      <c r="T15" s="558">
        <f t="shared" si="8"/>
        <v>0</v>
      </c>
      <c r="U15" s="530">
        <f t="shared" si="9"/>
        <v>0</v>
      </c>
      <c r="V15" s="530">
        <f t="shared" si="10"/>
        <v>0</v>
      </c>
      <c r="W15" s="530">
        <f t="shared" si="11"/>
        <v>30</v>
      </c>
      <c r="X15" s="559">
        <f t="shared" si="12"/>
        <v>30</v>
      </c>
      <c r="Y15" s="531"/>
      <c r="Z15" s="531"/>
      <c r="AA15" s="531"/>
      <c r="AB15" s="531"/>
      <c r="AC15" s="546"/>
      <c r="AD15" s="546"/>
      <c r="AE15" s="546"/>
      <c r="AF15" s="546"/>
      <c r="AG15" s="546"/>
      <c r="AH15" s="546"/>
      <c r="AI15" s="546"/>
      <c r="AJ15" s="546"/>
      <c r="AK15" s="546"/>
      <c r="AL15" s="546"/>
      <c r="AM15" s="546"/>
    </row>
    <row r="16" spans="1:39" x14ac:dyDescent="0.2">
      <c r="A16" s="554">
        <v>5</v>
      </c>
      <c r="B16" s="883" t="s">
        <v>1586</v>
      </c>
      <c r="C16" s="884"/>
      <c r="D16" s="555"/>
      <c r="E16" s="555"/>
      <c r="F16" s="555"/>
      <c r="G16" s="556"/>
      <c r="H16" s="555" t="s">
        <v>1679</v>
      </c>
      <c r="I16" s="555"/>
      <c r="J16" s="555"/>
      <c r="K16" s="556"/>
      <c r="L16" s="557">
        <f t="shared" si="0"/>
        <v>0</v>
      </c>
      <c r="M16" s="545">
        <f t="shared" si="1"/>
        <v>0</v>
      </c>
      <c r="N16" s="545">
        <f t="shared" si="2"/>
        <v>0</v>
      </c>
      <c r="O16" s="558">
        <f t="shared" si="3"/>
        <v>0</v>
      </c>
      <c r="P16" s="530">
        <f t="shared" si="4"/>
        <v>0</v>
      </c>
      <c r="Q16" s="530">
        <f t="shared" si="5"/>
        <v>0</v>
      </c>
      <c r="R16" s="530">
        <f t="shared" si="6"/>
        <v>0</v>
      </c>
      <c r="S16" s="559">
        <f t="shared" si="7"/>
        <v>0</v>
      </c>
      <c r="T16" s="558">
        <f t="shared" si="8"/>
        <v>0</v>
      </c>
      <c r="U16" s="530">
        <f t="shared" si="9"/>
        <v>0</v>
      </c>
      <c r="V16" s="530">
        <f t="shared" si="10"/>
        <v>0</v>
      </c>
      <c r="W16" s="530">
        <f t="shared" si="11"/>
        <v>0</v>
      </c>
      <c r="X16" s="559">
        <f t="shared" si="12"/>
        <v>0</v>
      </c>
      <c r="Y16" s="531"/>
      <c r="Z16" s="531"/>
      <c r="AA16" s="531"/>
      <c r="AB16" s="531"/>
      <c r="AC16" s="546"/>
      <c r="AD16" s="546"/>
      <c r="AE16" s="546"/>
      <c r="AF16" s="546"/>
      <c r="AG16" s="546"/>
      <c r="AH16" s="546"/>
      <c r="AI16" s="546"/>
      <c r="AJ16" s="546"/>
      <c r="AK16" s="546"/>
      <c r="AL16" s="546"/>
      <c r="AM16" s="546"/>
    </row>
    <row r="17" spans="1:39" x14ac:dyDescent="0.2">
      <c r="A17" s="554">
        <v>6</v>
      </c>
      <c r="B17" s="900" t="s">
        <v>1683</v>
      </c>
      <c r="C17" s="900"/>
      <c r="D17" s="555"/>
      <c r="E17" s="555"/>
      <c r="F17" s="555"/>
      <c r="G17" s="560" t="s">
        <v>1679</v>
      </c>
      <c r="H17" s="555"/>
      <c r="I17" s="555"/>
      <c r="J17" s="555"/>
      <c r="K17" s="560" t="s">
        <v>1679</v>
      </c>
      <c r="L17" s="557">
        <f t="shared" si="0"/>
        <v>0.17647058823529413</v>
      </c>
      <c r="M17" s="545">
        <f t="shared" si="1"/>
        <v>300</v>
      </c>
      <c r="N17" s="545">
        <f t="shared" si="2"/>
        <v>300</v>
      </c>
      <c r="O17" s="558">
        <f t="shared" si="3"/>
        <v>0</v>
      </c>
      <c r="P17" s="530">
        <f t="shared" si="4"/>
        <v>0</v>
      </c>
      <c r="Q17" s="530">
        <f t="shared" si="5"/>
        <v>0</v>
      </c>
      <c r="R17" s="530">
        <f t="shared" si="6"/>
        <v>10</v>
      </c>
      <c r="S17" s="559">
        <f t="shared" si="7"/>
        <v>10</v>
      </c>
      <c r="T17" s="558">
        <f t="shared" si="8"/>
        <v>0</v>
      </c>
      <c r="U17" s="530">
        <f t="shared" si="9"/>
        <v>0</v>
      </c>
      <c r="V17" s="530">
        <f t="shared" si="10"/>
        <v>0</v>
      </c>
      <c r="W17" s="530">
        <f t="shared" si="11"/>
        <v>30</v>
      </c>
      <c r="X17" s="559">
        <f t="shared" si="12"/>
        <v>30</v>
      </c>
      <c r="Y17" s="531"/>
      <c r="Z17" s="531"/>
      <c r="AA17" s="531"/>
      <c r="AB17" s="531"/>
      <c r="AC17" s="546"/>
      <c r="AD17" s="546"/>
      <c r="AE17" s="546"/>
      <c r="AF17" s="546"/>
      <c r="AG17" s="546"/>
      <c r="AH17" s="546"/>
      <c r="AI17" s="546"/>
      <c r="AJ17" s="546"/>
      <c r="AK17" s="546"/>
      <c r="AL17" s="546"/>
      <c r="AM17" s="546"/>
    </row>
    <row r="18" spans="1:39" x14ac:dyDescent="0.2">
      <c r="A18" s="561">
        <v>7</v>
      </c>
      <c r="B18" s="885" t="s">
        <v>1684</v>
      </c>
      <c r="C18" s="885"/>
      <c r="D18" s="560"/>
      <c r="E18" s="560"/>
      <c r="F18" s="560" t="s">
        <v>1679</v>
      </c>
      <c r="G18" s="560"/>
      <c r="H18" s="560"/>
      <c r="I18" s="560"/>
      <c r="J18" s="560"/>
      <c r="K18" s="560" t="s">
        <v>1679</v>
      </c>
      <c r="L18" s="562">
        <f t="shared" si="0"/>
        <v>0.13235294117647059</v>
      </c>
      <c r="M18" s="545">
        <f t="shared" si="1"/>
        <v>300</v>
      </c>
      <c r="N18" s="545">
        <f t="shared" si="2"/>
        <v>225</v>
      </c>
      <c r="O18" s="563">
        <f t="shared" si="3"/>
        <v>0</v>
      </c>
      <c r="P18" s="564">
        <f t="shared" si="4"/>
        <v>0</v>
      </c>
      <c r="Q18" s="564">
        <f t="shared" si="5"/>
        <v>7.5</v>
      </c>
      <c r="R18" s="564">
        <f t="shared" si="6"/>
        <v>0</v>
      </c>
      <c r="S18" s="565">
        <f t="shared" si="7"/>
        <v>7.5</v>
      </c>
      <c r="T18" s="563">
        <f t="shared" si="8"/>
        <v>0</v>
      </c>
      <c r="U18" s="564">
        <f t="shared" si="9"/>
        <v>0</v>
      </c>
      <c r="V18" s="564">
        <f t="shared" si="10"/>
        <v>0</v>
      </c>
      <c r="W18" s="564">
        <f t="shared" si="11"/>
        <v>30</v>
      </c>
      <c r="X18" s="565">
        <f t="shared" si="12"/>
        <v>30</v>
      </c>
      <c r="Y18" s="531"/>
      <c r="Z18" s="531"/>
      <c r="AA18" s="531"/>
      <c r="AB18" s="531"/>
      <c r="AC18" s="546"/>
      <c r="AD18" s="546"/>
      <c r="AE18" s="546"/>
      <c r="AF18" s="546"/>
      <c r="AG18" s="546"/>
      <c r="AH18" s="546"/>
      <c r="AI18" s="546"/>
      <c r="AJ18" s="546"/>
      <c r="AK18" s="546"/>
      <c r="AL18" s="546"/>
      <c r="AM18" s="546"/>
    </row>
    <row r="19" spans="1:39" ht="12" thickBot="1" x14ac:dyDescent="0.25">
      <c r="L19" s="566">
        <f>SUM(L12:L18)</f>
        <v>0.79411764705882348</v>
      </c>
      <c r="M19" s="545">
        <f>SUM(M12:M18)</f>
        <v>1700</v>
      </c>
      <c r="N19" s="545">
        <f>SUM(N12:N18)</f>
        <v>1350</v>
      </c>
      <c r="O19" s="530"/>
      <c r="P19" s="530"/>
      <c r="Q19" s="530"/>
      <c r="R19" s="530"/>
      <c r="S19" s="530"/>
      <c r="T19" s="530"/>
      <c r="U19" s="530"/>
      <c r="V19" s="530"/>
      <c r="W19" s="530"/>
      <c r="X19" s="530"/>
      <c r="Y19" s="531"/>
      <c r="Z19" s="531"/>
      <c r="AA19" s="531"/>
      <c r="AB19" s="531"/>
      <c r="AC19" s="546"/>
      <c r="AD19" s="546"/>
      <c r="AE19" s="546"/>
      <c r="AF19" s="546"/>
      <c r="AG19" s="546"/>
      <c r="AH19" s="546"/>
      <c r="AI19" s="546"/>
      <c r="AJ19" s="546"/>
      <c r="AK19" s="546"/>
      <c r="AL19" s="546"/>
      <c r="AM19" s="546"/>
    </row>
    <row r="20" spans="1:39" x14ac:dyDescent="0.2">
      <c r="B20" s="531"/>
      <c r="C20" s="531"/>
      <c r="D20" s="531"/>
      <c r="E20" s="531"/>
      <c r="F20" s="531"/>
      <c r="G20" s="531"/>
      <c r="H20" s="531"/>
      <c r="I20" s="531"/>
      <c r="J20" s="531"/>
      <c r="K20" s="531"/>
      <c r="L20" s="531"/>
      <c r="M20" s="530"/>
      <c r="N20" s="530">
        <f>IF($L$19&gt;85%,5,0)</f>
        <v>0</v>
      </c>
      <c r="O20" s="530">
        <f>IF($L$19&lt;=85%,2,0)</f>
        <v>2</v>
      </c>
      <c r="P20" s="530">
        <f>IF($L$19&gt;70%,2,0)</f>
        <v>2</v>
      </c>
      <c r="Q20" s="530">
        <f>IF($L$19&lt;=70%,3,0)</f>
        <v>0</v>
      </c>
      <c r="R20" s="530">
        <f>IF($L$19&gt;45%,1,0)</f>
        <v>1</v>
      </c>
      <c r="S20" s="530">
        <f>IF($L$19&lt;=45%,1,0)</f>
        <v>0</v>
      </c>
      <c r="T20" s="530"/>
      <c r="U20" s="530">
        <f>IF($L$19&gt;0%,2,0)</f>
        <v>2</v>
      </c>
      <c r="V20" s="530"/>
      <c r="W20" s="530"/>
      <c r="X20" s="530"/>
      <c r="Y20" s="531"/>
      <c r="Z20" s="531"/>
      <c r="AA20" s="531"/>
      <c r="AB20" s="531"/>
      <c r="AC20" s="546"/>
      <c r="AD20" s="546"/>
      <c r="AE20" s="546"/>
      <c r="AF20" s="546"/>
      <c r="AG20" s="546"/>
      <c r="AH20" s="546"/>
      <c r="AI20" s="546"/>
      <c r="AJ20" s="546"/>
      <c r="AK20" s="546"/>
      <c r="AL20" s="546"/>
      <c r="AM20" s="546"/>
    </row>
    <row r="21" spans="1:39" ht="12.75" customHeight="1" x14ac:dyDescent="0.2">
      <c r="A21" s="886" t="s">
        <v>1685</v>
      </c>
      <c r="B21" s="886"/>
      <c r="C21" s="567">
        <f>+L19</f>
        <v>0.79411764705882348</v>
      </c>
      <c r="E21" s="874" t="str">
        <f>+IF(L19&gt;=0.86,"A",IF(AND(L19&lt;0.86,L19&gt;=0.71),"B",IF(AND(L19&lt;0.71,L19&gt;=0.46),"C",IF(AND(L19&lt;0.46,L19&gt;0),"No califica",IF(L19=0,"No evaluado",)))))</f>
        <v>B</v>
      </c>
      <c r="F21" s="874"/>
      <c r="H21" s="882" t="s">
        <v>1686</v>
      </c>
      <c r="I21" s="882"/>
      <c r="J21" s="882"/>
      <c r="K21" s="882"/>
      <c r="L21" s="568" t="str">
        <f>+IF(E21="A","Excelente",IF(E21="B","Muy Bueno",IF(E21="C","Bueno a regular",IF(E21="No evaluado","","No califica"))))</f>
        <v>Muy Bueno</v>
      </c>
      <c r="M21" s="530"/>
      <c r="N21" s="530">
        <f>+N20</f>
        <v>0</v>
      </c>
      <c r="O21" s="879">
        <f>+O20*P20</f>
        <v>4</v>
      </c>
      <c r="P21" s="879"/>
      <c r="Q21" s="879">
        <f>+Q20*R20</f>
        <v>0</v>
      </c>
      <c r="R21" s="879"/>
      <c r="S21" s="879">
        <f>+S20*U20</f>
        <v>0</v>
      </c>
      <c r="T21" s="879"/>
      <c r="U21" s="879"/>
      <c r="V21" s="530">
        <f>SUM(N21:U21)</f>
        <v>4</v>
      </c>
      <c r="W21" s="530"/>
      <c r="X21" s="530"/>
      <c r="Y21" s="531"/>
      <c r="Z21" s="531"/>
      <c r="AA21" s="531"/>
      <c r="AB21" s="531"/>
    </row>
    <row r="22" spans="1:39" ht="12" customHeight="1" x14ac:dyDescent="0.2">
      <c r="B22" s="569"/>
      <c r="C22" s="531"/>
      <c r="D22" s="531"/>
      <c r="E22" s="531"/>
      <c r="F22" s="531"/>
      <c r="H22" s="570"/>
      <c r="I22" s="570"/>
      <c r="J22" s="571"/>
      <c r="K22" s="572"/>
      <c r="L22" s="573"/>
      <c r="M22" s="530"/>
      <c r="N22" s="530"/>
      <c r="O22" s="530"/>
      <c r="P22" s="530"/>
      <c r="Q22" s="530"/>
      <c r="R22" s="530"/>
      <c r="S22" s="530"/>
      <c r="T22" s="530"/>
      <c r="U22" s="530"/>
      <c r="V22" s="530"/>
      <c r="W22" s="530"/>
      <c r="X22" s="530"/>
      <c r="Y22" s="531"/>
      <c r="Z22" s="531"/>
      <c r="AA22" s="531"/>
      <c r="AB22" s="531"/>
    </row>
    <row r="23" spans="1:39" ht="12.75" customHeight="1" x14ac:dyDescent="0.2">
      <c r="A23" s="890" t="s">
        <v>1687</v>
      </c>
      <c r="B23" s="890"/>
      <c r="C23" s="881" t="s">
        <v>2164</v>
      </c>
      <c r="D23" s="881"/>
      <c r="E23" s="881"/>
      <c r="F23" s="881"/>
      <c r="H23" s="882" t="s">
        <v>1689</v>
      </c>
      <c r="I23" s="882"/>
      <c r="J23" s="882"/>
      <c r="K23" s="882"/>
      <c r="L23" s="574">
        <v>43564</v>
      </c>
      <c r="M23" s="530"/>
      <c r="N23" s="530"/>
      <c r="O23" s="530"/>
      <c r="P23" s="530"/>
      <c r="Q23" s="530"/>
      <c r="R23" s="530"/>
      <c r="S23" s="530"/>
      <c r="T23" s="530"/>
      <c r="U23" s="530"/>
      <c r="V23" s="530"/>
      <c r="W23" s="530"/>
      <c r="X23" s="530"/>
      <c r="Y23" s="531"/>
      <c r="Z23" s="531"/>
      <c r="AA23" s="531"/>
      <c r="AB23" s="531"/>
    </row>
    <row r="24" spans="1:39" ht="9" customHeight="1" thickBot="1" x14ac:dyDescent="0.25">
      <c r="B24" s="531"/>
      <c r="C24" s="531"/>
      <c r="D24" s="531"/>
      <c r="E24" s="531"/>
      <c r="F24" s="531"/>
      <c r="G24" s="531"/>
      <c r="H24" s="531"/>
      <c r="I24" s="531"/>
      <c r="M24" s="530"/>
      <c r="N24" s="530"/>
      <c r="O24" s="530"/>
      <c r="P24" s="530"/>
      <c r="Q24" s="530"/>
      <c r="R24" s="530"/>
      <c r="S24" s="530"/>
      <c r="T24" s="530"/>
      <c r="U24" s="530"/>
      <c r="V24" s="530"/>
      <c r="W24" s="530"/>
      <c r="X24" s="530"/>
      <c r="Y24" s="531"/>
      <c r="Z24" s="531"/>
      <c r="AA24" s="531"/>
      <c r="AB24" s="531"/>
    </row>
    <row r="25" spans="1:39" s="575" customFormat="1" ht="14.25" customHeight="1" thickBot="1" x14ac:dyDescent="0.25">
      <c r="A25" s="891" t="s">
        <v>1690</v>
      </c>
      <c r="B25" s="892"/>
      <c r="C25" s="892"/>
      <c r="D25" s="892"/>
      <c r="E25" s="892"/>
      <c r="F25" s="892"/>
      <c r="G25" s="892"/>
      <c r="H25" s="892"/>
      <c r="I25" s="892"/>
      <c r="J25" s="892"/>
      <c r="K25" s="892"/>
      <c r="L25" s="893"/>
      <c r="M25" s="536"/>
      <c r="N25" s="536"/>
      <c r="O25" s="536"/>
      <c r="P25" s="536"/>
      <c r="Q25" s="536"/>
      <c r="R25" s="536"/>
      <c r="S25" s="536"/>
      <c r="T25" s="536"/>
      <c r="U25" s="536"/>
      <c r="V25" s="536"/>
      <c r="W25" s="536"/>
      <c r="X25" s="536"/>
      <c r="Y25" s="536"/>
      <c r="Z25" s="536"/>
      <c r="AA25" s="536"/>
      <c r="AB25" s="536"/>
    </row>
    <row r="26" spans="1:39" ht="6.75" customHeight="1" x14ac:dyDescent="0.2">
      <c r="B26" s="539"/>
      <c r="D26" s="533"/>
      <c r="E26" s="533"/>
      <c r="F26" s="533"/>
      <c r="G26" s="533"/>
      <c r="H26" s="533"/>
      <c r="I26" s="533"/>
      <c r="J26" s="533"/>
      <c r="K26" s="533"/>
      <c r="L26" s="533"/>
      <c r="M26" s="530"/>
      <c r="N26" s="530"/>
      <c r="O26" s="530"/>
      <c r="P26" s="530"/>
      <c r="Q26" s="530"/>
      <c r="R26" s="530"/>
      <c r="S26" s="530"/>
      <c r="T26" s="530"/>
      <c r="U26" s="530"/>
      <c r="V26" s="530"/>
      <c r="W26" s="530"/>
      <c r="X26" s="530"/>
      <c r="Y26" s="531"/>
      <c r="Z26" s="531"/>
      <c r="AA26" s="531"/>
      <c r="AB26" s="531"/>
    </row>
    <row r="27" spans="1:39" x14ac:dyDescent="0.2">
      <c r="B27" s="539"/>
      <c r="D27" s="894" t="s">
        <v>1665</v>
      </c>
      <c r="E27" s="894"/>
      <c r="F27" s="894"/>
      <c r="G27" s="894"/>
      <c r="H27" s="895" t="s">
        <v>1666</v>
      </c>
      <c r="I27" s="896"/>
      <c r="J27" s="896"/>
      <c r="K27" s="897"/>
      <c r="L27" s="540" t="s">
        <v>1667</v>
      </c>
      <c r="M27" s="530"/>
      <c r="N27" s="530"/>
      <c r="O27" s="530"/>
      <c r="P27" s="530"/>
      <c r="Q27" s="530"/>
      <c r="R27" s="530"/>
      <c r="S27" s="530"/>
      <c r="T27" s="530"/>
      <c r="U27" s="530"/>
      <c r="V27" s="530"/>
      <c r="W27" s="530"/>
      <c r="X27" s="530"/>
      <c r="Y27" s="531"/>
      <c r="Z27" s="531"/>
      <c r="AA27" s="531"/>
      <c r="AB27" s="531"/>
    </row>
    <row r="28" spans="1:39" x14ac:dyDescent="0.2">
      <c r="A28" s="541" t="s">
        <v>1668</v>
      </c>
      <c r="B28" s="898" t="s">
        <v>1669</v>
      </c>
      <c r="C28" s="898"/>
      <c r="D28" s="542">
        <v>1</v>
      </c>
      <c r="E28" s="542">
        <v>2</v>
      </c>
      <c r="F28" s="542">
        <v>3</v>
      </c>
      <c r="G28" s="543">
        <v>4</v>
      </c>
      <c r="H28" s="544" t="s">
        <v>1670</v>
      </c>
      <c r="I28" s="544" t="s">
        <v>1671</v>
      </c>
      <c r="J28" s="544" t="s">
        <v>1672</v>
      </c>
      <c r="K28" s="544" t="s">
        <v>1673</v>
      </c>
      <c r="L28" s="541" t="s">
        <v>1674</v>
      </c>
      <c r="M28" s="545" t="s">
        <v>1675</v>
      </c>
      <c r="N28" s="545" t="s">
        <v>1676</v>
      </c>
      <c r="O28" s="889" t="s">
        <v>1677</v>
      </c>
      <c r="P28" s="889"/>
      <c r="Q28" s="889"/>
      <c r="R28" s="889"/>
      <c r="S28" s="899"/>
      <c r="T28" s="889" t="s">
        <v>1666</v>
      </c>
      <c r="U28" s="889"/>
      <c r="V28" s="889"/>
      <c r="W28" s="889"/>
      <c r="X28" s="889"/>
      <c r="Y28" s="531"/>
      <c r="Z28" s="531"/>
      <c r="AA28" s="531"/>
      <c r="AB28" s="531"/>
      <c r="AC28" s="546"/>
      <c r="AD28" s="546"/>
      <c r="AE28" s="546"/>
      <c r="AF28" s="546"/>
      <c r="AG28" s="546"/>
      <c r="AH28" s="546"/>
      <c r="AI28" s="546"/>
      <c r="AJ28" s="546"/>
      <c r="AK28" s="546"/>
      <c r="AL28" s="546"/>
      <c r="AM28" s="546"/>
    </row>
    <row r="29" spans="1:39" x14ac:dyDescent="0.2">
      <c r="A29" s="547">
        <v>1</v>
      </c>
      <c r="B29" s="887" t="s">
        <v>1691</v>
      </c>
      <c r="C29" s="888"/>
      <c r="D29" s="548"/>
      <c r="E29" s="548"/>
      <c r="F29" s="548"/>
      <c r="G29" s="549" t="s">
        <v>1679</v>
      </c>
      <c r="H29" s="548"/>
      <c r="I29" s="548"/>
      <c r="J29" s="548"/>
      <c r="K29" s="549" t="s">
        <v>1679</v>
      </c>
      <c r="L29" s="550">
        <f t="shared" ref="L29:L43" si="13">IF($M$44=0,0,N29/$M$44)</f>
        <v>7.3170731707317069E-2</v>
      </c>
      <c r="M29" s="545">
        <f t="shared" ref="M29:M43" si="14">+X29*10</f>
        <v>300</v>
      </c>
      <c r="N29" s="545">
        <f t="shared" ref="N29:N43" si="15">+S29*X29</f>
        <v>300</v>
      </c>
      <c r="O29" s="558">
        <f t="shared" ref="O29:O44" si="16">IF(D29="X",2.5,0)</f>
        <v>0</v>
      </c>
      <c r="P29" s="530">
        <f t="shared" ref="P29:P44" si="17">IF(E29="X",5,0)</f>
        <v>0</v>
      </c>
      <c r="Q29" s="530">
        <f t="shared" ref="Q29:Q44" si="18">IF(F29="X",7.5,0)</f>
        <v>0</v>
      </c>
      <c r="R29" s="530">
        <f t="shared" ref="R29:R44" si="19">IF(G29="X",10,0)</f>
        <v>10</v>
      </c>
      <c r="S29" s="545">
        <f t="shared" ref="S29:S44" si="20">SUM(O29:R29)</f>
        <v>10</v>
      </c>
      <c r="T29" s="558">
        <f t="shared" ref="T29:T44" si="21">IF(H29="X",0,0)</f>
        <v>0</v>
      </c>
      <c r="U29" s="530">
        <f t="shared" ref="U29:U44" si="22">IF(I29="X",10,0)</f>
        <v>0</v>
      </c>
      <c r="V29" s="530">
        <f t="shared" ref="V29:V44" si="23">IF(J29="X",20,0)</f>
        <v>0</v>
      </c>
      <c r="W29" s="530">
        <f t="shared" ref="W29:W44" si="24">IF(K29="X",30,0)</f>
        <v>30</v>
      </c>
      <c r="X29" s="576">
        <f t="shared" ref="X29:X44" si="25">SUM(U29:W29)</f>
        <v>30</v>
      </c>
      <c r="Y29" s="531"/>
      <c r="Z29" s="531"/>
      <c r="AA29" s="531"/>
      <c r="AB29" s="531"/>
      <c r="AC29" s="546"/>
      <c r="AD29" s="546"/>
      <c r="AE29" s="546"/>
      <c r="AF29" s="546"/>
      <c r="AG29" s="546"/>
      <c r="AH29" s="546"/>
      <c r="AI29" s="546"/>
      <c r="AJ29" s="546"/>
      <c r="AK29" s="546"/>
      <c r="AL29" s="546"/>
      <c r="AM29" s="546"/>
    </row>
    <row r="30" spans="1:39" x14ac:dyDescent="0.2">
      <c r="A30" s="554">
        <v>2</v>
      </c>
      <c r="B30" s="883" t="s">
        <v>1692</v>
      </c>
      <c r="C30" s="884"/>
      <c r="D30" s="555"/>
      <c r="E30" s="555" t="s">
        <v>1679</v>
      </c>
      <c r="F30" s="555"/>
      <c r="G30" s="556"/>
      <c r="H30" s="555"/>
      <c r="I30" s="555"/>
      <c r="J30" s="555"/>
      <c r="K30" s="556" t="s">
        <v>1679</v>
      </c>
      <c r="L30" s="557">
        <f t="shared" si="13"/>
        <v>3.6585365853658534E-2</v>
      </c>
      <c r="M30" s="545">
        <f t="shared" si="14"/>
        <v>300</v>
      </c>
      <c r="N30" s="545">
        <f t="shared" si="15"/>
        <v>150</v>
      </c>
      <c r="O30" s="558">
        <f t="shared" si="16"/>
        <v>0</v>
      </c>
      <c r="P30" s="530">
        <f>IF(E30="X",5,0)</f>
        <v>5</v>
      </c>
      <c r="Q30" s="530">
        <f t="shared" si="18"/>
        <v>0</v>
      </c>
      <c r="R30" s="530">
        <f>IF(G30="X",10,0)</f>
        <v>0</v>
      </c>
      <c r="S30" s="545">
        <f t="shared" si="20"/>
        <v>5</v>
      </c>
      <c r="T30" s="558">
        <f t="shared" si="21"/>
        <v>0</v>
      </c>
      <c r="U30" s="530">
        <f t="shared" si="22"/>
        <v>0</v>
      </c>
      <c r="V30" s="530">
        <f t="shared" si="23"/>
        <v>0</v>
      </c>
      <c r="W30" s="530">
        <f t="shared" si="24"/>
        <v>30</v>
      </c>
      <c r="X30" s="576">
        <f t="shared" si="25"/>
        <v>30</v>
      </c>
      <c r="Y30" s="531"/>
      <c r="Z30" s="531"/>
      <c r="AA30" s="531"/>
      <c r="AB30" s="531"/>
      <c r="AC30" s="546"/>
      <c r="AD30" s="546"/>
      <c r="AE30" s="546"/>
      <c r="AF30" s="546"/>
      <c r="AG30" s="546"/>
      <c r="AH30" s="546"/>
      <c r="AI30" s="546"/>
      <c r="AJ30" s="546"/>
      <c r="AK30" s="546"/>
      <c r="AL30" s="546"/>
      <c r="AM30" s="546"/>
    </row>
    <row r="31" spans="1:39" x14ac:dyDescent="0.2">
      <c r="A31" s="547">
        <v>3</v>
      </c>
      <c r="B31" s="883" t="s">
        <v>1693</v>
      </c>
      <c r="C31" s="884"/>
      <c r="D31" s="555"/>
      <c r="E31" s="555"/>
      <c r="F31" s="555"/>
      <c r="G31" s="556"/>
      <c r="H31" s="555" t="s">
        <v>1679</v>
      </c>
      <c r="I31" s="555"/>
      <c r="J31" s="555"/>
      <c r="K31" s="556"/>
      <c r="L31" s="557">
        <f t="shared" si="13"/>
        <v>0</v>
      </c>
      <c r="M31" s="545">
        <f t="shared" si="14"/>
        <v>0</v>
      </c>
      <c r="N31" s="545">
        <f t="shared" si="15"/>
        <v>0</v>
      </c>
      <c r="O31" s="558">
        <f t="shared" si="16"/>
        <v>0</v>
      </c>
      <c r="P31" s="530">
        <f t="shared" si="17"/>
        <v>0</v>
      </c>
      <c r="Q31" s="530">
        <f t="shared" si="18"/>
        <v>0</v>
      </c>
      <c r="R31" s="530">
        <f t="shared" si="19"/>
        <v>0</v>
      </c>
      <c r="S31" s="545">
        <f t="shared" si="20"/>
        <v>0</v>
      </c>
      <c r="T31" s="558">
        <f t="shared" si="21"/>
        <v>0</v>
      </c>
      <c r="U31" s="530">
        <f t="shared" si="22"/>
        <v>0</v>
      </c>
      <c r="V31" s="530">
        <f t="shared" si="23"/>
        <v>0</v>
      </c>
      <c r="W31" s="530">
        <f t="shared" si="24"/>
        <v>0</v>
      </c>
      <c r="X31" s="576">
        <f t="shared" si="25"/>
        <v>0</v>
      </c>
      <c r="Y31" s="531"/>
      <c r="Z31" s="531"/>
      <c r="AA31" s="531"/>
      <c r="AB31" s="531"/>
      <c r="AC31" s="546"/>
      <c r="AD31" s="546"/>
      <c r="AE31" s="546"/>
      <c r="AF31" s="546"/>
      <c r="AG31" s="546"/>
      <c r="AH31" s="546"/>
      <c r="AI31" s="546"/>
      <c r="AJ31" s="546"/>
      <c r="AK31" s="546"/>
      <c r="AL31" s="546"/>
      <c r="AM31" s="546"/>
    </row>
    <row r="32" spans="1:39" x14ac:dyDescent="0.2">
      <c r="A32" s="554">
        <v>4</v>
      </c>
      <c r="B32" s="883" t="s">
        <v>1694</v>
      </c>
      <c r="C32" s="884"/>
      <c r="D32" s="555"/>
      <c r="E32" s="555" t="s">
        <v>1679</v>
      </c>
      <c r="F32" s="555"/>
      <c r="G32" s="556"/>
      <c r="H32" s="555"/>
      <c r="I32" s="555"/>
      <c r="J32" s="555"/>
      <c r="K32" s="556" t="s">
        <v>1679</v>
      </c>
      <c r="L32" s="557">
        <f t="shared" si="13"/>
        <v>3.6585365853658534E-2</v>
      </c>
      <c r="M32" s="545">
        <f t="shared" si="14"/>
        <v>300</v>
      </c>
      <c r="N32" s="545">
        <f t="shared" si="15"/>
        <v>150</v>
      </c>
      <c r="O32" s="558">
        <f>IF(D32="X",2.5,0)</f>
        <v>0</v>
      </c>
      <c r="P32" s="530">
        <f t="shared" si="17"/>
        <v>5</v>
      </c>
      <c r="Q32" s="530">
        <f>IF(F32="X",7.5,0)</f>
        <v>0</v>
      </c>
      <c r="R32" s="530">
        <f t="shared" si="19"/>
        <v>0</v>
      </c>
      <c r="S32" s="545">
        <f t="shared" si="20"/>
        <v>5</v>
      </c>
      <c r="T32" s="558">
        <f t="shared" si="21"/>
        <v>0</v>
      </c>
      <c r="U32" s="530">
        <f t="shared" si="22"/>
        <v>0</v>
      </c>
      <c r="V32" s="530">
        <f>IF(J32="X",20,0)</f>
        <v>0</v>
      </c>
      <c r="W32" s="530">
        <f>IF(K32="X",30,0)</f>
        <v>30</v>
      </c>
      <c r="X32" s="576">
        <f t="shared" si="25"/>
        <v>30</v>
      </c>
      <c r="Y32" s="531"/>
      <c r="Z32" s="531"/>
      <c r="AA32" s="531"/>
      <c r="AB32" s="531"/>
      <c r="AC32" s="546"/>
      <c r="AD32" s="546"/>
      <c r="AE32" s="546"/>
      <c r="AF32" s="546"/>
      <c r="AG32" s="546"/>
      <c r="AH32" s="546"/>
      <c r="AI32" s="546"/>
      <c r="AJ32" s="546"/>
      <c r="AK32" s="546"/>
      <c r="AL32" s="546"/>
      <c r="AM32" s="546"/>
    </row>
    <row r="33" spans="1:39" x14ac:dyDescent="0.2">
      <c r="A33" s="547">
        <v>5</v>
      </c>
      <c r="B33" s="883" t="s">
        <v>1695</v>
      </c>
      <c r="C33" s="884"/>
      <c r="D33" s="555"/>
      <c r="E33" s="555" t="s">
        <v>1679</v>
      </c>
      <c r="F33" s="555"/>
      <c r="G33" s="556"/>
      <c r="H33" s="555"/>
      <c r="I33" s="555"/>
      <c r="J33" s="555" t="s">
        <v>1679</v>
      </c>
      <c r="K33" s="556"/>
      <c r="L33" s="557">
        <f t="shared" si="13"/>
        <v>2.4390243902439025E-2</v>
      </c>
      <c r="M33" s="545">
        <f t="shared" si="14"/>
        <v>200</v>
      </c>
      <c r="N33" s="545">
        <f t="shared" si="15"/>
        <v>100</v>
      </c>
      <c r="O33" s="558">
        <f t="shared" si="16"/>
        <v>0</v>
      </c>
      <c r="P33" s="530">
        <f t="shared" si="17"/>
        <v>5</v>
      </c>
      <c r="Q33" s="530">
        <f t="shared" si="18"/>
        <v>0</v>
      </c>
      <c r="R33" s="530">
        <f t="shared" si="19"/>
        <v>0</v>
      </c>
      <c r="S33" s="545">
        <f t="shared" si="20"/>
        <v>5</v>
      </c>
      <c r="T33" s="558">
        <f t="shared" si="21"/>
        <v>0</v>
      </c>
      <c r="U33" s="530">
        <f t="shared" si="22"/>
        <v>0</v>
      </c>
      <c r="V33" s="530">
        <f t="shared" si="23"/>
        <v>20</v>
      </c>
      <c r="W33" s="530">
        <f t="shared" si="24"/>
        <v>0</v>
      </c>
      <c r="X33" s="576">
        <f t="shared" si="25"/>
        <v>20</v>
      </c>
      <c r="Y33" s="531"/>
      <c r="Z33" s="531"/>
      <c r="AA33" s="531"/>
      <c r="AB33" s="531"/>
      <c r="AC33" s="546"/>
      <c r="AD33" s="546"/>
      <c r="AE33" s="546"/>
      <c r="AF33" s="546"/>
      <c r="AG33" s="546"/>
      <c r="AH33" s="546"/>
      <c r="AI33" s="546"/>
      <c r="AJ33" s="546"/>
      <c r="AK33" s="546"/>
      <c r="AL33" s="546"/>
      <c r="AM33" s="546"/>
    </row>
    <row r="34" spans="1:39" x14ac:dyDescent="0.2">
      <c r="A34" s="554">
        <v>6</v>
      </c>
      <c r="B34" s="883" t="s">
        <v>1696</v>
      </c>
      <c r="C34" s="884"/>
      <c r="D34" s="555"/>
      <c r="E34" s="555" t="s">
        <v>1679</v>
      </c>
      <c r="F34" s="555"/>
      <c r="G34" s="556"/>
      <c r="H34" s="555"/>
      <c r="I34" s="555"/>
      <c r="J34" s="555"/>
      <c r="K34" s="556" t="s">
        <v>1679</v>
      </c>
      <c r="L34" s="557">
        <f t="shared" si="13"/>
        <v>3.6585365853658534E-2</v>
      </c>
      <c r="M34" s="545">
        <f t="shared" si="14"/>
        <v>300</v>
      </c>
      <c r="N34" s="545">
        <f t="shared" si="15"/>
        <v>150</v>
      </c>
      <c r="O34" s="558">
        <f t="shared" si="16"/>
        <v>0</v>
      </c>
      <c r="P34" s="530">
        <f t="shared" si="17"/>
        <v>5</v>
      </c>
      <c r="Q34" s="530">
        <f t="shared" si="18"/>
        <v>0</v>
      </c>
      <c r="R34" s="530">
        <f t="shared" si="19"/>
        <v>0</v>
      </c>
      <c r="S34" s="545">
        <f t="shared" si="20"/>
        <v>5</v>
      </c>
      <c r="T34" s="558">
        <f t="shared" si="21"/>
        <v>0</v>
      </c>
      <c r="U34" s="530">
        <f t="shared" si="22"/>
        <v>0</v>
      </c>
      <c r="V34" s="530">
        <f t="shared" si="23"/>
        <v>0</v>
      </c>
      <c r="W34" s="530">
        <f t="shared" si="24"/>
        <v>30</v>
      </c>
      <c r="X34" s="576">
        <f t="shared" si="25"/>
        <v>30</v>
      </c>
      <c r="Y34" s="531"/>
      <c r="Z34" s="531"/>
      <c r="AA34" s="531"/>
      <c r="AB34" s="531"/>
      <c r="AC34" s="546"/>
      <c r="AD34" s="546"/>
      <c r="AE34" s="546"/>
      <c r="AF34" s="546"/>
      <c r="AG34" s="546"/>
      <c r="AH34" s="546"/>
      <c r="AI34" s="546"/>
      <c r="AJ34" s="546"/>
      <c r="AK34" s="546"/>
      <c r="AL34" s="546"/>
      <c r="AM34" s="546"/>
    </row>
    <row r="35" spans="1:39" x14ac:dyDescent="0.2">
      <c r="A35" s="547">
        <v>7</v>
      </c>
      <c r="B35" s="883" t="s">
        <v>1697</v>
      </c>
      <c r="C35" s="884"/>
      <c r="D35" s="555"/>
      <c r="E35" s="555"/>
      <c r="F35" s="555"/>
      <c r="G35" s="556" t="s">
        <v>1679</v>
      </c>
      <c r="H35" s="555"/>
      <c r="I35" s="555"/>
      <c r="J35" s="555"/>
      <c r="K35" s="556" t="s">
        <v>1679</v>
      </c>
      <c r="L35" s="557">
        <f t="shared" si="13"/>
        <v>7.3170731707317069E-2</v>
      </c>
      <c r="M35" s="545">
        <f t="shared" si="14"/>
        <v>300</v>
      </c>
      <c r="N35" s="545">
        <f t="shared" si="15"/>
        <v>300</v>
      </c>
      <c r="O35" s="558">
        <f t="shared" si="16"/>
        <v>0</v>
      </c>
      <c r="P35" s="530">
        <f t="shared" si="17"/>
        <v>0</v>
      </c>
      <c r="Q35" s="530">
        <f t="shared" si="18"/>
        <v>0</v>
      </c>
      <c r="R35" s="530">
        <f t="shared" si="19"/>
        <v>10</v>
      </c>
      <c r="S35" s="545">
        <f t="shared" si="20"/>
        <v>10</v>
      </c>
      <c r="T35" s="558">
        <f t="shared" si="21"/>
        <v>0</v>
      </c>
      <c r="U35" s="530">
        <f t="shared" si="22"/>
        <v>0</v>
      </c>
      <c r="V35" s="530">
        <f t="shared" si="23"/>
        <v>0</v>
      </c>
      <c r="W35" s="530">
        <f t="shared" si="24"/>
        <v>30</v>
      </c>
      <c r="X35" s="576">
        <f t="shared" si="25"/>
        <v>30</v>
      </c>
      <c r="Y35" s="531"/>
      <c r="Z35" s="531"/>
      <c r="AA35" s="531"/>
      <c r="AB35" s="531"/>
      <c r="AC35" s="546"/>
      <c r="AD35" s="546"/>
      <c r="AE35" s="546"/>
      <c r="AF35" s="546"/>
      <c r="AG35" s="546"/>
      <c r="AH35" s="546"/>
      <c r="AI35" s="546"/>
      <c r="AJ35" s="546"/>
      <c r="AK35" s="546"/>
      <c r="AL35" s="546"/>
      <c r="AM35" s="546"/>
    </row>
    <row r="36" spans="1:39" x14ac:dyDescent="0.2">
      <c r="A36" s="554">
        <v>8</v>
      </c>
      <c r="B36" s="883" t="s">
        <v>1698</v>
      </c>
      <c r="C36" s="884"/>
      <c r="D36" s="555"/>
      <c r="E36" s="555"/>
      <c r="F36" s="555"/>
      <c r="G36" s="556" t="s">
        <v>1679</v>
      </c>
      <c r="H36" s="555"/>
      <c r="I36" s="555"/>
      <c r="J36" s="555"/>
      <c r="K36" s="556" t="s">
        <v>1679</v>
      </c>
      <c r="L36" s="557">
        <f t="shared" si="13"/>
        <v>7.3170731707317069E-2</v>
      </c>
      <c r="M36" s="545">
        <f t="shared" si="14"/>
        <v>300</v>
      </c>
      <c r="N36" s="545">
        <f t="shared" si="15"/>
        <v>300</v>
      </c>
      <c r="O36" s="558">
        <f t="shared" si="16"/>
        <v>0</v>
      </c>
      <c r="P36" s="530">
        <f t="shared" si="17"/>
        <v>0</v>
      </c>
      <c r="Q36" s="530">
        <f t="shared" si="18"/>
        <v>0</v>
      </c>
      <c r="R36" s="530">
        <f t="shared" si="19"/>
        <v>10</v>
      </c>
      <c r="S36" s="545">
        <f t="shared" si="20"/>
        <v>10</v>
      </c>
      <c r="T36" s="558">
        <f t="shared" si="21"/>
        <v>0</v>
      </c>
      <c r="U36" s="530">
        <f t="shared" si="22"/>
        <v>0</v>
      </c>
      <c r="V36" s="530">
        <f t="shared" si="23"/>
        <v>0</v>
      </c>
      <c r="W36" s="530">
        <f t="shared" si="24"/>
        <v>30</v>
      </c>
      <c r="X36" s="576">
        <f t="shared" si="25"/>
        <v>30</v>
      </c>
      <c r="Y36" s="531"/>
      <c r="Z36" s="531"/>
      <c r="AA36" s="531"/>
      <c r="AB36" s="531"/>
      <c r="AC36" s="546"/>
      <c r="AD36" s="546"/>
      <c r="AE36" s="546"/>
      <c r="AF36" s="546"/>
      <c r="AG36" s="546"/>
      <c r="AH36" s="546"/>
      <c r="AI36" s="546"/>
      <c r="AJ36" s="546"/>
      <c r="AK36" s="546"/>
      <c r="AL36" s="546"/>
      <c r="AM36" s="546"/>
    </row>
    <row r="37" spans="1:39" x14ac:dyDescent="0.2">
      <c r="A37" s="547">
        <v>9</v>
      </c>
      <c r="B37" s="883" t="s">
        <v>1699</v>
      </c>
      <c r="C37" s="884"/>
      <c r="D37" s="555"/>
      <c r="E37" s="555" t="s">
        <v>1679</v>
      </c>
      <c r="F37" s="555"/>
      <c r="G37" s="556"/>
      <c r="H37" s="555"/>
      <c r="I37" s="555"/>
      <c r="J37" s="555"/>
      <c r="K37" s="556" t="s">
        <v>1679</v>
      </c>
      <c r="L37" s="557">
        <f>IF($M$44=0,0,N37/$M$44)</f>
        <v>3.6585365853658534E-2</v>
      </c>
      <c r="M37" s="545">
        <f>+X37*10</f>
        <v>300</v>
      </c>
      <c r="N37" s="545">
        <f>+S37*X37</f>
        <v>150</v>
      </c>
      <c r="O37" s="558">
        <f>IF(D37="X",2.5,0)</f>
        <v>0</v>
      </c>
      <c r="P37" s="530">
        <f>IF(E37="X",5,0)</f>
        <v>5</v>
      </c>
      <c r="Q37" s="530">
        <f>IF(F37="X",7.5,0)</f>
        <v>0</v>
      </c>
      <c r="R37" s="530">
        <f>IF(G37="X",10,0)</f>
        <v>0</v>
      </c>
      <c r="S37" s="545">
        <f>SUM(O37:R37)</f>
        <v>5</v>
      </c>
      <c r="T37" s="558">
        <f>IF(H37="X",0,0)</f>
        <v>0</v>
      </c>
      <c r="U37" s="530">
        <f>IF(I37="X",10,0)</f>
        <v>0</v>
      </c>
      <c r="V37" s="530">
        <f>IF(J37="X",20,0)</f>
        <v>0</v>
      </c>
      <c r="W37" s="530">
        <f>IF(K37="X",30,0)</f>
        <v>30</v>
      </c>
      <c r="X37" s="576">
        <f>SUM(U37:W37)</f>
        <v>30</v>
      </c>
      <c r="Y37" s="531"/>
      <c r="Z37" s="531"/>
      <c r="AA37" s="531"/>
      <c r="AB37" s="531"/>
      <c r="AC37" s="546"/>
      <c r="AD37" s="546"/>
      <c r="AE37" s="546"/>
      <c r="AF37" s="546"/>
      <c r="AG37" s="546"/>
      <c r="AH37" s="546"/>
      <c r="AI37" s="546"/>
      <c r="AJ37" s="546"/>
      <c r="AK37" s="546"/>
      <c r="AL37" s="546"/>
      <c r="AM37" s="546"/>
    </row>
    <row r="38" spans="1:39" x14ac:dyDescent="0.2">
      <c r="A38" s="554">
        <v>10</v>
      </c>
      <c r="B38" s="883" t="s">
        <v>1700</v>
      </c>
      <c r="C38" s="884"/>
      <c r="D38" s="555"/>
      <c r="E38" s="555"/>
      <c r="F38" s="555"/>
      <c r="G38" s="556" t="s">
        <v>1679</v>
      </c>
      <c r="H38" s="555"/>
      <c r="I38" s="555"/>
      <c r="J38" s="555"/>
      <c r="K38" s="556" t="s">
        <v>1679</v>
      </c>
      <c r="L38" s="557">
        <f t="shared" si="13"/>
        <v>7.3170731707317069E-2</v>
      </c>
      <c r="M38" s="545">
        <f t="shared" si="14"/>
        <v>300</v>
      </c>
      <c r="N38" s="545">
        <f t="shared" si="15"/>
        <v>300</v>
      </c>
      <c r="O38" s="558">
        <f t="shared" si="16"/>
        <v>0</v>
      </c>
      <c r="P38" s="530">
        <f t="shared" si="17"/>
        <v>0</v>
      </c>
      <c r="Q38" s="530">
        <f t="shared" si="18"/>
        <v>0</v>
      </c>
      <c r="R38" s="530">
        <f t="shared" si="19"/>
        <v>10</v>
      </c>
      <c r="S38" s="545">
        <f t="shared" si="20"/>
        <v>10</v>
      </c>
      <c r="T38" s="558">
        <f t="shared" si="21"/>
        <v>0</v>
      </c>
      <c r="U38" s="530">
        <f t="shared" si="22"/>
        <v>0</v>
      </c>
      <c r="V38" s="530">
        <f t="shared" si="23"/>
        <v>0</v>
      </c>
      <c r="W38" s="530">
        <f t="shared" si="24"/>
        <v>30</v>
      </c>
      <c r="X38" s="576">
        <f t="shared" si="25"/>
        <v>30</v>
      </c>
      <c r="Y38" s="531"/>
      <c r="Z38" s="531"/>
      <c r="AA38" s="531"/>
      <c r="AB38" s="531"/>
      <c r="AC38" s="546"/>
      <c r="AD38" s="546"/>
      <c r="AE38" s="546"/>
      <c r="AF38" s="546"/>
      <c r="AG38" s="546"/>
      <c r="AH38" s="546"/>
      <c r="AI38" s="546"/>
      <c r="AJ38" s="546"/>
      <c r="AK38" s="546"/>
      <c r="AL38" s="546"/>
      <c r="AM38" s="546"/>
    </row>
    <row r="39" spans="1:39" x14ac:dyDescent="0.2">
      <c r="A39" s="547">
        <v>11</v>
      </c>
      <c r="B39" s="883" t="s">
        <v>1701</v>
      </c>
      <c r="C39" s="884"/>
      <c r="D39" s="555"/>
      <c r="E39" s="555" t="s">
        <v>1679</v>
      </c>
      <c r="F39" s="555"/>
      <c r="G39" s="556"/>
      <c r="H39" s="555"/>
      <c r="I39" s="555"/>
      <c r="J39" s="555"/>
      <c r="K39" s="556" t="s">
        <v>1679</v>
      </c>
      <c r="L39" s="557">
        <f t="shared" si="13"/>
        <v>3.6585365853658534E-2</v>
      </c>
      <c r="M39" s="545">
        <f t="shared" si="14"/>
        <v>300</v>
      </c>
      <c r="N39" s="545">
        <f t="shared" si="15"/>
        <v>150</v>
      </c>
      <c r="O39" s="558">
        <f t="shared" si="16"/>
        <v>0</v>
      </c>
      <c r="P39" s="530">
        <f t="shared" si="17"/>
        <v>5</v>
      </c>
      <c r="Q39" s="530">
        <f t="shared" si="18"/>
        <v>0</v>
      </c>
      <c r="R39" s="530">
        <f t="shared" si="19"/>
        <v>0</v>
      </c>
      <c r="S39" s="545">
        <f t="shared" si="20"/>
        <v>5</v>
      </c>
      <c r="T39" s="558">
        <f t="shared" si="21"/>
        <v>0</v>
      </c>
      <c r="U39" s="530">
        <f t="shared" si="22"/>
        <v>0</v>
      </c>
      <c r="V39" s="530">
        <f t="shared" si="23"/>
        <v>0</v>
      </c>
      <c r="W39" s="530">
        <f t="shared" si="24"/>
        <v>30</v>
      </c>
      <c r="X39" s="576">
        <f t="shared" si="25"/>
        <v>30</v>
      </c>
      <c r="Y39" s="531"/>
      <c r="Z39" s="531"/>
      <c r="AA39" s="531"/>
      <c r="AB39" s="531"/>
      <c r="AC39" s="546"/>
      <c r="AD39" s="546"/>
      <c r="AE39" s="546"/>
      <c r="AF39" s="546"/>
      <c r="AG39" s="546"/>
      <c r="AH39" s="546"/>
      <c r="AI39" s="546"/>
      <c r="AJ39" s="546"/>
      <c r="AK39" s="546"/>
      <c r="AL39" s="546"/>
      <c r="AM39" s="546"/>
    </row>
    <row r="40" spans="1:39" x14ac:dyDescent="0.2">
      <c r="A40" s="554">
        <v>12</v>
      </c>
      <c r="B40" s="883" t="s">
        <v>1702</v>
      </c>
      <c r="C40" s="884"/>
      <c r="D40" s="555"/>
      <c r="E40" s="555"/>
      <c r="F40" s="555"/>
      <c r="G40" s="556" t="s">
        <v>1679</v>
      </c>
      <c r="H40" s="555"/>
      <c r="I40" s="555"/>
      <c r="J40" s="555"/>
      <c r="K40" s="555" t="s">
        <v>1679</v>
      </c>
      <c r="L40" s="557">
        <f t="shared" si="13"/>
        <v>7.3170731707317069E-2</v>
      </c>
      <c r="M40" s="545">
        <f t="shared" si="14"/>
        <v>300</v>
      </c>
      <c r="N40" s="545">
        <f t="shared" si="15"/>
        <v>300</v>
      </c>
      <c r="O40" s="558">
        <f t="shared" si="16"/>
        <v>0</v>
      </c>
      <c r="P40" s="530">
        <f t="shared" si="17"/>
        <v>0</v>
      </c>
      <c r="Q40" s="530">
        <f t="shared" si="18"/>
        <v>0</v>
      </c>
      <c r="R40" s="530">
        <f t="shared" si="19"/>
        <v>10</v>
      </c>
      <c r="S40" s="545">
        <f t="shared" si="20"/>
        <v>10</v>
      </c>
      <c r="T40" s="558">
        <f t="shared" si="21"/>
        <v>0</v>
      </c>
      <c r="U40" s="530">
        <f t="shared" si="22"/>
        <v>0</v>
      </c>
      <c r="V40" s="530">
        <f t="shared" si="23"/>
        <v>0</v>
      </c>
      <c r="W40" s="530">
        <f t="shared" si="24"/>
        <v>30</v>
      </c>
      <c r="X40" s="576">
        <f t="shared" si="25"/>
        <v>30</v>
      </c>
      <c r="Y40" s="531"/>
      <c r="Z40" s="531"/>
      <c r="AA40" s="531"/>
      <c r="AB40" s="531"/>
      <c r="AC40" s="546"/>
      <c r="AD40" s="546"/>
      <c r="AE40" s="546"/>
      <c r="AF40" s="546"/>
      <c r="AG40" s="546"/>
      <c r="AH40" s="546"/>
      <c r="AI40" s="546"/>
      <c r="AJ40" s="546"/>
      <c r="AK40" s="546"/>
      <c r="AL40" s="546"/>
      <c r="AM40" s="546"/>
    </row>
    <row r="41" spans="1:39" x14ac:dyDescent="0.2">
      <c r="A41" s="547">
        <v>13</v>
      </c>
      <c r="B41" s="883" t="s">
        <v>1703</v>
      </c>
      <c r="C41" s="884"/>
      <c r="D41" s="555"/>
      <c r="E41" s="555"/>
      <c r="F41" s="555"/>
      <c r="G41" s="556" t="s">
        <v>1679</v>
      </c>
      <c r="H41" s="555"/>
      <c r="I41" s="555"/>
      <c r="J41" s="555"/>
      <c r="K41" s="555" t="s">
        <v>1679</v>
      </c>
      <c r="L41" s="557">
        <f t="shared" si="13"/>
        <v>7.3170731707317069E-2</v>
      </c>
      <c r="M41" s="545">
        <f t="shared" si="14"/>
        <v>300</v>
      </c>
      <c r="N41" s="545">
        <f t="shared" si="15"/>
        <v>300</v>
      </c>
      <c r="O41" s="558">
        <f t="shared" si="16"/>
        <v>0</v>
      </c>
      <c r="P41" s="530">
        <f t="shared" si="17"/>
        <v>0</v>
      </c>
      <c r="Q41" s="530">
        <f t="shared" si="18"/>
        <v>0</v>
      </c>
      <c r="R41" s="530">
        <f t="shared" si="19"/>
        <v>10</v>
      </c>
      <c r="S41" s="545">
        <f t="shared" si="20"/>
        <v>10</v>
      </c>
      <c r="T41" s="558">
        <f t="shared" si="21"/>
        <v>0</v>
      </c>
      <c r="U41" s="530">
        <f t="shared" si="22"/>
        <v>0</v>
      </c>
      <c r="V41" s="530">
        <f t="shared" si="23"/>
        <v>0</v>
      </c>
      <c r="W41" s="530">
        <f t="shared" si="24"/>
        <v>30</v>
      </c>
      <c r="X41" s="576">
        <f t="shared" si="25"/>
        <v>30</v>
      </c>
      <c r="Y41" s="531"/>
      <c r="Z41" s="531"/>
      <c r="AA41" s="531"/>
      <c r="AB41" s="531"/>
      <c r="AC41" s="546"/>
      <c r="AD41" s="546"/>
      <c r="AE41" s="546"/>
      <c r="AF41" s="546"/>
      <c r="AG41" s="546"/>
      <c r="AH41" s="546"/>
      <c r="AI41" s="546"/>
      <c r="AJ41" s="546"/>
      <c r="AK41" s="546"/>
      <c r="AL41" s="546"/>
      <c r="AM41" s="546"/>
    </row>
    <row r="42" spans="1:39" x14ac:dyDescent="0.2">
      <c r="A42" s="554">
        <v>14</v>
      </c>
      <c r="B42" s="883" t="s">
        <v>1704</v>
      </c>
      <c r="C42" s="884"/>
      <c r="D42" s="555"/>
      <c r="E42" s="555" t="s">
        <v>1679</v>
      </c>
      <c r="F42" s="555"/>
      <c r="G42" s="556"/>
      <c r="H42" s="555"/>
      <c r="I42" s="555"/>
      <c r="J42" s="555"/>
      <c r="K42" s="556" t="s">
        <v>1679</v>
      </c>
      <c r="L42" s="557">
        <f t="shared" si="13"/>
        <v>3.6585365853658534E-2</v>
      </c>
      <c r="M42" s="545">
        <f t="shared" si="14"/>
        <v>300</v>
      </c>
      <c r="N42" s="545">
        <f t="shared" si="15"/>
        <v>150</v>
      </c>
      <c r="O42" s="558">
        <f t="shared" si="16"/>
        <v>0</v>
      </c>
      <c r="P42" s="530">
        <f t="shared" si="17"/>
        <v>5</v>
      </c>
      <c r="Q42" s="530">
        <f t="shared" si="18"/>
        <v>0</v>
      </c>
      <c r="R42" s="530">
        <f t="shared" si="19"/>
        <v>0</v>
      </c>
      <c r="S42" s="545">
        <f t="shared" si="20"/>
        <v>5</v>
      </c>
      <c r="T42" s="558">
        <f t="shared" si="21"/>
        <v>0</v>
      </c>
      <c r="U42" s="530">
        <f t="shared" si="22"/>
        <v>0</v>
      </c>
      <c r="V42" s="530">
        <f t="shared" si="23"/>
        <v>0</v>
      </c>
      <c r="W42" s="530">
        <f t="shared" si="24"/>
        <v>30</v>
      </c>
      <c r="X42" s="576">
        <f t="shared" si="25"/>
        <v>30</v>
      </c>
      <c r="Y42" s="531"/>
      <c r="Z42" s="531"/>
      <c r="AA42" s="531"/>
      <c r="AB42" s="531"/>
      <c r="AC42" s="546"/>
      <c r="AD42" s="546"/>
      <c r="AE42" s="546"/>
      <c r="AF42" s="546"/>
      <c r="AG42" s="546"/>
      <c r="AH42" s="546"/>
      <c r="AI42" s="546"/>
      <c r="AJ42" s="546"/>
      <c r="AK42" s="546"/>
      <c r="AL42" s="546"/>
      <c r="AM42" s="546"/>
    </row>
    <row r="43" spans="1:39" ht="12" thickBot="1" x14ac:dyDescent="0.25">
      <c r="A43" s="547">
        <v>15</v>
      </c>
      <c r="B43" s="885" t="s">
        <v>1705</v>
      </c>
      <c r="C43" s="885"/>
      <c r="D43" s="560"/>
      <c r="E43" s="560"/>
      <c r="F43" s="560"/>
      <c r="G43" s="577" t="s">
        <v>1679</v>
      </c>
      <c r="H43" s="560"/>
      <c r="I43" s="560"/>
      <c r="J43" s="560"/>
      <c r="K43" s="577" t="s">
        <v>1679</v>
      </c>
      <c r="L43" s="562">
        <f t="shared" si="13"/>
        <v>7.3170731707317069E-2</v>
      </c>
      <c r="M43" s="545">
        <f t="shared" si="14"/>
        <v>300</v>
      </c>
      <c r="N43" s="545">
        <f t="shared" si="15"/>
        <v>300</v>
      </c>
      <c r="O43" s="563">
        <f t="shared" si="16"/>
        <v>0</v>
      </c>
      <c r="P43" s="564">
        <f t="shared" si="17"/>
        <v>0</v>
      </c>
      <c r="Q43" s="564">
        <f t="shared" si="18"/>
        <v>0</v>
      </c>
      <c r="R43" s="564">
        <f t="shared" si="19"/>
        <v>10</v>
      </c>
      <c r="S43" s="578">
        <f t="shared" si="20"/>
        <v>10</v>
      </c>
      <c r="T43" s="563">
        <f t="shared" si="21"/>
        <v>0</v>
      </c>
      <c r="U43" s="564">
        <f t="shared" si="22"/>
        <v>0</v>
      </c>
      <c r="V43" s="564">
        <f t="shared" si="23"/>
        <v>0</v>
      </c>
      <c r="W43" s="564">
        <f t="shared" si="24"/>
        <v>30</v>
      </c>
      <c r="X43" s="579">
        <f t="shared" si="25"/>
        <v>30</v>
      </c>
      <c r="Y43" s="531"/>
      <c r="Z43" s="531"/>
      <c r="AA43" s="531"/>
      <c r="AB43" s="580"/>
      <c r="AC43" s="546"/>
      <c r="AD43" s="546"/>
      <c r="AE43" s="546"/>
      <c r="AF43" s="546"/>
      <c r="AG43" s="546"/>
      <c r="AH43" s="546"/>
      <c r="AI43" s="546"/>
      <c r="AJ43" s="546"/>
      <c r="AK43" s="546"/>
      <c r="AL43" s="546"/>
      <c r="AM43" s="546"/>
    </row>
    <row r="44" spans="1:39" ht="12" thickBot="1" x14ac:dyDescent="0.25">
      <c r="L44" s="581">
        <f>SUM(L29:L43)</f>
        <v>0.75609756097560965</v>
      </c>
      <c r="M44" s="545">
        <f>SUM(M29:M43)</f>
        <v>4100</v>
      </c>
      <c r="N44" s="582">
        <f>SUM(N29:N43)</f>
        <v>3100</v>
      </c>
      <c r="O44" s="563">
        <f t="shared" si="16"/>
        <v>0</v>
      </c>
      <c r="P44" s="564">
        <f t="shared" si="17"/>
        <v>0</v>
      </c>
      <c r="Q44" s="564">
        <f t="shared" si="18"/>
        <v>0</v>
      </c>
      <c r="R44" s="564">
        <f t="shared" si="19"/>
        <v>0</v>
      </c>
      <c r="S44" s="578">
        <f t="shared" si="20"/>
        <v>0</v>
      </c>
      <c r="T44" s="563">
        <f t="shared" si="21"/>
        <v>0</v>
      </c>
      <c r="U44" s="564">
        <f t="shared" si="22"/>
        <v>0</v>
      </c>
      <c r="V44" s="564">
        <f t="shared" si="23"/>
        <v>0</v>
      </c>
      <c r="W44" s="564">
        <f t="shared" si="24"/>
        <v>0</v>
      </c>
      <c r="X44" s="579">
        <f t="shared" si="25"/>
        <v>0</v>
      </c>
      <c r="Y44" s="531"/>
      <c r="Z44" s="531"/>
      <c r="AA44" s="531"/>
      <c r="AB44" s="531"/>
      <c r="AC44" s="546"/>
      <c r="AD44" s="546"/>
      <c r="AE44" s="546"/>
      <c r="AF44" s="546"/>
      <c r="AG44" s="546"/>
      <c r="AH44" s="546"/>
      <c r="AI44" s="546"/>
      <c r="AJ44" s="546"/>
      <c r="AK44" s="546"/>
      <c r="AL44" s="546"/>
      <c r="AM44" s="546"/>
    </row>
    <row r="45" spans="1:39" ht="10.5" customHeight="1" x14ac:dyDescent="0.2">
      <c r="B45" s="531"/>
      <c r="C45" s="531"/>
      <c r="D45" s="531"/>
      <c r="E45" s="531"/>
      <c r="F45" s="531"/>
      <c r="G45" s="531"/>
      <c r="H45" s="531"/>
      <c r="I45" s="531"/>
      <c r="J45" s="531"/>
      <c r="K45" s="531"/>
      <c r="L45" s="531"/>
      <c r="O45" s="530"/>
      <c r="P45" s="530"/>
      <c r="Q45" s="530"/>
      <c r="R45" s="530"/>
      <c r="S45" s="530"/>
      <c r="T45" s="530"/>
      <c r="U45" s="530"/>
      <c r="V45" s="530"/>
      <c r="W45" s="530"/>
      <c r="X45" s="530"/>
      <c r="Y45" s="531"/>
      <c r="Z45" s="531"/>
      <c r="AA45" s="531"/>
      <c r="AB45" s="531"/>
      <c r="AC45" s="546"/>
      <c r="AD45" s="546"/>
      <c r="AE45" s="546"/>
      <c r="AF45" s="546"/>
      <c r="AG45" s="546"/>
      <c r="AH45" s="546"/>
      <c r="AI45" s="546"/>
      <c r="AJ45" s="546"/>
      <c r="AK45" s="546"/>
      <c r="AL45" s="546"/>
      <c r="AM45" s="546"/>
    </row>
    <row r="46" spans="1:39" x14ac:dyDescent="0.2">
      <c r="M46" s="530"/>
      <c r="N46" s="530">
        <f>IF($L$44&gt;85%,5,0)</f>
        <v>0</v>
      </c>
      <c r="O46" s="530">
        <f>IF($L$44&lt;=85%,2,0)</f>
        <v>2</v>
      </c>
      <c r="P46" s="530">
        <f>IF($L$44&gt;70%,2,0)</f>
        <v>2</v>
      </c>
      <c r="Q46" s="530">
        <f>IF($L$44&lt;=70%,3,0)</f>
        <v>0</v>
      </c>
      <c r="R46" s="530">
        <f>IF($L$44&gt;45%,1,0)</f>
        <v>1</v>
      </c>
      <c r="S46" s="530">
        <f>IF($L$44&lt;=45%,1,0)</f>
        <v>0</v>
      </c>
      <c r="T46" s="530"/>
      <c r="U46" s="530">
        <f>IF($L$44&gt;0%,2,0)</f>
        <v>2</v>
      </c>
      <c r="V46" s="530"/>
      <c r="W46" s="530"/>
      <c r="X46" s="530"/>
      <c r="Y46" s="531"/>
      <c r="Z46" s="531"/>
      <c r="AA46" s="531"/>
      <c r="AB46" s="531"/>
    </row>
    <row r="47" spans="1:39" ht="12.75" x14ac:dyDescent="0.2">
      <c r="A47" s="886" t="s">
        <v>1706</v>
      </c>
      <c r="B47" s="886"/>
      <c r="C47" s="567">
        <f>L44</f>
        <v>0.75609756097560965</v>
      </c>
      <c r="E47" s="874" t="str">
        <f>+IF(L44&gt;=0.86,"A",IF(AND(L44&lt;0.86,L44&gt;=0.71),"B",IF(AND(L44&lt;0.71,L44&gt;=0.46),"C",IF(AND(L44&lt;0.46,L44&gt;0),"No califica",IF(L44=0,"No evaluado")))))</f>
        <v>B</v>
      </c>
      <c r="F47" s="874"/>
      <c r="G47" s="584"/>
      <c r="H47" s="882" t="s">
        <v>1686</v>
      </c>
      <c r="I47" s="882"/>
      <c r="J47" s="882"/>
      <c r="K47" s="882"/>
      <c r="L47" s="568" t="str">
        <f>+IF(E47="A","Excelente",IF(E47="B","Muy Bueno",IF(E47="C","Bueno a regular",IF(E47="No evaluado","","No califica"))))</f>
        <v>Muy Bueno</v>
      </c>
      <c r="M47" s="530"/>
      <c r="N47" s="530">
        <f>+N46</f>
        <v>0</v>
      </c>
      <c r="O47" s="879">
        <f>+O46*P46</f>
        <v>4</v>
      </c>
      <c r="P47" s="879"/>
      <c r="Q47" s="879">
        <f>+Q46*R46</f>
        <v>0</v>
      </c>
      <c r="R47" s="879"/>
      <c r="S47" s="879">
        <f>+S46*U46</f>
        <v>0</v>
      </c>
      <c r="T47" s="879"/>
      <c r="U47" s="879"/>
      <c r="V47" s="530">
        <f>SUM(N47:U47)</f>
        <v>4</v>
      </c>
      <c r="W47" s="530"/>
      <c r="X47" s="530"/>
      <c r="Y47" s="531"/>
      <c r="Z47" s="531"/>
      <c r="AA47" s="531"/>
      <c r="AB47" s="531"/>
    </row>
    <row r="48" spans="1:39" ht="12.75" customHeight="1" x14ac:dyDescent="0.2">
      <c r="B48" s="585"/>
      <c r="C48" s="531"/>
      <c r="D48" s="531"/>
      <c r="E48" s="531"/>
      <c r="F48" s="531"/>
      <c r="G48" s="586"/>
      <c r="H48" s="570"/>
      <c r="I48" s="570"/>
      <c r="J48" s="571"/>
      <c r="K48" s="572"/>
      <c r="L48" s="573"/>
      <c r="M48" s="530"/>
      <c r="N48" s="530"/>
      <c r="O48" s="530"/>
      <c r="P48" s="530"/>
      <c r="Q48" s="530"/>
      <c r="R48" s="530"/>
      <c r="S48" s="530"/>
      <c r="T48" s="530"/>
      <c r="U48" s="530"/>
      <c r="V48" s="530"/>
      <c r="W48" s="530"/>
      <c r="X48" s="530"/>
      <c r="Y48" s="531"/>
      <c r="Z48" s="531"/>
      <c r="AA48" s="531"/>
      <c r="AB48" s="531"/>
    </row>
    <row r="49" spans="1:28" s="586" customFormat="1" ht="12.75" customHeight="1" x14ac:dyDescent="0.2">
      <c r="A49" s="880" t="s">
        <v>1687</v>
      </c>
      <c r="B49" s="880"/>
      <c r="C49" s="881" t="s">
        <v>2164</v>
      </c>
      <c r="D49" s="881"/>
      <c r="E49" s="881"/>
      <c r="F49" s="881"/>
      <c r="G49" s="584"/>
      <c r="H49" s="882" t="s">
        <v>1689</v>
      </c>
      <c r="I49" s="882"/>
      <c r="J49" s="882"/>
      <c r="K49" s="882"/>
      <c r="L49" s="574">
        <v>43564</v>
      </c>
      <c r="M49" s="587"/>
      <c r="N49" s="587"/>
      <c r="O49" s="587"/>
      <c r="P49" s="587"/>
      <c r="Q49" s="587"/>
      <c r="R49" s="587"/>
      <c r="S49" s="587"/>
      <c r="T49" s="587"/>
      <c r="U49" s="587"/>
      <c r="V49" s="587"/>
      <c r="W49" s="587"/>
      <c r="X49" s="587"/>
      <c r="Y49" s="588"/>
      <c r="Z49" s="588"/>
      <c r="AA49" s="588"/>
      <c r="AB49" s="588"/>
    </row>
    <row r="50" spans="1:28" ht="11.25" customHeight="1" x14ac:dyDescent="0.2">
      <c r="B50" s="589"/>
      <c r="C50" s="590"/>
      <c r="D50" s="533"/>
      <c r="E50" s="533"/>
      <c r="F50" s="533"/>
      <c r="G50" s="591"/>
      <c r="H50" s="572"/>
      <c r="I50" s="572"/>
      <c r="J50" s="572"/>
      <c r="M50" s="530"/>
      <c r="N50" s="530"/>
      <c r="O50" s="530"/>
      <c r="P50" s="530"/>
      <c r="Q50" s="530"/>
      <c r="R50" s="530"/>
      <c r="S50" s="530"/>
      <c r="T50" s="530"/>
      <c r="U50" s="530"/>
      <c r="V50" s="530"/>
      <c r="W50" s="530"/>
      <c r="X50" s="530"/>
      <c r="Y50" s="531"/>
      <c r="Z50" s="531"/>
      <c r="AA50" s="531"/>
      <c r="AB50" s="531"/>
    </row>
    <row r="51" spans="1:28" ht="12" x14ac:dyDescent="0.2">
      <c r="B51" s="589"/>
      <c r="C51" s="590"/>
      <c r="D51" s="533"/>
      <c r="E51" s="533"/>
      <c r="F51" s="533"/>
      <c r="G51" s="591"/>
      <c r="H51" s="591"/>
      <c r="I51" s="591"/>
      <c r="J51" s="591"/>
      <c r="K51" s="533"/>
      <c r="L51" s="533"/>
      <c r="M51" s="530"/>
      <c r="N51" s="530"/>
      <c r="O51" s="530"/>
      <c r="P51" s="530"/>
      <c r="Q51" s="530"/>
      <c r="R51" s="530"/>
      <c r="S51" s="530"/>
      <c r="T51" s="530"/>
      <c r="U51" s="530"/>
      <c r="V51" s="530"/>
      <c r="W51" s="530"/>
      <c r="X51" s="530"/>
      <c r="Y51" s="531"/>
      <c r="Z51" s="531"/>
      <c r="AA51" s="531"/>
      <c r="AB51" s="531"/>
    </row>
    <row r="52" spans="1:28" ht="12.75" customHeight="1" x14ac:dyDescent="0.2">
      <c r="A52" s="873" t="s">
        <v>1708</v>
      </c>
      <c r="B52" s="873"/>
      <c r="C52" s="567">
        <f>IF(L44=0,L19,(L19*0.5+L44*0.5))</f>
        <v>0.77510760401721657</v>
      </c>
      <c r="D52" s="592"/>
      <c r="E52" s="874" t="str">
        <f>+IF($C$52&gt;=0.86,"A",IF(AND($C$52&lt;0.86,$C$52&gt;=0.71),"B",IF(AND($C$52&lt;0.71,$C$52&gt;=0.46),"C",IF(AND($C$52&lt;0.46,$C$52&gt;0),"No califica",IF(C52=0,"No evaluado",)))))</f>
        <v>B</v>
      </c>
      <c r="F52" s="874"/>
      <c r="G52" s="875" t="s">
        <v>1686</v>
      </c>
      <c r="H52" s="875"/>
      <c r="I52" s="875"/>
      <c r="J52" s="875"/>
      <c r="K52" s="875"/>
      <c r="L52" s="568" t="str">
        <f>+IF(E52="A","Excelente",IF(E52="B","Muy Bueno",IF(E52="C","Bueno a regular",IF(E52="No evaluado","","No califica"))))</f>
        <v>Muy Bueno</v>
      </c>
      <c r="M52" s="530"/>
      <c r="N52" s="530"/>
      <c r="O52" s="530"/>
      <c r="P52" s="530"/>
      <c r="Q52" s="530"/>
      <c r="R52" s="530"/>
      <c r="S52" s="530"/>
      <c r="T52" s="530"/>
      <c r="U52" s="530"/>
      <c r="V52" s="530"/>
      <c r="W52" s="530"/>
      <c r="X52" s="530"/>
      <c r="Y52" s="531"/>
      <c r="Z52" s="531"/>
      <c r="AA52" s="531"/>
      <c r="AB52" s="531"/>
    </row>
    <row r="53" spans="1:28" ht="12" x14ac:dyDescent="0.2">
      <c r="B53" s="585"/>
      <c r="C53" s="531"/>
      <c r="D53" s="531"/>
      <c r="E53" s="531"/>
      <c r="F53" s="531"/>
      <c r="G53" s="593"/>
      <c r="H53" s="593"/>
      <c r="I53" s="593"/>
      <c r="J53" s="593"/>
      <c r="K53" s="594"/>
      <c r="L53" s="573"/>
      <c r="M53" s="530"/>
      <c r="N53" s="530"/>
      <c r="O53" s="530"/>
      <c r="P53" s="530"/>
      <c r="Q53" s="530"/>
      <c r="R53" s="530"/>
      <c r="S53" s="530"/>
      <c r="T53" s="530"/>
      <c r="U53" s="530"/>
      <c r="V53" s="530"/>
      <c r="W53" s="530"/>
      <c r="X53" s="530"/>
      <c r="Y53" s="531"/>
      <c r="Z53" s="531"/>
      <c r="AA53" s="531"/>
      <c r="AB53" s="531"/>
    </row>
    <row r="54" spans="1:28" ht="12" customHeight="1" x14ac:dyDescent="0.2">
      <c r="B54" s="595"/>
      <c r="C54" s="531"/>
      <c r="E54" s="531"/>
      <c r="F54" s="531"/>
      <c r="G54" s="876" t="s">
        <v>1709</v>
      </c>
      <c r="H54" s="876"/>
      <c r="I54" s="876"/>
      <c r="J54" s="876"/>
      <c r="K54" s="876"/>
      <c r="L54" s="574">
        <v>43564</v>
      </c>
      <c r="M54" s="530"/>
      <c r="N54" s="530"/>
      <c r="O54" s="530"/>
      <c r="P54" s="530"/>
      <c r="Q54" s="530"/>
      <c r="R54" s="530"/>
      <c r="S54" s="530"/>
      <c r="T54" s="530"/>
      <c r="U54" s="530"/>
      <c r="V54" s="530"/>
      <c r="W54" s="530"/>
      <c r="X54" s="530"/>
      <c r="Y54" s="531"/>
      <c r="Z54" s="531"/>
      <c r="AA54" s="531"/>
      <c r="AB54" s="531"/>
    </row>
    <row r="55" spans="1:28" x14ac:dyDescent="0.2">
      <c r="B55" s="531"/>
      <c r="C55" s="531"/>
      <c r="D55" s="531"/>
      <c r="E55" s="531"/>
      <c r="F55" s="531"/>
      <c r="G55" s="531"/>
      <c r="H55" s="531"/>
      <c r="I55" s="531"/>
      <c r="J55" s="531"/>
      <c r="K55" s="531"/>
      <c r="L55" s="531"/>
      <c r="M55" s="530"/>
      <c r="N55" s="530"/>
      <c r="O55" s="530"/>
      <c r="P55" s="530"/>
      <c r="Q55" s="530"/>
      <c r="R55" s="530"/>
      <c r="S55" s="530"/>
      <c r="T55" s="530"/>
      <c r="U55" s="530"/>
      <c r="V55" s="530"/>
      <c r="W55" s="530"/>
      <c r="X55" s="530"/>
      <c r="Y55" s="531"/>
      <c r="Z55" s="531"/>
      <c r="AA55" s="531"/>
      <c r="AB55" s="531"/>
    </row>
    <row r="56" spans="1:28" x14ac:dyDescent="0.2">
      <c r="B56" s="531"/>
      <c r="C56" s="531"/>
      <c r="D56" s="531"/>
      <c r="E56" s="531"/>
      <c r="F56" s="531"/>
      <c r="G56" s="531"/>
      <c r="H56" s="531"/>
      <c r="I56" s="531"/>
      <c r="J56" s="531"/>
      <c r="K56" s="531"/>
      <c r="L56" s="531"/>
      <c r="M56" s="530"/>
      <c r="N56" s="530"/>
      <c r="O56" s="530"/>
      <c r="P56" s="530"/>
      <c r="Q56" s="530"/>
      <c r="R56" s="530"/>
      <c r="S56" s="530"/>
      <c r="T56" s="530"/>
      <c r="U56" s="530"/>
      <c r="V56" s="530"/>
      <c r="W56" s="530"/>
      <c r="X56" s="530"/>
      <c r="Y56" s="531"/>
      <c r="Z56" s="531"/>
      <c r="AA56" s="531"/>
      <c r="AB56" s="531"/>
    </row>
    <row r="57" spans="1:28" ht="12.75" customHeight="1" x14ac:dyDescent="0.2">
      <c r="A57" s="877" t="s">
        <v>1710</v>
      </c>
      <c r="B57" s="877"/>
      <c r="C57" s="878" t="s">
        <v>1711</v>
      </c>
      <c r="D57" s="878"/>
      <c r="E57" s="878"/>
      <c r="F57" s="878"/>
      <c r="G57" s="878"/>
      <c r="H57" s="878"/>
      <c r="I57" s="878"/>
      <c r="J57" s="878"/>
      <c r="K57" s="878"/>
      <c r="L57" s="878"/>
      <c r="M57" s="530"/>
      <c r="N57" s="530"/>
      <c r="O57" s="530"/>
      <c r="P57" s="530"/>
      <c r="Q57" s="530"/>
      <c r="R57" s="530"/>
      <c r="S57" s="530"/>
      <c r="T57" s="530"/>
      <c r="U57" s="530"/>
      <c r="V57" s="530"/>
      <c r="W57" s="530"/>
      <c r="X57" s="530"/>
      <c r="Y57" s="531"/>
      <c r="Z57" s="531"/>
      <c r="AA57" s="531"/>
      <c r="AB57" s="531"/>
    </row>
    <row r="58" spans="1:28" ht="12.75" customHeight="1" x14ac:dyDescent="0.2">
      <c r="A58" s="871"/>
      <c r="B58" s="871"/>
      <c r="C58" s="871"/>
      <c r="D58" s="871"/>
      <c r="E58" s="871"/>
      <c r="F58" s="871"/>
      <c r="G58" s="871"/>
      <c r="H58" s="871"/>
      <c r="I58" s="871"/>
      <c r="J58" s="871"/>
      <c r="K58" s="871"/>
      <c r="L58" s="871"/>
      <c r="M58" s="530"/>
      <c r="N58" s="530"/>
      <c r="O58" s="530"/>
      <c r="P58" s="530"/>
      <c r="Q58" s="530"/>
      <c r="R58" s="530"/>
      <c r="S58" s="530"/>
      <c r="T58" s="530"/>
      <c r="U58" s="530"/>
      <c r="V58" s="530"/>
      <c r="W58" s="530"/>
      <c r="X58" s="530"/>
      <c r="Y58" s="531"/>
      <c r="Z58" s="531"/>
      <c r="AA58" s="531"/>
      <c r="AB58" s="531"/>
    </row>
    <row r="59" spans="1:28" ht="9.75" customHeight="1" x14ac:dyDescent="0.2"/>
    <row r="60" spans="1:28" s="538" customFormat="1" ht="24" customHeight="1" x14ac:dyDescent="0.2">
      <c r="A60" s="872" t="s">
        <v>1712</v>
      </c>
      <c r="B60" s="872"/>
      <c r="C60" s="872"/>
      <c r="D60" s="872"/>
      <c r="E60" s="872"/>
      <c r="F60" s="872"/>
      <c r="G60" s="872"/>
      <c r="H60" s="872"/>
      <c r="I60" s="872"/>
      <c r="J60" s="872"/>
      <c r="K60" s="872"/>
      <c r="L60" s="872"/>
      <c r="M60" s="596"/>
      <c r="N60" s="596"/>
      <c r="O60" s="596"/>
      <c r="P60" s="596"/>
      <c r="Q60" s="596"/>
      <c r="R60" s="596"/>
      <c r="S60" s="596"/>
      <c r="T60" s="596"/>
      <c r="U60" s="596"/>
      <c r="V60" s="596"/>
      <c r="W60" s="596"/>
      <c r="X60" s="596"/>
    </row>
    <row r="61" spans="1:28" x14ac:dyDescent="0.2">
      <c r="H61" s="595" t="s">
        <v>1713</v>
      </c>
      <c r="I61" s="595"/>
      <c r="J61" s="539"/>
      <c r="L61" s="597" t="s">
        <v>1714</v>
      </c>
    </row>
    <row r="62" spans="1:28" x14ac:dyDescent="0.2">
      <c r="H62" s="595" t="s">
        <v>1715</v>
      </c>
      <c r="I62" s="595"/>
      <c r="J62" s="539"/>
      <c r="L62" s="597" t="s">
        <v>1716</v>
      </c>
    </row>
    <row r="63" spans="1:28" x14ac:dyDescent="0.2">
      <c r="H63" s="595" t="s">
        <v>1717</v>
      </c>
      <c r="I63" s="595"/>
      <c r="J63" s="539"/>
      <c r="L63" s="597" t="s">
        <v>1718</v>
      </c>
    </row>
    <row r="64" spans="1:28" x14ac:dyDescent="0.2">
      <c r="H64" s="595" t="s">
        <v>1719</v>
      </c>
      <c r="I64" s="595"/>
      <c r="J64" s="539"/>
      <c r="L64" s="597" t="s">
        <v>1720</v>
      </c>
    </row>
  </sheetData>
  <mergeCells count="69">
    <mergeCell ref="A5:B5"/>
    <mergeCell ref="C5:L5"/>
    <mergeCell ref="A1:B2"/>
    <mergeCell ref="C1:L1"/>
    <mergeCell ref="C2:E2"/>
    <mergeCell ref="F2:L2"/>
    <mergeCell ref="A4:L4"/>
    <mergeCell ref="B15:C15"/>
    <mergeCell ref="A6:B6"/>
    <mergeCell ref="C6:L6"/>
    <mergeCell ref="A8:L8"/>
    <mergeCell ref="D10:G10"/>
    <mergeCell ref="H10:K10"/>
    <mergeCell ref="B11:C11"/>
    <mergeCell ref="O11:S11"/>
    <mergeCell ref="T11:X11"/>
    <mergeCell ref="B12:C12"/>
    <mergeCell ref="B13:C13"/>
    <mergeCell ref="B14:C14"/>
    <mergeCell ref="B16:C16"/>
    <mergeCell ref="B17:C17"/>
    <mergeCell ref="B18:C18"/>
    <mergeCell ref="A21:B21"/>
    <mergeCell ref="E21:F21"/>
    <mergeCell ref="T28:X28"/>
    <mergeCell ref="O21:P21"/>
    <mergeCell ref="Q21:R21"/>
    <mergeCell ref="S21:U21"/>
    <mergeCell ref="A23:B23"/>
    <mergeCell ref="C23:F23"/>
    <mergeCell ref="H23:K23"/>
    <mergeCell ref="H21:K21"/>
    <mergeCell ref="A25:L25"/>
    <mergeCell ref="D27:G27"/>
    <mergeCell ref="H27:K27"/>
    <mergeCell ref="B28:C28"/>
    <mergeCell ref="O28:S28"/>
    <mergeCell ref="B40:C40"/>
    <mergeCell ref="B29:C29"/>
    <mergeCell ref="B30:C30"/>
    <mergeCell ref="B31:C31"/>
    <mergeCell ref="B32:C32"/>
    <mergeCell ref="B33:C33"/>
    <mergeCell ref="B34:C34"/>
    <mergeCell ref="B35:C35"/>
    <mergeCell ref="B36:C36"/>
    <mergeCell ref="B37:C37"/>
    <mergeCell ref="B38:C38"/>
    <mergeCell ref="B39:C39"/>
    <mergeCell ref="B41:C41"/>
    <mergeCell ref="B42:C42"/>
    <mergeCell ref="B43:C43"/>
    <mergeCell ref="A47:B47"/>
    <mergeCell ref="E47:F47"/>
    <mergeCell ref="O47:P47"/>
    <mergeCell ref="Q47:R47"/>
    <mergeCell ref="S47:U47"/>
    <mergeCell ref="A49:B49"/>
    <mergeCell ref="C49:F49"/>
    <mergeCell ref="H49:K49"/>
    <mergeCell ref="H47:K47"/>
    <mergeCell ref="A58:L58"/>
    <mergeCell ref="A60:L60"/>
    <mergeCell ref="A52:B52"/>
    <mergeCell ref="E52:F52"/>
    <mergeCell ref="G52:K52"/>
    <mergeCell ref="G54:K54"/>
    <mergeCell ref="A57:B57"/>
    <mergeCell ref="C57:L57"/>
  </mergeCells>
  <pageMargins left="0.74803149606299213" right="0.74803149606299213" top="0.98425196850393704" bottom="0.98425196850393704" header="0" footer="0"/>
  <pageSetup paperSize="9" scale="78" orientation="portrait" r:id="rId1"/>
  <headerFooter alignWithMargins="0">
    <oddFooter>&amp;L&amp;7EMISIÓN: 5/05/10 
Revisión 1&amp;C&amp;7Revisa y Aprueba : Ruth Clausen&amp;R&amp;7&amp;P de &amp;N</oddFooter>
  </headerFooter>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9"/>
  </sheetPr>
  <dimension ref="A1:AM64"/>
  <sheetViews>
    <sheetView workbookViewId="0">
      <selection sqref="A1:B2"/>
    </sheetView>
  </sheetViews>
  <sheetFormatPr baseColWidth="10" defaultRowHeight="12.75" x14ac:dyDescent="0.25"/>
  <cols>
    <col min="1" max="1" width="2.7109375" style="334" customWidth="1"/>
    <col min="2" max="2" width="18.7109375" style="333" customWidth="1"/>
    <col min="3" max="3" width="15.28515625" style="333" customWidth="1"/>
    <col min="4" max="4" width="5.5703125" style="333" customWidth="1"/>
    <col min="5" max="5" width="5" style="333" customWidth="1"/>
    <col min="6" max="7" width="5.5703125" style="333" customWidth="1"/>
    <col min="8" max="8" width="7.28515625" style="333" customWidth="1"/>
    <col min="9" max="10" width="5.85546875" style="333" customWidth="1"/>
    <col min="11" max="11" width="5.7109375" style="333" customWidth="1"/>
    <col min="12" max="12" width="17.28515625" style="333" customWidth="1"/>
    <col min="13" max="14" width="12.28515625" style="384" hidden="1" customWidth="1"/>
    <col min="15" max="24" width="8.7109375" style="384" hidden="1" customWidth="1"/>
    <col min="25" max="16384" width="11.42578125" style="333"/>
  </cols>
  <sheetData>
    <row r="1" spans="1:39" ht="48.75" customHeight="1" thickBot="1" x14ac:dyDescent="0.3">
      <c r="A1" s="815"/>
      <c r="B1" s="816"/>
      <c r="C1" s="819" t="s">
        <v>1657</v>
      </c>
      <c r="D1" s="820"/>
      <c r="E1" s="820"/>
      <c r="F1" s="820"/>
      <c r="G1" s="820"/>
      <c r="H1" s="820"/>
      <c r="I1" s="820"/>
      <c r="J1" s="820"/>
      <c r="K1" s="820"/>
      <c r="L1" s="821"/>
      <c r="M1" s="330"/>
      <c r="N1" s="331"/>
      <c r="O1" s="331"/>
      <c r="P1" s="331"/>
      <c r="Q1" s="331"/>
      <c r="R1" s="331"/>
      <c r="S1" s="331"/>
      <c r="T1" s="331"/>
      <c r="U1" s="331"/>
      <c r="V1" s="331"/>
      <c r="W1" s="331"/>
      <c r="X1" s="331"/>
      <c r="Y1" s="332"/>
      <c r="Z1" s="332"/>
      <c r="AA1" s="332"/>
      <c r="AB1" s="332"/>
    </row>
    <row r="2" spans="1:39" ht="24.75" customHeight="1" thickBot="1" x14ac:dyDescent="0.3">
      <c r="A2" s="817"/>
      <c r="B2" s="818"/>
      <c r="C2" s="822" t="s">
        <v>1658</v>
      </c>
      <c r="D2" s="823"/>
      <c r="E2" s="824"/>
      <c r="F2" s="822" t="s">
        <v>1659</v>
      </c>
      <c r="G2" s="823"/>
      <c r="H2" s="823"/>
      <c r="I2" s="823"/>
      <c r="J2" s="823"/>
      <c r="K2" s="823"/>
      <c r="L2" s="824"/>
      <c r="M2" s="331"/>
      <c r="N2" s="331"/>
      <c r="O2" s="331"/>
      <c r="P2" s="331"/>
      <c r="Q2" s="331"/>
      <c r="R2" s="331"/>
      <c r="S2" s="331"/>
      <c r="T2" s="331"/>
      <c r="U2" s="331"/>
      <c r="V2" s="331"/>
      <c r="W2" s="331"/>
      <c r="X2" s="331"/>
      <c r="Y2" s="332"/>
      <c r="Z2" s="332"/>
      <c r="AA2" s="332"/>
      <c r="AB2" s="332"/>
    </row>
    <row r="3" spans="1:39" ht="9" customHeight="1" thickBot="1" x14ac:dyDescent="0.35">
      <c r="B3" s="335"/>
      <c r="C3" s="336"/>
      <c r="D3" s="336"/>
      <c r="E3" s="336"/>
      <c r="F3" s="336"/>
      <c r="G3" s="336"/>
      <c r="H3" s="336"/>
      <c r="I3" s="336"/>
      <c r="J3" s="336"/>
      <c r="K3" s="336"/>
      <c r="L3" s="336"/>
      <c r="M3" s="331"/>
      <c r="N3" s="331"/>
      <c r="O3" s="331"/>
      <c r="P3" s="331"/>
      <c r="Q3" s="331"/>
      <c r="R3" s="331"/>
      <c r="S3" s="331"/>
      <c r="T3" s="331"/>
      <c r="U3" s="331"/>
      <c r="V3" s="331"/>
      <c r="W3" s="331"/>
      <c r="X3" s="331"/>
      <c r="Y3" s="332"/>
      <c r="Z3" s="332"/>
      <c r="AA3" s="332"/>
      <c r="AB3" s="332"/>
    </row>
    <row r="4" spans="1:39" s="339" customFormat="1" ht="18.75" customHeight="1" thickBot="1" x14ac:dyDescent="0.25">
      <c r="A4" s="825" t="s">
        <v>1660</v>
      </c>
      <c r="B4" s="826"/>
      <c r="C4" s="826"/>
      <c r="D4" s="826"/>
      <c r="E4" s="826"/>
      <c r="F4" s="826"/>
      <c r="G4" s="826"/>
      <c r="H4" s="826"/>
      <c r="I4" s="826"/>
      <c r="J4" s="826"/>
      <c r="K4" s="826"/>
      <c r="L4" s="827"/>
      <c r="M4" s="337"/>
      <c r="N4" s="337"/>
      <c r="O4" s="337"/>
      <c r="P4" s="337"/>
      <c r="Q4" s="337"/>
      <c r="R4" s="337"/>
      <c r="S4" s="337"/>
      <c r="T4" s="337"/>
      <c r="U4" s="337"/>
      <c r="V4" s="337"/>
      <c r="W4" s="337"/>
      <c r="X4" s="337"/>
      <c r="Y4" s="338"/>
      <c r="Z4" s="338"/>
      <c r="AA4" s="338"/>
      <c r="AB4" s="338"/>
    </row>
    <row r="5" spans="1:39" s="339" customFormat="1" ht="16.5" customHeight="1" thickBot="1" x14ac:dyDescent="0.25">
      <c r="A5" s="810" t="s">
        <v>1661</v>
      </c>
      <c r="B5" s="811"/>
      <c r="C5" s="812" t="s">
        <v>628</v>
      </c>
      <c r="D5" s="813"/>
      <c r="E5" s="813"/>
      <c r="F5" s="813"/>
      <c r="G5" s="813"/>
      <c r="H5" s="813"/>
      <c r="I5" s="813"/>
      <c r="J5" s="813"/>
      <c r="K5" s="813"/>
      <c r="L5" s="814"/>
      <c r="M5" s="337"/>
      <c r="N5" s="337"/>
      <c r="O5" s="337"/>
      <c r="P5" s="337"/>
      <c r="Q5" s="337"/>
      <c r="R5" s="337"/>
      <c r="S5" s="337"/>
      <c r="T5" s="337"/>
      <c r="U5" s="337"/>
      <c r="V5" s="337"/>
      <c r="W5" s="337"/>
      <c r="X5" s="337"/>
      <c r="Y5" s="338"/>
      <c r="Z5" s="338"/>
      <c r="AA5" s="338"/>
      <c r="AB5" s="338"/>
    </row>
    <row r="6" spans="1:39" ht="16.5" customHeight="1" thickBot="1" x14ac:dyDescent="0.3">
      <c r="A6" s="830" t="s">
        <v>1662</v>
      </c>
      <c r="B6" s="831"/>
      <c r="C6" s="832" t="s">
        <v>1663</v>
      </c>
      <c r="D6" s="833"/>
      <c r="E6" s="833"/>
      <c r="F6" s="833"/>
      <c r="G6" s="833"/>
      <c r="H6" s="833"/>
      <c r="I6" s="833"/>
      <c r="J6" s="833"/>
      <c r="K6" s="833"/>
      <c r="L6" s="834"/>
      <c r="M6" s="331"/>
      <c r="N6" s="331"/>
      <c r="O6" s="331"/>
      <c r="P6" s="331"/>
      <c r="Q6" s="331"/>
      <c r="R6" s="331"/>
      <c r="S6" s="331"/>
      <c r="T6" s="331"/>
      <c r="U6" s="331"/>
      <c r="V6" s="331"/>
      <c r="W6" s="331"/>
      <c r="X6" s="331"/>
      <c r="Y6" s="332"/>
      <c r="Z6" s="332"/>
      <c r="AA6" s="332"/>
      <c r="AB6" s="332"/>
    </row>
    <row r="7" spans="1:39" ht="12" customHeight="1" thickBot="1" x14ac:dyDescent="0.35">
      <c r="B7" s="340"/>
      <c r="D7" s="334"/>
      <c r="E7" s="334"/>
      <c r="F7" s="334"/>
      <c r="G7" s="334"/>
      <c r="H7" s="334"/>
      <c r="I7" s="334"/>
      <c r="J7" s="334"/>
      <c r="K7" s="334"/>
      <c r="L7" s="334"/>
      <c r="M7" s="331"/>
      <c r="N7" s="331"/>
      <c r="O7" s="331"/>
      <c r="P7" s="331"/>
      <c r="Q7" s="331"/>
      <c r="R7" s="331"/>
      <c r="S7" s="331"/>
      <c r="T7" s="331"/>
      <c r="U7" s="331"/>
      <c r="V7" s="331"/>
      <c r="W7" s="331"/>
      <c r="X7" s="331"/>
      <c r="Y7" s="332"/>
      <c r="Z7" s="332"/>
      <c r="AA7" s="332"/>
      <c r="AB7" s="332"/>
    </row>
    <row r="8" spans="1:39" ht="15" customHeight="1" thickBot="1" x14ac:dyDescent="0.3">
      <c r="A8" s="835" t="s">
        <v>1664</v>
      </c>
      <c r="B8" s="836"/>
      <c r="C8" s="836"/>
      <c r="D8" s="836"/>
      <c r="E8" s="836"/>
      <c r="F8" s="836"/>
      <c r="G8" s="836"/>
      <c r="H8" s="836"/>
      <c r="I8" s="836"/>
      <c r="J8" s="836"/>
      <c r="K8" s="836"/>
      <c r="L8" s="837"/>
      <c r="M8" s="331"/>
      <c r="N8" s="331"/>
      <c r="O8" s="331"/>
      <c r="P8" s="331"/>
      <c r="Q8" s="331"/>
      <c r="R8" s="331"/>
      <c r="S8" s="331"/>
      <c r="T8" s="331"/>
      <c r="U8" s="331"/>
      <c r="V8" s="331"/>
      <c r="W8" s="331"/>
      <c r="X8" s="331"/>
      <c r="Y8" s="332"/>
      <c r="Z8" s="332"/>
      <c r="AA8" s="332"/>
      <c r="AB8" s="332"/>
    </row>
    <row r="9" spans="1:39" ht="20.25" customHeight="1" x14ac:dyDescent="0.3">
      <c r="B9" s="340"/>
      <c r="D9" s="334"/>
      <c r="E9" s="334"/>
      <c r="F9" s="334"/>
      <c r="G9" s="334"/>
      <c r="H9" s="334"/>
      <c r="I9" s="334"/>
      <c r="J9" s="334"/>
      <c r="K9" s="334"/>
      <c r="L9" s="334"/>
      <c r="M9" s="331"/>
      <c r="N9" s="331"/>
      <c r="O9" s="331"/>
      <c r="P9" s="331"/>
      <c r="Q9" s="331"/>
      <c r="R9" s="331"/>
      <c r="S9" s="331"/>
      <c r="T9" s="331"/>
      <c r="U9" s="331"/>
      <c r="V9" s="331"/>
      <c r="W9" s="331"/>
      <c r="X9" s="331"/>
      <c r="Y9" s="332"/>
      <c r="Z9" s="332"/>
      <c r="AA9" s="332"/>
      <c r="AB9" s="332"/>
    </row>
    <row r="10" spans="1:39" ht="13.5" x14ac:dyDescent="0.3">
      <c r="B10" s="340"/>
      <c r="D10" s="838" t="s">
        <v>1665</v>
      </c>
      <c r="E10" s="838"/>
      <c r="F10" s="838"/>
      <c r="G10" s="838"/>
      <c r="H10" s="839" t="s">
        <v>1666</v>
      </c>
      <c r="I10" s="840"/>
      <c r="J10" s="840"/>
      <c r="K10" s="841"/>
      <c r="L10" s="341" t="s">
        <v>1667</v>
      </c>
      <c r="M10" s="331"/>
      <c r="N10" s="331"/>
      <c r="O10" s="331"/>
      <c r="P10" s="331"/>
      <c r="Q10" s="331"/>
      <c r="R10" s="331"/>
      <c r="S10" s="331"/>
      <c r="T10" s="331"/>
      <c r="U10" s="331"/>
      <c r="V10" s="331"/>
      <c r="W10" s="331"/>
      <c r="X10" s="331"/>
      <c r="Y10" s="332"/>
      <c r="Z10" s="332"/>
      <c r="AA10" s="332"/>
      <c r="AB10" s="332"/>
    </row>
    <row r="11" spans="1:39" ht="13.5" x14ac:dyDescent="0.3">
      <c r="A11" s="342" t="s">
        <v>1668</v>
      </c>
      <c r="B11" s="842" t="s">
        <v>1669</v>
      </c>
      <c r="C11" s="842"/>
      <c r="D11" s="343">
        <v>1</v>
      </c>
      <c r="E11" s="343">
        <v>2</v>
      </c>
      <c r="F11" s="343">
        <v>3</v>
      </c>
      <c r="G11" s="344">
        <v>4</v>
      </c>
      <c r="H11" s="345" t="s">
        <v>1670</v>
      </c>
      <c r="I11" s="345" t="s">
        <v>1671</v>
      </c>
      <c r="J11" s="345" t="s">
        <v>1672</v>
      </c>
      <c r="K11" s="345" t="s">
        <v>1673</v>
      </c>
      <c r="L11" s="342" t="s">
        <v>1674</v>
      </c>
      <c r="M11" s="346" t="s">
        <v>1675</v>
      </c>
      <c r="N11" s="346" t="s">
        <v>1676</v>
      </c>
      <c r="O11" s="843" t="s">
        <v>1677</v>
      </c>
      <c r="P11" s="843"/>
      <c r="Q11" s="843"/>
      <c r="R11" s="843"/>
      <c r="S11" s="844"/>
      <c r="T11" s="843" t="s">
        <v>1666</v>
      </c>
      <c r="U11" s="843"/>
      <c r="V11" s="843"/>
      <c r="W11" s="843"/>
      <c r="X11" s="843"/>
      <c r="Y11" s="332"/>
      <c r="Z11" s="332"/>
      <c r="AA11" s="332"/>
      <c r="AB11" s="332"/>
      <c r="AC11" s="347"/>
      <c r="AD11" s="347"/>
      <c r="AE11" s="347"/>
      <c r="AF11" s="347"/>
      <c r="AG11" s="347"/>
      <c r="AH11" s="347"/>
      <c r="AI11" s="347"/>
      <c r="AJ11" s="347"/>
      <c r="AK11" s="347"/>
      <c r="AL11" s="347"/>
      <c r="AM11" s="347"/>
    </row>
    <row r="12" spans="1:39" ht="13.5" x14ac:dyDescent="0.3">
      <c r="A12" s="348">
        <v>1</v>
      </c>
      <c r="B12" s="845" t="s">
        <v>1678</v>
      </c>
      <c r="C12" s="846"/>
      <c r="D12" s="349" t="s">
        <v>1679</v>
      </c>
      <c r="E12" s="349"/>
      <c r="F12" s="349"/>
      <c r="G12" s="350"/>
      <c r="H12" s="349" t="s">
        <v>1679</v>
      </c>
      <c r="I12" s="349"/>
      <c r="J12" s="349"/>
      <c r="K12" s="350"/>
      <c r="L12" s="351">
        <f t="shared" ref="L12:L18" si="0">IF($M$19=0,0,N12/$M$19)</f>
        <v>0</v>
      </c>
      <c r="M12" s="346">
        <f t="shared" ref="M12:M18" si="1">+X12*10</f>
        <v>0</v>
      </c>
      <c r="N12" s="346">
        <f t="shared" ref="N12:N18" si="2">+S12*X12</f>
        <v>0</v>
      </c>
      <c r="O12" s="352">
        <f t="shared" ref="O12:O18" si="3">IF(D12="X",2.5,0)</f>
        <v>2.5</v>
      </c>
      <c r="P12" s="353">
        <f t="shared" ref="P12:P18" si="4">IF(E12="X",5,0)</f>
        <v>0</v>
      </c>
      <c r="Q12" s="353">
        <f t="shared" ref="Q12:Q18" si="5">IF(F12="X",7.5,0)</f>
        <v>0</v>
      </c>
      <c r="R12" s="353">
        <f t="shared" ref="R12:R18" si="6">IF(G12="X",10,0)</f>
        <v>0</v>
      </c>
      <c r="S12" s="354">
        <f t="shared" ref="S12:S18" si="7">SUM(O12:R12)</f>
        <v>2.5</v>
      </c>
      <c r="T12" s="352">
        <f t="shared" ref="T12:T18" si="8">IF(H12="X",0,0)</f>
        <v>0</v>
      </c>
      <c r="U12" s="353">
        <f t="shared" ref="U12:U18" si="9">IF(I12="X",10,0)</f>
        <v>0</v>
      </c>
      <c r="V12" s="353">
        <f t="shared" ref="V12:V18" si="10">IF(J12="X",20,0)</f>
        <v>0</v>
      </c>
      <c r="W12" s="353">
        <f t="shared" ref="W12:W18" si="11">IF(K12="X",30,0)</f>
        <v>0</v>
      </c>
      <c r="X12" s="354">
        <f t="shared" ref="X12:X18" si="12">SUM(U12:W12)</f>
        <v>0</v>
      </c>
      <c r="Y12" s="332"/>
      <c r="Z12" s="332"/>
      <c r="AA12" s="332"/>
      <c r="AB12" s="332"/>
      <c r="AC12" s="347"/>
      <c r="AD12" s="347"/>
      <c r="AE12" s="347"/>
      <c r="AF12" s="347"/>
      <c r="AG12" s="347"/>
      <c r="AH12" s="347"/>
      <c r="AI12" s="347"/>
      <c r="AJ12" s="347"/>
      <c r="AK12" s="347"/>
      <c r="AL12" s="347"/>
      <c r="AM12" s="347"/>
    </row>
    <row r="13" spans="1:39" ht="13.5" x14ac:dyDescent="0.3">
      <c r="A13" s="355">
        <v>2</v>
      </c>
      <c r="B13" s="828" t="s">
        <v>1680</v>
      </c>
      <c r="C13" s="829"/>
      <c r="D13" s="356"/>
      <c r="E13" s="356" t="s">
        <v>1679</v>
      </c>
      <c r="F13" s="356"/>
      <c r="G13" s="357"/>
      <c r="H13" s="356"/>
      <c r="I13" s="356"/>
      <c r="J13" s="356"/>
      <c r="K13" s="356" t="s">
        <v>1679</v>
      </c>
      <c r="L13" s="358">
        <f t="shared" si="0"/>
        <v>0.125</v>
      </c>
      <c r="M13" s="346">
        <f t="shared" si="1"/>
        <v>300</v>
      </c>
      <c r="N13" s="346">
        <f t="shared" si="2"/>
        <v>150</v>
      </c>
      <c r="O13" s="359">
        <f t="shared" si="3"/>
        <v>0</v>
      </c>
      <c r="P13" s="331">
        <f t="shared" si="4"/>
        <v>5</v>
      </c>
      <c r="Q13" s="331">
        <f t="shared" si="5"/>
        <v>0</v>
      </c>
      <c r="R13" s="331">
        <f t="shared" si="6"/>
        <v>0</v>
      </c>
      <c r="S13" s="360">
        <f t="shared" si="7"/>
        <v>5</v>
      </c>
      <c r="T13" s="359">
        <f t="shared" si="8"/>
        <v>0</v>
      </c>
      <c r="U13" s="331">
        <f t="shared" si="9"/>
        <v>0</v>
      </c>
      <c r="V13" s="331">
        <f t="shared" si="10"/>
        <v>0</v>
      </c>
      <c r="W13" s="331">
        <f t="shared" si="11"/>
        <v>30</v>
      </c>
      <c r="X13" s="360">
        <f t="shared" si="12"/>
        <v>30</v>
      </c>
      <c r="Y13" s="332"/>
      <c r="Z13" s="332"/>
      <c r="AA13" s="332"/>
      <c r="AB13" s="332"/>
      <c r="AC13" s="347"/>
      <c r="AD13" s="347"/>
      <c r="AE13" s="347"/>
      <c r="AF13" s="347"/>
      <c r="AG13" s="347"/>
      <c r="AH13" s="347"/>
      <c r="AI13" s="347"/>
      <c r="AJ13" s="347"/>
      <c r="AK13" s="347"/>
      <c r="AL13" s="347"/>
      <c r="AM13" s="347"/>
    </row>
    <row r="14" spans="1:39" ht="13.5" x14ac:dyDescent="0.3">
      <c r="A14" s="355">
        <v>3</v>
      </c>
      <c r="B14" s="828" t="s">
        <v>1681</v>
      </c>
      <c r="C14" s="829"/>
      <c r="D14" s="356"/>
      <c r="E14" s="357" t="s">
        <v>1679</v>
      </c>
      <c r="F14" s="357"/>
      <c r="G14" s="357"/>
      <c r="H14" s="356"/>
      <c r="I14" s="356"/>
      <c r="J14" s="356"/>
      <c r="K14" s="357" t="s">
        <v>1679</v>
      </c>
      <c r="L14" s="358">
        <f t="shared" si="0"/>
        <v>0.125</v>
      </c>
      <c r="M14" s="346">
        <f t="shared" si="1"/>
        <v>300</v>
      </c>
      <c r="N14" s="346">
        <f t="shared" si="2"/>
        <v>150</v>
      </c>
      <c r="O14" s="359">
        <f t="shared" si="3"/>
        <v>0</v>
      </c>
      <c r="P14" s="331">
        <f t="shared" si="4"/>
        <v>5</v>
      </c>
      <c r="Q14" s="331">
        <f t="shared" si="5"/>
        <v>0</v>
      </c>
      <c r="R14" s="331">
        <f t="shared" si="6"/>
        <v>0</v>
      </c>
      <c r="S14" s="360">
        <f t="shared" si="7"/>
        <v>5</v>
      </c>
      <c r="T14" s="359">
        <f t="shared" si="8"/>
        <v>0</v>
      </c>
      <c r="U14" s="331">
        <f t="shared" si="9"/>
        <v>0</v>
      </c>
      <c r="V14" s="331">
        <f t="shared" si="10"/>
        <v>0</v>
      </c>
      <c r="W14" s="331">
        <f t="shared" si="11"/>
        <v>30</v>
      </c>
      <c r="X14" s="360">
        <f t="shared" si="12"/>
        <v>30</v>
      </c>
      <c r="Y14" s="332"/>
      <c r="Z14" s="332"/>
      <c r="AA14" s="332"/>
      <c r="AB14" s="332"/>
      <c r="AC14" s="347"/>
      <c r="AD14" s="347"/>
      <c r="AE14" s="347"/>
      <c r="AF14" s="347"/>
      <c r="AG14" s="347"/>
      <c r="AH14" s="347"/>
      <c r="AI14" s="347"/>
      <c r="AJ14" s="347"/>
      <c r="AK14" s="347"/>
      <c r="AL14" s="347"/>
      <c r="AM14" s="347"/>
    </row>
    <row r="15" spans="1:39" ht="13.5" x14ac:dyDescent="0.3">
      <c r="A15" s="355">
        <v>4</v>
      </c>
      <c r="B15" s="828" t="s">
        <v>1682</v>
      </c>
      <c r="C15" s="829"/>
      <c r="D15" s="356"/>
      <c r="E15" s="356"/>
      <c r="F15" s="356" t="s">
        <v>1679</v>
      </c>
      <c r="G15" s="357"/>
      <c r="H15" s="356"/>
      <c r="I15" s="356"/>
      <c r="J15" s="356"/>
      <c r="K15" s="357" t="s">
        <v>1679</v>
      </c>
      <c r="L15" s="358">
        <f t="shared" si="0"/>
        <v>0.1875</v>
      </c>
      <c r="M15" s="346">
        <f t="shared" si="1"/>
        <v>300</v>
      </c>
      <c r="N15" s="346">
        <f t="shared" si="2"/>
        <v>225</v>
      </c>
      <c r="O15" s="359">
        <f t="shared" si="3"/>
        <v>0</v>
      </c>
      <c r="P15" s="331">
        <f t="shared" si="4"/>
        <v>0</v>
      </c>
      <c r="Q15" s="331">
        <f t="shared" si="5"/>
        <v>7.5</v>
      </c>
      <c r="R15" s="331">
        <f t="shared" si="6"/>
        <v>0</v>
      </c>
      <c r="S15" s="360">
        <f t="shared" si="7"/>
        <v>7.5</v>
      </c>
      <c r="T15" s="359">
        <f t="shared" si="8"/>
        <v>0</v>
      </c>
      <c r="U15" s="331">
        <f t="shared" si="9"/>
        <v>0</v>
      </c>
      <c r="V15" s="331">
        <f t="shared" si="10"/>
        <v>0</v>
      </c>
      <c r="W15" s="331">
        <f t="shared" si="11"/>
        <v>30</v>
      </c>
      <c r="X15" s="360">
        <f t="shared" si="12"/>
        <v>30</v>
      </c>
      <c r="Y15" s="332"/>
      <c r="Z15" s="332"/>
      <c r="AA15" s="332"/>
      <c r="AB15" s="332"/>
      <c r="AC15" s="347"/>
      <c r="AD15" s="347"/>
      <c r="AE15" s="347"/>
      <c r="AF15" s="347"/>
      <c r="AG15" s="347"/>
      <c r="AH15" s="347"/>
      <c r="AI15" s="347"/>
      <c r="AJ15" s="347"/>
      <c r="AK15" s="347"/>
      <c r="AL15" s="347"/>
      <c r="AM15" s="347"/>
    </row>
    <row r="16" spans="1:39" ht="13.5" x14ac:dyDescent="0.3">
      <c r="A16" s="355">
        <v>5</v>
      </c>
      <c r="B16" s="828" t="s">
        <v>1586</v>
      </c>
      <c r="C16" s="829"/>
      <c r="D16" s="356"/>
      <c r="E16" s="356"/>
      <c r="F16" s="356"/>
      <c r="G16" s="357"/>
      <c r="H16" s="356" t="s">
        <v>1679</v>
      </c>
      <c r="I16" s="356"/>
      <c r="J16" s="356"/>
      <c r="K16" s="357"/>
      <c r="L16" s="358">
        <f t="shared" si="0"/>
        <v>0</v>
      </c>
      <c r="M16" s="346">
        <f t="shared" si="1"/>
        <v>0</v>
      </c>
      <c r="N16" s="346">
        <f t="shared" si="2"/>
        <v>0</v>
      </c>
      <c r="O16" s="359">
        <f t="shared" si="3"/>
        <v>0</v>
      </c>
      <c r="P16" s="331">
        <f t="shared" si="4"/>
        <v>0</v>
      </c>
      <c r="Q16" s="331">
        <f t="shared" si="5"/>
        <v>0</v>
      </c>
      <c r="R16" s="331">
        <f t="shared" si="6"/>
        <v>0</v>
      </c>
      <c r="S16" s="360">
        <f t="shared" si="7"/>
        <v>0</v>
      </c>
      <c r="T16" s="359">
        <f t="shared" si="8"/>
        <v>0</v>
      </c>
      <c r="U16" s="331">
        <f t="shared" si="9"/>
        <v>0</v>
      </c>
      <c r="V16" s="331">
        <f t="shared" si="10"/>
        <v>0</v>
      </c>
      <c r="W16" s="331">
        <f t="shared" si="11"/>
        <v>0</v>
      </c>
      <c r="X16" s="360">
        <f t="shared" si="12"/>
        <v>0</v>
      </c>
      <c r="Y16" s="332"/>
      <c r="Z16" s="332"/>
      <c r="AA16" s="332"/>
      <c r="AB16" s="332"/>
      <c r="AC16" s="347"/>
      <c r="AD16" s="347"/>
      <c r="AE16" s="347"/>
      <c r="AF16" s="347"/>
      <c r="AG16" s="347"/>
      <c r="AH16" s="347"/>
      <c r="AI16" s="347"/>
      <c r="AJ16" s="347"/>
      <c r="AK16" s="347"/>
      <c r="AL16" s="347"/>
      <c r="AM16" s="347"/>
    </row>
    <row r="17" spans="1:39" ht="13.5" x14ac:dyDescent="0.3">
      <c r="A17" s="355">
        <v>6</v>
      </c>
      <c r="B17" s="847" t="s">
        <v>1683</v>
      </c>
      <c r="C17" s="847"/>
      <c r="D17" s="356" t="s">
        <v>1679</v>
      </c>
      <c r="E17" s="356"/>
      <c r="F17" s="356"/>
      <c r="G17" s="361"/>
      <c r="H17" s="356" t="s">
        <v>1679</v>
      </c>
      <c r="I17" s="356"/>
      <c r="J17" s="356"/>
      <c r="K17" s="361"/>
      <c r="L17" s="358">
        <f t="shared" si="0"/>
        <v>0</v>
      </c>
      <c r="M17" s="346">
        <f t="shared" si="1"/>
        <v>0</v>
      </c>
      <c r="N17" s="346">
        <f t="shared" si="2"/>
        <v>0</v>
      </c>
      <c r="O17" s="359">
        <f t="shared" si="3"/>
        <v>2.5</v>
      </c>
      <c r="P17" s="331">
        <f t="shared" si="4"/>
        <v>0</v>
      </c>
      <c r="Q17" s="331">
        <f t="shared" si="5"/>
        <v>0</v>
      </c>
      <c r="R17" s="331">
        <f t="shared" si="6"/>
        <v>0</v>
      </c>
      <c r="S17" s="360">
        <f t="shared" si="7"/>
        <v>2.5</v>
      </c>
      <c r="T17" s="359">
        <f t="shared" si="8"/>
        <v>0</v>
      </c>
      <c r="U17" s="331">
        <f t="shared" si="9"/>
        <v>0</v>
      </c>
      <c r="V17" s="331">
        <f t="shared" si="10"/>
        <v>0</v>
      </c>
      <c r="W17" s="331">
        <f t="shared" si="11"/>
        <v>0</v>
      </c>
      <c r="X17" s="360">
        <f t="shared" si="12"/>
        <v>0</v>
      </c>
      <c r="Y17" s="332"/>
      <c r="Z17" s="332"/>
      <c r="AA17" s="332"/>
      <c r="AB17" s="332"/>
      <c r="AC17" s="347"/>
      <c r="AD17" s="347"/>
      <c r="AE17" s="347"/>
      <c r="AF17" s="347"/>
      <c r="AG17" s="347"/>
      <c r="AH17" s="347"/>
      <c r="AI17" s="347"/>
      <c r="AJ17" s="347"/>
      <c r="AK17" s="347"/>
      <c r="AL17" s="347"/>
      <c r="AM17" s="347"/>
    </row>
    <row r="18" spans="1:39" ht="13.5" x14ac:dyDescent="0.3">
      <c r="A18" s="362">
        <v>7</v>
      </c>
      <c r="B18" s="848" t="s">
        <v>1684</v>
      </c>
      <c r="C18" s="848"/>
      <c r="D18" s="361" t="s">
        <v>1679</v>
      </c>
      <c r="E18" s="361"/>
      <c r="F18" s="361"/>
      <c r="G18" s="361"/>
      <c r="H18" s="361"/>
      <c r="I18" s="361"/>
      <c r="J18" s="361"/>
      <c r="K18" s="361" t="s">
        <v>1679</v>
      </c>
      <c r="L18" s="363">
        <f t="shared" si="0"/>
        <v>6.25E-2</v>
      </c>
      <c r="M18" s="346">
        <f t="shared" si="1"/>
        <v>300</v>
      </c>
      <c r="N18" s="346">
        <f t="shared" si="2"/>
        <v>75</v>
      </c>
      <c r="O18" s="364">
        <f t="shared" si="3"/>
        <v>2.5</v>
      </c>
      <c r="P18" s="365">
        <f t="shared" si="4"/>
        <v>0</v>
      </c>
      <c r="Q18" s="365">
        <f t="shared" si="5"/>
        <v>0</v>
      </c>
      <c r="R18" s="365">
        <f t="shared" si="6"/>
        <v>0</v>
      </c>
      <c r="S18" s="366">
        <f t="shared" si="7"/>
        <v>2.5</v>
      </c>
      <c r="T18" s="364">
        <f t="shared" si="8"/>
        <v>0</v>
      </c>
      <c r="U18" s="365">
        <f t="shared" si="9"/>
        <v>0</v>
      </c>
      <c r="V18" s="365">
        <f t="shared" si="10"/>
        <v>0</v>
      </c>
      <c r="W18" s="365">
        <f t="shared" si="11"/>
        <v>30</v>
      </c>
      <c r="X18" s="366">
        <f t="shared" si="12"/>
        <v>30</v>
      </c>
      <c r="Y18" s="332"/>
      <c r="Z18" s="332"/>
      <c r="AA18" s="332"/>
      <c r="AB18" s="332"/>
      <c r="AC18" s="347"/>
      <c r="AD18" s="347"/>
      <c r="AE18" s="347"/>
      <c r="AF18" s="347"/>
      <c r="AG18" s="347"/>
      <c r="AH18" s="347"/>
      <c r="AI18" s="347"/>
      <c r="AJ18" s="347"/>
      <c r="AK18" s="347"/>
      <c r="AL18" s="347"/>
      <c r="AM18" s="347"/>
    </row>
    <row r="19" spans="1:39" ht="14.25" thickBot="1" x14ac:dyDescent="0.35">
      <c r="L19" s="367">
        <f>SUM(L12:L18)</f>
        <v>0.5</v>
      </c>
      <c r="M19" s="346">
        <f>SUM(M12:M18)</f>
        <v>1200</v>
      </c>
      <c r="N19" s="346">
        <f>SUM(N12:N18)</f>
        <v>600</v>
      </c>
      <c r="O19" s="331"/>
      <c r="P19" s="331"/>
      <c r="Q19" s="331"/>
      <c r="R19" s="331"/>
      <c r="S19" s="331"/>
      <c r="T19" s="331"/>
      <c r="U19" s="331"/>
      <c r="V19" s="331"/>
      <c r="W19" s="331"/>
      <c r="X19" s="331"/>
      <c r="Y19" s="332"/>
      <c r="Z19" s="332"/>
      <c r="AA19" s="332"/>
      <c r="AB19" s="332"/>
      <c r="AC19" s="347"/>
      <c r="AD19" s="347"/>
      <c r="AE19" s="347"/>
      <c r="AF19" s="347"/>
      <c r="AG19" s="347"/>
      <c r="AH19" s="347"/>
      <c r="AI19" s="347"/>
      <c r="AJ19" s="347"/>
      <c r="AK19" s="347"/>
      <c r="AL19" s="347"/>
      <c r="AM19" s="347"/>
    </row>
    <row r="20" spans="1:39" x14ac:dyDescent="0.25">
      <c r="B20" s="332"/>
      <c r="C20" s="332"/>
      <c r="D20" s="332"/>
      <c r="E20" s="332"/>
      <c r="F20" s="332"/>
      <c r="G20" s="332"/>
      <c r="H20" s="332"/>
      <c r="I20" s="332"/>
      <c r="J20" s="332"/>
      <c r="K20" s="332"/>
      <c r="L20" s="332"/>
      <c r="M20" s="331"/>
      <c r="N20" s="331">
        <f>IF($L$19&gt;85%,5,0)</f>
        <v>0</v>
      </c>
      <c r="O20" s="331">
        <f>IF($L$19&lt;=85%,2,0)</f>
        <v>2</v>
      </c>
      <c r="P20" s="331">
        <f>IF($L$19&gt;70%,2,0)</f>
        <v>0</v>
      </c>
      <c r="Q20" s="331">
        <f>IF($L$19&lt;=70%,3,0)</f>
        <v>3</v>
      </c>
      <c r="R20" s="331">
        <f>IF($L$19&gt;45%,1,0)</f>
        <v>1</v>
      </c>
      <c r="S20" s="331">
        <f>IF($L$19&lt;=45%,1,0)</f>
        <v>0</v>
      </c>
      <c r="T20" s="331"/>
      <c r="U20" s="331">
        <f>IF($L$19&gt;0%,2,0)</f>
        <v>2</v>
      </c>
      <c r="V20" s="331"/>
      <c r="W20" s="331"/>
      <c r="X20" s="331"/>
      <c r="Y20" s="332"/>
      <c r="Z20" s="332"/>
      <c r="AA20" s="332"/>
      <c r="AB20" s="332"/>
      <c r="AC20" s="347"/>
      <c r="AD20" s="347"/>
      <c r="AE20" s="347"/>
      <c r="AF20" s="347"/>
      <c r="AG20" s="347"/>
      <c r="AH20" s="347"/>
      <c r="AI20" s="347"/>
      <c r="AJ20" s="347"/>
      <c r="AK20" s="347"/>
      <c r="AL20" s="347"/>
      <c r="AM20" s="347"/>
    </row>
    <row r="21" spans="1:39" ht="12.75" customHeight="1" x14ac:dyDescent="0.3">
      <c r="A21" s="849" t="s">
        <v>1685</v>
      </c>
      <c r="B21" s="849"/>
      <c r="C21" s="368">
        <f>+L19</f>
        <v>0.5</v>
      </c>
      <c r="E21" s="850" t="str">
        <f>+IF(L19&gt;=0.86,"A",IF(AND(L19&lt;0.86,L19&gt;=0.71),"B",IF(AND(L19&lt;0.71,L19&gt;=0.46),"C",IF(AND(L19&lt;0.46,L19&gt;0),"No califica",IF(L19=0,"No evaluado",)))))</f>
        <v>C</v>
      </c>
      <c r="F21" s="850"/>
      <c r="H21" s="854" t="s">
        <v>1686</v>
      </c>
      <c r="I21" s="854"/>
      <c r="J21" s="854"/>
      <c r="K21" s="854"/>
      <c r="L21" s="369" t="str">
        <f>+IF(E21="A","Excelente",IF(E21="B","Muy Bueno",IF(E21="C","Bueno a regular",IF(E21="No evaluado","","No califica"))))</f>
        <v>Bueno a regular</v>
      </c>
      <c r="M21" s="331"/>
      <c r="N21" s="331">
        <f>+N20</f>
        <v>0</v>
      </c>
      <c r="O21" s="851">
        <f>+O20*P20</f>
        <v>0</v>
      </c>
      <c r="P21" s="851"/>
      <c r="Q21" s="851">
        <f>+Q20*R20</f>
        <v>3</v>
      </c>
      <c r="R21" s="851"/>
      <c r="S21" s="851">
        <f>+S20*U20</f>
        <v>0</v>
      </c>
      <c r="T21" s="851"/>
      <c r="U21" s="851"/>
      <c r="V21" s="331">
        <f>SUM(N21:U21)</f>
        <v>3</v>
      </c>
      <c r="W21" s="331"/>
      <c r="X21" s="331"/>
      <c r="Y21" s="332"/>
      <c r="Z21" s="332"/>
      <c r="AA21" s="332"/>
      <c r="AB21" s="332"/>
    </row>
    <row r="22" spans="1:39" ht="12" customHeight="1" x14ac:dyDescent="0.3">
      <c r="B22" s="370"/>
      <c r="C22" s="332"/>
      <c r="D22" s="332"/>
      <c r="E22" s="332"/>
      <c r="F22" s="332"/>
      <c r="H22" s="371"/>
      <c r="I22" s="371"/>
      <c r="J22" s="372"/>
      <c r="K22" s="373"/>
      <c r="L22" s="374"/>
      <c r="M22" s="331"/>
      <c r="N22" s="331"/>
      <c r="O22" s="331"/>
      <c r="P22" s="331"/>
      <c r="Q22" s="331"/>
      <c r="R22" s="331"/>
      <c r="S22" s="331"/>
      <c r="T22" s="331"/>
      <c r="U22" s="331"/>
      <c r="V22" s="331"/>
      <c r="W22" s="331"/>
      <c r="X22" s="331"/>
      <c r="Y22" s="332"/>
      <c r="Z22" s="332"/>
      <c r="AA22" s="332"/>
      <c r="AB22" s="332"/>
    </row>
    <row r="23" spans="1:39" ht="12.75" customHeight="1" x14ac:dyDescent="0.25">
      <c r="A23" s="852" t="s">
        <v>1687</v>
      </c>
      <c r="B23" s="852"/>
      <c r="C23" s="853" t="s">
        <v>1688</v>
      </c>
      <c r="D23" s="853"/>
      <c r="E23" s="853"/>
      <c r="F23" s="853"/>
      <c r="H23" s="854" t="s">
        <v>1689</v>
      </c>
      <c r="I23" s="854"/>
      <c r="J23" s="854"/>
      <c r="K23" s="854"/>
      <c r="L23" s="375">
        <v>43154</v>
      </c>
      <c r="M23" s="331"/>
      <c r="N23" s="331"/>
      <c r="O23" s="331"/>
      <c r="P23" s="331"/>
      <c r="Q23" s="331"/>
      <c r="R23" s="331"/>
      <c r="S23" s="331"/>
      <c r="T23" s="331"/>
      <c r="U23" s="331"/>
      <c r="V23" s="331"/>
      <c r="W23" s="331"/>
      <c r="X23" s="331"/>
      <c r="Y23" s="332"/>
      <c r="Z23" s="332"/>
      <c r="AA23" s="332"/>
      <c r="AB23" s="332"/>
    </row>
    <row r="24" spans="1:39" ht="9" customHeight="1" thickBot="1" x14ac:dyDescent="0.3">
      <c r="B24" s="332"/>
      <c r="C24" s="332"/>
      <c r="D24" s="332"/>
      <c r="E24" s="332"/>
      <c r="F24" s="332"/>
      <c r="G24" s="332"/>
      <c r="H24" s="332"/>
      <c r="I24" s="332"/>
      <c r="M24" s="331"/>
      <c r="N24" s="331"/>
      <c r="O24" s="331"/>
      <c r="P24" s="331"/>
      <c r="Q24" s="331"/>
      <c r="R24" s="331"/>
      <c r="S24" s="331"/>
      <c r="T24" s="331"/>
      <c r="U24" s="331"/>
      <c r="V24" s="331"/>
      <c r="W24" s="331"/>
      <c r="X24" s="331"/>
      <c r="Y24" s="332"/>
      <c r="Z24" s="332"/>
      <c r="AA24" s="332"/>
      <c r="AB24" s="332"/>
    </row>
    <row r="25" spans="1:39" s="376" customFormat="1" ht="14.25" customHeight="1" thickBot="1" x14ac:dyDescent="0.25">
      <c r="A25" s="855" t="s">
        <v>1690</v>
      </c>
      <c r="B25" s="856"/>
      <c r="C25" s="856"/>
      <c r="D25" s="856"/>
      <c r="E25" s="856"/>
      <c r="F25" s="856"/>
      <c r="G25" s="856"/>
      <c r="H25" s="856"/>
      <c r="I25" s="856"/>
      <c r="J25" s="856"/>
      <c r="K25" s="856"/>
      <c r="L25" s="857"/>
      <c r="M25" s="337"/>
      <c r="N25" s="337"/>
      <c r="O25" s="337"/>
      <c r="P25" s="337"/>
      <c r="Q25" s="337"/>
      <c r="R25" s="337"/>
      <c r="S25" s="337"/>
      <c r="T25" s="337"/>
      <c r="U25" s="337"/>
      <c r="V25" s="337"/>
      <c r="W25" s="337"/>
      <c r="X25" s="337"/>
      <c r="Y25" s="337"/>
      <c r="Z25" s="337"/>
      <c r="AA25" s="337"/>
      <c r="AB25" s="337"/>
    </row>
    <row r="26" spans="1:39" ht="6.75" customHeight="1" x14ac:dyDescent="0.3">
      <c r="B26" s="340"/>
      <c r="D26" s="334"/>
      <c r="E26" s="334"/>
      <c r="F26" s="334"/>
      <c r="G26" s="334"/>
      <c r="H26" s="334"/>
      <c r="I26" s="334"/>
      <c r="J26" s="334"/>
      <c r="K26" s="334"/>
      <c r="L26" s="334"/>
      <c r="M26" s="331"/>
      <c r="N26" s="331"/>
      <c r="O26" s="331"/>
      <c r="P26" s="331"/>
      <c r="Q26" s="331"/>
      <c r="R26" s="331"/>
      <c r="S26" s="331"/>
      <c r="T26" s="331"/>
      <c r="U26" s="331"/>
      <c r="V26" s="331"/>
      <c r="W26" s="331"/>
      <c r="X26" s="331"/>
      <c r="Y26" s="332"/>
      <c r="Z26" s="332"/>
      <c r="AA26" s="332"/>
      <c r="AB26" s="332"/>
    </row>
    <row r="27" spans="1:39" ht="13.5" x14ac:dyDescent="0.3">
      <c r="B27" s="340"/>
      <c r="D27" s="858" t="s">
        <v>1665</v>
      </c>
      <c r="E27" s="858"/>
      <c r="F27" s="858"/>
      <c r="G27" s="858"/>
      <c r="H27" s="859" t="s">
        <v>1666</v>
      </c>
      <c r="I27" s="860"/>
      <c r="J27" s="860"/>
      <c r="K27" s="861"/>
      <c r="L27" s="341" t="s">
        <v>1667</v>
      </c>
      <c r="M27" s="331"/>
      <c r="N27" s="331"/>
      <c r="O27" s="331"/>
      <c r="P27" s="331"/>
      <c r="Q27" s="331"/>
      <c r="R27" s="331"/>
      <c r="S27" s="331"/>
      <c r="T27" s="331"/>
      <c r="U27" s="331"/>
      <c r="V27" s="331"/>
      <c r="W27" s="331"/>
      <c r="X27" s="331"/>
      <c r="Y27" s="332"/>
      <c r="Z27" s="332"/>
      <c r="AA27" s="332"/>
      <c r="AB27" s="332"/>
    </row>
    <row r="28" spans="1:39" ht="13.5" x14ac:dyDescent="0.3">
      <c r="A28" s="342" t="s">
        <v>1668</v>
      </c>
      <c r="B28" s="842" t="s">
        <v>1669</v>
      </c>
      <c r="C28" s="842"/>
      <c r="D28" s="343">
        <v>1</v>
      </c>
      <c r="E28" s="343">
        <v>2</v>
      </c>
      <c r="F28" s="343">
        <v>3</v>
      </c>
      <c r="G28" s="344">
        <v>4</v>
      </c>
      <c r="H28" s="345" t="s">
        <v>1670</v>
      </c>
      <c r="I28" s="345" t="s">
        <v>1671</v>
      </c>
      <c r="J28" s="345" t="s">
        <v>1672</v>
      </c>
      <c r="K28" s="345" t="s">
        <v>1673</v>
      </c>
      <c r="L28" s="342" t="s">
        <v>1674</v>
      </c>
      <c r="M28" s="346" t="s">
        <v>1675</v>
      </c>
      <c r="N28" s="346" t="s">
        <v>1676</v>
      </c>
      <c r="O28" s="843" t="s">
        <v>1677</v>
      </c>
      <c r="P28" s="843"/>
      <c r="Q28" s="843"/>
      <c r="R28" s="843"/>
      <c r="S28" s="844"/>
      <c r="T28" s="843" t="s">
        <v>1666</v>
      </c>
      <c r="U28" s="843"/>
      <c r="V28" s="843"/>
      <c r="W28" s="843"/>
      <c r="X28" s="843"/>
      <c r="Y28" s="332"/>
      <c r="Z28" s="332"/>
      <c r="AA28" s="332"/>
      <c r="AB28" s="332"/>
      <c r="AC28" s="347"/>
      <c r="AD28" s="347"/>
      <c r="AE28" s="347"/>
      <c r="AF28" s="347"/>
      <c r="AG28" s="347"/>
      <c r="AH28" s="347"/>
      <c r="AI28" s="347"/>
      <c r="AJ28" s="347"/>
      <c r="AK28" s="347"/>
      <c r="AL28" s="347"/>
      <c r="AM28" s="347"/>
    </row>
    <row r="29" spans="1:39" ht="13.5" x14ac:dyDescent="0.3">
      <c r="A29" s="348">
        <v>1</v>
      </c>
      <c r="B29" s="845" t="s">
        <v>1691</v>
      </c>
      <c r="C29" s="862"/>
      <c r="D29" s="349"/>
      <c r="E29" s="349"/>
      <c r="F29" s="349"/>
      <c r="G29" s="350" t="s">
        <v>1679</v>
      </c>
      <c r="H29" s="349"/>
      <c r="I29" s="349"/>
      <c r="J29" s="349"/>
      <c r="K29" s="350" t="s">
        <v>1679</v>
      </c>
      <c r="L29" s="351">
        <f t="shared" ref="L29:L43" si="13">IF($M$44=0,0,N29/$M$44)</f>
        <v>7.3170731707317069E-2</v>
      </c>
      <c r="M29" s="346">
        <f t="shared" ref="M29:M43" si="14">+X29*10</f>
        <v>300</v>
      </c>
      <c r="N29" s="346">
        <f t="shared" ref="N29:N43" si="15">+S29*X29</f>
        <v>300</v>
      </c>
      <c r="O29" s="359">
        <f t="shared" ref="O29:O44" si="16">IF(D29="X",2.5,0)</f>
        <v>0</v>
      </c>
      <c r="P29" s="331">
        <f t="shared" ref="P29:P44" si="17">IF(E29="X",5,0)</f>
        <v>0</v>
      </c>
      <c r="Q29" s="331">
        <f t="shared" ref="Q29:Q44" si="18">IF(F29="X",7.5,0)</f>
        <v>0</v>
      </c>
      <c r="R29" s="331">
        <f t="shared" ref="R29:R44" si="19">IF(G29="X",10,0)</f>
        <v>10</v>
      </c>
      <c r="S29" s="346">
        <f t="shared" ref="S29:S44" si="20">SUM(O29:R29)</f>
        <v>10</v>
      </c>
      <c r="T29" s="359">
        <f t="shared" ref="T29:T44" si="21">IF(H29="X",0,0)</f>
        <v>0</v>
      </c>
      <c r="U29" s="331">
        <f t="shared" ref="U29:U44" si="22">IF(I29="X",10,0)</f>
        <v>0</v>
      </c>
      <c r="V29" s="331">
        <f t="shared" ref="V29:V44" si="23">IF(J29="X",20,0)</f>
        <v>0</v>
      </c>
      <c r="W29" s="331">
        <f t="shared" ref="W29:W44" si="24">IF(K29="X",30,0)</f>
        <v>30</v>
      </c>
      <c r="X29" s="377">
        <f t="shared" ref="X29:X44" si="25">SUM(U29:W29)</f>
        <v>30</v>
      </c>
      <c r="Y29" s="332"/>
      <c r="Z29" s="332"/>
      <c r="AA29" s="332"/>
      <c r="AB29" s="332"/>
      <c r="AC29" s="347"/>
      <c r="AD29" s="347"/>
      <c r="AE29" s="347"/>
      <c r="AF29" s="347"/>
      <c r="AG29" s="347"/>
      <c r="AH29" s="347"/>
      <c r="AI29" s="347"/>
      <c r="AJ29" s="347"/>
      <c r="AK29" s="347"/>
      <c r="AL29" s="347"/>
      <c r="AM29" s="347"/>
    </row>
    <row r="30" spans="1:39" ht="13.5" x14ac:dyDescent="0.3">
      <c r="A30" s="355">
        <v>2</v>
      </c>
      <c r="B30" s="828" t="s">
        <v>1692</v>
      </c>
      <c r="C30" s="829"/>
      <c r="D30" s="356"/>
      <c r="E30" s="356" t="s">
        <v>1679</v>
      </c>
      <c r="F30" s="356"/>
      <c r="G30" s="357"/>
      <c r="H30" s="356"/>
      <c r="I30" s="356"/>
      <c r="J30" s="356"/>
      <c r="K30" s="357" t="s">
        <v>1679</v>
      </c>
      <c r="L30" s="358">
        <f t="shared" si="13"/>
        <v>3.6585365853658534E-2</v>
      </c>
      <c r="M30" s="346">
        <f t="shared" si="14"/>
        <v>300</v>
      </c>
      <c r="N30" s="346">
        <f t="shared" si="15"/>
        <v>150</v>
      </c>
      <c r="O30" s="359">
        <f t="shared" si="16"/>
        <v>0</v>
      </c>
      <c r="P30" s="331">
        <f>IF(E30="X",5,0)</f>
        <v>5</v>
      </c>
      <c r="Q30" s="331">
        <f t="shared" si="18"/>
        <v>0</v>
      </c>
      <c r="R30" s="331">
        <f>IF(G30="X",10,0)</f>
        <v>0</v>
      </c>
      <c r="S30" s="346">
        <f t="shared" si="20"/>
        <v>5</v>
      </c>
      <c r="T30" s="359">
        <f t="shared" si="21"/>
        <v>0</v>
      </c>
      <c r="U30" s="331">
        <f t="shared" si="22"/>
        <v>0</v>
      </c>
      <c r="V30" s="331">
        <f t="shared" si="23"/>
        <v>0</v>
      </c>
      <c r="W30" s="331">
        <f t="shared" si="24"/>
        <v>30</v>
      </c>
      <c r="X30" s="377">
        <f t="shared" si="25"/>
        <v>30</v>
      </c>
      <c r="Y30" s="332"/>
      <c r="Z30" s="332"/>
      <c r="AA30" s="332"/>
      <c r="AB30" s="332"/>
      <c r="AC30" s="347"/>
      <c r="AD30" s="347"/>
      <c r="AE30" s="347"/>
      <c r="AF30" s="347"/>
      <c r="AG30" s="347"/>
      <c r="AH30" s="347"/>
      <c r="AI30" s="347"/>
      <c r="AJ30" s="347"/>
      <c r="AK30" s="347"/>
      <c r="AL30" s="347"/>
      <c r="AM30" s="347"/>
    </row>
    <row r="31" spans="1:39" ht="13.5" x14ac:dyDescent="0.3">
      <c r="A31" s="348">
        <v>3</v>
      </c>
      <c r="B31" s="828" t="s">
        <v>1693</v>
      </c>
      <c r="C31" s="829"/>
      <c r="D31" s="356"/>
      <c r="E31" s="356"/>
      <c r="F31" s="356"/>
      <c r="G31" s="357"/>
      <c r="H31" s="356" t="s">
        <v>1679</v>
      </c>
      <c r="I31" s="356"/>
      <c r="J31" s="356"/>
      <c r="K31" s="357"/>
      <c r="L31" s="358">
        <f t="shared" si="13"/>
        <v>0</v>
      </c>
      <c r="M31" s="346">
        <f t="shared" si="14"/>
        <v>0</v>
      </c>
      <c r="N31" s="346">
        <f t="shared" si="15"/>
        <v>0</v>
      </c>
      <c r="O31" s="359">
        <f t="shared" si="16"/>
        <v>0</v>
      </c>
      <c r="P31" s="331">
        <f t="shared" si="17"/>
        <v>0</v>
      </c>
      <c r="Q31" s="331">
        <f t="shared" si="18"/>
        <v>0</v>
      </c>
      <c r="R31" s="331">
        <f t="shared" si="19"/>
        <v>0</v>
      </c>
      <c r="S31" s="346">
        <f t="shared" si="20"/>
        <v>0</v>
      </c>
      <c r="T31" s="359">
        <f t="shared" si="21"/>
        <v>0</v>
      </c>
      <c r="U31" s="331">
        <f t="shared" si="22"/>
        <v>0</v>
      </c>
      <c r="V31" s="331">
        <f t="shared" si="23"/>
        <v>0</v>
      </c>
      <c r="W31" s="331">
        <f t="shared" si="24"/>
        <v>0</v>
      </c>
      <c r="X31" s="377">
        <f t="shared" si="25"/>
        <v>0</v>
      </c>
      <c r="Y31" s="332"/>
      <c r="Z31" s="332"/>
      <c r="AA31" s="332"/>
      <c r="AB31" s="332"/>
      <c r="AC31" s="347"/>
      <c r="AD31" s="347"/>
      <c r="AE31" s="347"/>
      <c r="AF31" s="347"/>
      <c r="AG31" s="347"/>
      <c r="AH31" s="347"/>
      <c r="AI31" s="347"/>
      <c r="AJ31" s="347"/>
      <c r="AK31" s="347"/>
      <c r="AL31" s="347"/>
      <c r="AM31" s="347"/>
    </row>
    <row r="32" spans="1:39" ht="13.5" x14ac:dyDescent="0.3">
      <c r="A32" s="355">
        <v>4</v>
      </c>
      <c r="B32" s="828" t="s">
        <v>1694</v>
      </c>
      <c r="C32" s="829"/>
      <c r="D32" s="356" t="s">
        <v>1679</v>
      </c>
      <c r="E32" s="356"/>
      <c r="F32" s="356"/>
      <c r="G32" s="357"/>
      <c r="H32" s="356"/>
      <c r="I32" s="356"/>
      <c r="J32" s="356"/>
      <c r="K32" s="357" t="s">
        <v>1679</v>
      </c>
      <c r="L32" s="358">
        <f t="shared" si="13"/>
        <v>1.8292682926829267E-2</v>
      </c>
      <c r="M32" s="346">
        <f t="shared" si="14"/>
        <v>300</v>
      </c>
      <c r="N32" s="346">
        <f t="shared" si="15"/>
        <v>75</v>
      </c>
      <c r="O32" s="359">
        <f>IF(D32="X",2.5,0)</f>
        <v>2.5</v>
      </c>
      <c r="P32" s="331">
        <f t="shared" si="17"/>
        <v>0</v>
      </c>
      <c r="Q32" s="331">
        <f>IF(F32="X",7.5,0)</f>
        <v>0</v>
      </c>
      <c r="R32" s="331">
        <f t="shared" si="19"/>
        <v>0</v>
      </c>
      <c r="S32" s="346">
        <f t="shared" si="20"/>
        <v>2.5</v>
      </c>
      <c r="T32" s="359">
        <f t="shared" si="21"/>
        <v>0</v>
      </c>
      <c r="U32" s="331">
        <f t="shared" si="22"/>
        <v>0</v>
      </c>
      <c r="V32" s="331">
        <f>IF(J32="X",20,0)</f>
        <v>0</v>
      </c>
      <c r="W32" s="331">
        <f>IF(K32="X",30,0)</f>
        <v>30</v>
      </c>
      <c r="X32" s="377">
        <f t="shared" si="25"/>
        <v>30</v>
      </c>
      <c r="Y32" s="332"/>
      <c r="Z32" s="332"/>
      <c r="AA32" s="332"/>
      <c r="AB32" s="332"/>
      <c r="AC32" s="347"/>
      <c r="AD32" s="347"/>
      <c r="AE32" s="347"/>
      <c r="AF32" s="347"/>
      <c r="AG32" s="347"/>
      <c r="AH32" s="347"/>
      <c r="AI32" s="347"/>
      <c r="AJ32" s="347"/>
      <c r="AK32" s="347"/>
      <c r="AL32" s="347"/>
      <c r="AM32" s="347"/>
    </row>
    <row r="33" spans="1:39" ht="13.5" x14ac:dyDescent="0.3">
      <c r="A33" s="348">
        <v>5</v>
      </c>
      <c r="B33" s="828" t="s">
        <v>1695</v>
      </c>
      <c r="C33" s="829"/>
      <c r="D33" s="356"/>
      <c r="E33" s="356"/>
      <c r="F33" s="356" t="s">
        <v>1679</v>
      </c>
      <c r="G33" s="357"/>
      <c r="H33" s="356"/>
      <c r="I33" s="356"/>
      <c r="J33" s="356" t="s">
        <v>1679</v>
      </c>
      <c r="K33" s="357"/>
      <c r="L33" s="358">
        <f t="shared" si="13"/>
        <v>3.6585365853658534E-2</v>
      </c>
      <c r="M33" s="346">
        <f t="shared" si="14"/>
        <v>200</v>
      </c>
      <c r="N33" s="346">
        <f t="shared" si="15"/>
        <v>150</v>
      </c>
      <c r="O33" s="359">
        <f t="shared" si="16"/>
        <v>0</v>
      </c>
      <c r="P33" s="331">
        <f t="shared" si="17"/>
        <v>0</v>
      </c>
      <c r="Q33" s="331">
        <f t="shared" si="18"/>
        <v>7.5</v>
      </c>
      <c r="R33" s="331">
        <f t="shared" si="19"/>
        <v>0</v>
      </c>
      <c r="S33" s="346">
        <f t="shared" si="20"/>
        <v>7.5</v>
      </c>
      <c r="T33" s="359">
        <f t="shared" si="21"/>
        <v>0</v>
      </c>
      <c r="U33" s="331">
        <f t="shared" si="22"/>
        <v>0</v>
      </c>
      <c r="V33" s="331">
        <f t="shared" si="23"/>
        <v>20</v>
      </c>
      <c r="W33" s="331">
        <f t="shared" si="24"/>
        <v>0</v>
      </c>
      <c r="X33" s="377">
        <f t="shared" si="25"/>
        <v>20</v>
      </c>
      <c r="Y33" s="332"/>
      <c r="Z33" s="332"/>
      <c r="AA33" s="332"/>
      <c r="AB33" s="332"/>
      <c r="AC33" s="347"/>
      <c r="AD33" s="347"/>
      <c r="AE33" s="347"/>
      <c r="AF33" s="347"/>
      <c r="AG33" s="347"/>
      <c r="AH33" s="347"/>
      <c r="AI33" s="347"/>
      <c r="AJ33" s="347"/>
      <c r="AK33" s="347"/>
      <c r="AL33" s="347"/>
      <c r="AM33" s="347"/>
    </row>
    <row r="34" spans="1:39" ht="13.5" x14ac:dyDescent="0.3">
      <c r="A34" s="355">
        <v>6</v>
      </c>
      <c r="B34" s="828" t="s">
        <v>1696</v>
      </c>
      <c r="C34" s="829"/>
      <c r="D34" s="356"/>
      <c r="E34" s="356"/>
      <c r="F34" s="356" t="s">
        <v>1679</v>
      </c>
      <c r="G34" s="357"/>
      <c r="H34" s="356"/>
      <c r="I34" s="356"/>
      <c r="J34" s="356"/>
      <c r="K34" s="357" t="s">
        <v>1679</v>
      </c>
      <c r="L34" s="358">
        <f t="shared" si="13"/>
        <v>5.4878048780487805E-2</v>
      </c>
      <c r="M34" s="346">
        <f t="shared" si="14"/>
        <v>300</v>
      </c>
      <c r="N34" s="346">
        <f t="shared" si="15"/>
        <v>225</v>
      </c>
      <c r="O34" s="359">
        <f t="shared" si="16"/>
        <v>0</v>
      </c>
      <c r="P34" s="331">
        <f t="shared" si="17"/>
        <v>0</v>
      </c>
      <c r="Q34" s="331">
        <f t="shared" si="18"/>
        <v>7.5</v>
      </c>
      <c r="R34" s="331">
        <f t="shared" si="19"/>
        <v>0</v>
      </c>
      <c r="S34" s="346">
        <f t="shared" si="20"/>
        <v>7.5</v>
      </c>
      <c r="T34" s="359">
        <f t="shared" si="21"/>
        <v>0</v>
      </c>
      <c r="U34" s="331">
        <f t="shared" si="22"/>
        <v>0</v>
      </c>
      <c r="V34" s="331">
        <f t="shared" si="23"/>
        <v>0</v>
      </c>
      <c r="W34" s="331">
        <f t="shared" si="24"/>
        <v>30</v>
      </c>
      <c r="X34" s="377">
        <f t="shared" si="25"/>
        <v>30</v>
      </c>
      <c r="Y34" s="332"/>
      <c r="Z34" s="332"/>
      <c r="AA34" s="332"/>
      <c r="AB34" s="332"/>
      <c r="AC34" s="347"/>
      <c r="AD34" s="347"/>
      <c r="AE34" s="347"/>
      <c r="AF34" s="347"/>
      <c r="AG34" s="347"/>
      <c r="AH34" s="347"/>
      <c r="AI34" s="347"/>
      <c r="AJ34" s="347"/>
      <c r="AK34" s="347"/>
      <c r="AL34" s="347"/>
      <c r="AM34" s="347"/>
    </row>
    <row r="35" spans="1:39" ht="13.5" x14ac:dyDescent="0.3">
      <c r="A35" s="348">
        <v>7</v>
      </c>
      <c r="B35" s="828" t="s">
        <v>1697</v>
      </c>
      <c r="C35" s="829"/>
      <c r="D35" s="356"/>
      <c r="E35" s="356"/>
      <c r="F35" s="356"/>
      <c r="G35" s="357" t="s">
        <v>1679</v>
      </c>
      <c r="H35" s="356"/>
      <c r="I35" s="356"/>
      <c r="J35" s="356"/>
      <c r="K35" s="357" t="s">
        <v>1679</v>
      </c>
      <c r="L35" s="358">
        <f t="shared" si="13"/>
        <v>7.3170731707317069E-2</v>
      </c>
      <c r="M35" s="346">
        <f t="shared" si="14"/>
        <v>300</v>
      </c>
      <c r="N35" s="346">
        <f t="shared" si="15"/>
        <v>300</v>
      </c>
      <c r="O35" s="359">
        <f t="shared" si="16"/>
        <v>0</v>
      </c>
      <c r="P35" s="331">
        <f t="shared" si="17"/>
        <v>0</v>
      </c>
      <c r="Q35" s="331">
        <f t="shared" si="18"/>
        <v>0</v>
      </c>
      <c r="R35" s="331">
        <f t="shared" si="19"/>
        <v>10</v>
      </c>
      <c r="S35" s="346">
        <f t="shared" si="20"/>
        <v>10</v>
      </c>
      <c r="T35" s="359">
        <f t="shared" si="21"/>
        <v>0</v>
      </c>
      <c r="U35" s="331">
        <f t="shared" si="22"/>
        <v>0</v>
      </c>
      <c r="V35" s="331">
        <f t="shared" si="23"/>
        <v>0</v>
      </c>
      <c r="W35" s="331">
        <f t="shared" si="24"/>
        <v>30</v>
      </c>
      <c r="X35" s="377">
        <f t="shared" si="25"/>
        <v>30</v>
      </c>
      <c r="Y35" s="332"/>
      <c r="Z35" s="332"/>
      <c r="AA35" s="332"/>
      <c r="AB35" s="332"/>
      <c r="AC35" s="347"/>
      <c r="AD35" s="347"/>
      <c r="AE35" s="347"/>
      <c r="AF35" s="347"/>
      <c r="AG35" s="347"/>
      <c r="AH35" s="347"/>
      <c r="AI35" s="347"/>
      <c r="AJ35" s="347"/>
      <c r="AK35" s="347"/>
      <c r="AL35" s="347"/>
      <c r="AM35" s="347"/>
    </row>
    <row r="36" spans="1:39" ht="13.5" x14ac:dyDescent="0.3">
      <c r="A36" s="355">
        <v>8</v>
      </c>
      <c r="B36" s="828" t="s">
        <v>1698</v>
      </c>
      <c r="C36" s="829"/>
      <c r="D36" s="356"/>
      <c r="E36" s="356"/>
      <c r="F36" s="356"/>
      <c r="G36" s="357" t="s">
        <v>1679</v>
      </c>
      <c r="H36" s="356"/>
      <c r="I36" s="356"/>
      <c r="J36" s="356"/>
      <c r="K36" s="357" t="s">
        <v>1679</v>
      </c>
      <c r="L36" s="358">
        <f t="shared" si="13"/>
        <v>7.3170731707317069E-2</v>
      </c>
      <c r="M36" s="346">
        <f t="shared" si="14"/>
        <v>300</v>
      </c>
      <c r="N36" s="346">
        <f t="shared" si="15"/>
        <v>300</v>
      </c>
      <c r="O36" s="359">
        <f t="shared" si="16"/>
        <v>0</v>
      </c>
      <c r="P36" s="331">
        <f t="shared" si="17"/>
        <v>0</v>
      </c>
      <c r="Q36" s="331">
        <f t="shared" si="18"/>
        <v>0</v>
      </c>
      <c r="R36" s="331">
        <f t="shared" si="19"/>
        <v>10</v>
      </c>
      <c r="S36" s="346">
        <f t="shared" si="20"/>
        <v>10</v>
      </c>
      <c r="T36" s="359">
        <f t="shared" si="21"/>
        <v>0</v>
      </c>
      <c r="U36" s="331">
        <f t="shared" si="22"/>
        <v>0</v>
      </c>
      <c r="V36" s="331">
        <f t="shared" si="23"/>
        <v>0</v>
      </c>
      <c r="W36" s="331">
        <f t="shared" si="24"/>
        <v>30</v>
      </c>
      <c r="X36" s="377">
        <f t="shared" si="25"/>
        <v>30</v>
      </c>
      <c r="Y36" s="332"/>
      <c r="Z36" s="332"/>
      <c r="AA36" s="332"/>
      <c r="AB36" s="332"/>
      <c r="AC36" s="347"/>
      <c r="AD36" s="347"/>
      <c r="AE36" s="347"/>
      <c r="AF36" s="347"/>
      <c r="AG36" s="347"/>
      <c r="AH36" s="347"/>
      <c r="AI36" s="347"/>
      <c r="AJ36" s="347"/>
      <c r="AK36" s="347"/>
      <c r="AL36" s="347"/>
      <c r="AM36" s="347"/>
    </row>
    <row r="37" spans="1:39" ht="13.5" x14ac:dyDescent="0.3">
      <c r="A37" s="348">
        <v>9</v>
      </c>
      <c r="B37" s="828" t="s">
        <v>1699</v>
      </c>
      <c r="C37" s="829"/>
      <c r="D37" s="356"/>
      <c r="E37" s="356" t="s">
        <v>1679</v>
      </c>
      <c r="F37" s="356"/>
      <c r="G37" s="357"/>
      <c r="H37" s="356"/>
      <c r="I37" s="356"/>
      <c r="J37" s="356"/>
      <c r="K37" s="357" t="s">
        <v>1679</v>
      </c>
      <c r="L37" s="358">
        <f>IF($M$44=0,0,N37/$M$44)</f>
        <v>3.6585365853658534E-2</v>
      </c>
      <c r="M37" s="346">
        <f>+X37*10</f>
        <v>300</v>
      </c>
      <c r="N37" s="346">
        <f>+S37*X37</f>
        <v>150</v>
      </c>
      <c r="O37" s="359">
        <f>IF(D37="X",2.5,0)</f>
        <v>0</v>
      </c>
      <c r="P37" s="331">
        <f>IF(E37="X",5,0)</f>
        <v>5</v>
      </c>
      <c r="Q37" s="331">
        <f>IF(F37="X",7.5,0)</f>
        <v>0</v>
      </c>
      <c r="R37" s="331">
        <f>IF(G37="X",10,0)</f>
        <v>0</v>
      </c>
      <c r="S37" s="346">
        <f>SUM(O37:R37)</f>
        <v>5</v>
      </c>
      <c r="T37" s="359">
        <f>IF(H37="X",0,0)</f>
        <v>0</v>
      </c>
      <c r="U37" s="331">
        <f>IF(I37="X",10,0)</f>
        <v>0</v>
      </c>
      <c r="V37" s="331">
        <f>IF(J37="X",20,0)</f>
        <v>0</v>
      </c>
      <c r="W37" s="331">
        <f>IF(K37="X",30,0)</f>
        <v>30</v>
      </c>
      <c r="X37" s="377">
        <f>SUM(U37:W37)</f>
        <v>30</v>
      </c>
      <c r="Y37" s="332"/>
      <c r="Z37" s="332"/>
      <c r="AA37" s="332"/>
      <c r="AB37" s="332"/>
      <c r="AC37" s="347"/>
      <c r="AD37" s="347"/>
      <c r="AE37" s="347"/>
      <c r="AF37" s="347"/>
      <c r="AG37" s="347"/>
      <c r="AH37" s="347"/>
      <c r="AI37" s="347"/>
      <c r="AJ37" s="347"/>
      <c r="AK37" s="347"/>
      <c r="AL37" s="347"/>
      <c r="AM37" s="347"/>
    </row>
    <row r="38" spans="1:39" ht="13.5" x14ac:dyDescent="0.3">
      <c r="A38" s="355">
        <v>10</v>
      </c>
      <c r="B38" s="828" t="s">
        <v>1700</v>
      </c>
      <c r="C38" s="829"/>
      <c r="D38" s="356"/>
      <c r="E38" s="356"/>
      <c r="F38" s="356"/>
      <c r="G38" s="357" t="s">
        <v>1679</v>
      </c>
      <c r="H38" s="356"/>
      <c r="I38" s="356"/>
      <c r="J38" s="356"/>
      <c r="K38" s="357" t="s">
        <v>1679</v>
      </c>
      <c r="L38" s="358">
        <f t="shared" si="13"/>
        <v>7.3170731707317069E-2</v>
      </c>
      <c r="M38" s="346">
        <f t="shared" si="14"/>
        <v>300</v>
      </c>
      <c r="N38" s="346">
        <f t="shared" si="15"/>
        <v>300</v>
      </c>
      <c r="O38" s="359">
        <f t="shared" si="16"/>
        <v>0</v>
      </c>
      <c r="P38" s="331">
        <f t="shared" si="17"/>
        <v>0</v>
      </c>
      <c r="Q38" s="331">
        <f t="shared" si="18"/>
        <v>0</v>
      </c>
      <c r="R38" s="331">
        <f t="shared" si="19"/>
        <v>10</v>
      </c>
      <c r="S38" s="346">
        <f t="shared" si="20"/>
        <v>10</v>
      </c>
      <c r="T38" s="359">
        <f t="shared" si="21"/>
        <v>0</v>
      </c>
      <c r="U38" s="331">
        <f t="shared" si="22"/>
        <v>0</v>
      </c>
      <c r="V38" s="331">
        <f t="shared" si="23"/>
        <v>0</v>
      </c>
      <c r="W38" s="331">
        <f t="shared" si="24"/>
        <v>30</v>
      </c>
      <c r="X38" s="377">
        <f t="shared" si="25"/>
        <v>30</v>
      </c>
      <c r="Y38" s="332"/>
      <c r="Z38" s="332"/>
      <c r="AA38" s="332"/>
      <c r="AB38" s="332"/>
      <c r="AC38" s="347"/>
      <c r="AD38" s="347"/>
      <c r="AE38" s="347"/>
      <c r="AF38" s="347"/>
      <c r="AG38" s="347"/>
      <c r="AH38" s="347"/>
      <c r="AI38" s="347"/>
      <c r="AJ38" s="347"/>
      <c r="AK38" s="347"/>
      <c r="AL38" s="347"/>
      <c r="AM38" s="347"/>
    </row>
    <row r="39" spans="1:39" ht="13.5" x14ac:dyDescent="0.3">
      <c r="A39" s="348">
        <v>11</v>
      </c>
      <c r="B39" s="828" t="s">
        <v>1701</v>
      </c>
      <c r="C39" s="829"/>
      <c r="D39" s="356"/>
      <c r="E39" s="356" t="s">
        <v>1679</v>
      </c>
      <c r="F39" s="356"/>
      <c r="G39" s="357"/>
      <c r="H39" s="356"/>
      <c r="I39" s="356"/>
      <c r="J39" s="356"/>
      <c r="K39" s="357" t="s">
        <v>1679</v>
      </c>
      <c r="L39" s="358">
        <f t="shared" si="13"/>
        <v>3.6585365853658534E-2</v>
      </c>
      <c r="M39" s="346">
        <f t="shared" si="14"/>
        <v>300</v>
      </c>
      <c r="N39" s="346">
        <f t="shared" si="15"/>
        <v>150</v>
      </c>
      <c r="O39" s="359">
        <f t="shared" si="16"/>
        <v>0</v>
      </c>
      <c r="P39" s="331">
        <f t="shared" si="17"/>
        <v>5</v>
      </c>
      <c r="Q39" s="331">
        <f t="shared" si="18"/>
        <v>0</v>
      </c>
      <c r="R39" s="331">
        <f t="shared" si="19"/>
        <v>0</v>
      </c>
      <c r="S39" s="346">
        <f t="shared" si="20"/>
        <v>5</v>
      </c>
      <c r="T39" s="359">
        <f t="shared" si="21"/>
        <v>0</v>
      </c>
      <c r="U39" s="331">
        <f t="shared" si="22"/>
        <v>0</v>
      </c>
      <c r="V39" s="331">
        <f t="shared" si="23"/>
        <v>0</v>
      </c>
      <c r="W39" s="331">
        <f t="shared" si="24"/>
        <v>30</v>
      </c>
      <c r="X39" s="377">
        <f t="shared" si="25"/>
        <v>30</v>
      </c>
      <c r="Y39" s="332"/>
      <c r="Z39" s="332"/>
      <c r="AA39" s="332"/>
      <c r="AB39" s="332"/>
      <c r="AC39" s="347"/>
      <c r="AD39" s="347"/>
      <c r="AE39" s="347"/>
      <c r="AF39" s="347"/>
      <c r="AG39" s="347"/>
      <c r="AH39" s="347"/>
      <c r="AI39" s="347"/>
      <c r="AJ39" s="347"/>
      <c r="AK39" s="347"/>
      <c r="AL39" s="347"/>
      <c r="AM39" s="347"/>
    </row>
    <row r="40" spans="1:39" ht="13.5" x14ac:dyDescent="0.3">
      <c r="A40" s="355">
        <v>12</v>
      </c>
      <c r="B40" s="828" t="s">
        <v>1702</v>
      </c>
      <c r="C40" s="829"/>
      <c r="D40" s="356"/>
      <c r="E40" s="356"/>
      <c r="F40" s="356"/>
      <c r="G40" s="357" t="s">
        <v>1679</v>
      </c>
      <c r="H40" s="356"/>
      <c r="I40" s="356"/>
      <c r="J40" s="356"/>
      <c r="K40" s="356" t="s">
        <v>1679</v>
      </c>
      <c r="L40" s="358">
        <f t="shared" si="13"/>
        <v>7.3170731707317069E-2</v>
      </c>
      <c r="M40" s="346">
        <f t="shared" si="14"/>
        <v>300</v>
      </c>
      <c r="N40" s="346">
        <f t="shared" si="15"/>
        <v>300</v>
      </c>
      <c r="O40" s="359">
        <f t="shared" si="16"/>
        <v>0</v>
      </c>
      <c r="P40" s="331">
        <f t="shared" si="17"/>
        <v>0</v>
      </c>
      <c r="Q40" s="331">
        <f t="shared" si="18"/>
        <v>0</v>
      </c>
      <c r="R40" s="331">
        <f t="shared" si="19"/>
        <v>10</v>
      </c>
      <c r="S40" s="346">
        <f t="shared" si="20"/>
        <v>10</v>
      </c>
      <c r="T40" s="359">
        <f t="shared" si="21"/>
        <v>0</v>
      </c>
      <c r="U40" s="331">
        <f t="shared" si="22"/>
        <v>0</v>
      </c>
      <c r="V40" s="331">
        <f t="shared" si="23"/>
        <v>0</v>
      </c>
      <c r="W40" s="331">
        <f t="shared" si="24"/>
        <v>30</v>
      </c>
      <c r="X40" s="377">
        <f t="shared" si="25"/>
        <v>30</v>
      </c>
      <c r="Y40" s="332"/>
      <c r="Z40" s="332"/>
      <c r="AA40" s="332"/>
      <c r="AB40" s="332"/>
      <c r="AC40" s="347"/>
      <c r="AD40" s="347"/>
      <c r="AE40" s="347"/>
      <c r="AF40" s="347"/>
      <c r="AG40" s="347"/>
      <c r="AH40" s="347"/>
      <c r="AI40" s="347"/>
      <c r="AJ40" s="347"/>
      <c r="AK40" s="347"/>
      <c r="AL40" s="347"/>
      <c r="AM40" s="347"/>
    </row>
    <row r="41" spans="1:39" ht="13.5" x14ac:dyDescent="0.3">
      <c r="A41" s="348">
        <v>13</v>
      </c>
      <c r="B41" s="828" t="s">
        <v>1703</v>
      </c>
      <c r="C41" s="829"/>
      <c r="D41" s="356"/>
      <c r="E41" s="356"/>
      <c r="F41" s="356"/>
      <c r="G41" s="357" t="s">
        <v>1679</v>
      </c>
      <c r="H41" s="356"/>
      <c r="I41" s="356"/>
      <c r="J41" s="356"/>
      <c r="K41" s="356" t="s">
        <v>1679</v>
      </c>
      <c r="L41" s="358">
        <f t="shared" si="13"/>
        <v>7.3170731707317069E-2</v>
      </c>
      <c r="M41" s="346">
        <f t="shared" si="14"/>
        <v>300</v>
      </c>
      <c r="N41" s="346">
        <f t="shared" si="15"/>
        <v>300</v>
      </c>
      <c r="O41" s="359">
        <f t="shared" si="16"/>
        <v>0</v>
      </c>
      <c r="P41" s="331">
        <f t="shared" si="17"/>
        <v>0</v>
      </c>
      <c r="Q41" s="331">
        <f t="shared" si="18"/>
        <v>0</v>
      </c>
      <c r="R41" s="331">
        <f t="shared" si="19"/>
        <v>10</v>
      </c>
      <c r="S41" s="346">
        <f t="shared" si="20"/>
        <v>10</v>
      </c>
      <c r="T41" s="359">
        <f t="shared" si="21"/>
        <v>0</v>
      </c>
      <c r="U41" s="331">
        <f t="shared" si="22"/>
        <v>0</v>
      </c>
      <c r="V41" s="331">
        <f t="shared" si="23"/>
        <v>0</v>
      </c>
      <c r="W41" s="331">
        <f t="shared" si="24"/>
        <v>30</v>
      </c>
      <c r="X41" s="377">
        <f t="shared" si="25"/>
        <v>30</v>
      </c>
      <c r="Y41" s="332"/>
      <c r="Z41" s="332"/>
      <c r="AA41" s="332"/>
      <c r="AB41" s="332"/>
      <c r="AC41" s="347"/>
      <c r="AD41" s="347"/>
      <c r="AE41" s="347"/>
      <c r="AF41" s="347"/>
      <c r="AG41" s="347"/>
      <c r="AH41" s="347"/>
      <c r="AI41" s="347"/>
      <c r="AJ41" s="347"/>
      <c r="AK41" s="347"/>
      <c r="AL41" s="347"/>
      <c r="AM41" s="347"/>
    </row>
    <row r="42" spans="1:39" ht="13.5" x14ac:dyDescent="0.3">
      <c r="A42" s="355">
        <v>14</v>
      </c>
      <c r="B42" s="828" t="s">
        <v>1704</v>
      </c>
      <c r="C42" s="829"/>
      <c r="D42" s="356"/>
      <c r="E42" s="356" t="s">
        <v>1679</v>
      </c>
      <c r="F42" s="356"/>
      <c r="G42" s="357"/>
      <c r="H42" s="356"/>
      <c r="I42" s="356"/>
      <c r="J42" s="356"/>
      <c r="K42" s="357" t="s">
        <v>1679</v>
      </c>
      <c r="L42" s="358">
        <f t="shared" si="13"/>
        <v>3.6585365853658534E-2</v>
      </c>
      <c r="M42" s="346">
        <f t="shared" si="14"/>
        <v>300</v>
      </c>
      <c r="N42" s="346">
        <f t="shared" si="15"/>
        <v>150</v>
      </c>
      <c r="O42" s="359">
        <f t="shared" si="16"/>
        <v>0</v>
      </c>
      <c r="P42" s="331">
        <f t="shared" si="17"/>
        <v>5</v>
      </c>
      <c r="Q42" s="331">
        <f t="shared" si="18"/>
        <v>0</v>
      </c>
      <c r="R42" s="331">
        <f t="shared" si="19"/>
        <v>0</v>
      </c>
      <c r="S42" s="346">
        <f t="shared" si="20"/>
        <v>5</v>
      </c>
      <c r="T42" s="359">
        <f t="shared" si="21"/>
        <v>0</v>
      </c>
      <c r="U42" s="331">
        <f t="shared" si="22"/>
        <v>0</v>
      </c>
      <c r="V42" s="331">
        <f t="shared" si="23"/>
        <v>0</v>
      </c>
      <c r="W42" s="331">
        <f t="shared" si="24"/>
        <v>30</v>
      </c>
      <c r="X42" s="377">
        <f t="shared" si="25"/>
        <v>30</v>
      </c>
      <c r="Y42" s="332"/>
      <c r="Z42" s="332"/>
      <c r="AA42" s="332"/>
      <c r="AB42" s="332"/>
      <c r="AC42" s="347"/>
      <c r="AD42" s="347"/>
      <c r="AE42" s="347"/>
      <c r="AF42" s="347"/>
      <c r="AG42" s="347"/>
      <c r="AH42" s="347"/>
      <c r="AI42" s="347"/>
      <c r="AJ42" s="347"/>
      <c r="AK42" s="347"/>
      <c r="AL42" s="347"/>
      <c r="AM42" s="347"/>
    </row>
    <row r="43" spans="1:39" ht="14.25" thickBot="1" x14ac:dyDescent="0.35">
      <c r="A43" s="348">
        <v>15</v>
      </c>
      <c r="B43" s="848" t="s">
        <v>1705</v>
      </c>
      <c r="C43" s="848"/>
      <c r="D43" s="361"/>
      <c r="E43" s="361"/>
      <c r="F43" s="361"/>
      <c r="G43" s="378" t="s">
        <v>1679</v>
      </c>
      <c r="H43" s="361"/>
      <c r="I43" s="361"/>
      <c r="J43" s="361"/>
      <c r="K43" s="378" t="s">
        <v>1679</v>
      </c>
      <c r="L43" s="363">
        <f t="shared" si="13"/>
        <v>7.3170731707317069E-2</v>
      </c>
      <c r="M43" s="346">
        <f t="shared" si="14"/>
        <v>300</v>
      </c>
      <c r="N43" s="346">
        <f t="shared" si="15"/>
        <v>300</v>
      </c>
      <c r="O43" s="364">
        <f t="shared" si="16"/>
        <v>0</v>
      </c>
      <c r="P43" s="365">
        <f t="shared" si="17"/>
        <v>0</v>
      </c>
      <c r="Q43" s="365">
        <f t="shared" si="18"/>
        <v>0</v>
      </c>
      <c r="R43" s="365">
        <f t="shared" si="19"/>
        <v>10</v>
      </c>
      <c r="S43" s="379">
        <f t="shared" si="20"/>
        <v>10</v>
      </c>
      <c r="T43" s="364">
        <f t="shared" si="21"/>
        <v>0</v>
      </c>
      <c r="U43" s="365">
        <f t="shared" si="22"/>
        <v>0</v>
      </c>
      <c r="V43" s="365">
        <f t="shared" si="23"/>
        <v>0</v>
      </c>
      <c r="W43" s="365">
        <f t="shared" si="24"/>
        <v>30</v>
      </c>
      <c r="X43" s="380">
        <f t="shared" si="25"/>
        <v>30</v>
      </c>
      <c r="Y43" s="332"/>
      <c r="Z43" s="332"/>
      <c r="AA43" s="332"/>
      <c r="AB43" s="381"/>
      <c r="AC43" s="347"/>
      <c r="AD43" s="347"/>
      <c r="AE43" s="347"/>
      <c r="AF43" s="347"/>
      <c r="AG43" s="347"/>
      <c r="AH43" s="347"/>
      <c r="AI43" s="347"/>
      <c r="AJ43" s="347"/>
      <c r="AK43" s="347"/>
      <c r="AL43" s="347"/>
      <c r="AM43" s="347"/>
    </row>
    <row r="44" spans="1:39" ht="14.25" thickBot="1" x14ac:dyDescent="0.35">
      <c r="L44" s="382">
        <f>SUM(L29:L43)</f>
        <v>0.76829268292682917</v>
      </c>
      <c r="M44" s="346">
        <f>SUM(M29:M43)</f>
        <v>4100</v>
      </c>
      <c r="N44" s="383">
        <f>SUM(N29:N43)</f>
        <v>3150</v>
      </c>
      <c r="O44" s="364">
        <f t="shared" si="16"/>
        <v>0</v>
      </c>
      <c r="P44" s="365">
        <f t="shared" si="17"/>
        <v>0</v>
      </c>
      <c r="Q44" s="365">
        <f t="shared" si="18"/>
        <v>0</v>
      </c>
      <c r="R44" s="365">
        <f t="shared" si="19"/>
        <v>0</v>
      </c>
      <c r="S44" s="379">
        <f t="shared" si="20"/>
        <v>0</v>
      </c>
      <c r="T44" s="364">
        <f t="shared" si="21"/>
        <v>0</v>
      </c>
      <c r="U44" s="365">
        <f t="shared" si="22"/>
        <v>0</v>
      </c>
      <c r="V44" s="365">
        <f t="shared" si="23"/>
        <v>0</v>
      </c>
      <c r="W44" s="365">
        <f t="shared" si="24"/>
        <v>0</v>
      </c>
      <c r="X44" s="380">
        <f t="shared" si="25"/>
        <v>0</v>
      </c>
      <c r="Y44" s="332"/>
      <c r="Z44" s="332"/>
      <c r="AA44" s="332"/>
      <c r="AB44" s="332"/>
      <c r="AC44" s="347"/>
      <c r="AD44" s="347"/>
      <c r="AE44" s="347"/>
      <c r="AF44" s="347"/>
      <c r="AG44" s="347"/>
      <c r="AH44" s="347"/>
      <c r="AI44" s="347"/>
      <c r="AJ44" s="347"/>
      <c r="AK44" s="347"/>
      <c r="AL44" s="347"/>
      <c r="AM44" s="347"/>
    </row>
    <row r="45" spans="1:39" ht="10.5" customHeight="1" x14ac:dyDescent="0.25">
      <c r="B45" s="332"/>
      <c r="C45" s="332"/>
      <c r="D45" s="332"/>
      <c r="E45" s="332"/>
      <c r="F45" s="332"/>
      <c r="G45" s="332"/>
      <c r="H45" s="332"/>
      <c r="I45" s="332"/>
      <c r="J45" s="332"/>
      <c r="K45" s="332"/>
      <c r="L45" s="332"/>
      <c r="O45" s="331"/>
      <c r="P45" s="331"/>
      <c r="Q45" s="331"/>
      <c r="R45" s="331"/>
      <c r="S45" s="331"/>
      <c r="T45" s="331"/>
      <c r="U45" s="331"/>
      <c r="V45" s="331"/>
      <c r="W45" s="331"/>
      <c r="X45" s="331"/>
      <c r="Y45" s="332"/>
      <c r="Z45" s="332"/>
      <c r="AA45" s="332"/>
      <c r="AB45" s="332"/>
      <c r="AC45" s="347"/>
      <c r="AD45" s="347"/>
      <c r="AE45" s="347"/>
      <c r="AF45" s="347"/>
      <c r="AG45" s="347"/>
      <c r="AH45" s="347"/>
      <c r="AI45" s="347"/>
      <c r="AJ45" s="347"/>
      <c r="AK45" s="347"/>
      <c r="AL45" s="347"/>
      <c r="AM45" s="347"/>
    </row>
    <row r="46" spans="1:39" x14ac:dyDescent="0.25">
      <c r="M46" s="331"/>
      <c r="N46" s="331">
        <f>IF($L$44&gt;85%,5,0)</f>
        <v>0</v>
      </c>
      <c r="O46" s="331">
        <f>IF($L$44&lt;=85%,2,0)</f>
        <v>2</v>
      </c>
      <c r="P46" s="331">
        <f>IF($L$44&gt;70%,2,0)</f>
        <v>2</v>
      </c>
      <c r="Q46" s="331">
        <f>IF($L$44&lt;=70%,3,0)</f>
        <v>0</v>
      </c>
      <c r="R46" s="331">
        <f>IF($L$44&gt;45%,1,0)</f>
        <v>1</v>
      </c>
      <c r="S46" s="331">
        <f>IF($L$44&lt;=45%,1,0)</f>
        <v>0</v>
      </c>
      <c r="T46" s="331"/>
      <c r="U46" s="331">
        <f>IF($L$44&gt;0%,2,0)</f>
        <v>2</v>
      </c>
      <c r="V46" s="331"/>
      <c r="W46" s="331"/>
      <c r="X46" s="331"/>
      <c r="Y46" s="332"/>
      <c r="Z46" s="332"/>
      <c r="AA46" s="332"/>
      <c r="AB46" s="332"/>
    </row>
    <row r="47" spans="1:39" ht="13.5" x14ac:dyDescent="0.3">
      <c r="A47" s="849" t="s">
        <v>1706</v>
      </c>
      <c r="B47" s="849"/>
      <c r="C47" s="368">
        <f>L44</f>
        <v>0.76829268292682917</v>
      </c>
      <c r="E47" s="850" t="str">
        <f>+IF(L44&gt;=0.86,"A",IF(AND(L44&lt;0.86,L44&gt;=0.71),"B",IF(AND(L44&lt;0.71,L44&gt;=0.46),"C",IF(AND(L44&lt;0.46,L44&gt;0),"No califica",IF(L44=0,"No evaluado")))))</f>
        <v>B</v>
      </c>
      <c r="F47" s="850"/>
      <c r="G47" s="385"/>
      <c r="H47" s="854" t="s">
        <v>1686</v>
      </c>
      <c r="I47" s="854"/>
      <c r="J47" s="854"/>
      <c r="K47" s="854"/>
      <c r="L47" s="369" t="str">
        <f>+IF(E47="A","Excelente",IF(E47="B","Muy Bueno",IF(E47="C","Bueno a regular",IF(E47="No evaluado","","No califica"))))</f>
        <v>Muy Bueno</v>
      </c>
      <c r="M47" s="331"/>
      <c r="N47" s="331">
        <f>+N46</f>
        <v>0</v>
      </c>
      <c r="O47" s="851">
        <f>+O46*P46</f>
        <v>4</v>
      </c>
      <c r="P47" s="851"/>
      <c r="Q47" s="851">
        <f>+Q46*R46</f>
        <v>0</v>
      </c>
      <c r="R47" s="851"/>
      <c r="S47" s="851">
        <f>+S46*U46</f>
        <v>0</v>
      </c>
      <c r="T47" s="851"/>
      <c r="U47" s="851"/>
      <c r="V47" s="331">
        <f>SUM(N47:U47)</f>
        <v>4</v>
      </c>
      <c r="W47" s="331"/>
      <c r="X47" s="331"/>
      <c r="Y47" s="332"/>
      <c r="Z47" s="332"/>
      <c r="AA47" s="332"/>
      <c r="AB47" s="332"/>
    </row>
    <row r="48" spans="1:39" ht="12.75" customHeight="1" x14ac:dyDescent="0.3">
      <c r="B48" s="386"/>
      <c r="C48" s="332"/>
      <c r="D48" s="332"/>
      <c r="E48" s="332"/>
      <c r="F48" s="332"/>
      <c r="G48" s="387"/>
      <c r="H48" s="371"/>
      <c r="I48" s="371"/>
      <c r="J48" s="372"/>
      <c r="K48" s="373"/>
      <c r="L48" s="374"/>
      <c r="M48" s="331"/>
      <c r="N48" s="331"/>
      <c r="O48" s="331"/>
      <c r="P48" s="331"/>
      <c r="Q48" s="331"/>
      <c r="R48" s="331"/>
      <c r="S48" s="331"/>
      <c r="T48" s="331"/>
      <c r="U48" s="331"/>
      <c r="V48" s="331"/>
      <c r="W48" s="331"/>
      <c r="X48" s="331"/>
      <c r="Y48" s="332"/>
      <c r="Z48" s="332"/>
      <c r="AA48" s="332"/>
      <c r="AB48" s="332"/>
    </row>
    <row r="49" spans="1:28" s="387" customFormat="1" ht="12.75" customHeight="1" x14ac:dyDescent="0.25">
      <c r="A49" s="863" t="s">
        <v>1687</v>
      </c>
      <c r="B49" s="863"/>
      <c r="C49" s="853" t="s">
        <v>1707</v>
      </c>
      <c r="D49" s="853"/>
      <c r="E49" s="853"/>
      <c r="F49" s="853"/>
      <c r="G49" s="385"/>
      <c r="H49" s="854" t="s">
        <v>1689</v>
      </c>
      <c r="I49" s="854"/>
      <c r="J49" s="854"/>
      <c r="K49" s="854"/>
      <c r="L49" s="375">
        <v>43154</v>
      </c>
      <c r="M49" s="388"/>
      <c r="N49" s="388"/>
      <c r="O49" s="388"/>
      <c r="P49" s="388"/>
      <c r="Q49" s="388"/>
      <c r="R49" s="388"/>
      <c r="S49" s="388"/>
      <c r="T49" s="388"/>
      <c r="U49" s="388"/>
      <c r="V49" s="388"/>
      <c r="W49" s="388"/>
      <c r="X49" s="388"/>
      <c r="Y49" s="389"/>
      <c r="Z49" s="389"/>
      <c r="AA49" s="389"/>
      <c r="AB49" s="389"/>
    </row>
    <row r="50" spans="1:28" ht="11.25" customHeight="1" x14ac:dyDescent="0.25">
      <c r="B50" s="390"/>
      <c r="C50" s="391"/>
      <c r="D50" s="334"/>
      <c r="E50" s="334"/>
      <c r="F50" s="334"/>
      <c r="G50" s="392"/>
      <c r="H50" s="373"/>
      <c r="I50" s="373"/>
      <c r="J50" s="373"/>
      <c r="M50" s="331"/>
      <c r="N50" s="331"/>
      <c r="O50" s="331"/>
      <c r="P50" s="331"/>
      <c r="Q50" s="331"/>
      <c r="R50" s="331"/>
      <c r="S50" s="331"/>
      <c r="T50" s="331"/>
      <c r="U50" s="331"/>
      <c r="V50" s="331"/>
      <c r="W50" s="331"/>
      <c r="X50" s="331"/>
      <c r="Y50" s="332"/>
      <c r="Z50" s="332"/>
      <c r="AA50" s="332"/>
      <c r="AB50" s="332"/>
    </row>
    <row r="51" spans="1:28" ht="13.5" x14ac:dyDescent="0.25">
      <c r="B51" s="390"/>
      <c r="C51" s="391"/>
      <c r="D51" s="334"/>
      <c r="E51" s="334"/>
      <c r="F51" s="334"/>
      <c r="G51" s="392"/>
      <c r="H51" s="392"/>
      <c r="I51" s="392"/>
      <c r="J51" s="392"/>
      <c r="K51" s="334"/>
      <c r="L51" s="334"/>
      <c r="M51" s="331"/>
      <c r="N51" s="331"/>
      <c r="O51" s="331"/>
      <c r="P51" s="331"/>
      <c r="Q51" s="331"/>
      <c r="R51" s="331"/>
      <c r="S51" s="331"/>
      <c r="T51" s="331"/>
      <c r="U51" s="331"/>
      <c r="V51" s="331"/>
      <c r="W51" s="331"/>
      <c r="X51" s="331"/>
      <c r="Y51" s="332"/>
      <c r="Z51" s="332"/>
      <c r="AA51" s="332"/>
      <c r="AB51" s="332"/>
    </row>
    <row r="52" spans="1:28" ht="12.75" customHeight="1" x14ac:dyDescent="0.3">
      <c r="A52" s="866" t="s">
        <v>1708</v>
      </c>
      <c r="B52" s="866"/>
      <c r="C52" s="368">
        <f>IF(L44=0,L19,(L19*0.5+L44*0.5))</f>
        <v>0.63414634146341453</v>
      </c>
      <c r="D52" s="393"/>
      <c r="E52" s="850" t="str">
        <f>+IF($C$52&gt;=0.86,"A",IF(AND($C$52&lt;0.86,$C$52&gt;=0.71),"B",IF(AND($C$52&lt;0.71,$C$52&gt;=0.46),"C",IF(AND($C$52&lt;0.46,$C$52&gt;0),"No califica",IF(C52=0,"No evaluado",)))))</f>
        <v>C</v>
      </c>
      <c r="F52" s="850"/>
      <c r="G52" s="867" t="s">
        <v>1686</v>
      </c>
      <c r="H52" s="867"/>
      <c r="I52" s="867"/>
      <c r="J52" s="867"/>
      <c r="K52" s="867"/>
      <c r="L52" s="369" t="str">
        <f>+IF(E52="A","Excelente",IF(E52="B","Muy Bueno",IF(E52="C","Bueno a regular",IF(E52="No evaluado","","No califica"))))</f>
        <v>Bueno a regular</v>
      </c>
      <c r="M52" s="331"/>
      <c r="N52" s="331"/>
      <c r="O52" s="331"/>
      <c r="P52" s="331"/>
      <c r="Q52" s="331"/>
      <c r="R52" s="331"/>
      <c r="S52" s="331"/>
      <c r="T52" s="331"/>
      <c r="U52" s="331"/>
      <c r="V52" s="331"/>
      <c r="W52" s="331"/>
      <c r="X52" s="331"/>
      <c r="Y52" s="332"/>
      <c r="Z52" s="332"/>
      <c r="AA52" s="332"/>
      <c r="AB52" s="332"/>
    </row>
    <row r="53" spans="1:28" ht="14.25" x14ac:dyDescent="0.3">
      <c r="B53" s="386"/>
      <c r="C53" s="332"/>
      <c r="D53" s="332"/>
      <c r="E53" s="332"/>
      <c r="F53" s="332"/>
      <c r="G53" s="394"/>
      <c r="H53" s="394"/>
      <c r="I53" s="394"/>
      <c r="J53" s="394"/>
      <c r="K53" s="395"/>
      <c r="L53" s="374"/>
      <c r="M53" s="331"/>
      <c r="N53" s="331"/>
      <c r="O53" s="331"/>
      <c r="P53" s="331"/>
      <c r="Q53" s="331"/>
      <c r="R53" s="331"/>
      <c r="S53" s="331"/>
      <c r="T53" s="331"/>
      <c r="U53" s="331"/>
      <c r="V53" s="331"/>
      <c r="W53" s="331"/>
      <c r="X53" s="331"/>
      <c r="Y53" s="332"/>
      <c r="Z53" s="332"/>
      <c r="AA53" s="332"/>
      <c r="AB53" s="332"/>
    </row>
    <row r="54" spans="1:28" ht="12" customHeight="1" x14ac:dyDescent="0.3">
      <c r="B54" s="396"/>
      <c r="C54" s="332"/>
      <c r="E54" s="332"/>
      <c r="F54" s="332"/>
      <c r="G54" s="868" t="s">
        <v>1709</v>
      </c>
      <c r="H54" s="868"/>
      <c r="I54" s="868"/>
      <c r="J54" s="868"/>
      <c r="K54" s="868"/>
      <c r="L54" s="375">
        <v>43154</v>
      </c>
      <c r="M54" s="331"/>
      <c r="N54" s="331"/>
      <c r="O54" s="331"/>
      <c r="P54" s="331"/>
      <c r="Q54" s="331"/>
      <c r="R54" s="331"/>
      <c r="S54" s="331"/>
      <c r="T54" s="331"/>
      <c r="U54" s="331"/>
      <c r="V54" s="331"/>
      <c r="W54" s="331"/>
      <c r="X54" s="331"/>
      <c r="Y54" s="332"/>
      <c r="Z54" s="332"/>
      <c r="AA54" s="332"/>
      <c r="AB54" s="332"/>
    </row>
    <row r="55" spans="1:28" x14ac:dyDescent="0.25">
      <c r="B55" s="332"/>
      <c r="C55" s="332"/>
      <c r="D55" s="332"/>
      <c r="E55" s="332"/>
      <c r="F55" s="332"/>
      <c r="G55" s="332"/>
      <c r="H55" s="332"/>
      <c r="I55" s="332"/>
      <c r="J55" s="332"/>
      <c r="K55" s="332"/>
      <c r="L55" s="332"/>
      <c r="M55" s="331"/>
      <c r="N55" s="331"/>
      <c r="O55" s="331"/>
      <c r="P55" s="331"/>
      <c r="Q55" s="331"/>
      <c r="R55" s="331"/>
      <c r="S55" s="331"/>
      <c r="T55" s="331"/>
      <c r="U55" s="331"/>
      <c r="V55" s="331"/>
      <c r="W55" s="331"/>
      <c r="X55" s="331"/>
      <c r="Y55" s="332"/>
      <c r="Z55" s="332"/>
      <c r="AA55" s="332"/>
      <c r="AB55" s="332"/>
    </row>
    <row r="56" spans="1:28" x14ac:dyDescent="0.25">
      <c r="B56" s="332"/>
      <c r="C56" s="332"/>
      <c r="D56" s="332"/>
      <c r="E56" s="332"/>
      <c r="F56" s="332"/>
      <c r="G56" s="332"/>
      <c r="H56" s="332"/>
      <c r="I56" s="332"/>
      <c r="J56" s="332"/>
      <c r="K56" s="332"/>
      <c r="L56" s="332"/>
      <c r="M56" s="331"/>
      <c r="N56" s="331"/>
      <c r="O56" s="331"/>
      <c r="P56" s="331"/>
      <c r="Q56" s="331"/>
      <c r="R56" s="331"/>
      <c r="S56" s="331"/>
      <c r="T56" s="331"/>
      <c r="U56" s="331"/>
      <c r="V56" s="331"/>
      <c r="W56" s="331"/>
      <c r="X56" s="331"/>
      <c r="Y56" s="332"/>
      <c r="Z56" s="332"/>
      <c r="AA56" s="332"/>
      <c r="AB56" s="332"/>
    </row>
    <row r="57" spans="1:28" ht="12.75" customHeight="1" x14ac:dyDescent="0.3">
      <c r="A57" s="869" t="s">
        <v>1710</v>
      </c>
      <c r="B57" s="869"/>
      <c r="C57" s="932" t="s">
        <v>1711</v>
      </c>
      <c r="D57" s="932"/>
      <c r="E57" s="932"/>
      <c r="F57" s="932"/>
      <c r="G57" s="932"/>
      <c r="H57" s="932"/>
      <c r="I57" s="932"/>
      <c r="J57" s="932"/>
      <c r="K57" s="932"/>
      <c r="L57" s="932"/>
      <c r="M57" s="331"/>
      <c r="N57" s="331"/>
      <c r="O57" s="331"/>
      <c r="P57" s="331"/>
      <c r="Q57" s="331"/>
      <c r="R57" s="331"/>
      <c r="S57" s="331"/>
      <c r="T57" s="331"/>
      <c r="U57" s="331"/>
      <c r="V57" s="331"/>
      <c r="W57" s="331"/>
      <c r="X57" s="331"/>
      <c r="Y57" s="332"/>
      <c r="Z57" s="332"/>
      <c r="AA57" s="332"/>
      <c r="AB57" s="332"/>
    </row>
    <row r="58" spans="1:28" ht="12.75" customHeight="1" x14ac:dyDescent="0.25">
      <c r="A58" s="864"/>
      <c r="B58" s="864"/>
      <c r="C58" s="864"/>
      <c r="D58" s="864"/>
      <c r="E58" s="864"/>
      <c r="F58" s="864"/>
      <c r="G58" s="864"/>
      <c r="H58" s="864"/>
      <c r="I58" s="864"/>
      <c r="J58" s="864"/>
      <c r="K58" s="864"/>
      <c r="L58" s="864"/>
      <c r="M58" s="331"/>
      <c r="N58" s="331"/>
      <c r="O58" s="331"/>
      <c r="P58" s="331"/>
      <c r="Q58" s="331"/>
      <c r="R58" s="331"/>
      <c r="S58" s="331"/>
      <c r="T58" s="331"/>
      <c r="U58" s="331"/>
      <c r="V58" s="331"/>
      <c r="W58" s="331"/>
      <c r="X58" s="331"/>
      <c r="Y58" s="332"/>
      <c r="Z58" s="332"/>
      <c r="AA58" s="332"/>
      <c r="AB58" s="332"/>
    </row>
    <row r="59" spans="1:28" ht="9.75" customHeight="1" x14ac:dyDescent="0.25"/>
    <row r="60" spans="1:28" s="339" customFormat="1" ht="24" customHeight="1" x14ac:dyDescent="0.2">
      <c r="A60" s="865" t="s">
        <v>1712</v>
      </c>
      <c r="B60" s="865"/>
      <c r="C60" s="865"/>
      <c r="D60" s="865"/>
      <c r="E60" s="865"/>
      <c r="F60" s="865"/>
      <c r="G60" s="865"/>
      <c r="H60" s="865"/>
      <c r="I60" s="865"/>
      <c r="J60" s="865"/>
      <c r="K60" s="865"/>
      <c r="L60" s="865"/>
      <c r="M60" s="397"/>
      <c r="N60" s="397"/>
      <c r="O60" s="397"/>
      <c r="P60" s="397"/>
      <c r="Q60" s="397"/>
      <c r="R60" s="397"/>
      <c r="S60" s="397"/>
      <c r="T60" s="397"/>
      <c r="U60" s="397"/>
      <c r="V60" s="397"/>
      <c r="W60" s="397"/>
      <c r="X60" s="397"/>
    </row>
    <row r="61" spans="1:28" ht="13.5" x14ac:dyDescent="0.3">
      <c r="H61" s="396" t="s">
        <v>1713</v>
      </c>
      <c r="I61" s="396"/>
      <c r="J61" s="340"/>
      <c r="L61" s="398" t="s">
        <v>1714</v>
      </c>
    </row>
    <row r="62" spans="1:28" ht="13.5" x14ac:dyDescent="0.3">
      <c r="H62" s="396" t="s">
        <v>1715</v>
      </c>
      <c r="I62" s="396"/>
      <c r="J62" s="340"/>
      <c r="L62" s="398" t="s">
        <v>1716</v>
      </c>
    </row>
    <row r="63" spans="1:28" ht="13.5" x14ac:dyDescent="0.3">
      <c r="H63" s="396" t="s">
        <v>1717</v>
      </c>
      <c r="I63" s="396"/>
      <c r="J63" s="340"/>
      <c r="L63" s="398" t="s">
        <v>1718</v>
      </c>
    </row>
    <row r="64" spans="1:28" ht="13.5" x14ac:dyDescent="0.3">
      <c r="H64" s="396" t="s">
        <v>1719</v>
      </c>
      <c r="I64" s="396"/>
      <c r="J64" s="340"/>
      <c r="L64" s="398" t="s">
        <v>1720</v>
      </c>
    </row>
  </sheetData>
  <mergeCells count="69">
    <mergeCell ref="A58:L58"/>
    <mergeCell ref="A60:L60"/>
    <mergeCell ref="A52:B52"/>
    <mergeCell ref="E52:F52"/>
    <mergeCell ref="G52:K52"/>
    <mergeCell ref="G54:K54"/>
    <mergeCell ref="A57:B57"/>
    <mergeCell ref="C57:L57"/>
    <mergeCell ref="O47:P47"/>
    <mergeCell ref="Q47:R47"/>
    <mergeCell ref="S47:U47"/>
    <mergeCell ref="A49:B49"/>
    <mergeCell ref="C49:F49"/>
    <mergeCell ref="H49:K49"/>
    <mergeCell ref="H47:K47"/>
    <mergeCell ref="B41:C41"/>
    <mergeCell ref="B42:C42"/>
    <mergeCell ref="B43:C43"/>
    <mergeCell ref="A47:B47"/>
    <mergeCell ref="E47:F47"/>
    <mergeCell ref="B40:C40"/>
    <mergeCell ref="B29:C29"/>
    <mergeCell ref="B30:C30"/>
    <mergeCell ref="B31:C31"/>
    <mergeCell ref="B32:C32"/>
    <mergeCell ref="B33:C33"/>
    <mergeCell ref="B34:C34"/>
    <mergeCell ref="B35:C35"/>
    <mergeCell ref="B36:C36"/>
    <mergeCell ref="B37:C37"/>
    <mergeCell ref="B38:C38"/>
    <mergeCell ref="B39:C39"/>
    <mergeCell ref="T28:X28"/>
    <mergeCell ref="O21:P21"/>
    <mergeCell ref="Q21:R21"/>
    <mergeCell ref="S21:U21"/>
    <mergeCell ref="A23:B23"/>
    <mergeCell ref="C23:F23"/>
    <mergeCell ref="H23:K23"/>
    <mergeCell ref="H21:K21"/>
    <mergeCell ref="A25:L25"/>
    <mergeCell ref="D27:G27"/>
    <mergeCell ref="H27:K27"/>
    <mergeCell ref="B28:C28"/>
    <mergeCell ref="O28:S28"/>
    <mergeCell ref="B16:C16"/>
    <mergeCell ref="B17:C17"/>
    <mergeCell ref="B18:C18"/>
    <mergeCell ref="A21:B21"/>
    <mergeCell ref="E21:F21"/>
    <mergeCell ref="O11:S11"/>
    <mergeCell ref="T11:X11"/>
    <mergeCell ref="B12:C12"/>
    <mergeCell ref="B13:C13"/>
    <mergeCell ref="B14:C14"/>
    <mergeCell ref="B15:C15"/>
    <mergeCell ref="A6:B6"/>
    <mergeCell ref="C6:L6"/>
    <mergeCell ref="A8:L8"/>
    <mergeCell ref="D10:G10"/>
    <mergeCell ref="H10:K10"/>
    <mergeCell ref="B11:C11"/>
    <mergeCell ref="A5:B5"/>
    <mergeCell ref="C5:L5"/>
    <mergeCell ref="A1:B2"/>
    <mergeCell ref="C1:L1"/>
    <mergeCell ref="C2:E2"/>
    <mergeCell ref="F2:L2"/>
    <mergeCell ref="A4:L4"/>
  </mergeCells>
  <pageMargins left="0.75" right="0.75" top="1" bottom="1" header="0" footer="0"/>
  <pageSetup paperSize="9" scale="78" orientation="portrait" r:id="rId1"/>
  <headerFooter alignWithMargins="0">
    <oddFooter>&amp;L&amp;7EMISIÓN: 5/05/10 
Revisión 1&amp;C&amp;7Revisa y Aprueba : Ruth Clausen&amp;R&amp;7&amp;P de &amp;N</oddFooter>
  </headerFooter>
  <colBreaks count="1" manualBreakCount="1">
    <brk id="1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9"/>
  </sheetPr>
  <dimension ref="A1:AM64"/>
  <sheetViews>
    <sheetView workbookViewId="0">
      <selection sqref="A1:B2"/>
    </sheetView>
  </sheetViews>
  <sheetFormatPr baseColWidth="10" defaultRowHeight="11.25" x14ac:dyDescent="0.2"/>
  <cols>
    <col min="1" max="1" width="2.7109375" style="533" customWidth="1"/>
    <col min="2" max="2" width="18.7109375" style="532" customWidth="1"/>
    <col min="3" max="3" width="15.28515625" style="532" customWidth="1"/>
    <col min="4" max="4" width="5.5703125" style="532" customWidth="1"/>
    <col min="5" max="5" width="5" style="532" customWidth="1"/>
    <col min="6" max="7" width="5.5703125" style="532" customWidth="1"/>
    <col min="8" max="8" width="7.28515625" style="532" customWidth="1"/>
    <col min="9" max="10" width="5.85546875" style="532" customWidth="1"/>
    <col min="11" max="11" width="5.7109375" style="532" customWidth="1"/>
    <col min="12" max="12" width="17.28515625" style="532" customWidth="1"/>
    <col min="13" max="14" width="12.28515625" style="583" hidden="1" customWidth="1"/>
    <col min="15" max="24" width="8.7109375" style="583" hidden="1" customWidth="1"/>
    <col min="25" max="16384" width="11.42578125" style="532"/>
  </cols>
  <sheetData>
    <row r="1" spans="1:39" ht="48.75" customHeight="1" thickBot="1" x14ac:dyDescent="0.25">
      <c r="A1" s="919"/>
      <c r="B1" s="920"/>
      <c r="C1" s="923" t="s">
        <v>1657</v>
      </c>
      <c r="D1" s="924"/>
      <c r="E1" s="924"/>
      <c r="F1" s="924"/>
      <c r="G1" s="924"/>
      <c r="H1" s="924"/>
      <c r="I1" s="924"/>
      <c r="J1" s="924"/>
      <c r="K1" s="924"/>
      <c r="L1" s="925"/>
      <c r="M1" s="529"/>
      <c r="N1" s="530"/>
      <c r="O1" s="530"/>
      <c r="P1" s="530"/>
      <c r="Q1" s="530"/>
      <c r="R1" s="530"/>
      <c r="S1" s="530"/>
      <c r="T1" s="530"/>
      <c r="U1" s="530"/>
      <c r="V1" s="530"/>
      <c r="W1" s="530"/>
      <c r="X1" s="530"/>
      <c r="Y1" s="531"/>
      <c r="Z1" s="531"/>
      <c r="AA1" s="531"/>
      <c r="AB1" s="531"/>
    </row>
    <row r="2" spans="1:39" ht="24.75" customHeight="1" thickBot="1" x14ac:dyDescent="0.25">
      <c r="A2" s="921"/>
      <c r="B2" s="922"/>
      <c r="C2" s="926" t="s">
        <v>1658</v>
      </c>
      <c r="D2" s="927"/>
      <c r="E2" s="928"/>
      <c r="F2" s="926" t="s">
        <v>1659</v>
      </c>
      <c r="G2" s="927"/>
      <c r="H2" s="927"/>
      <c r="I2" s="927"/>
      <c r="J2" s="927"/>
      <c r="K2" s="927"/>
      <c r="L2" s="928"/>
      <c r="M2" s="530"/>
      <c r="N2" s="530"/>
      <c r="O2" s="530"/>
      <c r="P2" s="530"/>
      <c r="Q2" s="530"/>
      <c r="R2" s="530"/>
      <c r="S2" s="530"/>
      <c r="T2" s="530"/>
      <c r="U2" s="530"/>
      <c r="V2" s="530"/>
      <c r="W2" s="530"/>
      <c r="X2" s="530"/>
      <c r="Y2" s="531"/>
      <c r="Z2" s="531"/>
      <c r="AA2" s="531"/>
      <c r="AB2" s="531"/>
    </row>
    <row r="3" spans="1:39" ht="9" customHeight="1" thickBot="1" x14ac:dyDescent="0.25">
      <c r="B3" s="534"/>
      <c r="C3" s="535"/>
      <c r="D3" s="535"/>
      <c r="E3" s="535"/>
      <c r="F3" s="535"/>
      <c r="G3" s="535"/>
      <c r="H3" s="535"/>
      <c r="I3" s="535"/>
      <c r="J3" s="535"/>
      <c r="K3" s="535"/>
      <c r="L3" s="535"/>
      <c r="M3" s="530"/>
      <c r="N3" s="530"/>
      <c r="O3" s="530"/>
      <c r="P3" s="530"/>
      <c r="Q3" s="530"/>
      <c r="R3" s="530"/>
      <c r="S3" s="530"/>
      <c r="T3" s="530"/>
      <c r="U3" s="530"/>
      <c r="V3" s="530"/>
      <c r="W3" s="530"/>
      <c r="X3" s="530"/>
      <c r="Y3" s="531"/>
      <c r="Z3" s="531"/>
      <c r="AA3" s="531"/>
      <c r="AB3" s="531"/>
    </row>
    <row r="4" spans="1:39" s="538" customFormat="1" ht="18.75" customHeight="1" thickBot="1" x14ac:dyDescent="0.25">
      <c r="A4" s="929" t="s">
        <v>1660</v>
      </c>
      <c r="B4" s="930"/>
      <c r="C4" s="930"/>
      <c r="D4" s="930"/>
      <c r="E4" s="930"/>
      <c r="F4" s="930"/>
      <c r="G4" s="930"/>
      <c r="H4" s="930"/>
      <c r="I4" s="930"/>
      <c r="J4" s="930"/>
      <c r="K4" s="930"/>
      <c r="L4" s="931"/>
      <c r="M4" s="536"/>
      <c r="N4" s="536"/>
      <c r="O4" s="536"/>
      <c r="P4" s="536"/>
      <c r="Q4" s="536"/>
      <c r="R4" s="536"/>
      <c r="S4" s="536"/>
      <c r="T4" s="536"/>
      <c r="U4" s="536"/>
      <c r="V4" s="536"/>
      <c r="W4" s="536"/>
      <c r="X4" s="536"/>
      <c r="Y4" s="537"/>
      <c r="Z4" s="537"/>
      <c r="AA4" s="537"/>
      <c r="AB4" s="537"/>
    </row>
    <row r="5" spans="1:39" s="538" customFormat="1" ht="16.5" customHeight="1" thickBot="1" x14ac:dyDescent="0.25">
      <c r="A5" s="914" t="s">
        <v>1661</v>
      </c>
      <c r="B5" s="915"/>
      <c r="C5" s="916" t="s">
        <v>628</v>
      </c>
      <c r="D5" s="917"/>
      <c r="E5" s="917"/>
      <c r="F5" s="917"/>
      <c r="G5" s="917"/>
      <c r="H5" s="917"/>
      <c r="I5" s="917"/>
      <c r="J5" s="917"/>
      <c r="K5" s="917"/>
      <c r="L5" s="918"/>
      <c r="M5" s="536"/>
      <c r="N5" s="536"/>
      <c r="O5" s="536"/>
      <c r="P5" s="536"/>
      <c r="Q5" s="536"/>
      <c r="R5" s="536"/>
      <c r="S5" s="536"/>
      <c r="T5" s="536"/>
      <c r="U5" s="536"/>
      <c r="V5" s="536"/>
      <c r="W5" s="536"/>
      <c r="X5" s="536"/>
      <c r="Y5" s="537"/>
      <c r="Z5" s="537"/>
      <c r="AA5" s="537"/>
      <c r="AB5" s="537"/>
    </row>
    <row r="6" spans="1:39" ht="16.5" customHeight="1" thickBot="1" x14ac:dyDescent="0.25">
      <c r="A6" s="902" t="s">
        <v>1662</v>
      </c>
      <c r="B6" s="903"/>
      <c r="C6" s="904" t="s">
        <v>1663</v>
      </c>
      <c r="D6" s="905"/>
      <c r="E6" s="905"/>
      <c r="F6" s="905"/>
      <c r="G6" s="905"/>
      <c r="H6" s="905"/>
      <c r="I6" s="905"/>
      <c r="J6" s="905"/>
      <c r="K6" s="905"/>
      <c r="L6" s="906"/>
      <c r="M6" s="530"/>
      <c r="N6" s="530"/>
      <c r="O6" s="530"/>
      <c r="P6" s="530"/>
      <c r="Q6" s="530"/>
      <c r="R6" s="530"/>
      <c r="S6" s="530"/>
      <c r="T6" s="530"/>
      <c r="U6" s="530"/>
      <c r="V6" s="530"/>
      <c r="W6" s="530"/>
      <c r="X6" s="530"/>
      <c r="Y6" s="531"/>
      <c r="Z6" s="531"/>
      <c r="AA6" s="531"/>
      <c r="AB6" s="531"/>
    </row>
    <row r="7" spans="1:39" ht="12" customHeight="1" thickBot="1" x14ac:dyDescent="0.25">
      <c r="B7" s="539"/>
      <c r="D7" s="533"/>
      <c r="E7" s="533"/>
      <c r="F7" s="533"/>
      <c r="G7" s="533"/>
      <c r="H7" s="533"/>
      <c r="I7" s="533"/>
      <c r="J7" s="533"/>
      <c r="K7" s="533"/>
      <c r="L7" s="533"/>
      <c r="M7" s="530"/>
      <c r="N7" s="530"/>
      <c r="O7" s="530"/>
      <c r="P7" s="530"/>
      <c r="Q7" s="530"/>
      <c r="R7" s="530"/>
      <c r="S7" s="530"/>
      <c r="T7" s="530"/>
      <c r="U7" s="530"/>
      <c r="V7" s="530"/>
      <c r="W7" s="530"/>
      <c r="X7" s="530"/>
      <c r="Y7" s="531"/>
      <c r="Z7" s="531"/>
      <c r="AA7" s="531"/>
      <c r="AB7" s="531"/>
    </row>
    <row r="8" spans="1:39" ht="15" customHeight="1" thickBot="1" x14ac:dyDescent="0.25">
      <c r="A8" s="907" t="s">
        <v>1664</v>
      </c>
      <c r="B8" s="908"/>
      <c r="C8" s="908"/>
      <c r="D8" s="908"/>
      <c r="E8" s="908"/>
      <c r="F8" s="908"/>
      <c r="G8" s="908"/>
      <c r="H8" s="908"/>
      <c r="I8" s="908"/>
      <c r="J8" s="908"/>
      <c r="K8" s="908"/>
      <c r="L8" s="909"/>
      <c r="M8" s="530"/>
      <c r="N8" s="530"/>
      <c r="O8" s="530"/>
      <c r="P8" s="530"/>
      <c r="Q8" s="530"/>
      <c r="R8" s="530"/>
      <c r="S8" s="530"/>
      <c r="T8" s="530"/>
      <c r="U8" s="530"/>
      <c r="V8" s="530"/>
      <c r="W8" s="530"/>
      <c r="X8" s="530"/>
      <c r="Y8" s="531"/>
      <c r="Z8" s="531"/>
      <c r="AA8" s="531"/>
      <c r="AB8" s="531"/>
    </row>
    <row r="9" spans="1:39" ht="20.25" customHeight="1" x14ac:dyDescent="0.2">
      <c r="B9" s="539"/>
      <c r="D9" s="533"/>
      <c r="E9" s="533"/>
      <c r="F9" s="533"/>
      <c r="G9" s="533"/>
      <c r="H9" s="533"/>
      <c r="I9" s="533"/>
      <c r="J9" s="533"/>
      <c r="K9" s="533"/>
      <c r="L9" s="533"/>
      <c r="M9" s="530"/>
      <c r="N9" s="530"/>
      <c r="O9" s="530"/>
      <c r="P9" s="530"/>
      <c r="Q9" s="530"/>
      <c r="R9" s="530"/>
      <c r="S9" s="530"/>
      <c r="T9" s="530"/>
      <c r="U9" s="530"/>
      <c r="V9" s="530"/>
      <c r="W9" s="530"/>
      <c r="X9" s="530"/>
      <c r="Y9" s="531"/>
      <c r="Z9" s="531"/>
      <c r="AA9" s="531"/>
      <c r="AB9" s="531"/>
    </row>
    <row r="10" spans="1:39" x14ac:dyDescent="0.2">
      <c r="B10" s="539"/>
      <c r="D10" s="910" t="s">
        <v>1665</v>
      </c>
      <c r="E10" s="910"/>
      <c r="F10" s="910"/>
      <c r="G10" s="910"/>
      <c r="H10" s="911" t="s">
        <v>1666</v>
      </c>
      <c r="I10" s="912"/>
      <c r="J10" s="912"/>
      <c r="K10" s="913"/>
      <c r="L10" s="540" t="s">
        <v>1667</v>
      </c>
      <c r="M10" s="530"/>
      <c r="N10" s="530"/>
      <c r="O10" s="530"/>
      <c r="P10" s="530"/>
      <c r="Q10" s="530"/>
      <c r="R10" s="530"/>
      <c r="S10" s="530"/>
      <c r="T10" s="530"/>
      <c r="U10" s="530"/>
      <c r="V10" s="530"/>
      <c r="W10" s="530"/>
      <c r="X10" s="530"/>
      <c r="Y10" s="531"/>
      <c r="Z10" s="531"/>
      <c r="AA10" s="531"/>
      <c r="AB10" s="531"/>
    </row>
    <row r="11" spans="1:39" x14ac:dyDescent="0.2">
      <c r="A11" s="541" t="s">
        <v>1668</v>
      </c>
      <c r="B11" s="898" t="s">
        <v>1669</v>
      </c>
      <c r="C11" s="898"/>
      <c r="D11" s="542">
        <v>1</v>
      </c>
      <c r="E11" s="542">
        <v>2</v>
      </c>
      <c r="F11" s="542">
        <v>3</v>
      </c>
      <c r="G11" s="543">
        <v>4</v>
      </c>
      <c r="H11" s="544" t="s">
        <v>1670</v>
      </c>
      <c r="I11" s="544" t="s">
        <v>1671</v>
      </c>
      <c r="J11" s="544" t="s">
        <v>1672</v>
      </c>
      <c r="K11" s="544" t="s">
        <v>1673</v>
      </c>
      <c r="L11" s="541" t="s">
        <v>1674</v>
      </c>
      <c r="M11" s="545" t="s">
        <v>1675</v>
      </c>
      <c r="N11" s="545" t="s">
        <v>1676</v>
      </c>
      <c r="O11" s="889" t="s">
        <v>1677</v>
      </c>
      <c r="P11" s="889"/>
      <c r="Q11" s="889"/>
      <c r="R11" s="889"/>
      <c r="S11" s="899"/>
      <c r="T11" s="889" t="s">
        <v>1666</v>
      </c>
      <c r="U11" s="889"/>
      <c r="V11" s="889"/>
      <c r="W11" s="889"/>
      <c r="X11" s="889"/>
      <c r="Y11" s="531"/>
      <c r="Z11" s="531"/>
      <c r="AA11" s="531"/>
      <c r="AB11" s="531"/>
      <c r="AC11" s="546"/>
      <c r="AD11" s="546"/>
      <c r="AE11" s="546"/>
      <c r="AF11" s="546"/>
      <c r="AG11" s="546"/>
      <c r="AH11" s="546"/>
      <c r="AI11" s="546"/>
      <c r="AJ11" s="546"/>
      <c r="AK11" s="546"/>
      <c r="AL11" s="546"/>
      <c r="AM11" s="546"/>
    </row>
    <row r="12" spans="1:39" x14ac:dyDescent="0.2">
      <c r="A12" s="547">
        <v>1</v>
      </c>
      <c r="B12" s="887" t="s">
        <v>1678</v>
      </c>
      <c r="C12" s="901"/>
      <c r="D12" s="548"/>
      <c r="E12" s="548"/>
      <c r="F12" s="548" t="s">
        <v>1679</v>
      </c>
      <c r="G12" s="549"/>
      <c r="H12" s="548"/>
      <c r="I12" s="548"/>
      <c r="J12" s="548" t="s">
        <v>1679</v>
      </c>
      <c r="K12" s="549"/>
      <c r="L12" s="550">
        <f t="shared" ref="L12:L18" si="0">IF($M$19=0,0,N12/$M$19)</f>
        <v>8.8235294117647065E-2</v>
      </c>
      <c r="M12" s="545">
        <f t="shared" ref="M12:M18" si="1">+X12*10</f>
        <v>200</v>
      </c>
      <c r="N12" s="545">
        <f t="shared" ref="N12:N18" si="2">+S12*X12</f>
        <v>150</v>
      </c>
      <c r="O12" s="551">
        <f t="shared" ref="O12:O18" si="3">IF(D12="X",2.5,0)</f>
        <v>0</v>
      </c>
      <c r="P12" s="552">
        <f t="shared" ref="P12:P18" si="4">IF(E12="X",5,0)</f>
        <v>0</v>
      </c>
      <c r="Q12" s="552">
        <f t="shared" ref="Q12:Q18" si="5">IF(F12="X",7.5,0)</f>
        <v>7.5</v>
      </c>
      <c r="R12" s="552">
        <f t="shared" ref="R12:R18" si="6">IF(G12="X",10,0)</f>
        <v>0</v>
      </c>
      <c r="S12" s="553">
        <f t="shared" ref="S12:S18" si="7">SUM(O12:R12)</f>
        <v>7.5</v>
      </c>
      <c r="T12" s="551">
        <f t="shared" ref="T12:T18" si="8">IF(H12="X",0,0)</f>
        <v>0</v>
      </c>
      <c r="U12" s="552">
        <f t="shared" ref="U12:U18" si="9">IF(I12="X",10,0)</f>
        <v>0</v>
      </c>
      <c r="V12" s="552">
        <f t="shared" ref="V12:V18" si="10">IF(J12="X",20,0)</f>
        <v>20</v>
      </c>
      <c r="W12" s="552">
        <f t="shared" ref="W12:W18" si="11">IF(K12="X",30,0)</f>
        <v>0</v>
      </c>
      <c r="X12" s="553">
        <f t="shared" ref="X12:X18" si="12">SUM(U12:W12)</f>
        <v>20</v>
      </c>
      <c r="Y12" s="531"/>
      <c r="Z12" s="531"/>
      <c r="AA12" s="531"/>
      <c r="AB12" s="531"/>
      <c r="AC12" s="546"/>
      <c r="AD12" s="546"/>
      <c r="AE12" s="546"/>
      <c r="AF12" s="546"/>
      <c r="AG12" s="546"/>
      <c r="AH12" s="546"/>
      <c r="AI12" s="546"/>
      <c r="AJ12" s="546"/>
      <c r="AK12" s="546"/>
      <c r="AL12" s="546"/>
      <c r="AM12" s="546"/>
    </row>
    <row r="13" spans="1:39" x14ac:dyDescent="0.2">
      <c r="A13" s="554">
        <v>2</v>
      </c>
      <c r="B13" s="883" t="s">
        <v>1680</v>
      </c>
      <c r="C13" s="884"/>
      <c r="D13" s="555"/>
      <c r="E13" s="555"/>
      <c r="F13" s="555" t="s">
        <v>1679</v>
      </c>
      <c r="G13" s="556"/>
      <c r="H13" s="555"/>
      <c r="I13" s="555"/>
      <c r="J13" s="555"/>
      <c r="K13" s="555" t="s">
        <v>1679</v>
      </c>
      <c r="L13" s="557">
        <f t="shared" si="0"/>
        <v>0.13235294117647059</v>
      </c>
      <c r="M13" s="545">
        <f t="shared" si="1"/>
        <v>300</v>
      </c>
      <c r="N13" s="545">
        <f t="shared" si="2"/>
        <v>225</v>
      </c>
      <c r="O13" s="558">
        <f t="shared" si="3"/>
        <v>0</v>
      </c>
      <c r="P13" s="530">
        <f t="shared" si="4"/>
        <v>0</v>
      </c>
      <c r="Q13" s="530">
        <f t="shared" si="5"/>
        <v>7.5</v>
      </c>
      <c r="R13" s="530">
        <f t="shared" si="6"/>
        <v>0</v>
      </c>
      <c r="S13" s="559">
        <f t="shared" si="7"/>
        <v>7.5</v>
      </c>
      <c r="T13" s="558">
        <f t="shared" si="8"/>
        <v>0</v>
      </c>
      <c r="U13" s="530">
        <f t="shared" si="9"/>
        <v>0</v>
      </c>
      <c r="V13" s="530">
        <f t="shared" si="10"/>
        <v>0</v>
      </c>
      <c r="W13" s="530">
        <f t="shared" si="11"/>
        <v>30</v>
      </c>
      <c r="X13" s="559">
        <f t="shared" si="12"/>
        <v>30</v>
      </c>
      <c r="Y13" s="531"/>
      <c r="Z13" s="531"/>
      <c r="AA13" s="531"/>
      <c r="AB13" s="531"/>
      <c r="AC13" s="546"/>
      <c r="AD13" s="546"/>
      <c r="AE13" s="546"/>
      <c r="AF13" s="546"/>
      <c r="AG13" s="546"/>
      <c r="AH13" s="546"/>
      <c r="AI13" s="546"/>
      <c r="AJ13" s="546"/>
      <c r="AK13" s="546"/>
      <c r="AL13" s="546"/>
      <c r="AM13" s="546"/>
    </row>
    <row r="14" spans="1:39" x14ac:dyDescent="0.2">
      <c r="A14" s="554">
        <v>3</v>
      </c>
      <c r="B14" s="883" t="s">
        <v>1681</v>
      </c>
      <c r="C14" s="884"/>
      <c r="D14" s="555"/>
      <c r="E14" s="556"/>
      <c r="F14" s="556" t="s">
        <v>1679</v>
      </c>
      <c r="G14" s="556"/>
      <c r="H14" s="555"/>
      <c r="I14" s="555"/>
      <c r="J14" s="555"/>
      <c r="K14" s="556" t="s">
        <v>1679</v>
      </c>
      <c r="L14" s="557">
        <f t="shared" si="0"/>
        <v>0.13235294117647059</v>
      </c>
      <c r="M14" s="545">
        <f t="shared" si="1"/>
        <v>300</v>
      </c>
      <c r="N14" s="545">
        <f t="shared" si="2"/>
        <v>225</v>
      </c>
      <c r="O14" s="558">
        <f t="shared" si="3"/>
        <v>0</v>
      </c>
      <c r="P14" s="530">
        <f t="shared" si="4"/>
        <v>0</v>
      </c>
      <c r="Q14" s="530">
        <f t="shared" si="5"/>
        <v>7.5</v>
      </c>
      <c r="R14" s="530">
        <f t="shared" si="6"/>
        <v>0</v>
      </c>
      <c r="S14" s="559">
        <f t="shared" si="7"/>
        <v>7.5</v>
      </c>
      <c r="T14" s="558">
        <f t="shared" si="8"/>
        <v>0</v>
      </c>
      <c r="U14" s="530">
        <f t="shared" si="9"/>
        <v>0</v>
      </c>
      <c r="V14" s="530">
        <f t="shared" si="10"/>
        <v>0</v>
      </c>
      <c r="W14" s="530">
        <f t="shared" si="11"/>
        <v>30</v>
      </c>
      <c r="X14" s="559">
        <f t="shared" si="12"/>
        <v>30</v>
      </c>
      <c r="Y14" s="531"/>
      <c r="Z14" s="531"/>
      <c r="AA14" s="531"/>
      <c r="AB14" s="531"/>
      <c r="AC14" s="546"/>
      <c r="AD14" s="546"/>
      <c r="AE14" s="546"/>
      <c r="AF14" s="546"/>
      <c r="AG14" s="546"/>
      <c r="AH14" s="546"/>
      <c r="AI14" s="546"/>
      <c r="AJ14" s="546"/>
      <c r="AK14" s="546"/>
      <c r="AL14" s="546"/>
      <c r="AM14" s="546"/>
    </row>
    <row r="15" spans="1:39" x14ac:dyDescent="0.2">
      <c r="A15" s="554">
        <v>4</v>
      </c>
      <c r="B15" s="883" t="s">
        <v>1682</v>
      </c>
      <c r="C15" s="884"/>
      <c r="D15" s="555"/>
      <c r="E15" s="555"/>
      <c r="F15" s="555" t="s">
        <v>1679</v>
      </c>
      <c r="G15" s="556"/>
      <c r="H15" s="555"/>
      <c r="I15" s="555"/>
      <c r="J15" s="555"/>
      <c r="K15" s="556" t="s">
        <v>1679</v>
      </c>
      <c r="L15" s="557">
        <f t="shared" si="0"/>
        <v>0.13235294117647059</v>
      </c>
      <c r="M15" s="545">
        <f t="shared" si="1"/>
        <v>300</v>
      </c>
      <c r="N15" s="545">
        <f t="shared" si="2"/>
        <v>225</v>
      </c>
      <c r="O15" s="558">
        <f t="shared" si="3"/>
        <v>0</v>
      </c>
      <c r="P15" s="530">
        <f t="shared" si="4"/>
        <v>0</v>
      </c>
      <c r="Q15" s="530">
        <f t="shared" si="5"/>
        <v>7.5</v>
      </c>
      <c r="R15" s="530">
        <f t="shared" si="6"/>
        <v>0</v>
      </c>
      <c r="S15" s="559">
        <f t="shared" si="7"/>
        <v>7.5</v>
      </c>
      <c r="T15" s="558">
        <f t="shared" si="8"/>
        <v>0</v>
      </c>
      <c r="U15" s="530">
        <f t="shared" si="9"/>
        <v>0</v>
      </c>
      <c r="V15" s="530">
        <f t="shared" si="10"/>
        <v>0</v>
      </c>
      <c r="W15" s="530">
        <f t="shared" si="11"/>
        <v>30</v>
      </c>
      <c r="X15" s="559">
        <f t="shared" si="12"/>
        <v>30</v>
      </c>
      <c r="Y15" s="531"/>
      <c r="Z15" s="531"/>
      <c r="AA15" s="531"/>
      <c r="AB15" s="531"/>
      <c r="AC15" s="546"/>
      <c r="AD15" s="546"/>
      <c r="AE15" s="546"/>
      <c r="AF15" s="546"/>
      <c r="AG15" s="546"/>
      <c r="AH15" s="546"/>
      <c r="AI15" s="546"/>
      <c r="AJ15" s="546"/>
      <c r="AK15" s="546"/>
      <c r="AL15" s="546"/>
      <c r="AM15" s="546"/>
    </row>
    <row r="16" spans="1:39" x14ac:dyDescent="0.2">
      <c r="A16" s="554">
        <v>5</v>
      </c>
      <c r="B16" s="883" t="s">
        <v>1586</v>
      </c>
      <c r="C16" s="884"/>
      <c r="D16" s="555"/>
      <c r="E16" s="555"/>
      <c r="F16" s="555"/>
      <c r="G16" s="556"/>
      <c r="H16" s="555" t="s">
        <v>1679</v>
      </c>
      <c r="I16" s="555"/>
      <c r="J16" s="555"/>
      <c r="K16" s="556"/>
      <c r="L16" s="557">
        <f t="shared" si="0"/>
        <v>0</v>
      </c>
      <c r="M16" s="545">
        <f t="shared" si="1"/>
        <v>0</v>
      </c>
      <c r="N16" s="545">
        <f t="shared" si="2"/>
        <v>0</v>
      </c>
      <c r="O16" s="558">
        <f t="shared" si="3"/>
        <v>0</v>
      </c>
      <c r="P16" s="530">
        <f t="shared" si="4"/>
        <v>0</v>
      </c>
      <c r="Q16" s="530">
        <f t="shared" si="5"/>
        <v>0</v>
      </c>
      <c r="R16" s="530">
        <f t="shared" si="6"/>
        <v>0</v>
      </c>
      <c r="S16" s="559">
        <f t="shared" si="7"/>
        <v>0</v>
      </c>
      <c r="T16" s="558">
        <f t="shared" si="8"/>
        <v>0</v>
      </c>
      <c r="U16" s="530">
        <f t="shared" si="9"/>
        <v>0</v>
      </c>
      <c r="V16" s="530">
        <f t="shared" si="10"/>
        <v>0</v>
      </c>
      <c r="W16" s="530">
        <f t="shared" si="11"/>
        <v>0</v>
      </c>
      <c r="X16" s="559">
        <f t="shared" si="12"/>
        <v>0</v>
      </c>
      <c r="Y16" s="531"/>
      <c r="Z16" s="531"/>
      <c r="AA16" s="531"/>
      <c r="AB16" s="531"/>
      <c r="AC16" s="546"/>
      <c r="AD16" s="546"/>
      <c r="AE16" s="546"/>
      <c r="AF16" s="546"/>
      <c r="AG16" s="546"/>
      <c r="AH16" s="546"/>
      <c r="AI16" s="546"/>
      <c r="AJ16" s="546"/>
      <c r="AK16" s="546"/>
      <c r="AL16" s="546"/>
      <c r="AM16" s="546"/>
    </row>
    <row r="17" spans="1:39" x14ac:dyDescent="0.2">
      <c r="A17" s="554">
        <v>6</v>
      </c>
      <c r="B17" s="900" t="s">
        <v>1683</v>
      </c>
      <c r="C17" s="900"/>
      <c r="D17" s="555"/>
      <c r="E17" s="560"/>
      <c r="F17" s="560"/>
      <c r="G17" s="560" t="s">
        <v>1679</v>
      </c>
      <c r="H17" s="555"/>
      <c r="I17" s="555"/>
      <c r="J17" s="555"/>
      <c r="K17" s="556" t="s">
        <v>1679</v>
      </c>
      <c r="L17" s="557">
        <f t="shared" si="0"/>
        <v>0.17647058823529413</v>
      </c>
      <c r="M17" s="545">
        <f t="shared" si="1"/>
        <v>300</v>
      </c>
      <c r="N17" s="545">
        <f t="shared" si="2"/>
        <v>300</v>
      </c>
      <c r="O17" s="558">
        <f t="shared" si="3"/>
        <v>0</v>
      </c>
      <c r="P17" s="530">
        <f t="shared" si="4"/>
        <v>0</v>
      </c>
      <c r="Q17" s="530">
        <f t="shared" si="5"/>
        <v>0</v>
      </c>
      <c r="R17" s="530">
        <f t="shared" si="6"/>
        <v>10</v>
      </c>
      <c r="S17" s="559">
        <f t="shared" si="7"/>
        <v>10</v>
      </c>
      <c r="T17" s="558">
        <f t="shared" si="8"/>
        <v>0</v>
      </c>
      <c r="U17" s="530">
        <f t="shared" si="9"/>
        <v>0</v>
      </c>
      <c r="V17" s="530">
        <f t="shared" si="10"/>
        <v>0</v>
      </c>
      <c r="W17" s="530">
        <f t="shared" si="11"/>
        <v>30</v>
      </c>
      <c r="X17" s="559">
        <f t="shared" si="12"/>
        <v>30</v>
      </c>
      <c r="Y17" s="531"/>
      <c r="Z17" s="531"/>
      <c r="AA17" s="531"/>
      <c r="AB17" s="531"/>
      <c r="AC17" s="546"/>
      <c r="AD17" s="546"/>
      <c r="AE17" s="546"/>
      <c r="AF17" s="546"/>
      <c r="AG17" s="546"/>
      <c r="AH17" s="546"/>
      <c r="AI17" s="546"/>
      <c r="AJ17" s="546"/>
      <c r="AK17" s="546"/>
      <c r="AL17" s="546"/>
      <c r="AM17" s="546"/>
    </row>
    <row r="18" spans="1:39" x14ac:dyDescent="0.2">
      <c r="A18" s="561">
        <v>7</v>
      </c>
      <c r="B18" s="885" t="s">
        <v>1684</v>
      </c>
      <c r="C18" s="885"/>
      <c r="D18" s="560"/>
      <c r="E18" s="560" t="s">
        <v>1679</v>
      </c>
      <c r="F18" s="560"/>
      <c r="G18" s="560"/>
      <c r="H18" s="560"/>
      <c r="I18" s="560"/>
      <c r="J18" s="560"/>
      <c r="K18" s="556" t="s">
        <v>1679</v>
      </c>
      <c r="L18" s="562">
        <f t="shared" si="0"/>
        <v>8.8235294117647065E-2</v>
      </c>
      <c r="M18" s="545">
        <f t="shared" si="1"/>
        <v>300</v>
      </c>
      <c r="N18" s="545">
        <f t="shared" si="2"/>
        <v>150</v>
      </c>
      <c r="O18" s="563">
        <f t="shared" si="3"/>
        <v>0</v>
      </c>
      <c r="P18" s="564">
        <f t="shared" si="4"/>
        <v>5</v>
      </c>
      <c r="Q18" s="564">
        <f t="shared" si="5"/>
        <v>0</v>
      </c>
      <c r="R18" s="564">
        <f t="shared" si="6"/>
        <v>0</v>
      </c>
      <c r="S18" s="565">
        <f t="shared" si="7"/>
        <v>5</v>
      </c>
      <c r="T18" s="563">
        <f t="shared" si="8"/>
        <v>0</v>
      </c>
      <c r="U18" s="564">
        <f t="shared" si="9"/>
        <v>0</v>
      </c>
      <c r="V18" s="564">
        <f t="shared" si="10"/>
        <v>0</v>
      </c>
      <c r="W18" s="564">
        <f t="shared" si="11"/>
        <v>30</v>
      </c>
      <c r="X18" s="565">
        <f t="shared" si="12"/>
        <v>30</v>
      </c>
      <c r="Y18" s="531"/>
      <c r="Z18" s="531"/>
      <c r="AA18" s="531"/>
      <c r="AB18" s="531"/>
      <c r="AC18" s="546"/>
      <c r="AD18" s="546"/>
      <c r="AE18" s="546"/>
      <c r="AF18" s="546"/>
      <c r="AG18" s="546"/>
      <c r="AH18" s="546"/>
      <c r="AI18" s="546"/>
      <c r="AJ18" s="546"/>
      <c r="AK18" s="546"/>
      <c r="AL18" s="546"/>
      <c r="AM18" s="546"/>
    </row>
    <row r="19" spans="1:39" ht="12" thickBot="1" x14ac:dyDescent="0.25">
      <c r="L19" s="566">
        <f>SUM(L12:L18)</f>
        <v>0.75</v>
      </c>
      <c r="M19" s="545">
        <f>SUM(M12:M18)</f>
        <v>1700</v>
      </c>
      <c r="N19" s="545">
        <f>SUM(N12:N18)</f>
        <v>1275</v>
      </c>
      <c r="O19" s="530"/>
      <c r="P19" s="530"/>
      <c r="Q19" s="530"/>
      <c r="R19" s="530"/>
      <c r="S19" s="530"/>
      <c r="T19" s="530"/>
      <c r="U19" s="530"/>
      <c r="V19" s="530"/>
      <c r="W19" s="530"/>
      <c r="X19" s="530"/>
      <c r="Y19" s="531"/>
      <c r="Z19" s="531"/>
      <c r="AA19" s="531"/>
      <c r="AB19" s="531"/>
      <c r="AC19" s="546"/>
      <c r="AD19" s="546"/>
      <c r="AE19" s="546"/>
      <c r="AF19" s="546"/>
      <c r="AG19" s="546"/>
      <c r="AH19" s="546"/>
      <c r="AI19" s="546"/>
      <c r="AJ19" s="546"/>
      <c r="AK19" s="546"/>
      <c r="AL19" s="546"/>
      <c r="AM19" s="546"/>
    </row>
    <row r="20" spans="1:39" x14ac:dyDescent="0.2">
      <c r="B20" s="531"/>
      <c r="C20" s="531"/>
      <c r="D20" s="531"/>
      <c r="E20" s="531"/>
      <c r="F20" s="531"/>
      <c r="G20" s="531"/>
      <c r="H20" s="531"/>
      <c r="I20" s="531"/>
      <c r="J20" s="531"/>
      <c r="K20" s="531"/>
      <c r="L20" s="531"/>
      <c r="M20" s="530"/>
      <c r="N20" s="530">
        <f>IF($L$19&gt;85%,5,0)</f>
        <v>0</v>
      </c>
      <c r="O20" s="530">
        <f>IF($L$19&lt;=85%,2,0)</f>
        <v>2</v>
      </c>
      <c r="P20" s="530">
        <f>IF($L$19&gt;70%,2,0)</f>
        <v>2</v>
      </c>
      <c r="Q20" s="530">
        <f>IF($L$19&lt;=70%,3,0)</f>
        <v>0</v>
      </c>
      <c r="R20" s="530">
        <f>IF($L$19&gt;45%,1,0)</f>
        <v>1</v>
      </c>
      <c r="S20" s="530">
        <f>IF($L$19&lt;=45%,1,0)</f>
        <v>0</v>
      </c>
      <c r="T20" s="530"/>
      <c r="U20" s="530">
        <f>IF($L$19&gt;0%,2,0)</f>
        <v>2</v>
      </c>
      <c r="V20" s="530"/>
      <c r="W20" s="530"/>
      <c r="X20" s="530"/>
      <c r="Y20" s="531"/>
      <c r="Z20" s="531"/>
      <c r="AA20" s="531"/>
      <c r="AB20" s="531"/>
      <c r="AC20" s="546"/>
      <c r="AD20" s="546"/>
      <c r="AE20" s="546"/>
      <c r="AF20" s="546"/>
      <c r="AG20" s="546"/>
      <c r="AH20" s="546"/>
      <c r="AI20" s="546"/>
      <c r="AJ20" s="546"/>
      <c r="AK20" s="546"/>
      <c r="AL20" s="546"/>
      <c r="AM20" s="546"/>
    </row>
    <row r="21" spans="1:39" ht="12.75" customHeight="1" x14ac:dyDescent="0.2">
      <c r="A21" s="886" t="s">
        <v>1685</v>
      </c>
      <c r="B21" s="886"/>
      <c r="C21" s="567">
        <f>+L19</f>
        <v>0.75</v>
      </c>
      <c r="E21" s="874" t="str">
        <f>+IF(L19&gt;=0.86,"A",IF(AND(L19&lt;0.86,L19&gt;=0.71),"B",IF(AND(L19&lt;0.71,L19&gt;=0.46),"C",IF(AND(L19&lt;0.46,L19&gt;0),"No califica",IF(L19=0,"No evaluado",)))))</f>
        <v>B</v>
      </c>
      <c r="F21" s="874"/>
      <c r="H21" s="882" t="s">
        <v>1686</v>
      </c>
      <c r="I21" s="882"/>
      <c r="J21" s="882"/>
      <c r="K21" s="882"/>
      <c r="L21" s="568" t="str">
        <f>+IF(E21="A","Excelente",IF(E21="B","Muy Bueno",IF(E21="C","Bueno a regular",IF(E21="No evaluado","","No califica"))))</f>
        <v>Muy Bueno</v>
      </c>
      <c r="M21" s="530"/>
      <c r="N21" s="530">
        <f>+N20</f>
        <v>0</v>
      </c>
      <c r="O21" s="879">
        <f>+O20*P20</f>
        <v>4</v>
      </c>
      <c r="P21" s="879"/>
      <c r="Q21" s="879">
        <f>+Q20*R20</f>
        <v>0</v>
      </c>
      <c r="R21" s="879"/>
      <c r="S21" s="879">
        <f>+S20*U20</f>
        <v>0</v>
      </c>
      <c r="T21" s="879"/>
      <c r="U21" s="879"/>
      <c r="V21" s="530">
        <f>SUM(N21:U21)</f>
        <v>4</v>
      </c>
      <c r="W21" s="530"/>
      <c r="X21" s="530"/>
      <c r="Y21" s="531"/>
      <c r="Z21" s="531"/>
      <c r="AA21" s="531"/>
      <c r="AB21" s="531"/>
    </row>
    <row r="22" spans="1:39" ht="12" customHeight="1" x14ac:dyDescent="0.2">
      <c r="B22" s="569"/>
      <c r="C22" s="531"/>
      <c r="D22" s="531"/>
      <c r="E22" s="531"/>
      <c r="F22" s="531"/>
      <c r="H22" s="570"/>
      <c r="I22" s="570"/>
      <c r="J22" s="571"/>
      <c r="K22" s="572"/>
      <c r="L22" s="573"/>
      <c r="M22" s="530"/>
      <c r="N22" s="530"/>
      <c r="O22" s="530"/>
      <c r="P22" s="530"/>
      <c r="Q22" s="530"/>
      <c r="R22" s="530"/>
      <c r="S22" s="530"/>
      <c r="T22" s="530"/>
      <c r="U22" s="530"/>
      <c r="V22" s="530"/>
      <c r="W22" s="530"/>
      <c r="X22" s="530"/>
      <c r="Y22" s="531"/>
      <c r="Z22" s="531"/>
      <c r="AA22" s="531"/>
      <c r="AB22" s="531"/>
    </row>
    <row r="23" spans="1:39" ht="12.75" customHeight="1" x14ac:dyDescent="0.2">
      <c r="A23" s="890" t="s">
        <v>1687</v>
      </c>
      <c r="B23" s="890"/>
      <c r="C23" s="881" t="s">
        <v>2164</v>
      </c>
      <c r="D23" s="881"/>
      <c r="E23" s="881"/>
      <c r="F23" s="881"/>
      <c r="H23" s="882" t="s">
        <v>1689</v>
      </c>
      <c r="I23" s="882"/>
      <c r="J23" s="882"/>
      <c r="K23" s="882"/>
      <c r="L23" s="574">
        <v>43564</v>
      </c>
      <c r="M23" s="530"/>
      <c r="N23" s="530"/>
      <c r="O23" s="530"/>
      <c r="P23" s="530"/>
      <c r="Q23" s="530"/>
      <c r="R23" s="530"/>
      <c r="S23" s="530"/>
      <c r="T23" s="530"/>
      <c r="U23" s="530"/>
      <c r="V23" s="530"/>
      <c r="W23" s="530"/>
      <c r="X23" s="530"/>
      <c r="Y23" s="531"/>
      <c r="Z23" s="531"/>
      <c r="AA23" s="531"/>
      <c r="AB23" s="531"/>
    </row>
    <row r="24" spans="1:39" ht="9" customHeight="1" thickBot="1" x14ac:dyDescent="0.25">
      <c r="B24" s="531"/>
      <c r="C24" s="531"/>
      <c r="D24" s="531"/>
      <c r="E24" s="531"/>
      <c r="F24" s="531"/>
      <c r="G24" s="531"/>
      <c r="H24" s="531"/>
      <c r="I24" s="531"/>
      <c r="M24" s="530"/>
      <c r="N24" s="530"/>
      <c r="O24" s="530"/>
      <c r="P24" s="530"/>
      <c r="Q24" s="530"/>
      <c r="R24" s="530"/>
      <c r="S24" s="530"/>
      <c r="T24" s="530"/>
      <c r="U24" s="530"/>
      <c r="V24" s="530"/>
      <c r="W24" s="530"/>
      <c r="X24" s="530"/>
      <c r="Y24" s="531"/>
      <c r="Z24" s="531"/>
      <c r="AA24" s="531"/>
      <c r="AB24" s="531"/>
    </row>
    <row r="25" spans="1:39" s="575" customFormat="1" ht="14.25" customHeight="1" thickBot="1" x14ac:dyDescent="0.25">
      <c r="A25" s="891" t="s">
        <v>1690</v>
      </c>
      <c r="B25" s="892"/>
      <c r="C25" s="892"/>
      <c r="D25" s="892"/>
      <c r="E25" s="892"/>
      <c r="F25" s="892"/>
      <c r="G25" s="892"/>
      <c r="H25" s="892"/>
      <c r="I25" s="892"/>
      <c r="J25" s="892"/>
      <c r="K25" s="892"/>
      <c r="L25" s="893"/>
      <c r="M25" s="536"/>
      <c r="N25" s="536"/>
      <c r="O25" s="536"/>
      <c r="P25" s="536"/>
      <c r="Q25" s="536"/>
      <c r="R25" s="536"/>
      <c r="S25" s="536"/>
      <c r="T25" s="536"/>
      <c r="U25" s="536"/>
      <c r="V25" s="536"/>
      <c r="W25" s="536"/>
      <c r="X25" s="536"/>
      <c r="Y25" s="536"/>
      <c r="Z25" s="536"/>
      <c r="AA25" s="536"/>
      <c r="AB25" s="536"/>
    </row>
    <row r="26" spans="1:39" ht="6.75" customHeight="1" x14ac:dyDescent="0.2">
      <c r="B26" s="539"/>
      <c r="D26" s="533"/>
      <c r="E26" s="533"/>
      <c r="F26" s="533"/>
      <c r="G26" s="533"/>
      <c r="H26" s="533"/>
      <c r="I26" s="533"/>
      <c r="J26" s="533"/>
      <c r="K26" s="533"/>
      <c r="L26" s="533"/>
      <c r="M26" s="530"/>
      <c r="N26" s="530"/>
      <c r="O26" s="530"/>
      <c r="P26" s="530"/>
      <c r="Q26" s="530"/>
      <c r="R26" s="530"/>
      <c r="S26" s="530"/>
      <c r="T26" s="530"/>
      <c r="U26" s="530"/>
      <c r="V26" s="530"/>
      <c r="W26" s="530"/>
      <c r="X26" s="530"/>
      <c r="Y26" s="531"/>
      <c r="Z26" s="531"/>
      <c r="AA26" s="531"/>
      <c r="AB26" s="531"/>
    </row>
    <row r="27" spans="1:39" x14ac:dyDescent="0.2">
      <c r="B27" s="539"/>
      <c r="D27" s="894" t="s">
        <v>1665</v>
      </c>
      <c r="E27" s="894"/>
      <c r="F27" s="894"/>
      <c r="G27" s="894"/>
      <c r="H27" s="895" t="s">
        <v>1666</v>
      </c>
      <c r="I27" s="896"/>
      <c r="J27" s="896"/>
      <c r="K27" s="897"/>
      <c r="L27" s="540" t="s">
        <v>1667</v>
      </c>
      <c r="M27" s="530"/>
      <c r="N27" s="530"/>
      <c r="O27" s="530"/>
      <c r="P27" s="530"/>
      <c r="Q27" s="530"/>
      <c r="R27" s="530"/>
      <c r="S27" s="530"/>
      <c r="T27" s="530"/>
      <c r="U27" s="530"/>
      <c r="V27" s="530"/>
      <c r="W27" s="530"/>
      <c r="X27" s="530"/>
      <c r="Y27" s="531"/>
      <c r="Z27" s="531"/>
      <c r="AA27" s="531"/>
      <c r="AB27" s="531"/>
    </row>
    <row r="28" spans="1:39" x14ac:dyDescent="0.2">
      <c r="A28" s="541" t="s">
        <v>1668</v>
      </c>
      <c r="B28" s="898" t="s">
        <v>1669</v>
      </c>
      <c r="C28" s="898"/>
      <c r="D28" s="542">
        <v>1</v>
      </c>
      <c r="E28" s="542">
        <v>2</v>
      </c>
      <c r="F28" s="542">
        <v>3</v>
      </c>
      <c r="G28" s="543">
        <v>4</v>
      </c>
      <c r="H28" s="544" t="s">
        <v>1670</v>
      </c>
      <c r="I28" s="544" t="s">
        <v>1671</v>
      </c>
      <c r="J28" s="544" t="s">
        <v>1672</v>
      </c>
      <c r="K28" s="544" t="s">
        <v>1673</v>
      </c>
      <c r="L28" s="541" t="s">
        <v>1674</v>
      </c>
      <c r="M28" s="545" t="s">
        <v>1675</v>
      </c>
      <c r="N28" s="545" t="s">
        <v>1676</v>
      </c>
      <c r="O28" s="889" t="s">
        <v>1677</v>
      </c>
      <c r="P28" s="889"/>
      <c r="Q28" s="889"/>
      <c r="R28" s="889"/>
      <c r="S28" s="899"/>
      <c r="T28" s="889" t="s">
        <v>1666</v>
      </c>
      <c r="U28" s="889"/>
      <c r="V28" s="889"/>
      <c r="W28" s="889"/>
      <c r="X28" s="889"/>
      <c r="Y28" s="531"/>
      <c r="Z28" s="531"/>
      <c r="AA28" s="531"/>
      <c r="AB28" s="531"/>
      <c r="AC28" s="546"/>
      <c r="AD28" s="546"/>
      <c r="AE28" s="546"/>
      <c r="AF28" s="546"/>
      <c r="AG28" s="546"/>
      <c r="AH28" s="546"/>
      <c r="AI28" s="546"/>
      <c r="AJ28" s="546"/>
      <c r="AK28" s="546"/>
      <c r="AL28" s="546"/>
      <c r="AM28" s="546"/>
    </row>
    <row r="29" spans="1:39" x14ac:dyDescent="0.2">
      <c r="A29" s="547">
        <v>1</v>
      </c>
      <c r="B29" s="887" t="s">
        <v>1691</v>
      </c>
      <c r="C29" s="888"/>
      <c r="D29" s="548"/>
      <c r="E29" s="548"/>
      <c r="F29" s="548"/>
      <c r="G29" s="549" t="s">
        <v>1679</v>
      </c>
      <c r="H29" s="548"/>
      <c r="I29" s="548"/>
      <c r="J29" s="548"/>
      <c r="K29" s="549" t="s">
        <v>1679</v>
      </c>
      <c r="L29" s="550">
        <f t="shared" ref="L29:L43" si="13">IF($M$44=0,0,N29/$M$44)</f>
        <v>7.1428571428571425E-2</v>
      </c>
      <c r="M29" s="545">
        <f t="shared" ref="M29:M43" si="14">+X29*10</f>
        <v>300</v>
      </c>
      <c r="N29" s="545">
        <f t="shared" ref="N29:N43" si="15">+S29*X29</f>
        <v>300</v>
      </c>
      <c r="O29" s="558">
        <f t="shared" ref="O29:O44" si="16">IF(D29="X",2.5,0)</f>
        <v>0</v>
      </c>
      <c r="P29" s="530">
        <f t="shared" ref="P29:P44" si="17">IF(E29="X",5,0)</f>
        <v>0</v>
      </c>
      <c r="Q29" s="530">
        <f t="shared" ref="Q29:Q44" si="18">IF(F29="X",7.5,0)</f>
        <v>0</v>
      </c>
      <c r="R29" s="530">
        <f t="shared" ref="R29:R44" si="19">IF(G29="X",10,0)</f>
        <v>10</v>
      </c>
      <c r="S29" s="545">
        <f t="shared" ref="S29:S44" si="20">SUM(O29:R29)</f>
        <v>10</v>
      </c>
      <c r="T29" s="558">
        <f t="shared" ref="T29:T44" si="21">IF(H29="X",0,0)</f>
        <v>0</v>
      </c>
      <c r="U29" s="530">
        <f t="shared" ref="U29:U44" si="22">IF(I29="X",10,0)</f>
        <v>0</v>
      </c>
      <c r="V29" s="530">
        <f t="shared" ref="V29:V44" si="23">IF(J29="X",20,0)</f>
        <v>0</v>
      </c>
      <c r="W29" s="530">
        <f t="shared" ref="W29:W44" si="24">IF(K29="X",30,0)</f>
        <v>30</v>
      </c>
      <c r="X29" s="576">
        <f t="shared" ref="X29:X44" si="25">SUM(U29:W29)</f>
        <v>30</v>
      </c>
      <c r="Y29" s="531"/>
      <c r="Z29" s="531"/>
      <c r="AA29" s="531"/>
      <c r="AB29" s="531"/>
      <c r="AC29" s="546"/>
      <c r="AD29" s="546"/>
      <c r="AE29" s="546"/>
      <c r="AF29" s="546"/>
      <c r="AG29" s="546"/>
      <c r="AH29" s="546"/>
      <c r="AI29" s="546"/>
      <c r="AJ29" s="546"/>
      <c r="AK29" s="546"/>
      <c r="AL29" s="546"/>
      <c r="AM29" s="546"/>
    </row>
    <row r="30" spans="1:39" x14ac:dyDescent="0.2">
      <c r="A30" s="554">
        <v>2</v>
      </c>
      <c r="B30" s="883" t="s">
        <v>1692</v>
      </c>
      <c r="C30" s="884"/>
      <c r="D30" s="555"/>
      <c r="E30" s="555"/>
      <c r="F30" s="555" t="s">
        <v>1679</v>
      </c>
      <c r="G30" s="556"/>
      <c r="H30" s="555"/>
      <c r="I30" s="555"/>
      <c r="J30" s="555"/>
      <c r="K30" s="556" t="s">
        <v>1679</v>
      </c>
      <c r="L30" s="557">
        <f t="shared" si="13"/>
        <v>5.3571428571428568E-2</v>
      </c>
      <c r="M30" s="545">
        <f t="shared" si="14"/>
        <v>300</v>
      </c>
      <c r="N30" s="545">
        <f t="shared" si="15"/>
        <v>225</v>
      </c>
      <c r="O30" s="558">
        <f t="shared" si="16"/>
        <v>0</v>
      </c>
      <c r="P30" s="530">
        <f>IF(E30="X",5,0)</f>
        <v>0</v>
      </c>
      <c r="Q30" s="530">
        <f t="shared" si="18"/>
        <v>7.5</v>
      </c>
      <c r="R30" s="530">
        <f>IF(G30="X",10,0)</f>
        <v>0</v>
      </c>
      <c r="S30" s="545">
        <f t="shared" si="20"/>
        <v>7.5</v>
      </c>
      <c r="T30" s="558">
        <f t="shared" si="21"/>
        <v>0</v>
      </c>
      <c r="U30" s="530">
        <f t="shared" si="22"/>
        <v>0</v>
      </c>
      <c r="V30" s="530">
        <f t="shared" si="23"/>
        <v>0</v>
      </c>
      <c r="W30" s="530">
        <f t="shared" si="24"/>
        <v>30</v>
      </c>
      <c r="X30" s="576">
        <f t="shared" si="25"/>
        <v>30</v>
      </c>
      <c r="Y30" s="531"/>
      <c r="Z30" s="531"/>
      <c r="AA30" s="531"/>
      <c r="AB30" s="531"/>
      <c r="AC30" s="546"/>
      <c r="AD30" s="546"/>
      <c r="AE30" s="546"/>
      <c r="AF30" s="546"/>
      <c r="AG30" s="546"/>
      <c r="AH30" s="546"/>
      <c r="AI30" s="546"/>
      <c r="AJ30" s="546"/>
      <c r="AK30" s="546"/>
      <c r="AL30" s="546"/>
      <c r="AM30" s="546"/>
    </row>
    <row r="31" spans="1:39" x14ac:dyDescent="0.2">
      <c r="A31" s="547">
        <v>3</v>
      </c>
      <c r="B31" s="883" t="s">
        <v>1693</v>
      </c>
      <c r="C31" s="884"/>
      <c r="D31" s="555"/>
      <c r="E31" s="555"/>
      <c r="F31" s="555"/>
      <c r="G31" s="556"/>
      <c r="H31" s="555" t="s">
        <v>1679</v>
      </c>
      <c r="I31" s="555"/>
      <c r="J31" s="555"/>
      <c r="K31" s="556"/>
      <c r="L31" s="557">
        <f t="shared" si="13"/>
        <v>0</v>
      </c>
      <c r="M31" s="545">
        <f t="shared" si="14"/>
        <v>0</v>
      </c>
      <c r="N31" s="545">
        <f t="shared" si="15"/>
        <v>0</v>
      </c>
      <c r="O31" s="558">
        <f t="shared" si="16"/>
        <v>0</v>
      </c>
      <c r="P31" s="530">
        <f t="shared" si="17"/>
        <v>0</v>
      </c>
      <c r="Q31" s="530">
        <f t="shared" si="18"/>
        <v>0</v>
      </c>
      <c r="R31" s="530">
        <f t="shared" si="19"/>
        <v>0</v>
      </c>
      <c r="S31" s="545">
        <f t="shared" si="20"/>
        <v>0</v>
      </c>
      <c r="T31" s="558">
        <f t="shared" si="21"/>
        <v>0</v>
      </c>
      <c r="U31" s="530">
        <f t="shared" si="22"/>
        <v>0</v>
      </c>
      <c r="V31" s="530">
        <f t="shared" si="23"/>
        <v>0</v>
      </c>
      <c r="W31" s="530">
        <f t="shared" si="24"/>
        <v>0</v>
      </c>
      <c r="X31" s="576">
        <f t="shared" si="25"/>
        <v>0</v>
      </c>
      <c r="Y31" s="531"/>
      <c r="Z31" s="531"/>
      <c r="AA31" s="531"/>
      <c r="AB31" s="531"/>
      <c r="AC31" s="546"/>
      <c r="AD31" s="546"/>
      <c r="AE31" s="546"/>
      <c r="AF31" s="546"/>
      <c r="AG31" s="546"/>
      <c r="AH31" s="546"/>
      <c r="AI31" s="546"/>
      <c r="AJ31" s="546"/>
      <c r="AK31" s="546"/>
      <c r="AL31" s="546"/>
      <c r="AM31" s="546"/>
    </row>
    <row r="32" spans="1:39" x14ac:dyDescent="0.2">
      <c r="A32" s="554">
        <v>4</v>
      </c>
      <c r="B32" s="883" t="s">
        <v>1694</v>
      </c>
      <c r="C32" s="884"/>
      <c r="D32" s="555"/>
      <c r="E32" s="555"/>
      <c r="F32" s="555" t="s">
        <v>1679</v>
      </c>
      <c r="G32" s="556"/>
      <c r="H32" s="555"/>
      <c r="I32" s="555"/>
      <c r="J32" s="555"/>
      <c r="K32" s="556" t="s">
        <v>1679</v>
      </c>
      <c r="L32" s="557">
        <f t="shared" si="13"/>
        <v>5.3571428571428568E-2</v>
      </c>
      <c r="M32" s="545">
        <f t="shared" si="14"/>
        <v>300</v>
      </c>
      <c r="N32" s="545">
        <f t="shared" si="15"/>
        <v>225</v>
      </c>
      <c r="O32" s="558">
        <f>IF(D32="X",2.5,0)</f>
        <v>0</v>
      </c>
      <c r="P32" s="530">
        <f t="shared" si="17"/>
        <v>0</v>
      </c>
      <c r="Q32" s="530">
        <f>IF(F32="X",7.5,0)</f>
        <v>7.5</v>
      </c>
      <c r="R32" s="530">
        <f t="shared" si="19"/>
        <v>0</v>
      </c>
      <c r="S32" s="545">
        <f t="shared" si="20"/>
        <v>7.5</v>
      </c>
      <c r="T32" s="558">
        <f t="shared" si="21"/>
        <v>0</v>
      </c>
      <c r="U32" s="530">
        <f t="shared" si="22"/>
        <v>0</v>
      </c>
      <c r="V32" s="530">
        <f>IF(J32="X",20,0)</f>
        <v>0</v>
      </c>
      <c r="W32" s="530">
        <f>IF(K32="X",30,0)</f>
        <v>30</v>
      </c>
      <c r="X32" s="576">
        <f t="shared" si="25"/>
        <v>30</v>
      </c>
      <c r="Y32" s="531"/>
      <c r="Z32" s="531"/>
      <c r="AA32" s="531"/>
      <c r="AB32" s="531"/>
      <c r="AC32" s="546"/>
      <c r="AD32" s="546"/>
      <c r="AE32" s="546"/>
      <c r="AF32" s="546"/>
      <c r="AG32" s="546"/>
      <c r="AH32" s="546"/>
      <c r="AI32" s="546"/>
      <c r="AJ32" s="546"/>
      <c r="AK32" s="546"/>
      <c r="AL32" s="546"/>
      <c r="AM32" s="546"/>
    </row>
    <row r="33" spans="1:39" x14ac:dyDescent="0.2">
      <c r="A33" s="547">
        <v>5</v>
      </c>
      <c r="B33" s="883" t="s">
        <v>1695</v>
      </c>
      <c r="C33" s="884"/>
      <c r="D33" s="555"/>
      <c r="E33" s="555"/>
      <c r="F33" s="555" t="s">
        <v>1679</v>
      </c>
      <c r="G33" s="556"/>
      <c r="H33" s="555"/>
      <c r="I33" s="555"/>
      <c r="J33" s="555"/>
      <c r="K33" s="555" t="s">
        <v>1679</v>
      </c>
      <c r="L33" s="557">
        <f t="shared" si="13"/>
        <v>5.3571428571428568E-2</v>
      </c>
      <c r="M33" s="545">
        <f t="shared" si="14"/>
        <v>300</v>
      </c>
      <c r="N33" s="545">
        <f t="shared" si="15"/>
        <v>225</v>
      </c>
      <c r="O33" s="558">
        <f t="shared" si="16"/>
        <v>0</v>
      </c>
      <c r="P33" s="530">
        <f t="shared" si="17"/>
        <v>0</v>
      </c>
      <c r="Q33" s="530">
        <f t="shared" si="18"/>
        <v>7.5</v>
      </c>
      <c r="R33" s="530">
        <f t="shared" si="19"/>
        <v>0</v>
      </c>
      <c r="S33" s="545">
        <f t="shared" si="20"/>
        <v>7.5</v>
      </c>
      <c r="T33" s="558">
        <f t="shared" si="21"/>
        <v>0</v>
      </c>
      <c r="U33" s="530">
        <f t="shared" si="22"/>
        <v>0</v>
      </c>
      <c r="V33" s="530">
        <f t="shared" si="23"/>
        <v>0</v>
      </c>
      <c r="W33" s="530">
        <f t="shared" si="24"/>
        <v>30</v>
      </c>
      <c r="X33" s="576">
        <f t="shared" si="25"/>
        <v>30</v>
      </c>
      <c r="Y33" s="531"/>
      <c r="Z33" s="531"/>
      <c r="AA33" s="531"/>
      <c r="AB33" s="531"/>
      <c r="AC33" s="546"/>
      <c r="AD33" s="546"/>
      <c r="AE33" s="546"/>
      <c r="AF33" s="546"/>
      <c r="AG33" s="546"/>
      <c r="AH33" s="546"/>
      <c r="AI33" s="546"/>
      <c r="AJ33" s="546"/>
      <c r="AK33" s="546"/>
      <c r="AL33" s="546"/>
      <c r="AM33" s="546"/>
    </row>
    <row r="34" spans="1:39" x14ac:dyDescent="0.2">
      <c r="A34" s="554">
        <v>6</v>
      </c>
      <c r="B34" s="883" t="s">
        <v>1696</v>
      </c>
      <c r="C34" s="884"/>
      <c r="D34" s="555"/>
      <c r="E34" s="555"/>
      <c r="F34" s="555" t="s">
        <v>1679</v>
      </c>
      <c r="G34" s="556"/>
      <c r="H34" s="555"/>
      <c r="I34" s="555"/>
      <c r="J34" s="555"/>
      <c r="K34" s="556" t="s">
        <v>1679</v>
      </c>
      <c r="L34" s="557">
        <f t="shared" si="13"/>
        <v>5.3571428571428568E-2</v>
      </c>
      <c r="M34" s="545">
        <f t="shared" si="14"/>
        <v>300</v>
      </c>
      <c r="N34" s="545">
        <f t="shared" si="15"/>
        <v>225</v>
      </c>
      <c r="O34" s="558">
        <f t="shared" si="16"/>
        <v>0</v>
      </c>
      <c r="P34" s="530">
        <f t="shared" si="17"/>
        <v>0</v>
      </c>
      <c r="Q34" s="530">
        <f t="shared" si="18"/>
        <v>7.5</v>
      </c>
      <c r="R34" s="530">
        <f t="shared" si="19"/>
        <v>0</v>
      </c>
      <c r="S34" s="545">
        <f t="shared" si="20"/>
        <v>7.5</v>
      </c>
      <c r="T34" s="558">
        <f t="shared" si="21"/>
        <v>0</v>
      </c>
      <c r="U34" s="530">
        <f t="shared" si="22"/>
        <v>0</v>
      </c>
      <c r="V34" s="530">
        <f t="shared" si="23"/>
        <v>0</v>
      </c>
      <c r="W34" s="530">
        <f t="shared" si="24"/>
        <v>30</v>
      </c>
      <c r="X34" s="576">
        <f t="shared" si="25"/>
        <v>30</v>
      </c>
      <c r="Y34" s="531"/>
      <c r="Z34" s="531"/>
      <c r="AA34" s="531"/>
      <c r="AB34" s="531"/>
      <c r="AC34" s="546"/>
      <c r="AD34" s="546"/>
      <c r="AE34" s="546"/>
      <c r="AF34" s="546"/>
      <c r="AG34" s="546"/>
      <c r="AH34" s="546"/>
      <c r="AI34" s="546"/>
      <c r="AJ34" s="546"/>
      <c r="AK34" s="546"/>
      <c r="AL34" s="546"/>
      <c r="AM34" s="546"/>
    </row>
    <row r="35" spans="1:39" x14ac:dyDescent="0.2">
      <c r="A35" s="547">
        <v>7</v>
      </c>
      <c r="B35" s="883" t="s">
        <v>1697</v>
      </c>
      <c r="C35" s="884"/>
      <c r="D35" s="555"/>
      <c r="E35" s="555"/>
      <c r="F35" s="555"/>
      <c r="G35" s="556" t="s">
        <v>1679</v>
      </c>
      <c r="H35" s="555"/>
      <c r="I35" s="555"/>
      <c r="J35" s="555"/>
      <c r="K35" s="556" t="s">
        <v>1679</v>
      </c>
      <c r="L35" s="557">
        <f t="shared" si="13"/>
        <v>7.1428571428571425E-2</v>
      </c>
      <c r="M35" s="545">
        <f t="shared" si="14"/>
        <v>300</v>
      </c>
      <c r="N35" s="545">
        <f t="shared" si="15"/>
        <v>300</v>
      </c>
      <c r="O35" s="558">
        <f t="shared" si="16"/>
        <v>0</v>
      </c>
      <c r="P35" s="530">
        <f t="shared" si="17"/>
        <v>0</v>
      </c>
      <c r="Q35" s="530">
        <f t="shared" si="18"/>
        <v>0</v>
      </c>
      <c r="R35" s="530">
        <f t="shared" si="19"/>
        <v>10</v>
      </c>
      <c r="S35" s="545">
        <f t="shared" si="20"/>
        <v>10</v>
      </c>
      <c r="T35" s="558">
        <f t="shared" si="21"/>
        <v>0</v>
      </c>
      <c r="U35" s="530">
        <f t="shared" si="22"/>
        <v>0</v>
      </c>
      <c r="V35" s="530">
        <f t="shared" si="23"/>
        <v>0</v>
      </c>
      <c r="W35" s="530">
        <f t="shared" si="24"/>
        <v>30</v>
      </c>
      <c r="X35" s="576">
        <f t="shared" si="25"/>
        <v>30</v>
      </c>
      <c r="Y35" s="531"/>
      <c r="Z35" s="531"/>
      <c r="AA35" s="531"/>
      <c r="AB35" s="531"/>
      <c r="AC35" s="546"/>
      <c r="AD35" s="546"/>
      <c r="AE35" s="546"/>
      <c r="AF35" s="546"/>
      <c r="AG35" s="546"/>
      <c r="AH35" s="546"/>
      <c r="AI35" s="546"/>
      <c r="AJ35" s="546"/>
      <c r="AK35" s="546"/>
      <c r="AL35" s="546"/>
      <c r="AM35" s="546"/>
    </row>
    <row r="36" spans="1:39" x14ac:dyDescent="0.2">
      <c r="A36" s="554">
        <v>8</v>
      </c>
      <c r="B36" s="883" t="s">
        <v>1698</v>
      </c>
      <c r="C36" s="884"/>
      <c r="D36" s="555"/>
      <c r="E36" s="555"/>
      <c r="F36" s="555"/>
      <c r="G36" s="556" t="s">
        <v>1679</v>
      </c>
      <c r="H36" s="555"/>
      <c r="I36" s="555"/>
      <c r="J36" s="555"/>
      <c r="K36" s="556" t="s">
        <v>1679</v>
      </c>
      <c r="L36" s="557">
        <f t="shared" si="13"/>
        <v>7.1428571428571425E-2</v>
      </c>
      <c r="M36" s="545">
        <f t="shared" si="14"/>
        <v>300</v>
      </c>
      <c r="N36" s="545">
        <f t="shared" si="15"/>
        <v>300</v>
      </c>
      <c r="O36" s="558">
        <f t="shared" si="16"/>
        <v>0</v>
      </c>
      <c r="P36" s="530">
        <f t="shared" si="17"/>
        <v>0</v>
      </c>
      <c r="Q36" s="530">
        <f t="shared" si="18"/>
        <v>0</v>
      </c>
      <c r="R36" s="530">
        <f t="shared" si="19"/>
        <v>10</v>
      </c>
      <c r="S36" s="545">
        <f t="shared" si="20"/>
        <v>10</v>
      </c>
      <c r="T36" s="558">
        <f t="shared" si="21"/>
        <v>0</v>
      </c>
      <c r="U36" s="530">
        <f t="shared" si="22"/>
        <v>0</v>
      </c>
      <c r="V36" s="530">
        <f t="shared" si="23"/>
        <v>0</v>
      </c>
      <c r="W36" s="530">
        <f t="shared" si="24"/>
        <v>30</v>
      </c>
      <c r="X36" s="576">
        <f t="shared" si="25"/>
        <v>30</v>
      </c>
      <c r="Y36" s="531"/>
      <c r="Z36" s="531"/>
      <c r="AA36" s="531"/>
      <c r="AB36" s="531"/>
      <c r="AC36" s="546"/>
      <c r="AD36" s="546"/>
      <c r="AE36" s="546"/>
      <c r="AF36" s="546"/>
      <c r="AG36" s="546"/>
      <c r="AH36" s="546"/>
      <c r="AI36" s="546"/>
      <c r="AJ36" s="546"/>
      <c r="AK36" s="546"/>
      <c r="AL36" s="546"/>
      <c r="AM36" s="546"/>
    </row>
    <row r="37" spans="1:39" x14ac:dyDescent="0.2">
      <c r="A37" s="547">
        <v>9</v>
      </c>
      <c r="B37" s="883" t="s">
        <v>1699</v>
      </c>
      <c r="C37" s="884"/>
      <c r="D37" s="555"/>
      <c r="E37" s="555" t="s">
        <v>1679</v>
      </c>
      <c r="F37" s="555"/>
      <c r="G37" s="556"/>
      <c r="H37" s="555"/>
      <c r="I37" s="555"/>
      <c r="J37" s="555"/>
      <c r="K37" s="556" t="s">
        <v>1679</v>
      </c>
      <c r="L37" s="557">
        <f>IF($M$44=0,0,N37/$M$44)</f>
        <v>3.5714285714285712E-2</v>
      </c>
      <c r="M37" s="545">
        <f>+X37*10</f>
        <v>300</v>
      </c>
      <c r="N37" s="545">
        <f>+S37*X37</f>
        <v>150</v>
      </c>
      <c r="O37" s="558">
        <f>IF(D37="X",2.5,0)</f>
        <v>0</v>
      </c>
      <c r="P37" s="530">
        <f>IF(E37="X",5,0)</f>
        <v>5</v>
      </c>
      <c r="Q37" s="530">
        <f>IF(F37="X",7.5,0)</f>
        <v>0</v>
      </c>
      <c r="R37" s="530">
        <f>IF(G37="X",10,0)</f>
        <v>0</v>
      </c>
      <c r="S37" s="545">
        <f>SUM(O37:R37)</f>
        <v>5</v>
      </c>
      <c r="T37" s="558">
        <f>IF(H37="X",0,0)</f>
        <v>0</v>
      </c>
      <c r="U37" s="530">
        <f>IF(I37="X",10,0)</f>
        <v>0</v>
      </c>
      <c r="V37" s="530">
        <f>IF(J37="X",20,0)</f>
        <v>0</v>
      </c>
      <c r="W37" s="530">
        <f>IF(K37="X",30,0)</f>
        <v>30</v>
      </c>
      <c r="X37" s="576">
        <f>SUM(U37:W37)</f>
        <v>30</v>
      </c>
      <c r="Y37" s="531"/>
      <c r="Z37" s="531"/>
      <c r="AA37" s="531"/>
      <c r="AB37" s="531"/>
      <c r="AC37" s="546"/>
      <c r="AD37" s="546"/>
      <c r="AE37" s="546"/>
      <c r="AF37" s="546"/>
      <c r="AG37" s="546"/>
      <c r="AH37" s="546"/>
      <c r="AI37" s="546"/>
      <c r="AJ37" s="546"/>
      <c r="AK37" s="546"/>
      <c r="AL37" s="546"/>
      <c r="AM37" s="546"/>
    </row>
    <row r="38" spans="1:39" x14ac:dyDescent="0.2">
      <c r="A38" s="554">
        <v>10</v>
      </c>
      <c r="B38" s="883" t="s">
        <v>1700</v>
      </c>
      <c r="C38" s="884"/>
      <c r="D38" s="555"/>
      <c r="E38" s="555"/>
      <c r="F38" s="555"/>
      <c r="G38" s="556" t="s">
        <v>1679</v>
      </c>
      <c r="H38" s="555"/>
      <c r="I38" s="555"/>
      <c r="J38" s="555"/>
      <c r="K38" s="556" t="s">
        <v>1679</v>
      </c>
      <c r="L38" s="557">
        <f t="shared" si="13"/>
        <v>7.1428571428571425E-2</v>
      </c>
      <c r="M38" s="545">
        <f t="shared" si="14"/>
        <v>300</v>
      </c>
      <c r="N38" s="545">
        <f t="shared" si="15"/>
        <v>300</v>
      </c>
      <c r="O38" s="558">
        <f t="shared" si="16"/>
        <v>0</v>
      </c>
      <c r="P38" s="530">
        <f t="shared" si="17"/>
        <v>0</v>
      </c>
      <c r="Q38" s="530">
        <f t="shared" si="18"/>
        <v>0</v>
      </c>
      <c r="R38" s="530">
        <f t="shared" si="19"/>
        <v>10</v>
      </c>
      <c r="S38" s="545">
        <f t="shared" si="20"/>
        <v>10</v>
      </c>
      <c r="T38" s="558">
        <f t="shared" si="21"/>
        <v>0</v>
      </c>
      <c r="U38" s="530">
        <f t="shared" si="22"/>
        <v>0</v>
      </c>
      <c r="V38" s="530">
        <f t="shared" si="23"/>
        <v>0</v>
      </c>
      <c r="W38" s="530">
        <f t="shared" si="24"/>
        <v>30</v>
      </c>
      <c r="X38" s="576">
        <f t="shared" si="25"/>
        <v>30</v>
      </c>
      <c r="Y38" s="531"/>
      <c r="Z38" s="531"/>
      <c r="AA38" s="531"/>
      <c r="AB38" s="531"/>
      <c r="AC38" s="546"/>
      <c r="AD38" s="546"/>
      <c r="AE38" s="546"/>
      <c r="AF38" s="546"/>
      <c r="AG38" s="546"/>
      <c r="AH38" s="546"/>
      <c r="AI38" s="546"/>
      <c r="AJ38" s="546"/>
      <c r="AK38" s="546"/>
      <c r="AL38" s="546"/>
      <c r="AM38" s="546"/>
    </row>
    <row r="39" spans="1:39" x14ac:dyDescent="0.2">
      <c r="A39" s="547">
        <v>11</v>
      </c>
      <c r="B39" s="883" t="s">
        <v>1701</v>
      </c>
      <c r="C39" s="884"/>
      <c r="D39" s="555"/>
      <c r="E39" s="555" t="s">
        <v>1679</v>
      </c>
      <c r="F39" s="555"/>
      <c r="G39" s="556"/>
      <c r="H39" s="555"/>
      <c r="I39" s="555"/>
      <c r="J39" s="555"/>
      <c r="K39" s="556" t="s">
        <v>1679</v>
      </c>
      <c r="L39" s="557">
        <f t="shared" si="13"/>
        <v>3.5714285714285712E-2</v>
      </c>
      <c r="M39" s="545">
        <f t="shared" si="14"/>
        <v>300</v>
      </c>
      <c r="N39" s="545">
        <f t="shared" si="15"/>
        <v>150</v>
      </c>
      <c r="O39" s="558">
        <f t="shared" si="16"/>
        <v>0</v>
      </c>
      <c r="P39" s="530">
        <f t="shared" si="17"/>
        <v>5</v>
      </c>
      <c r="Q39" s="530">
        <f t="shared" si="18"/>
        <v>0</v>
      </c>
      <c r="R39" s="530">
        <f t="shared" si="19"/>
        <v>0</v>
      </c>
      <c r="S39" s="545">
        <f t="shared" si="20"/>
        <v>5</v>
      </c>
      <c r="T39" s="558">
        <f t="shared" si="21"/>
        <v>0</v>
      </c>
      <c r="U39" s="530">
        <f t="shared" si="22"/>
        <v>0</v>
      </c>
      <c r="V39" s="530">
        <f t="shared" si="23"/>
        <v>0</v>
      </c>
      <c r="W39" s="530">
        <f t="shared" si="24"/>
        <v>30</v>
      </c>
      <c r="X39" s="576">
        <f t="shared" si="25"/>
        <v>30</v>
      </c>
      <c r="Y39" s="531"/>
      <c r="Z39" s="531"/>
      <c r="AA39" s="531"/>
      <c r="AB39" s="531"/>
      <c r="AC39" s="546"/>
      <c r="AD39" s="546"/>
      <c r="AE39" s="546"/>
      <c r="AF39" s="546"/>
      <c r="AG39" s="546"/>
      <c r="AH39" s="546"/>
      <c r="AI39" s="546"/>
      <c r="AJ39" s="546"/>
      <c r="AK39" s="546"/>
      <c r="AL39" s="546"/>
      <c r="AM39" s="546"/>
    </row>
    <row r="40" spans="1:39" x14ac:dyDescent="0.2">
      <c r="A40" s="554">
        <v>12</v>
      </c>
      <c r="B40" s="883" t="s">
        <v>1702</v>
      </c>
      <c r="C40" s="884"/>
      <c r="D40" s="555"/>
      <c r="E40" s="555"/>
      <c r="F40" s="555"/>
      <c r="G40" s="556" t="s">
        <v>1679</v>
      </c>
      <c r="H40" s="555"/>
      <c r="I40" s="555"/>
      <c r="J40" s="555"/>
      <c r="K40" s="555" t="s">
        <v>1679</v>
      </c>
      <c r="L40" s="557">
        <f t="shared" si="13"/>
        <v>7.1428571428571425E-2</v>
      </c>
      <c r="M40" s="545">
        <f t="shared" si="14"/>
        <v>300</v>
      </c>
      <c r="N40" s="545">
        <f t="shared" si="15"/>
        <v>300</v>
      </c>
      <c r="O40" s="558">
        <f t="shared" si="16"/>
        <v>0</v>
      </c>
      <c r="P40" s="530">
        <f t="shared" si="17"/>
        <v>0</v>
      </c>
      <c r="Q40" s="530">
        <f t="shared" si="18"/>
        <v>0</v>
      </c>
      <c r="R40" s="530">
        <f t="shared" si="19"/>
        <v>10</v>
      </c>
      <c r="S40" s="545">
        <f t="shared" si="20"/>
        <v>10</v>
      </c>
      <c r="T40" s="558">
        <f t="shared" si="21"/>
        <v>0</v>
      </c>
      <c r="U40" s="530">
        <f t="shared" si="22"/>
        <v>0</v>
      </c>
      <c r="V40" s="530">
        <f t="shared" si="23"/>
        <v>0</v>
      </c>
      <c r="W40" s="530">
        <f t="shared" si="24"/>
        <v>30</v>
      </c>
      <c r="X40" s="576">
        <f t="shared" si="25"/>
        <v>30</v>
      </c>
      <c r="Y40" s="531"/>
      <c r="Z40" s="531"/>
      <c r="AA40" s="531"/>
      <c r="AB40" s="531"/>
      <c r="AC40" s="546"/>
      <c r="AD40" s="546"/>
      <c r="AE40" s="546"/>
      <c r="AF40" s="546"/>
      <c r="AG40" s="546"/>
      <c r="AH40" s="546"/>
      <c r="AI40" s="546"/>
      <c r="AJ40" s="546"/>
      <c r="AK40" s="546"/>
      <c r="AL40" s="546"/>
      <c r="AM40" s="546"/>
    </row>
    <row r="41" spans="1:39" x14ac:dyDescent="0.2">
      <c r="A41" s="547">
        <v>13</v>
      </c>
      <c r="B41" s="883" t="s">
        <v>1703</v>
      </c>
      <c r="C41" s="884"/>
      <c r="D41" s="555"/>
      <c r="E41" s="555"/>
      <c r="F41" s="555"/>
      <c r="G41" s="556" t="s">
        <v>1679</v>
      </c>
      <c r="H41" s="555"/>
      <c r="I41" s="555"/>
      <c r="J41" s="555"/>
      <c r="K41" s="555" t="s">
        <v>1679</v>
      </c>
      <c r="L41" s="557">
        <f t="shared" si="13"/>
        <v>7.1428571428571425E-2</v>
      </c>
      <c r="M41" s="545">
        <f t="shared" si="14"/>
        <v>300</v>
      </c>
      <c r="N41" s="545">
        <f t="shared" si="15"/>
        <v>300</v>
      </c>
      <c r="O41" s="558">
        <f t="shared" si="16"/>
        <v>0</v>
      </c>
      <c r="P41" s="530">
        <f t="shared" si="17"/>
        <v>0</v>
      </c>
      <c r="Q41" s="530">
        <f t="shared" si="18"/>
        <v>0</v>
      </c>
      <c r="R41" s="530">
        <f t="shared" si="19"/>
        <v>10</v>
      </c>
      <c r="S41" s="545">
        <f t="shared" si="20"/>
        <v>10</v>
      </c>
      <c r="T41" s="558">
        <f t="shared" si="21"/>
        <v>0</v>
      </c>
      <c r="U41" s="530">
        <f t="shared" si="22"/>
        <v>0</v>
      </c>
      <c r="V41" s="530">
        <f t="shared" si="23"/>
        <v>0</v>
      </c>
      <c r="W41" s="530">
        <f t="shared" si="24"/>
        <v>30</v>
      </c>
      <c r="X41" s="576">
        <f t="shared" si="25"/>
        <v>30</v>
      </c>
      <c r="Y41" s="531"/>
      <c r="Z41" s="531"/>
      <c r="AA41" s="531"/>
      <c r="AB41" s="531"/>
      <c r="AC41" s="546"/>
      <c r="AD41" s="546"/>
      <c r="AE41" s="546"/>
      <c r="AF41" s="546"/>
      <c r="AG41" s="546"/>
      <c r="AH41" s="546"/>
      <c r="AI41" s="546"/>
      <c r="AJ41" s="546"/>
      <c r="AK41" s="546"/>
      <c r="AL41" s="546"/>
      <c r="AM41" s="546"/>
    </row>
    <row r="42" spans="1:39" x14ac:dyDescent="0.2">
      <c r="A42" s="554">
        <v>14</v>
      </c>
      <c r="B42" s="883" t="s">
        <v>1704</v>
      </c>
      <c r="C42" s="884"/>
      <c r="D42" s="555"/>
      <c r="E42" s="555" t="s">
        <v>1679</v>
      </c>
      <c r="F42" s="555"/>
      <c r="G42" s="556"/>
      <c r="H42" s="555"/>
      <c r="I42" s="555"/>
      <c r="J42" s="555"/>
      <c r="K42" s="556" t="s">
        <v>1679</v>
      </c>
      <c r="L42" s="557">
        <f t="shared" si="13"/>
        <v>3.5714285714285712E-2</v>
      </c>
      <c r="M42" s="545">
        <f t="shared" si="14"/>
        <v>300</v>
      </c>
      <c r="N42" s="545">
        <f t="shared" si="15"/>
        <v>150</v>
      </c>
      <c r="O42" s="558">
        <f t="shared" si="16"/>
        <v>0</v>
      </c>
      <c r="P42" s="530">
        <f t="shared" si="17"/>
        <v>5</v>
      </c>
      <c r="Q42" s="530">
        <f t="shared" si="18"/>
        <v>0</v>
      </c>
      <c r="R42" s="530">
        <f t="shared" si="19"/>
        <v>0</v>
      </c>
      <c r="S42" s="545">
        <f t="shared" si="20"/>
        <v>5</v>
      </c>
      <c r="T42" s="558">
        <f t="shared" si="21"/>
        <v>0</v>
      </c>
      <c r="U42" s="530">
        <f t="shared" si="22"/>
        <v>0</v>
      </c>
      <c r="V42" s="530">
        <f t="shared" si="23"/>
        <v>0</v>
      </c>
      <c r="W42" s="530">
        <f t="shared" si="24"/>
        <v>30</v>
      </c>
      <c r="X42" s="576">
        <f t="shared" si="25"/>
        <v>30</v>
      </c>
      <c r="Y42" s="531"/>
      <c r="Z42" s="531"/>
      <c r="AA42" s="531"/>
      <c r="AB42" s="531"/>
      <c r="AC42" s="546"/>
      <c r="AD42" s="546"/>
      <c r="AE42" s="546"/>
      <c r="AF42" s="546"/>
      <c r="AG42" s="546"/>
      <c r="AH42" s="546"/>
      <c r="AI42" s="546"/>
      <c r="AJ42" s="546"/>
      <c r="AK42" s="546"/>
      <c r="AL42" s="546"/>
      <c r="AM42" s="546"/>
    </row>
    <row r="43" spans="1:39" ht="12" thickBot="1" x14ac:dyDescent="0.25">
      <c r="A43" s="547">
        <v>15</v>
      </c>
      <c r="B43" s="885" t="s">
        <v>1705</v>
      </c>
      <c r="C43" s="885"/>
      <c r="D43" s="560"/>
      <c r="E43" s="560"/>
      <c r="F43" s="560"/>
      <c r="G43" s="577" t="s">
        <v>1679</v>
      </c>
      <c r="H43" s="560"/>
      <c r="I43" s="560"/>
      <c r="J43" s="560"/>
      <c r="K43" s="577" t="s">
        <v>1679</v>
      </c>
      <c r="L43" s="562">
        <f t="shared" si="13"/>
        <v>7.1428571428571425E-2</v>
      </c>
      <c r="M43" s="545">
        <f t="shared" si="14"/>
        <v>300</v>
      </c>
      <c r="N43" s="545">
        <f t="shared" si="15"/>
        <v>300</v>
      </c>
      <c r="O43" s="563">
        <f t="shared" si="16"/>
        <v>0</v>
      </c>
      <c r="P43" s="564">
        <f t="shared" si="17"/>
        <v>0</v>
      </c>
      <c r="Q43" s="564">
        <f t="shared" si="18"/>
        <v>0</v>
      </c>
      <c r="R43" s="564">
        <f t="shared" si="19"/>
        <v>10</v>
      </c>
      <c r="S43" s="578">
        <f t="shared" si="20"/>
        <v>10</v>
      </c>
      <c r="T43" s="563">
        <f t="shared" si="21"/>
        <v>0</v>
      </c>
      <c r="U43" s="564">
        <f t="shared" si="22"/>
        <v>0</v>
      </c>
      <c r="V43" s="564">
        <f t="shared" si="23"/>
        <v>0</v>
      </c>
      <c r="W43" s="564">
        <f t="shared" si="24"/>
        <v>30</v>
      </c>
      <c r="X43" s="579">
        <f t="shared" si="25"/>
        <v>30</v>
      </c>
      <c r="Y43" s="531"/>
      <c r="Z43" s="531"/>
      <c r="AA43" s="531"/>
      <c r="AB43" s="580"/>
      <c r="AC43" s="546"/>
      <c r="AD43" s="546"/>
      <c r="AE43" s="546"/>
      <c r="AF43" s="546"/>
      <c r="AG43" s="546"/>
      <c r="AH43" s="546"/>
      <c r="AI43" s="546"/>
      <c r="AJ43" s="546"/>
      <c r="AK43" s="546"/>
      <c r="AL43" s="546"/>
      <c r="AM43" s="546"/>
    </row>
    <row r="44" spans="1:39" ht="12" thickBot="1" x14ac:dyDescent="0.25">
      <c r="L44" s="581">
        <f>SUM(L29:L43)</f>
        <v>0.82142857142857117</v>
      </c>
      <c r="M44" s="545">
        <f>SUM(M29:M43)</f>
        <v>4200</v>
      </c>
      <c r="N44" s="582">
        <f>SUM(N29:N43)</f>
        <v>3450</v>
      </c>
      <c r="O44" s="563">
        <f t="shared" si="16"/>
        <v>0</v>
      </c>
      <c r="P44" s="564">
        <f t="shared" si="17"/>
        <v>0</v>
      </c>
      <c r="Q44" s="564">
        <f t="shared" si="18"/>
        <v>0</v>
      </c>
      <c r="R44" s="564">
        <f t="shared" si="19"/>
        <v>0</v>
      </c>
      <c r="S44" s="578">
        <f t="shared" si="20"/>
        <v>0</v>
      </c>
      <c r="T44" s="563">
        <f t="shared" si="21"/>
        <v>0</v>
      </c>
      <c r="U44" s="564">
        <f t="shared" si="22"/>
        <v>0</v>
      </c>
      <c r="V44" s="564">
        <f t="shared" si="23"/>
        <v>0</v>
      </c>
      <c r="W44" s="564">
        <f t="shared" si="24"/>
        <v>0</v>
      </c>
      <c r="X44" s="579">
        <f t="shared" si="25"/>
        <v>0</v>
      </c>
      <c r="Y44" s="531"/>
      <c r="Z44" s="531"/>
      <c r="AA44" s="531"/>
      <c r="AB44" s="531"/>
      <c r="AC44" s="546"/>
      <c r="AD44" s="546"/>
      <c r="AE44" s="546"/>
      <c r="AF44" s="546"/>
      <c r="AG44" s="546"/>
      <c r="AH44" s="546"/>
      <c r="AI44" s="546"/>
      <c r="AJ44" s="546"/>
      <c r="AK44" s="546"/>
      <c r="AL44" s="546"/>
      <c r="AM44" s="546"/>
    </row>
    <row r="45" spans="1:39" ht="10.5" customHeight="1" x14ac:dyDescent="0.2">
      <c r="B45" s="531"/>
      <c r="C45" s="531"/>
      <c r="D45" s="531"/>
      <c r="E45" s="531"/>
      <c r="F45" s="531"/>
      <c r="G45" s="531"/>
      <c r="H45" s="531"/>
      <c r="I45" s="531"/>
      <c r="J45" s="531"/>
      <c r="K45" s="531"/>
      <c r="L45" s="531"/>
      <c r="O45" s="530"/>
      <c r="P45" s="530"/>
      <c r="Q45" s="530"/>
      <c r="R45" s="530"/>
      <c r="S45" s="530"/>
      <c r="T45" s="530"/>
      <c r="U45" s="530"/>
      <c r="V45" s="530"/>
      <c r="W45" s="530"/>
      <c r="X45" s="530"/>
      <c r="Y45" s="531"/>
      <c r="Z45" s="531"/>
      <c r="AA45" s="531"/>
      <c r="AB45" s="531"/>
      <c r="AC45" s="546"/>
      <c r="AD45" s="546"/>
      <c r="AE45" s="546"/>
      <c r="AF45" s="546"/>
      <c r="AG45" s="546"/>
      <c r="AH45" s="546"/>
      <c r="AI45" s="546"/>
      <c r="AJ45" s="546"/>
      <c r="AK45" s="546"/>
      <c r="AL45" s="546"/>
      <c r="AM45" s="546"/>
    </row>
    <row r="46" spans="1:39" x14ac:dyDescent="0.2">
      <c r="M46" s="530"/>
      <c r="N46" s="530">
        <f>IF($L$44&gt;85%,5,0)</f>
        <v>0</v>
      </c>
      <c r="O46" s="530">
        <f>IF($L$44&lt;=85%,2,0)</f>
        <v>2</v>
      </c>
      <c r="P46" s="530">
        <f>IF($L$44&gt;70%,2,0)</f>
        <v>2</v>
      </c>
      <c r="Q46" s="530">
        <f>IF($L$44&lt;=70%,3,0)</f>
        <v>0</v>
      </c>
      <c r="R46" s="530">
        <f>IF($L$44&gt;45%,1,0)</f>
        <v>1</v>
      </c>
      <c r="S46" s="530">
        <f>IF($L$44&lt;=45%,1,0)</f>
        <v>0</v>
      </c>
      <c r="T46" s="530"/>
      <c r="U46" s="530">
        <f>IF($L$44&gt;0%,2,0)</f>
        <v>2</v>
      </c>
      <c r="V46" s="530"/>
      <c r="W46" s="530"/>
      <c r="X46" s="530"/>
      <c r="Y46" s="531"/>
      <c r="Z46" s="531"/>
      <c r="AA46" s="531"/>
      <c r="AB46" s="531"/>
    </row>
    <row r="47" spans="1:39" ht="12.75" x14ac:dyDescent="0.2">
      <c r="A47" s="886" t="s">
        <v>1706</v>
      </c>
      <c r="B47" s="886"/>
      <c r="C47" s="567">
        <f>L44</f>
        <v>0.82142857142857117</v>
      </c>
      <c r="E47" s="874" t="str">
        <f>+IF(L44&gt;=0.86,"A",IF(AND(L44&lt;0.86,L44&gt;=0.71),"B",IF(AND(L44&lt;0.71,L44&gt;=0.46),"C",IF(AND(L44&lt;0.46,L44&gt;0),"No califica",IF(L44=0,"No evaluado")))))</f>
        <v>B</v>
      </c>
      <c r="F47" s="874"/>
      <c r="G47" s="584"/>
      <c r="H47" s="882" t="s">
        <v>1686</v>
      </c>
      <c r="I47" s="882"/>
      <c r="J47" s="882"/>
      <c r="K47" s="882"/>
      <c r="L47" s="568" t="str">
        <f>+IF(E47="A","Excelente",IF(E47="B","Muy Bueno",IF(E47="C","Bueno a regular",IF(E47="No evaluado","","No califica"))))</f>
        <v>Muy Bueno</v>
      </c>
      <c r="M47" s="530"/>
      <c r="N47" s="530">
        <f>+N46</f>
        <v>0</v>
      </c>
      <c r="O47" s="879">
        <f>+O46*P46</f>
        <v>4</v>
      </c>
      <c r="P47" s="879"/>
      <c r="Q47" s="879">
        <f>+Q46*R46</f>
        <v>0</v>
      </c>
      <c r="R47" s="879"/>
      <c r="S47" s="879">
        <f>+S46*U46</f>
        <v>0</v>
      </c>
      <c r="T47" s="879"/>
      <c r="U47" s="879"/>
      <c r="V47" s="530">
        <f>SUM(N47:U47)</f>
        <v>4</v>
      </c>
      <c r="W47" s="530"/>
      <c r="X47" s="530"/>
      <c r="Y47" s="531"/>
      <c r="Z47" s="531"/>
      <c r="AA47" s="531"/>
      <c r="AB47" s="531"/>
    </row>
    <row r="48" spans="1:39" ht="12.75" customHeight="1" x14ac:dyDescent="0.2">
      <c r="B48" s="585"/>
      <c r="C48" s="531"/>
      <c r="D48" s="531"/>
      <c r="E48" s="531"/>
      <c r="F48" s="531"/>
      <c r="G48" s="586"/>
      <c r="H48" s="570"/>
      <c r="I48" s="570"/>
      <c r="J48" s="571"/>
      <c r="K48" s="572"/>
      <c r="L48" s="573"/>
      <c r="M48" s="530"/>
      <c r="N48" s="530"/>
      <c r="O48" s="530"/>
      <c r="P48" s="530"/>
      <c r="Q48" s="530"/>
      <c r="R48" s="530"/>
      <c r="S48" s="530"/>
      <c r="T48" s="530"/>
      <c r="U48" s="530"/>
      <c r="V48" s="530"/>
      <c r="W48" s="530"/>
      <c r="X48" s="530"/>
      <c r="Y48" s="531"/>
      <c r="Z48" s="531"/>
      <c r="AA48" s="531"/>
      <c r="AB48" s="531"/>
    </row>
    <row r="49" spans="1:28" s="586" customFormat="1" ht="12.75" customHeight="1" x14ac:dyDescent="0.2">
      <c r="A49" s="880" t="s">
        <v>1687</v>
      </c>
      <c r="B49" s="880"/>
      <c r="C49" s="881" t="s">
        <v>2164</v>
      </c>
      <c r="D49" s="881"/>
      <c r="E49" s="881"/>
      <c r="F49" s="881"/>
      <c r="G49" s="584"/>
      <c r="H49" s="882" t="s">
        <v>1689</v>
      </c>
      <c r="I49" s="882"/>
      <c r="J49" s="882"/>
      <c r="K49" s="882"/>
      <c r="L49" s="574">
        <v>43564</v>
      </c>
      <c r="M49" s="587"/>
      <c r="N49" s="587"/>
      <c r="O49" s="587"/>
      <c r="P49" s="587"/>
      <c r="Q49" s="587"/>
      <c r="R49" s="587"/>
      <c r="S49" s="587"/>
      <c r="T49" s="587"/>
      <c r="U49" s="587"/>
      <c r="V49" s="587"/>
      <c r="W49" s="587"/>
      <c r="X49" s="587"/>
      <c r="Y49" s="588"/>
      <c r="Z49" s="588"/>
      <c r="AA49" s="588"/>
      <c r="AB49" s="588"/>
    </row>
    <row r="50" spans="1:28" ht="11.25" customHeight="1" x14ac:dyDescent="0.2">
      <c r="B50" s="589"/>
      <c r="C50" s="590"/>
      <c r="D50" s="533"/>
      <c r="E50" s="533"/>
      <c r="F50" s="533"/>
      <c r="G50" s="591"/>
      <c r="H50" s="572"/>
      <c r="I50" s="572"/>
      <c r="J50" s="572"/>
      <c r="M50" s="530"/>
      <c r="N50" s="530"/>
      <c r="O50" s="530"/>
      <c r="P50" s="530"/>
      <c r="Q50" s="530"/>
      <c r="R50" s="530"/>
      <c r="S50" s="530"/>
      <c r="T50" s="530"/>
      <c r="U50" s="530"/>
      <c r="V50" s="530"/>
      <c r="W50" s="530"/>
      <c r="X50" s="530"/>
      <c r="Y50" s="531"/>
      <c r="Z50" s="531"/>
      <c r="AA50" s="531"/>
      <c r="AB50" s="531"/>
    </row>
    <row r="51" spans="1:28" ht="12" x14ac:dyDescent="0.2">
      <c r="B51" s="589"/>
      <c r="C51" s="590"/>
      <c r="D51" s="533"/>
      <c r="E51" s="533"/>
      <c r="F51" s="533"/>
      <c r="G51" s="591"/>
      <c r="H51" s="591"/>
      <c r="I51" s="591"/>
      <c r="J51" s="591"/>
      <c r="K51" s="533"/>
      <c r="L51" s="533"/>
      <c r="M51" s="530"/>
      <c r="N51" s="530"/>
      <c r="O51" s="530"/>
      <c r="P51" s="530"/>
      <c r="Q51" s="530"/>
      <c r="R51" s="530"/>
      <c r="S51" s="530"/>
      <c r="T51" s="530"/>
      <c r="U51" s="530"/>
      <c r="V51" s="530"/>
      <c r="W51" s="530"/>
      <c r="X51" s="530"/>
      <c r="Y51" s="531"/>
      <c r="Z51" s="531"/>
      <c r="AA51" s="531"/>
      <c r="AB51" s="531"/>
    </row>
    <row r="52" spans="1:28" ht="12.75" customHeight="1" x14ac:dyDescent="0.2">
      <c r="A52" s="873" t="s">
        <v>1708</v>
      </c>
      <c r="B52" s="873"/>
      <c r="C52" s="567">
        <f>IF(L44=0,L19,(L19*0.5+L44*0.5))</f>
        <v>0.78571428571428559</v>
      </c>
      <c r="D52" s="592"/>
      <c r="E52" s="874" t="str">
        <f>+IF($C$52&gt;=0.86,"A",IF(AND($C$52&lt;0.86,$C$52&gt;=0.71),"B",IF(AND($C$52&lt;0.71,$C$52&gt;=0.46),"C",IF(AND($C$52&lt;0.46,$C$52&gt;0),"No califica",IF(C52=0,"No evaluado",)))))</f>
        <v>B</v>
      </c>
      <c r="F52" s="874"/>
      <c r="G52" s="875" t="s">
        <v>1686</v>
      </c>
      <c r="H52" s="875"/>
      <c r="I52" s="875"/>
      <c r="J52" s="875"/>
      <c r="K52" s="875"/>
      <c r="L52" s="568" t="str">
        <f>+IF(E52="A","Excelente",IF(E52="B","Muy Bueno",IF(E52="C","Bueno a regular",IF(E52="No evaluado","","No califica"))))</f>
        <v>Muy Bueno</v>
      </c>
      <c r="M52" s="530"/>
      <c r="N52" s="530"/>
      <c r="O52" s="530"/>
      <c r="P52" s="530"/>
      <c r="Q52" s="530"/>
      <c r="R52" s="530"/>
      <c r="S52" s="530"/>
      <c r="T52" s="530"/>
      <c r="U52" s="530"/>
      <c r="V52" s="530"/>
      <c r="W52" s="530"/>
      <c r="X52" s="530"/>
      <c r="Y52" s="531"/>
      <c r="Z52" s="531"/>
      <c r="AA52" s="531"/>
      <c r="AB52" s="531"/>
    </row>
    <row r="53" spans="1:28" ht="12" x14ac:dyDescent="0.2">
      <c r="B53" s="585"/>
      <c r="C53" s="531"/>
      <c r="D53" s="531"/>
      <c r="E53" s="531"/>
      <c r="F53" s="531"/>
      <c r="G53" s="593"/>
      <c r="H53" s="593"/>
      <c r="I53" s="593"/>
      <c r="J53" s="593"/>
      <c r="K53" s="594"/>
      <c r="L53" s="573"/>
      <c r="M53" s="530"/>
      <c r="N53" s="530"/>
      <c r="O53" s="530"/>
      <c r="P53" s="530"/>
      <c r="Q53" s="530"/>
      <c r="R53" s="530"/>
      <c r="S53" s="530"/>
      <c r="T53" s="530"/>
      <c r="U53" s="530"/>
      <c r="V53" s="530"/>
      <c r="W53" s="530"/>
      <c r="X53" s="530"/>
      <c r="Y53" s="531"/>
      <c r="Z53" s="531"/>
      <c r="AA53" s="531"/>
      <c r="AB53" s="531"/>
    </row>
    <row r="54" spans="1:28" ht="12" customHeight="1" x14ac:dyDescent="0.2">
      <c r="B54" s="595"/>
      <c r="C54" s="531"/>
      <c r="E54" s="531"/>
      <c r="F54" s="531"/>
      <c r="G54" s="876" t="s">
        <v>1709</v>
      </c>
      <c r="H54" s="876"/>
      <c r="I54" s="876"/>
      <c r="J54" s="876"/>
      <c r="K54" s="876"/>
      <c r="L54" s="574">
        <v>43564</v>
      </c>
      <c r="M54" s="530"/>
      <c r="N54" s="530"/>
      <c r="O54" s="530"/>
      <c r="P54" s="530"/>
      <c r="Q54" s="530"/>
      <c r="R54" s="530"/>
      <c r="S54" s="530"/>
      <c r="T54" s="530"/>
      <c r="U54" s="530"/>
      <c r="V54" s="530"/>
      <c r="W54" s="530"/>
      <c r="X54" s="530"/>
      <c r="Y54" s="531"/>
      <c r="Z54" s="531"/>
      <c r="AA54" s="531"/>
      <c r="AB54" s="531"/>
    </row>
    <row r="55" spans="1:28" x14ac:dyDescent="0.2">
      <c r="B55" s="531"/>
      <c r="C55" s="531"/>
      <c r="D55" s="531"/>
      <c r="E55" s="531"/>
      <c r="F55" s="531"/>
      <c r="G55" s="531"/>
      <c r="H55" s="531"/>
      <c r="I55" s="531"/>
      <c r="J55" s="531"/>
      <c r="K55" s="531"/>
      <c r="L55" s="531"/>
      <c r="M55" s="530"/>
      <c r="N55" s="530"/>
      <c r="O55" s="530"/>
      <c r="P55" s="530"/>
      <c r="Q55" s="530"/>
      <c r="R55" s="530"/>
      <c r="S55" s="530"/>
      <c r="T55" s="530"/>
      <c r="U55" s="530"/>
      <c r="V55" s="530"/>
      <c r="W55" s="530"/>
      <c r="X55" s="530"/>
      <c r="Y55" s="531"/>
      <c r="Z55" s="531"/>
      <c r="AA55" s="531"/>
      <c r="AB55" s="531"/>
    </row>
    <row r="56" spans="1:28" x14ac:dyDescent="0.2">
      <c r="B56" s="531"/>
      <c r="C56" s="531"/>
      <c r="D56" s="531"/>
      <c r="E56" s="531"/>
      <c r="F56" s="531"/>
      <c r="G56" s="531"/>
      <c r="H56" s="531"/>
      <c r="I56" s="531"/>
      <c r="J56" s="531"/>
      <c r="K56" s="531"/>
      <c r="L56" s="531"/>
      <c r="M56" s="530"/>
      <c r="N56" s="530"/>
      <c r="O56" s="530"/>
      <c r="P56" s="530"/>
      <c r="Q56" s="530"/>
      <c r="R56" s="530"/>
      <c r="S56" s="530"/>
      <c r="T56" s="530"/>
      <c r="U56" s="530"/>
      <c r="V56" s="530"/>
      <c r="W56" s="530"/>
      <c r="X56" s="530"/>
      <c r="Y56" s="531"/>
      <c r="Z56" s="531"/>
      <c r="AA56" s="531"/>
      <c r="AB56" s="531"/>
    </row>
    <row r="57" spans="1:28" ht="12.75" customHeight="1" x14ac:dyDescent="0.2">
      <c r="A57" s="877" t="s">
        <v>1710</v>
      </c>
      <c r="B57" s="877"/>
      <c r="C57" s="878" t="s">
        <v>1711</v>
      </c>
      <c r="D57" s="878"/>
      <c r="E57" s="878"/>
      <c r="F57" s="878"/>
      <c r="G57" s="878"/>
      <c r="H57" s="878"/>
      <c r="I57" s="878"/>
      <c r="J57" s="878"/>
      <c r="K57" s="878"/>
      <c r="L57" s="878"/>
      <c r="M57" s="530"/>
      <c r="N57" s="530"/>
      <c r="O57" s="530"/>
      <c r="P57" s="530"/>
      <c r="Q57" s="530"/>
      <c r="R57" s="530"/>
      <c r="S57" s="530"/>
      <c r="T57" s="530"/>
      <c r="U57" s="530"/>
      <c r="V57" s="530"/>
      <c r="W57" s="530"/>
      <c r="X57" s="530"/>
      <c r="Y57" s="531"/>
      <c r="Z57" s="531"/>
      <c r="AA57" s="531"/>
      <c r="AB57" s="531"/>
    </row>
    <row r="58" spans="1:28" ht="12.75" customHeight="1" x14ac:dyDescent="0.2">
      <c r="A58" s="871"/>
      <c r="B58" s="871"/>
      <c r="C58" s="871"/>
      <c r="D58" s="871"/>
      <c r="E58" s="871"/>
      <c r="F58" s="871"/>
      <c r="G58" s="871"/>
      <c r="H58" s="871"/>
      <c r="I58" s="871"/>
      <c r="J58" s="871"/>
      <c r="K58" s="871"/>
      <c r="L58" s="871"/>
      <c r="M58" s="530"/>
      <c r="N58" s="530"/>
      <c r="O58" s="530"/>
      <c r="P58" s="530"/>
      <c r="Q58" s="530"/>
      <c r="R58" s="530"/>
      <c r="S58" s="530"/>
      <c r="T58" s="530"/>
      <c r="U58" s="530"/>
      <c r="V58" s="530"/>
      <c r="W58" s="530"/>
      <c r="X58" s="530"/>
      <c r="Y58" s="531"/>
      <c r="Z58" s="531"/>
      <c r="AA58" s="531"/>
      <c r="AB58" s="531"/>
    </row>
    <row r="59" spans="1:28" ht="9.75" customHeight="1" x14ac:dyDescent="0.2"/>
    <row r="60" spans="1:28" s="538" customFormat="1" ht="24" customHeight="1" x14ac:dyDescent="0.2">
      <c r="A60" s="872" t="s">
        <v>1712</v>
      </c>
      <c r="B60" s="872"/>
      <c r="C60" s="872"/>
      <c r="D60" s="872"/>
      <c r="E60" s="872"/>
      <c r="F60" s="872"/>
      <c r="G60" s="872"/>
      <c r="H60" s="872"/>
      <c r="I60" s="872"/>
      <c r="J60" s="872"/>
      <c r="K60" s="872"/>
      <c r="L60" s="872"/>
      <c r="M60" s="596"/>
      <c r="N60" s="596"/>
      <c r="O60" s="596"/>
      <c r="P60" s="596"/>
      <c r="Q60" s="596"/>
      <c r="R60" s="596"/>
      <c r="S60" s="596"/>
      <c r="T60" s="596"/>
      <c r="U60" s="596"/>
      <c r="V60" s="596"/>
      <c r="W60" s="596"/>
      <c r="X60" s="596"/>
    </row>
    <row r="61" spans="1:28" x14ac:dyDescent="0.2">
      <c r="H61" s="595" t="s">
        <v>1713</v>
      </c>
      <c r="I61" s="595"/>
      <c r="J61" s="539"/>
      <c r="L61" s="597" t="s">
        <v>1714</v>
      </c>
    </row>
    <row r="62" spans="1:28" x14ac:dyDescent="0.2">
      <c r="H62" s="595" t="s">
        <v>1715</v>
      </c>
      <c r="I62" s="595"/>
      <c r="J62" s="539"/>
      <c r="L62" s="597" t="s">
        <v>1716</v>
      </c>
    </row>
    <row r="63" spans="1:28" x14ac:dyDescent="0.2">
      <c r="H63" s="595" t="s">
        <v>1717</v>
      </c>
      <c r="I63" s="595"/>
      <c r="J63" s="539"/>
      <c r="L63" s="597" t="s">
        <v>1718</v>
      </c>
    </row>
    <row r="64" spans="1:28" x14ac:dyDescent="0.2">
      <c r="H64" s="595" t="s">
        <v>1719</v>
      </c>
      <c r="I64" s="595"/>
      <c r="J64" s="539"/>
      <c r="L64" s="597" t="s">
        <v>1720</v>
      </c>
    </row>
  </sheetData>
  <mergeCells count="69">
    <mergeCell ref="A5:B5"/>
    <mergeCell ref="C5:L5"/>
    <mergeCell ref="A1:B2"/>
    <mergeCell ref="C1:L1"/>
    <mergeCell ref="C2:E2"/>
    <mergeCell ref="F2:L2"/>
    <mergeCell ref="A4:L4"/>
    <mergeCell ref="B15:C15"/>
    <mergeCell ref="A6:B6"/>
    <mergeCell ref="C6:L6"/>
    <mergeCell ref="A8:L8"/>
    <mergeCell ref="D10:G10"/>
    <mergeCell ref="H10:K10"/>
    <mergeCell ref="B11:C11"/>
    <mergeCell ref="O11:S11"/>
    <mergeCell ref="T11:X11"/>
    <mergeCell ref="B12:C12"/>
    <mergeCell ref="B13:C13"/>
    <mergeCell ref="B14:C14"/>
    <mergeCell ref="B16:C16"/>
    <mergeCell ref="B17:C17"/>
    <mergeCell ref="B18:C18"/>
    <mergeCell ref="A21:B21"/>
    <mergeCell ref="E21:F21"/>
    <mergeCell ref="T28:X28"/>
    <mergeCell ref="O21:P21"/>
    <mergeCell ref="Q21:R21"/>
    <mergeCell ref="S21:U21"/>
    <mergeCell ref="A23:B23"/>
    <mergeCell ref="C23:F23"/>
    <mergeCell ref="H23:K23"/>
    <mergeCell ref="H21:K21"/>
    <mergeCell ref="A25:L25"/>
    <mergeCell ref="D27:G27"/>
    <mergeCell ref="H27:K27"/>
    <mergeCell ref="B28:C28"/>
    <mergeCell ref="O28:S28"/>
    <mergeCell ref="B40:C40"/>
    <mergeCell ref="B29:C29"/>
    <mergeCell ref="B30:C30"/>
    <mergeCell ref="B31:C31"/>
    <mergeCell ref="B32:C32"/>
    <mergeCell ref="B33:C33"/>
    <mergeCell ref="B34:C34"/>
    <mergeCell ref="B35:C35"/>
    <mergeCell ref="B36:C36"/>
    <mergeCell ref="B37:C37"/>
    <mergeCell ref="B38:C38"/>
    <mergeCell ref="B39:C39"/>
    <mergeCell ref="B41:C41"/>
    <mergeCell ref="B42:C42"/>
    <mergeCell ref="B43:C43"/>
    <mergeCell ref="A47:B47"/>
    <mergeCell ref="E47:F47"/>
    <mergeCell ref="O47:P47"/>
    <mergeCell ref="Q47:R47"/>
    <mergeCell ref="S47:U47"/>
    <mergeCell ref="A49:B49"/>
    <mergeCell ref="C49:F49"/>
    <mergeCell ref="H49:K49"/>
    <mergeCell ref="H47:K47"/>
    <mergeCell ref="A58:L58"/>
    <mergeCell ref="A60:L60"/>
    <mergeCell ref="A52:B52"/>
    <mergeCell ref="E52:F52"/>
    <mergeCell ref="G52:K52"/>
    <mergeCell ref="G54:K54"/>
    <mergeCell ref="A57:B57"/>
    <mergeCell ref="C57:L57"/>
  </mergeCells>
  <pageMargins left="0.75" right="0.75" top="1" bottom="1" header="0" footer="0"/>
  <pageSetup paperSize="9" scale="78" orientation="portrait" r:id="rId1"/>
  <headerFooter alignWithMargins="0">
    <oddFooter>&amp;L&amp;7EMISIÓN: 5/05/10 
Revisión 1&amp;C&amp;7Revisa y Aprueba : Ruth Clausen&amp;R&amp;7&amp;P de &amp;N</oddFooter>
  </headerFooter>
  <colBreaks count="1" manualBreakCount="1">
    <brk id="12"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9"/>
  </sheetPr>
  <dimension ref="A1:AM64"/>
  <sheetViews>
    <sheetView workbookViewId="0">
      <selection sqref="A1:B2"/>
    </sheetView>
  </sheetViews>
  <sheetFormatPr baseColWidth="10" defaultRowHeight="12.75" x14ac:dyDescent="0.25"/>
  <cols>
    <col min="1" max="1" width="2.7109375" style="334" customWidth="1"/>
    <col min="2" max="2" width="18.7109375" style="333" customWidth="1"/>
    <col min="3" max="3" width="15.28515625" style="333" customWidth="1"/>
    <col min="4" max="4" width="5.5703125" style="333" customWidth="1"/>
    <col min="5" max="5" width="5" style="333" customWidth="1"/>
    <col min="6" max="7" width="5.5703125" style="333" customWidth="1"/>
    <col min="8" max="8" width="7.28515625" style="333" customWidth="1"/>
    <col min="9" max="10" width="5.85546875" style="333" customWidth="1"/>
    <col min="11" max="11" width="5.7109375" style="333" customWidth="1"/>
    <col min="12" max="12" width="17.28515625" style="333" customWidth="1"/>
    <col min="13" max="14" width="12.28515625" style="384" hidden="1" customWidth="1"/>
    <col min="15" max="24" width="8.7109375" style="384" hidden="1" customWidth="1"/>
    <col min="25" max="16384" width="11.42578125" style="333"/>
  </cols>
  <sheetData>
    <row r="1" spans="1:39" ht="48.75" customHeight="1" thickBot="1" x14ac:dyDescent="0.3">
      <c r="A1" s="815"/>
      <c r="B1" s="816"/>
      <c r="C1" s="819" t="s">
        <v>1657</v>
      </c>
      <c r="D1" s="820"/>
      <c r="E1" s="820"/>
      <c r="F1" s="820"/>
      <c r="G1" s="820"/>
      <c r="H1" s="820"/>
      <c r="I1" s="820"/>
      <c r="J1" s="820"/>
      <c r="K1" s="820"/>
      <c r="L1" s="821"/>
      <c r="M1" s="330"/>
      <c r="N1" s="331"/>
      <c r="O1" s="331"/>
      <c r="P1" s="331"/>
      <c r="Q1" s="331"/>
      <c r="R1" s="331"/>
      <c r="S1" s="331"/>
      <c r="T1" s="331"/>
      <c r="U1" s="331"/>
      <c r="V1" s="331"/>
      <c r="W1" s="331"/>
      <c r="X1" s="331"/>
      <c r="Y1" s="332"/>
      <c r="Z1" s="332"/>
      <c r="AA1" s="332"/>
      <c r="AB1" s="332"/>
    </row>
    <row r="2" spans="1:39" ht="24.75" customHeight="1" thickBot="1" x14ac:dyDescent="0.3">
      <c r="A2" s="817"/>
      <c r="B2" s="818"/>
      <c r="C2" s="822" t="s">
        <v>1658</v>
      </c>
      <c r="D2" s="823"/>
      <c r="E2" s="824"/>
      <c r="F2" s="822" t="s">
        <v>1659</v>
      </c>
      <c r="G2" s="823"/>
      <c r="H2" s="823"/>
      <c r="I2" s="823"/>
      <c r="J2" s="823"/>
      <c r="K2" s="823"/>
      <c r="L2" s="824"/>
      <c r="M2" s="331"/>
      <c r="N2" s="331"/>
      <c r="O2" s="331"/>
      <c r="P2" s="331"/>
      <c r="Q2" s="331"/>
      <c r="R2" s="331"/>
      <c r="S2" s="331"/>
      <c r="T2" s="331"/>
      <c r="U2" s="331"/>
      <c r="V2" s="331"/>
      <c r="W2" s="331"/>
      <c r="X2" s="331"/>
      <c r="Y2" s="332"/>
      <c r="Z2" s="332"/>
      <c r="AA2" s="332"/>
      <c r="AB2" s="332"/>
    </row>
    <row r="3" spans="1:39" ht="9" customHeight="1" thickBot="1" x14ac:dyDescent="0.35">
      <c r="B3" s="335"/>
      <c r="C3" s="336"/>
      <c r="D3" s="336"/>
      <c r="E3" s="336"/>
      <c r="F3" s="336"/>
      <c r="G3" s="336"/>
      <c r="H3" s="336"/>
      <c r="I3" s="336"/>
      <c r="J3" s="336"/>
      <c r="K3" s="336"/>
      <c r="L3" s="336"/>
      <c r="M3" s="331"/>
      <c r="N3" s="331"/>
      <c r="O3" s="331"/>
      <c r="P3" s="331"/>
      <c r="Q3" s="331"/>
      <c r="R3" s="331"/>
      <c r="S3" s="331"/>
      <c r="T3" s="331"/>
      <c r="U3" s="331"/>
      <c r="V3" s="331"/>
      <c r="W3" s="331"/>
      <c r="X3" s="331"/>
      <c r="Y3" s="332"/>
      <c r="Z3" s="332"/>
      <c r="AA3" s="332"/>
      <c r="AB3" s="332"/>
    </row>
    <row r="4" spans="1:39" s="339" customFormat="1" ht="18.75" customHeight="1" thickBot="1" x14ac:dyDescent="0.25">
      <c r="A4" s="825" t="s">
        <v>1660</v>
      </c>
      <c r="B4" s="826"/>
      <c r="C4" s="826"/>
      <c r="D4" s="826"/>
      <c r="E4" s="826"/>
      <c r="F4" s="826"/>
      <c r="G4" s="826"/>
      <c r="H4" s="826"/>
      <c r="I4" s="826"/>
      <c r="J4" s="826"/>
      <c r="K4" s="826"/>
      <c r="L4" s="827"/>
      <c r="M4" s="337"/>
      <c r="N4" s="337"/>
      <c r="O4" s="337"/>
      <c r="P4" s="337"/>
      <c r="Q4" s="337"/>
      <c r="R4" s="337"/>
      <c r="S4" s="337"/>
      <c r="T4" s="337"/>
      <c r="U4" s="337"/>
      <c r="V4" s="337"/>
      <c r="W4" s="337"/>
      <c r="X4" s="337"/>
      <c r="Y4" s="338"/>
      <c r="Z4" s="338"/>
      <c r="AA4" s="338"/>
      <c r="AB4" s="338"/>
    </row>
    <row r="5" spans="1:39" s="339" customFormat="1" ht="16.5" customHeight="1" thickBot="1" x14ac:dyDescent="0.25">
      <c r="A5" s="810" t="s">
        <v>1661</v>
      </c>
      <c r="B5" s="811"/>
      <c r="C5" s="812" t="s">
        <v>2163</v>
      </c>
      <c r="D5" s="813"/>
      <c r="E5" s="813"/>
      <c r="F5" s="813"/>
      <c r="G5" s="813"/>
      <c r="H5" s="813"/>
      <c r="I5" s="813"/>
      <c r="J5" s="813"/>
      <c r="K5" s="813"/>
      <c r="L5" s="814"/>
      <c r="M5" s="337"/>
      <c r="N5" s="337"/>
      <c r="O5" s="337"/>
      <c r="P5" s="337"/>
      <c r="Q5" s="337"/>
      <c r="R5" s="337"/>
      <c r="S5" s="337"/>
      <c r="T5" s="337"/>
      <c r="U5" s="337"/>
      <c r="V5" s="337"/>
      <c r="W5" s="337"/>
      <c r="X5" s="337"/>
      <c r="Y5" s="338"/>
      <c r="Z5" s="338"/>
      <c r="AA5" s="338"/>
      <c r="AB5" s="338"/>
    </row>
    <row r="6" spans="1:39" ht="16.5" customHeight="1" thickBot="1" x14ac:dyDescent="0.3">
      <c r="A6" s="830" t="s">
        <v>1662</v>
      </c>
      <c r="B6" s="831"/>
      <c r="C6" s="832" t="s">
        <v>1663</v>
      </c>
      <c r="D6" s="833"/>
      <c r="E6" s="833"/>
      <c r="F6" s="833"/>
      <c r="G6" s="833"/>
      <c r="H6" s="833"/>
      <c r="I6" s="833"/>
      <c r="J6" s="833"/>
      <c r="K6" s="833"/>
      <c r="L6" s="834"/>
      <c r="M6" s="331"/>
      <c r="N6" s="331"/>
      <c r="O6" s="331"/>
      <c r="P6" s="331"/>
      <c r="Q6" s="331"/>
      <c r="R6" s="331"/>
      <c r="S6" s="331"/>
      <c r="T6" s="331"/>
      <c r="U6" s="331"/>
      <c r="V6" s="331"/>
      <c r="W6" s="331"/>
      <c r="X6" s="331"/>
      <c r="Y6" s="332"/>
      <c r="Z6" s="332"/>
      <c r="AA6" s="332"/>
      <c r="AB6" s="332"/>
    </row>
    <row r="7" spans="1:39" ht="12" customHeight="1" thickBot="1" x14ac:dyDescent="0.35">
      <c r="B7" s="340"/>
      <c r="D7" s="334"/>
      <c r="E7" s="334"/>
      <c r="F7" s="334"/>
      <c r="G7" s="334"/>
      <c r="H7" s="334"/>
      <c r="I7" s="334"/>
      <c r="J7" s="334"/>
      <c r="K7" s="334"/>
      <c r="L7" s="334"/>
      <c r="M7" s="331"/>
      <c r="N7" s="331"/>
      <c r="O7" s="331"/>
      <c r="P7" s="331"/>
      <c r="Q7" s="331"/>
      <c r="R7" s="331"/>
      <c r="S7" s="331"/>
      <c r="T7" s="331"/>
      <c r="U7" s="331"/>
      <c r="V7" s="331"/>
      <c r="W7" s="331"/>
      <c r="X7" s="331"/>
      <c r="Y7" s="332"/>
      <c r="Z7" s="332"/>
      <c r="AA7" s="332"/>
      <c r="AB7" s="332"/>
    </row>
    <row r="8" spans="1:39" ht="15" customHeight="1" thickBot="1" x14ac:dyDescent="0.3">
      <c r="A8" s="835" t="s">
        <v>1664</v>
      </c>
      <c r="B8" s="836"/>
      <c r="C8" s="836"/>
      <c r="D8" s="836"/>
      <c r="E8" s="836"/>
      <c r="F8" s="836"/>
      <c r="G8" s="836"/>
      <c r="H8" s="836"/>
      <c r="I8" s="836"/>
      <c r="J8" s="836"/>
      <c r="K8" s="836"/>
      <c r="L8" s="837"/>
      <c r="M8" s="331"/>
      <c r="N8" s="331"/>
      <c r="O8" s="331"/>
      <c r="P8" s="331"/>
      <c r="Q8" s="331"/>
      <c r="R8" s="331"/>
      <c r="S8" s="331"/>
      <c r="T8" s="331"/>
      <c r="U8" s="331"/>
      <c r="V8" s="331"/>
      <c r="W8" s="331"/>
      <c r="X8" s="331"/>
      <c r="Y8" s="332"/>
      <c r="Z8" s="332"/>
      <c r="AA8" s="332"/>
      <c r="AB8" s="332"/>
    </row>
    <row r="9" spans="1:39" ht="20.25" customHeight="1" x14ac:dyDescent="0.3">
      <c r="B9" s="340"/>
      <c r="D9" s="334"/>
      <c r="E9" s="334"/>
      <c r="F9" s="334"/>
      <c r="G9" s="334"/>
      <c r="H9" s="334"/>
      <c r="I9" s="334"/>
      <c r="J9" s="334"/>
      <c r="K9" s="334"/>
      <c r="L9" s="334"/>
      <c r="M9" s="331"/>
      <c r="N9" s="331"/>
      <c r="O9" s="331"/>
      <c r="P9" s="331"/>
      <c r="Q9" s="331"/>
      <c r="R9" s="331"/>
      <c r="S9" s="331"/>
      <c r="T9" s="331"/>
      <c r="U9" s="331"/>
      <c r="V9" s="331"/>
      <c r="W9" s="331"/>
      <c r="X9" s="331"/>
      <c r="Y9" s="332"/>
      <c r="Z9" s="332"/>
      <c r="AA9" s="332"/>
      <c r="AB9" s="332"/>
    </row>
    <row r="10" spans="1:39" ht="13.5" x14ac:dyDescent="0.3">
      <c r="B10" s="340"/>
      <c r="D10" s="838" t="s">
        <v>1665</v>
      </c>
      <c r="E10" s="838"/>
      <c r="F10" s="838"/>
      <c r="G10" s="838"/>
      <c r="H10" s="839" t="s">
        <v>1666</v>
      </c>
      <c r="I10" s="840"/>
      <c r="J10" s="840"/>
      <c r="K10" s="841"/>
      <c r="L10" s="341" t="s">
        <v>1667</v>
      </c>
      <c r="M10" s="331"/>
      <c r="N10" s="331"/>
      <c r="O10" s="331"/>
      <c r="P10" s="331"/>
      <c r="Q10" s="331"/>
      <c r="R10" s="331"/>
      <c r="S10" s="331"/>
      <c r="T10" s="331"/>
      <c r="U10" s="331"/>
      <c r="V10" s="331"/>
      <c r="W10" s="331"/>
      <c r="X10" s="331"/>
      <c r="Y10" s="332"/>
      <c r="Z10" s="332"/>
      <c r="AA10" s="332"/>
      <c r="AB10" s="332"/>
    </row>
    <row r="11" spans="1:39" ht="13.5" x14ac:dyDescent="0.3">
      <c r="A11" s="342" t="s">
        <v>1668</v>
      </c>
      <c r="B11" s="842" t="s">
        <v>1669</v>
      </c>
      <c r="C11" s="842"/>
      <c r="D11" s="343">
        <v>1</v>
      </c>
      <c r="E11" s="343">
        <v>2</v>
      </c>
      <c r="F11" s="343">
        <v>3</v>
      </c>
      <c r="G11" s="344">
        <v>4</v>
      </c>
      <c r="H11" s="345" t="s">
        <v>1670</v>
      </c>
      <c r="I11" s="345" t="s">
        <v>1671</v>
      </c>
      <c r="J11" s="345" t="s">
        <v>1672</v>
      </c>
      <c r="K11" s="345" t="s">
        <v>1673</v>
      </c>
      <c r="L11" s="342" t="s">
        <v>1674</v>
      </c>
      <c r="M11" s="346" t="s">
        <v>1675</v>
      </c>
      <c r="N11" s="346" t="s">
        <v>1676</v>
      </c>
      <c r="O11" s="843" t="s">
        <v>1677</v>
      </c>
      <c r="P11" s="843"/>
      <c r="Q11" s="843"/>
      <c r="R11" s="843"/>
      <c r="S11" s="844"/>
      <c r="T11" s="843" t="s">
        <v>1666</v>
      </c>
      <c r="U11" s="843"/>
      <c r="V11" s="843"/>
      <c r="W11" s="843"/>
      <c r="X11" s="843"/>
      <c r="Y11" s="332"/>
      <c r="Z11" s="332"/>
      <c r="AA11" s="332"/>
      <c r="AB11" s="332"/>
      <c r="AC11" s="347"/>
      <c r="AD11" s="347"/>
      <c r="AE11" s="347"/>
      <c r="AF11" s="347"/>
      <c r="AG11" s="347"/>
      <c r="AH11" s="347"/>
      <c r="AI11" s="347"/>
      <c r="AJ11" s="347"/>
      <c r="AK11" s="347"/>
      <c r="AL11" s="347"/>
      <c r="AM11" s="347"/>
    </row>
    <row r="12" spans="1:39" ht="13.5" x14ac:dyDescent="0.3">
      <c r="A12" s="348">
        <v>1</v>
      </c>
      <c r="B12" s="845" t="s">
        <v>1678</v>
      </c>
      <c r="C12" s="846"/>
      <c r="D12" s="349"/>
      <c r="E12" s="349"/>
      <c r="F12" s="349"/>
      <c r="G12" s="350" t="s">
        <v>1679</v>
      </c>
      <c r="H12" s="349"/>
      <c r="I12" s="349"/>
      <c r="J12" s="349" t="s">
        <v>1679</v>
      </c>
      <c r="K12" s="350"/>
      <c r="L12" s="351">
        <f t="shared" ref="L12:L18" si="0">IF($M$19=0,0,N12/$M$19)</f>
        <v>0.10526315789473684</v>
      </c>
      <c r="M12" s="346">
        <f t="shared" ref="M12:M18" si="1">+X12*10</f>
        <v>200</v>
      </c>
      <c r="N12" s="346">
        <f t="shared" ref="N12:N18" si="2">+S12*X12</f>
        <v>200</v>
      </c>
      <c r="O12" s="352">
        <f t="shared" ref="O12:O18" si="3">IF(D12="X",2.5,0)</f>
        <v>0</v>
      </c>
      <c r="P12" s="353">
        <f t="shared" ref="P12:P18" si="4">IF(E12="X",5,0)</f>
        <v>0</v>
      </c>
      <c r="Q12" s="353">
        <f t="shared" ref="Q12:Q18" si="5">IF(F12="X",7.5,0)</f>
        <v>0</v>
      </c>
      <c r="R12" s="353">
        <f t="shared" ref="R12:R18" si="6">IF(G12="X",10,0)</f>
        <v>10</v>
      </c>
      <c r="S12" s="354">
        <f t="shared" ref="S12:S18" si="7">SUM(O12:R12)</f>
        <v>10</v>
      </c>
      <c r="T12" s="352">
        <f t="shared" ref="T12:T18" si="8">IF(H12="X",0,0)</f>
        <v>0</v>
      </c>
      <c r="U12" s="353">
        <f t="shared" ref="U12:U18" si="9">IF(I12="X",10,0)</f>
        <v>0</v>
      </c>
      <c r="V12" s="353">
        <f t="shared" ref="V12:V18" si="10">IF(J12="X",20,0)</f>
        <v>20</v>
      </c>
      <c r="W12" s="353">
        <f t="shared" ref="W12:W18" si="11">IF(K12="X",30,0)</f>
        <v>0</v>
      </c>
      <c r="X12" s="354">
        <f t="shared" ref="X12:X18" si="12">SUM(U12:W12)</f>
        <v>20</v>
      </c>
      <c r="Y12" s="332"/>
      <c r="Z12" s="332"/>
      <c r="AA12" s="332"/>
      <c r="AB12" s="332"/>
      <c r="AC12" s="347"/>
      <c r="AD12" s="347"/>
      <c r="AE12" s="347"/>
      <c r="AF12" s="347"/>
      <c r="AG12" s="347"/>
      <c r="AH12" s="347"/>
      <c r="AI12" s="347"/>
      <c r="AJ12" s="347"/>
      <c r="AK12" s="347"/>
      <c r="AL12" s="347"/>
      <c r="AM12" s="347"/>
    </row>
    <row r="13" spans="1:39" ht="13.5" x14ac:dyDescent="0.3">
      <c r="A13" s="355">
        <v>2</v>
      </c>
      <c r="B13" s="828" t="s">
        <v>1680</v>
      </c>
      <c r="C13" s="829"/>
      <c r="D13" s="356"/>
      <c r="E13" s="356"/>
      <c r="F13" s="356"/>
      <c r="G13" s="357" t="s">
        <v>1679</v>
      </c>
      <c r="H13" s="356"/>
      <c r="I13" s="356"/>
      <c r="J13" s="356"/>
      <c r="K13" s="356" t="s">
        <v>1679</v>
      </c>
      <c r="L13" s="358">
        <f t="shared" si="0"/>
        <v>0.15789473684210525</v>
      </c>
      <c r="M13" s="346">
        <f t="shared" si="1"/>
        <v>300</v>
      </c>
      <c r="N13" s="346">
        <f t="shared" si="2"/>
        <v>300</v>
      </c>
      <c r="O13" s="359">
        <f t="shared" si="3"/>
        <v>0</v>
      </c>
      <c r="P13" s="331">
        <f t="shared" si="4"/>
        <v>0</v>
      </c>
      <c r="Q13" s="331">
        <f t="shared" si="5"/>
        <v>0</v>
      </c>
      <c r="R13" s="331">
        <f t="shared" si="6"/>
        <v>10</v>
      </c>
      <c r="S13" s="360">
        <f t="shared" si="7"/>
        <v>10</v>
      </c>
      <c r="T13" s="359">
        <f t="shared" si="8"/>
        <v>0</v>
      </c>
      <c r="U13" s="331">
        <f t="shared" si="9"/>
        <v>0</v>
      </c>
      <c r="V13" s="331">
        <f t="shared" si="10"/>
        <v>0</v>
      </c>
      <c r="W13" s="331">
        <f t="shared" si="11"/>
        <v>30</v>
      </c>
      <c r="X13" s="360">
        <f t="shared" si="12"/>
        <v>30</v>
      </c>
      <c r="Y13" s="332"/>
      <c r="Z13" s="332"/>
      <c r="AA13" s="332"/>
      <c r="AB13" s="332"/>
      <c r="AC13" s="347"/>
      <c r="AD13" s="347"/>
      <c r="AE13" s="347"/>
      <c r="AF13" s="347"/>
      <c r="AG13" s="347"/>
      <c r="AH13" s="347"/>
      <c r="AI13" s="347"/>
      <c r="AJ13" s="347"/>
      <c r="AK13" s="347"/>
      <c r="AL13" s="347"/>
      <c r="AM13" s="347"/>
    </row>
    <row r="14" spans="1:39" ht="13.5" x14ac:dyDescent="0.3">
      <c r="A14" s="355">
        <v>3</v>
      </c>
      <c r="B14" s="828" t="s">
        <v>1681</v>
      </c>
      <c r="C14" s="829"/>
      <c r="D14" s="356"/>
      <c r="E14" s="357"/>
      <c r="F14" s="357"/>
      <c r="G14" s="357" t="s">
        <v>1679</v>
      </c>
      <c r="H14" s="356"/>
      <c r="I14" s="356"/>
      <c r="J14" s="356"/>
      <c r="K14" s="357" t="s">
        <v>1679</v>
      </c>
      <c r="L14" s="358">
        <f t="shared" si="0"/>
        <v>0.15789473684210525</v>
      </c>
      <c r="M14" s="346">
        <f t="shared" si="1"/>
        <v>300</v>
      </c>
      <c r="N14" s="346">
        <f t="shared" si="2"/>
        <v>300</v>
      </c>
      <c r="O14" s="359">
        <f t="shared" si="3"/>
        <v>0</v>
      </c>
      <c r="P14" s="331">
        <f t="shared" si="4"/>
        <v>0</v>
      </c>
      <c r="Q14" s="331">
        <f t="shared" si="5"/>
        <v>0</v>
      </c>
      <c r="R14" s="331">
        <f t="shared" si="6"/>
        <v>10</v>
      </c>
      <c r="S14" s="360">
        <f t="shared" si="7"/>
        <v>10</v>
      </c>
      <c r="T14" s="359">
        <f t="shared" si="8"/>
        <v>0</v>
      </c>
      <c r="U14" s="331">
        <f t="shared" si="9"/>
        <v>0</v>
      </c>
      <c r="V14" s="331">
        <f t="shared" si="10"/>
        <v>0</v>
      </c>
      <c r="W14" s="331">
        <f t="shared" si="11"/>
        <v>30</v>
      </c>
      <c r="X14" s="360">
        <f t="shared" si="12"/>
        <v>30</v>
      </c>
      <c r="Y14" s="332"/>
      <c r="Z14" s="332"/>
      <c r="AA14" s="332"/>
      <c r="AB14" s="332"/>
      <c r="AC14" s="347"/>
      <c r="AD14" s="347"/>
      <c r="AE14" s="347"/>
      <c r="AF14" s="347"/>
      <c r="AG14" s="347"/>
      <c r="AH14" s="347"/>
      <c r="AI14" s="347"/>
      <c r="AJ14" s="347"/>
      <c r="AK14" s="347"/>
      <c r="AL14" s="347"/>
      <c r="AM14" s="347"/>
    </row>
    <row r="15" spans="1:39" ht="13.5" x14ac:dyDescent="0.3">
      <c r="A15" s="355">
        <v>4</v>
      </c>
      <c r="B15" s="828" t="s">
        <v>1682</v>
      </c>
      <c r="C15" s="829"/>
      <c r="D15" s="356"/>
      <c r="E15" s="356"/>
      <c r="F15" s="356"/>
      <c r="G15" s="357" t="s">
        <v>1679</v>
      </c>
      <c r="H15" s="356"/>
      <c r="I15" s="356"/>
      <c r="J15" s="356"/>
      <c r="K15" s="357" t="s">
        <v>1679</v>
      </c>
      <c r="L15" s="358">
        <f t="shared" si="0"/>
        <v>0.15789473684210525</v>
      </c>
      <c r="M15" s="346">
        <f t="shared" si="1"/>
        <v>300</v>
      </c>
      <c r="N15" s="346">
        <f t="shared" si="2"/>
        <v>300</v>
      </c>
      <c r="O15" s="359">
        <f t="shared" si="3"/>
        <v>0</v>
      </c>
      <c r="P15" s="331">
        <f t="shared" si="4"/>
        <v>0</v>
      </c>
      <c r="Q15" s="331">
        <f t="shared" si="5"/>
        <v>0</v>
      </c>
      <c r="R15" s="331">
        <f t="shared" si="6"/>
        <v>10</v>
      </c>
      <c r="S15" s="360">
        <f t="shared" si="7"/>
        <v>10</v>
      </c>
      <c r="T15" s="359">
        <f t="shared" si="8"/>
        <v>0</v>
      </c>
      <c r="U15" s="331">
        <f t="shared" si="9"/>
        <v>0</v>
      </c>
      <c r="V15" s="331">
        <f t="shared" si="10"/>
        <v>0</v>
      </c>
      <c r="W15" s="331">
        <f t="shared" si="11"/>
        <v>30</v>
      </c>
      <c r="X15" s="360">
        <f t="shared" si="12"/>
        <v>30</v>
      </c>
      <c r="Y15" s="332"/>
      <c r="Z15" s="332"/>
      <c r="AA15" s="332"/>
      <c r="AB15" s="332"/>
      <c r="AC15" s="347"/>
      <c r="AD15" s="347"/>
      <c r="AE15" s="347"/>
      <c r="AF15" s="347"/>
      <c r="AG15" s="347"/>
      <c r="AH15" s="347"/>
      <c r="AI15" s="347"/>
      <c r="AJ15" s="347"/>
      <c r="AK15" s="347"/>
      <c r="AL15" s="347"/>
      <c r="AM15" s="347"/>
    </row>
    <row r="16" spans="1:39" ht="13.5" x14ac:dyDescent="0.3">
      <c r="A16" s="355">
        <v>5</v>
      </c>
      <c r="B16" s="828" t="s">
        <v>1586</v>
      </c>
      <c r="C16" s="829"/>
      <c r="D16" s="356"/>
      <c r="E16" s="356"/>
      <c r="F16" s="356"/>
      <c r="G16" s="357" t="s">
        <v>1679</v>
      </c>
      <c r="H16" s="356"/>
      <c r="I16" s="356"/>
      <c r="J16" s="356" t="s">
        <v>1679</v>
      </c>
      <c r="K16" s="357"/>
      <c r="L16" s="358">
        <f t="shared" si="0"/>
        <v>0.10526315789473684</v>
      </c>
      <c r="M16" s="346">
        <f t="shared" si="1"/>
        <v>200</v>
      </c>
      <c r="N16" s="346">
        <f t="shared" si="2"/>
        <v>200</v>
      </c>
      <c r="O16" s="359">
        <f t="shared" si="3"/>
        <v>0</v>
      </c>
      <c r="P16" s="331">
        <f t="shared" si="4"/>
        <v>0</v>
      </c>
      <c r="Q16" s="331">
        <f t="shared" si="5"/>
        <v>0</v>
      </c>
      <c r="R16" s="331">
        <f t="shared" si="6"/>
        <v>10</v>
      </c>
      <c r="S16" s="360">
        <f t="shared" si="7"/>
        <v>10</v>
      </c>
      <c r="T16" s="359">
        <f t="shared" si="8"/>
        <v>0</v>
      </c>
      <c r="U16" s="331">
        <f t="shared" si="9"/>
        <v>0</v>
      </c>
      <c r="V16" s="331">
        <f t="shared" si="10"/>
        <v>20</v>
      </c>
      <c r="W16" s="331">
        <f t="shared" si="11"/>
        <v>0</v>
      </c>
      <c r="X16" s="360">
        <f t="shared" si="12"/>
        <v>20</v>
      </c>
      <c r="Y16" s="332"/>
      <c r="Z16" s="332"/>
      <c r="AA16" s="332"/>
      <c r="AB16" s="332"/>
      <c r="AC16" s="347"/>
      <c r="AD16" s="347"/>
      <c r="AE16" s="347"/>
      <c r="AF16" s="347"/>
      <c r="AG16" s="347"/>
      <c r="AH16" s="347"/>
      <c r="AI16" s="347"/>
      <c r="AJ16" s="347"/>
      <c r="AK16" s="347"/>
      <c r="AL16" s="347"/>
      <c r="AM16" s="347"/>
    </row>
    <row r="17" spans="1:39" ht="13.5" x14ac:dyDescent="0.3">
      <c r="A17" s="355">
        <v>6</v>
      </c>
      <c r="B17" s="847" t="s">
        <v>1683</v>
      </c>
      <c r="C17" s="847"/>
      <c r="D17" s="356"/>
      <c r="E17" s="356"/>
      <c r="F17" s="356"/>
      <c r="G17" s="357" t="s">
        <v>1679</v>
      </c>
      <c r="H17" s="356"/>
      <c r="I17" s="356"/>
      <c r="J17" s="356"/>
      <c r="K17" s="361" t="s">
        <v>1679</v>
      </c>
      <c r="L17" s="358">
        <f t="shared" si="0"/>
        <v>0.15789473684210525</v>
      </c>
      <c r="M17" s="346">
        <f t="shared" si="1"/>
        <v>300</v>
      </c>
      <c r="N17" s="346">
        <f t="shared" si="2"/>
        <v>300</v>
      </c>
      <c r="O17" s="359">
        <f t="shared" si="3"/>
        <v>0</v>
      </c>
      <c r="P17" s="331">
        <f t="shared" si="4"/>
        <v>0</v>
      </c>
      <c r="Q17" s="331">
        <f t="shared" si="5"/>
        <v>0</v>
      </c>
      <c r="R17" s="331">
        <f t="shared" si="6"/>
        <v>10</v>
      </c>
      <c r="S17" s="360">
        <f t="shared" si="7"/>
        <v>10</v>
      </c>
      <c r="T17" s="359">
        <f t="shared" si="8"/>
        <v>0</v>
      </c>
      <c r="U17" s="331">
        <f t="shared" si="9"/>
        <v>0</v>
      </c>
      <c r="V17" s="331">
        <f t="shared" si="10"/>
        <v>0</v>
      </c>
      <c r="W17" s="331">
        <f t="shared" si="11"/>
        <v>30</v>
      </c>
      <c r="X17" s="360">
        <f t="shared" si="12"/>
        <v>30</v>
      </c>
      <c r="Y17" s="332"/>
      <c r="Z17" s="332"/>
      <c r="AA17" s="332"/>
      <c r="AB17" s="332"/>
      <c r="AC17" s="347"/>
      <c r="AD17" s="347"/>
      <c r="AE17" s="347"/>
      <c r="AF17" s="347"/>
      <c r="AG17" s="347"/>
      <c r="AH17" s="347"/>
      <c r="AI17" s="347"/>
      <c r="AJ17" s="347"/>
      <c r="AK17" s="347"/>
      <c r="AL17" s="347"/>
      <c r="AM17" s="347"/>
    </row>
    <row r="18" spans="1:39" ht="13.5" x14ac:dyDescent="0.3">
      <c r="A18" s="362">
        <v>7</v>
      </c>
      <c r="B18" s="848" t="s">
        <v>1684</v>
      </c>
      <c r="C18" s="848"/>
      <c r="D18" s="361"/>
      <c r="E18" s="361"/>
      <c r="F18" s="361"/>
      <c r="G18" s="357" t="s">
        <v>1679</v>
      </c>
      <c r="H18" s="361"/>
      <c r="I18" s="361"/>
      <c r="J18" s="361"/>
      <c r="K18" s="361" t="s">
        <v>1679</v>
      </c>
      <c r="L18" s="363">
        <f t="shared" si="0"/>
        <v>0.15789473684210525</v>
      </c>
      <c r="M18" s="346">
        <f t="shared" si="1"/>
        <v>300</v>
      </c>
      <c r="N18" s="346">
        <f t="shared" si="2"/>
        <v>300</v>
      </c>
      <c r="O18" s="364">
        <f t="shared" si="3"/>
        <v>0</v>
      </c>
      <c r="P18" s="365">
        <f t="shared" si="4"/>
        <v>0</v>
      </c>
      <c r="Q18" s="365">
        <f t="shared" si="5"/>
        <v>0</v>
      </c>
      <c r="R18" s="365">
        <f t="shared" si="6"/>
        <v>10</v>
      </c>
      <c r="S18" s="366">
        <f t="shared" si="7"/>
        <v>10</v>
      </c>
      <c r="T18" s="364">
        <f t="shared" si="8"/>
        <v>0</v>
      </c>
      <c r="U18" s="365">
        <f t="shared" si="9"/>
        <v>0</v>
      </c>
      <c r="V18" s="365">
        <f t="shared" si="10"/>
        <v>0</v>
      </c>
      <c r="W18" s="365">
        <f t="shared" si="11"/>
        <v>30</v>
      </c>
      <c r="X18" s="366">
        <f t="shared" si="12"/>
        <v>30</v>
      </c>
      <c r="Y18" s="332"/>
      <c r="Z18" s="332"/>
      <c r="AA18" s="332"/>
      <c r="AB18" s="332"/>
      <c r="AC18" s="347"/>
      <c r="AD18" s="347"/>
      <c r="AE18" s="347"/>
      <c r="AF18" s="347"/>
      <c r="AG18" s="347"/>
      <c r="AH18" s="347"/>
      <c r="AI18" s="347"/>
      <c r="AJ18" s="347"/>
      <c r="AK18" s="347"/>
      <c r="AL18" s="347"/>
      <c r="AM18" s="347"/>
    </row>
    <row r="19" spans="1:39" ht="14.25" thickBot="1" x14ac:dyDescent="0.35">
      <c r="L19" s="367">
        <f>SUM(L12:L18)</f>
        <v>1</v>
      </c>
      <c r="M19" s="346">
        <f>SUM(M12:M18)</f>
        <v>1900</v>
      </c>
      <c r="N19" s="346">
        <f>SUM(N12:N18)</f>
        <v>1900</v>
      </c>
      <c r="O19" s="331"/>
      <c r="P19" s="331"/>
      <c r="Q19" s="331"/>
      <c r="R19" s="331"/>
      <c r="S19" s="331"/>
      <c r="T19" s="331"/>
      <c r="U19" s="331"/>
      <c r="V19" s="331"/>
      <c r="W19" s="331"/>
      <c r="X19" s="331"/>
      <c r="Y19" s="332"/>
      <c r="Z19" s="332"/>
      <c r="AA19" s="332"/>
      <c r="AB19" s="332"/>
      <c r="AC19" s="347"/>
      <c r="AD19" s="347"/>
      <c r="AE19" s="347"/>
      <c r="AF19" s="347"/>
      <c r="AG19" s="347"/>
      <c r="AH19" s="347"/>
      <c r="AI19" s="347"/>
      <c r="AJ19" s="347"/>
      <c r="AK19" s="347"/>
      <c r="AL19" s="347"/>
      <c r="AM19" s="347"/>
    </row>
    <row r="20" spans="1:39" x14ac:dyDescent="0.25">
      <c r="B20" s="332"/>
      <c r="C20" s="332"/>
      <c r="D20" s="332"/>
      <c r="E20" s="332"/>
      <c r="F20" s="332"/>
      <c r="G20" s="332"/>
      <c r="H20" s="332"/>
      <c r="I20" s="332"/>
      <c r="J20" s="332"/>
      <c r="K20" s="332"/>
      <c r="L20" s="332"/>
      <c r="M20" s="331"/>
      <c r="N20" s="331">
        <f>IF($L$19&gt;85%,5,0)</f>
        <v>5</v>
      </c>
      <c r="O20" s="331">
        <f>IF($L$19&lt;=85%,2,0)</f>
        <v>0</v>
      </c>
      <c r="P20" s="331">
        <f>IF($L$19&gt;70%,2,0)</f>
        <v>2</v>
      </c>
      <c r="Q20" s="331">
        <f>IF($L$19&lt;=70%,3,0)</f>
        <v>0</v>
      </c>
      <c r="R20" s="331">
        <f>IF($L$19&gt;45%,1,0)</f>
        <v>1</v>
      </c>
      <c r="S20" s="331">
        <f>IF($L$19&lt;=45%,1,0)</f>
        <v>0</v>
      </c>
      <c r="T20" s="331"/>
      <c r="U20" s="331">
        <f>IF($L$19&gt;0%,2,0)</f>
        <v>2</v>
      </c>
      <c r="V20" s="331"/>
      <c r="W20" s="331"/>
      <c r="X20" s="331"/>
      <c r="Y20" s="332"/>
      <c r="Z20" s="332"/>
      <c r="AA20" s="332"/>
      <c r="AB20" s="332"/>
      <c r="AC20" s="347"/>
      <c r="AD20" s="347"/>
      <c r="AE20" s="347"/>
      <c r="AF20" s="347"/>
      <c r="AG20" s="347"/>
      <c r="AH20" s="347"/>
      <c r="AI20" s="347"/>
      <c r="AJ20" s="347"/>
      <c r="AK20" s="347"/>
      <c r="AL20" s="347"/>
      <c r="AM20" s="347"/>
    </row>
    <row r="21" spans="1:39" ht="12.75" customHeight="1" x14ac:dyDescent="0.3">
      <c r="A21" s="849" t="s">
        <v>1685</v>
      </c>
      <c r="B21" s="849"/>
      <c r="C21" s="368">
        <f>+L19</f>
        <v>1</v>
      </c>
      <c r="E21" s="850" t="str">
        <f>+IF(L19&gt;=0.86,"A",IF(AND(L19&lt;0.86,L19&gt;=0.71),"B",IF(AND(L19&lt;0.71,L19&gt;=0.46),"C",IF(AND(L19&lt;0.46,L19&gt;0),"No califica",IF(L19=0,"No evaluado",)))))</f>
        <v>A</v>
      </c>
      <c r="F21" s="850"/>
      <c r="H21" s="854" t="s">
        <v>1686</v>
      </c>
      <c r="I21" s="854"/>
      <c r="J21" s="854"/>
      <c r="K21" s="854"/>
      <c r="L21" s="369" t="str">
        <f>+IF(E21="A","Excelente",IF(E21="B","Muy Bueno",IF(E21="C","Bueno a regular",IF(E21="No evaluado","","No califica"))))</f>
        <v>Excelente</v>
      </c>
      <c r="M21" s="331"/>
      <c r="N21" s="331">
        <f>+N20</f>
        <v>5</v>
      </c>
      <c r="O21" s="851">
        <f>+O20*P20</f>
        <v>0</v>
      </c>
      <c r="P21" s="851"/>
      <c r="Q21" s="851">
        <f>+Q20*R20</f>
        <v>0</v>
      </c>
      <c r="R21" s="851"/>
      <c r="S21" s="851">
        <f>+S20*U20</f>
        <v>0</v>
      </c>
      <c r="T21" s="851"/>
      <c r="U21" s="851"/>
      <c r="V21" s="331">
        <f>SUM(N21:U21)</f>
        <v>5</v>
      </c>
      <c r="W21" s="331"/>
      <c r="X21" s="331"/>
      <c r="Y21" s="332"/>
      <c r="Z21" s="332"/>
      <c r="AA21" s="332"/>
      <c r="AB21" s="332"/>
    </row>
    <row r="22" spans="1:39" ht="12" customHeight="1" x14ac:dyDescent="0.3">
      <c r="B22" s="370"/>
      <c r="C22" s="332"/>
      <c r="D22" s="332"/>
      <c r="E22" s="332"/>
      <c r="F22" s="332"/>
      <c r="H22" s="371"/>
      <c r="I22" s="371"/>
      <c r="J22" s="372"/>
      <c r="K22" s="373"/>
      <c r="L22" s="374"/>
      <c r="M22" s="331"/>
      <c r="N22" s="331"/>
      <c r="O22" s="331"/>
      <c r="P22" s="331"/>
      <c r="Q22" s="331"/>
      <c r="R22" s="331"/>
      <c r="S22" s="331"/>
      <c r="T22" s="331"/>
      <c r="U22" s="331"/>
      <c r="V22" s="331"/>
      <c r="W22" s="331"/>
      <c r="X22" s="331"/>
      <c r="Y22" s="332"/>
      <c r="Z22" s="332"/>
      <c r="AA22" s="332"/>
      <c r="AB22" s="332"/>
    </row>
    <row r="23" spans="1:39" ht="12.75" customHeight="1" x14ac:dyDescent="0.25">
      <c r="A23" s="852" t="s">
        <v>1687</v>
      </c>
      <c r="B23" s="852"/>
      <c r="C23" s="853" t="s">
        <v>486</v>
      </c>
      <c r="D23" s="853"/>
      <c r="E23" s="853"/>
      <c r="F23" s="853"/>
      <c r="H23" s="854" t="s">
        <v>1689</v>
      </c>
      <c r="I23" s="854"/>
      <c r="J23" s="854"/>
      <c r="K23" s="854"/>
      <c r="L23" s="375">
        <v>43313</v>
      </c>
      <c r="M23" s="331"/>
      <c r="N23" s="331"/>
      <c r="O23" s="331"/>
      <c r="P23" s="331"/>
      <c r="Q23" s="331"/>
      <c r="R23" s="331"/>
      <c r="S23" s="331"/>
      <c r="T23" s="331"/>
      <c r="U23" s="331"/>
      <c r="V23" s="331"/>
      <c r="W23" s="331"/>
      <c r="X23" s="331"/>
      <c r="Y23" s="332"/>
      <c r="Z23" s="332"/>
      <c r="AA23" s="332"/>
      <c r="AB23" s="332"/>
    </row>
    <row r="24" spans="1:39" ht="9" customHeight="1" thickBot="1" x14ac:dyDescent="0.3">
      <c r="B24" s="332"/>
      <c r="C24" s="332"/>
      <c r="D24" s="332"/>
      <c r="E24" s="332"/>
      <c r="F24" s="332"/>
      <c r="G24" s="332"/>
      <c r="H24" s="332"/>
      <c r="I24" s="332"/>
      <c r="M24" s="331"/>
      <c r="N24" s="331"/>
      <c r="O24" s="331"/>
      <c r="P24" s="331"/>
      <c r="Q24" s="331"/>
      <c r="R24" s="331"/>
      <c r="S24" s="331"/>
      <c r="T24" s="331"/>
      <c r="U24" s="331"/>
      <c r="V24" s="331"/>
      <c r="W24" s="331"/>
      <c r="X24" s="331"/>
      <c r="Y24" s="332"/>
      <c r="Z24" s="332"/>
      <c r="AA24" s="332"/>
      <c r="AB24" s="332"/>
    </row>
    <row r="25" spans="1:39" s="376" customFormat="1" ht="14.25" customHeight="1" thickBot="1" x14ac:dyDescent="0.25">
      <c r="A25" s="855" t="s">
        <v>1690</v>
      </c>
      <c r="B25" s="856"/>
      <c r="C25" s="856"/>
      <c r="D25" s="856"/>
      <c r="E25" s="856"/>
      <c r="F25" s="856"/>
      <c r="G25" s="856"/>
      <c r="H25" s="856"/>
      <c r="I25" s="856"/>
      <c r="J25" s="856"/>
      <c r="K25" s="856"/>
      <c r="L25" s="857"/>
      <c r="M25" s="337"/>
      <c r="N25" s="337"/>
      <c r="O25" s="337"/>
      <c r="P25" s="337"/>
      <c r="Q25" s="337"/>
      <c r="R25" s="337"/>
      <c r="S25" s="337"/>
      <c r="T25" s="337"/>
      <c r="U25" s="337"/>
      <c r="V25" s="337"/>
      <c r="W25" s="337"/>
      <c r="X25" s="337"/>
      <c r="Y25" s="337"/>
      <c r="Z25" s="337"/>
      <c r="AA25" s="337"/>
      <c r="AB25" s="337"/>
    </row>
    <row r="26" spans="1:39" ht="6.75" customHeight="1" x14ac:dyDescent="0.3">
      <c r="B26" s="340"/>
      <c r="D26" s="334"/>
      <c r="E26" s="334"/>
      <c r="F26" s="334"/>
      <c r="G26" s="334"/>
      <c r="H26" s="334"/>
      <c r="I26" s="334"/>
      <c r="J26" s="334"/>
      <c r="K26" s="334"/>
      <c r="L26" s="334"/>
      <c r="M26" s="331"/>
      <c r="N26" s="331"/>
      <c r="O26" s="331"/>
      <c r="P26" s="331"/>
      <c r="Q26" s="331"/>
      <c r="R26" s="331"/>
      <c r="S26" s="331"/>
      <c r="T26" s="331"/>
      <c r="U26" s="331"/>
      <c r="V26" s="331"/>
      <c r="W26" s="331"/>
      <c r="X26" s="331"/>
      <c r="Y26" s="332"/>
      <c r="Z26" s="332"/>
      <c r="AA26" s="332"/>
      <c r="AB26" s="332"/>
    </row>
    <row r="27" spans="1:39" ht="13.5" x14ac:dyDescent="0.3">
      <c r="B27" s="340"/>
      <c r="D27" s="858" t="s">
        <v>1665</v>
      </c>
      <c r="E27" s="858"/>
      <c r="F27" s="858"/>
      <c r="G27" s="858"/>
      <c r="H27" s="859" t="s">
        <v>1666</v>
      </c>
      <c r="I27" s="860"/>
      <c r="J27" s="860"/>
      <c r="K27" s="861"/>
      <c r="L27" s="341" t="s">
        <v>1667</v>
      </c>
      <c r="M27" s="331"/>
      <c r="N27" s="331"/>
      <c r="O27" s="331"/>
      <c r="P27" s="331"/>
      <c r="Q27" s="331"/>
      <c r="R27" s="331"/>
      <c r="S27" s="331"/>
      <c r="T27" s="331"/>
      <c r="U27" s="331"/>
      <c r="V27" s="331"/>
      <c r="W27" s="331"/>
      <c r="X27" s="331"/>
      <c r="Y27" s="332"/>
      <c r="Z27" s="332"/>
      <c r="AA27" s="332"/>
      <c r="AB27" s="332"/>
    </row>
    <row r="28" spans="1:39" ht="13.5" x14ac:dyDescent="0.3">
      <c r="A28" s="342" t="s">
        <v>1668</v>
      </c>
      <c r="B28" s="842" t="s">
        <v>1669</v>
      </c>
      <c r="C28" s="842"/>
      <c r="D28" s="343">
        <v>1</v>
      </c>
      <c r="E28" s="343">
        <v>2</v>
      </c>
      <c r="F28" s="343">
        <v>3</v>
      </c>
      <c r="G28" s="344">
        <v>4</v>
      </c>
      <c r="H28" s="345" t="s">
        <v>1670</v>
      </c>
      <c r="I28" s="345" t="s">
        <v>1671</v>
      </c>
      <c r="J28" s="345" t="s">
        <v>1672</v>
      </c>
      <c r="K28" s="345" t="s">
        <v>1673</v>
      </c>
      <c r="L28" s="342" t="s">
        <v>1674</v>
      </c>
      <c r="M28" s="346" t="s">
        <v>1675</v>
      </c>
      <c r="N28" s="346" t="s">
        <v>1676</v>
      </c>
      <c r="O28" s="843" t="s">
        <v>1677</v>
      </c>
      <c r="P28" s="843"/>
      <c r="Q28" s="843"/>
      <c r="R28" s="843"/>
      <c r="S28" s="844"/>
      <c r="T28" s="843" t="s">
        <v>1666</v>
      </c>
      <c r="U28" s="843"/>
      <c r="V28" s="843"/>
      <c r="W28" s="843"/>
      <c r="X28" s="843"/>
      <c r="Y28" s="332"/>
      <c r="Z28" s="332"/>
      <c r="AA28" s="332"/>
      <c r="AB28" s="332"/>
      <c r="AC28" s="347"/>
      <c r="AD28" s="347"/>
      <c r="AE28" s="347"/>
      <c r="AF28" s="347"/>
      <c r="AG28" s="347"/>
      <c r="AH28" s="347"/>
      <c r="AI28" s="347"/>
      <c r="AJ28" s="347"/>
      <c r="AK28" s="347"/>
      <c r="AL28" s="347"/>
      <c r="AM28" s="347"/>
    </row>
    <row r="29" spans="1:39" ht="13.5" x14ac:dyDescent="0.3">
      <c r="A29" s="348">
        <v>1</v>
      </c>
      <c r="B29" s="845" t="s">
        <v>1691</v>
      </c>
      <c r="C29" s="862"/>
      <c r="D29" s="349"/>
      <c r="E29" s="349"/>
      <c r="F29" s="349"/>
      <c r="G29" s="350" t="s">
        <v>1679</v>
      </c>
      <c r="H29" s="349"/>
      <c r="I29" s="349"/>
      <c r="J29" s="349"/>
      <c r="K29" s="350" t="s">
        <v>1679</v>
      </c>
      <c r="L29" s="351">
        <f t="shared" ref="L29:L43" si="13">IF($M$44=0,0,N29/$M$44)</f>
        <v>7.3170731707317069E-2</v>
      </c>
      <c r="M29" s="346">
        <f t="shared" ref="M29:M43" si="14">+X29*10</f>
        <v>300</v>
      </c>
      <c r="N29" s="346">
        <f t="shared" ref="N29:N43" si="15">+S29*X29</f>
        <v>300</v>
      </c>
      <c r="O29" s="359">
        <f t="shared" ref="O29:O44" si="16">IF(D29="X",2.5,0)</f>
        <v>0</v>
      </c>
      <c r="P29" s="331">
        <f t="shared" ref="P29:P44" si="17">IF(E29="X",5,0)</f>
        <v>0</v>
      </c>
      <c r="Q29" s="331">
        <f t="shared" ref="Q29:Q44" si="18">IF(F29="X",7.5,0)</f>
        <v>0</v>
      </c>
      <c r="R29" s="331">
        <f t="shared" ref="R29:R44" si="19">IF(G29="X",10,0)</f>
        <v>10</v>
      </c>
      <c r="S29" s="346">
        <f t="shared" ref="S29:S44" si="20">SUM(O29:R29)</f>
        <v>10</v>
      </c>
      <c r="T29" s="359">
        <f t="shared" ref="T29:T44" si="21">IF(H29="X",0,0)</f>
        <v>0</v>
      </c>
      <c r="U29" s="331">
        <f t="shared" ref="U29:U44" si="22">IF(I29="X",10,0)</f>
        <v>0</v>
      </c>
      <c r="V29" s="331">
        <f t="shared" ref="V29:V44" si="23">IF(J29="X",20,0)</f>
        <v>0</v>
      </c>
      <c r="W29" s="331">
        <f t="shared" ref="W29:W44" si="24">IF(K29="X",30,0)</f>
        <v>30</v>
      </c>
      <c r="X29" s="377">
        <f t="shared" ref="X29:X44" si="25">SUM(U29:W29)</f>
        <v>30</v>
      </c>
      <c r="Y29" s="332"/>
      <c r="Z29" s="332"/>
      <c r="AA29" s="332"/>
      <c r="AB29" s="332"/>
      <c r="AC29" s="347"/>
      <c r="AD29" s="347"/>
      <c r="AE29" s="347"/>
      <c r="AF29" s="347"/>
      <c r="AG29" s="347"/>
      <c r="AH29" s="347"/>
      <c r="AI29" s="347"/>
      <c r="AJ29" s="347"/>
      <c r="AK29" s="347"/>
      <c r="AL29" s="347"/>
      <c r="AM29" s="347"/>
    </row>
    <row r="30" spans="1:39" ht="13.5" x14ac:dyDescent="0.3">
      <c r="A30" s="355">
        <v>2</v>
      </c>
      <c r="B30" s="828" t="s">
        <v>1692</v>
      </c>
      <c r="C30" s="829"/>
      <c r="D30" s="356"/>
      <c r="E30" s="356"/>
      <c r="F30" s="356"/>
      <c r="G30" s="357" t="s">
        <v>1679</v>
      </c>
      <c r="H30" s="356"/>
      <c r="I30" s="356"/>
      <c r="J30" s="356"/>
      <c r="K30" s="357" t="s">
        <v>1679</v>
      </c>
      <c r="L30" s="358">
        <f t="shared" si="13"/>
        <v>7.3170731707317069E-2</v>
      </c>
      <c r="M30" s="346">
        <f t="shared" si="14"/>
        <v>300</v>
      </c>
      <c r="N30" s="346">
        <f t="shared" si="15"/>
        <v>300</v>
      </c>
      <c r="O30" s="359">
        <f t="shared" si="16"/>
        <v>0</v>
      </c>
      <c r="P30" s="331">
        <f>IF(E30="X",5,0)</f>
        <v>0</v>
      </c>
      <c r="Q30" s="331">
        <f t="shared" si="18"/>
        <v>0</v>
      </c>
      <c r="R30" s="331">
        <f>IF(G30="X",10,0)</f>
        <v>10</v>
      </c>
      <c r="S30" s="346">
        <f t="shared" si="20"/>
        <v>10</v>
      </c>
      <c r="T30" s="359">
        <f t="shared" si="21"/>
        <v>0</v>
      </c>
      <c r="U30" s="331">
        <f t="shared" si="22"/>
        <v>0</v>
      </c>
      <c r="V30" s="331">
        <f t="shared" si="23"/>
        <v>0</v>
      </c>
      <c r="W30" s="331">
        <f t="shared" si="24"/>
        <v>30</v>
      </c>
      <c r="X30" s="377">
        <f t="shared" si="25"/>
        <v>30</v>
      </c>
      <c r="Y30" s="332"/>
      <c r="Z30" s="332"/>
      <c r="AA30" s="332"/>
      <c r="AB30" s="332"/>
      <c r="AC30" s="347"/>
      <c r="AD30" s="347"/>
      <c r="AE30" s="347"/>
      <c r="AF30" s="347"/>
      <c r="AG30" s="347"/>
      <c r="AH30" s="347"/>
      <c r="AI30" s="347"/>
      <c r="AJ30" s="347"/>
      <c r="AK30" s="347"/>
      <c r="AL30" s="347"/>
      <c r="AM30" s="347"/>
    </row>
    <row r="31" spans="1:39" ht="13.5" x14ac:dyDescent="0.3">
      <c r="A31" s="348">
        <v>3</v>
      </c>
      <c r="B31" s="828" t="s">
        <v>1693</v>
      </c>
      <c r="C31" s="829"/>
      <c r="D31" s="356"/>
      <c r="E31" s="356"/>
      <c r="F31" s="356"/>
      <c r="G31" s="357"/>
      <c r="H31" s="356"/>
      <c r="I31" s="356"/>
      <c r="J31" s="356"/>
      <c r="K31" s="357"/>
      <c r="L31" s="358">
        <f t="shared" si="13"/>
        <v>0</v>
      </c>
      <c r="M31" s="346">
        <f t="shared" si="14"/>
        <v>0</v>
      </c>
      <c r="N31" s="346">
        <f t="shared" si="15"/>
        <v>0</v>
      </c>
      <c r="O31" s="359">
        <f t="shared" si="16"/>
        <v>0</v>
      </c>
      <c r="P31" s="331">
        <f t="shared" si="17"/>
        <v>0</v>
      </c>
      <c r="Q31" s="331">
        <f t="shared" si="18"/>
        <v>0</v>
      </c>
      <c r="R31" s="331">
        <f t="shared" si="19"/>
        <v>0</v>
      </c>
      <c r="S31" s="346">
        <f t="shared" si="20"/>
        <v>0</v>
      </c>
      <c r="T31" s="359">
        <f t="shared" si="21"/>
        <v>0</v>
      </c>
      <c r="U31" s="331">
        <f t="shared" si="22"/>
        <v>0</v>
      </c>
      <c r="V31" s="331">
        <f t="shared" si="23"/>
        <v>0</v>
      </c>
      <c r="W31" s="331">
        <f t="shared" si="24"/>
        <v>0</v>
      </c>
      <c r="X31" s="377">
        <f t="shared" si="25"/>
        <v>0</v>
      </c>
      <c r="Y31" s="332"/>
      <c r="Z31" s="332"/>
      <c r="AA31" s="332"/>
      <c r="AB31" s="332"/>
      <c r="AC31" s="347"/>
      <c r="AD31" s="347"/>
      <c r="AE31" s="347"/>
      <c r="AF31" s="347"/>
      <c r="AG31" s="347"/>
      <c r="AH31" s="347"/>
      <c r="AI31" s="347"/>
      <c r="AJ31" s="347"/>
      <c r="AK31" s="347"/>
      <c r="AL31" s="347"/>
      <c r="AM31" s="347"/>
    </row>
    <row r="32" spans="1:39" ht="13.5" x14ac:dyDescent="0.3">
      <c r="A32" s="355">
        <v>4</v>
      </c>
      <c r="B32" s="828" t="s">
        <v>1694</v>
      </c>
      <c r="C32" s="829"/>
      <c r="D32" s="356"/>
      <c r="E32" s="356"/>
      <c r="F32" s="356"/>
      <c r="G32" s="357" t="s">
        <v>1679</v>
      </c>
      <c r="H32" s="356"/>
      <c r="I32" s="356"/>
      <c r="J32" s="356"/>
      <c r="K32" s="357" t="s">
        <v>1679</v>
      </c>
      <c r="L32" s="358">
        <f t="shared" si="13"/>
        <v>7.3170731707317069E-2</v>
      </c>
      <c r="M32" s="346">
        <f t="shared" si="14"/>
        <v>300</v>
      </c>
      <c r="N32" s="346">
        <f t="shared" si="15"/>
        <v>300</v>
      </c>
      <c r="O32" s="359">
        <f>IF(D32="X",2.5,0)</f>
        <v>0</v>
      </c>
      <c r="P32" s="331">
        <f t="shared" si="17"/>
        <v>0</v>
      </c>
      <c r="Q32" s="331">
        <f>IF(F32="X",7.5,0)</f>
        <v>0</v>
      </c>
      <c r="R32" s="331">
        <f t="shared" si="19"/>
        <v>10</v>
      </c>
      <c r="S32" s="346">
        <f t="shared" si="20"/>
        <v>10</v>
      </c>
      <c r="T32" s="359">
        <f t="shared" si="21"/>
        <v>0</v>
      </c>
      <c r="U32" s="331">
        <f t="shared" si="22"/>
        <v>0</v>
      </c>
      <c r="V32" s="331">
        <f>IF(J32="X",20,0)</f>
        <v>0</v>
      </c>
      <c r="W32" s="331">
        <f>IF(K32="X",30,0)</f>
        <v>30</v>
      </c>
      <c r="X32" s="377">
        <f t="shared" si="25"/>
        <v>30</v>
      </c>
      <c r="Y32" s="332"/>
      <c r="Z32" s="332"/>
      <c r="AA32" s="332"/>
      <c r="AB32" s="332"/>
      <c r="AC32" s="347"/>
      <c r="AD32" s="347"/>
      <c r="AE32" s="347"/>
      <c r="AF32" s="347"/>
      <c r="AG32" s="347"/>
      <c r="AH32" s="347"/>
      <c r="AI32" s="347"/>
      <c r="AJ32" s="347"/>
      <c r="AK32" s="347"/>
      <c r="AL32" s="347"/>
      <c r="AM32" s="347"/>
    </row>
    <row r="33" spans="1:39" ht="13.5" x14ac:dyDescent="0.3">
      <c r="A33" s="348">
        <v>5</v>
      </c>
      <c r="B33" s="828" t="s">
        <v>1695</v>
      </c>
      <c r="C33" s="829"/>
      <c r="D33" s="356"/>
      <c r="E33" s="356"/>
      <c r="F33" s="356" t="s">
        <v>1679</v>
      </c>
      <c r="G33" s="357"/>
      <c r="H33" s="356"/>
      <c r="I33" s="356"/>
      <c r="J33" s="356" t="s">
        <v>1679</v>
      </c>
      <c r="K33" s="357"/>
      <c r="L33" s="358">
        <f t="shared" si="13"/>
        <v>3.6585365853658534E-2</v>
      </c>
      <c r="M33" s="346">
        <f t="shared" si="14"/>
        <v>200</v>
      </c>
      <c r="N33" s="346">
        <f t="shared" si="15"/>
        <v>150</v>
      </c>
      <c r="O33" s="359">
        <f t="shared" si="16"/>
        <v>0</v>
      </c>
      <c r="P33" s="331">
        <f t="shared" si="17"/>
        <v>0</v>
      </c>
      <c r="Q33" s="331">
        <f t="shared" si="18"/>
        <v>7.5</v>
      </c>
      <c r="R33" s="331">
        <f t="shared" si="19"/>
        <v>0</v>
      </c>
      <c r="S33" s="346">
        <f t="shared" si="20"/>
        <v>7.5</v>
      </c>
      <c r="T33" s="359">
        <f t="shared" si="21"/>
        <v>0</v>
      </c>
      <c r="U33" s="331">
        <f t="shared" si="22"/>
        <v>0</v>
      </c>
      <c r="V33" s="331">
        <f t="shared" si="23"/>
        <v>20</v>
      </c>
      <c r="W33" s="331">
        <f t="shared" si="24"/>
        <v>0</v>
      </c>
      <c r="X33" s="377">
        <f t="shared" si="25"/>
        <v>20</v>
      </c>
      <c r="Y33" s="332"/>
      <c r="Z33" s="332"/>
      <c r="AA33" s="332"/>
      <c r="AB33" s="332"/>
      <c r="AC33" s="347"/>
      <c r="AD33" s="347"/>
      <c r="AE33" s="347"/>
      <c r="AF33" s="347"/>
      <c r="AG33" s="347"/>
      <c r="AH33" s="347"/>
      <c r="AI33" s="347"/>
      <c r="AJ33" s="347"/>
      <c r="AK33" s="347"/>
      <c r="AL33" s="347"/>
      <c r="AM33" s="347"/>
    </row>
    <row r="34" spans="1:39" ht="13.5" x14ac:dyDescent="0.3">
      <c r="A34" s="355">
        <v>6</v>
      </c>
      <c r="B34" s="828" t="s">
        <v>1696</v>
      </c>
      <c r="C34" s="829"/>
      <c r="D34" s="356"/>
      <c r="E34" s="356"/>
      <c r="F34" s="356"/>
      <c r="G34" s="357" t="s">
        <v>1679</v>
      </c>
      <c r="H34" s="356"/>
      <c r="I34" s="356"/>
      <c r="J34" s="356"/>
      <c r="K34" s="357" t="s">
        <v>1679</v>
      </c>
      <c r="L34" s="358">
        <f t="shared" si="13"/>
        <v>7.3170731707317069E-2</v>
      </c>
      <c r="M34" s="346">
        <f t="shared" si="14"/>
        <v>300</v>
      </c>
      <c r="N34" s="346">
        <f t="shared" si="15"/>
        <v>300</v>
      </c>
      <c r="O34" s="359">
        <f t="shared" si="16"/>
        <v>0</v>
      </c>
      <c r="P34" s="331">
        <f t="shared" si="17"/>
        <v>0</v>
      </c>
      <c r="Q34" s="331">
        <f t="shared" si="18"/>
        <v>0</v>
      </c>
      <c r="R34" s="331">
        <f t="shared" si="19"/>
        <v>10</v>
      </c>
      <c r="S34" s="346">
        <f t="shared" si="20"/>
        <v>10</v>
      </c>
      <c r="T34" s="359">
        <f t="shared" si="21"/>
        <v>0</v>
      </c>
      <c r="U34" s="331">
        <f t="shared" si="22"/>
        <v>0</v>
      </c>
      <c r="V34" s="331">
        <f t="shared" si="23"/>
        <v>0</v>
      </c>
      <c r="W34" s="331">
        <f t="shared" si="24"/>
        <v>30</v>
      </c>
      <c r="X34" s="377">
        <f t="shared" si="25"/>
        <v>30</v>
      </c>
      <c r="Y34" s="332"/>
      <c r="Z34" s="332"/>
      <c r="AA34" s="332"/>
      <c r="AB34" s="332"/>
      <c r="AC34" s="347"/>
      <c r="AD34" s="347"/>
      <c r="AE34" s="347"/>
      <c r="AF34" s="347"/>
      <c r="AG34" s="347"/>
      <c r="AH34" s="347"/>
      <c r="AI34" s="347"/>
      <c r="AJ34" s="347"/>
      <c r="AK34" s="347"/>
      <c r="AL34" s="347"/>
      <c r="AM34" s="347"/>
    </row>
    <row r="35" spans="1:39" ht="13.5" x14ac:dyDescent="0.3">
      <c r="A35" s="348">
        <v>7</v>
      </c>
      <c r="B35" s="828" t="s">
        <v>1697</v>
      </c>
      <c r="C35" s="829"/>
      <c r="D35" s="356"/>
      <c r="E35" s="356"/>
      <c r="F35" s="356"/>
      <c r="G35" s="357" t="s">
        <v>1679</v>
      </c>
      <c r="H35" s="356"/>
      <c r="I35" s="356"/>
      <c r="J35" s="356"/>
      <c r="K35" s="357" t="s">
        <v>1679</v>
      </c>
      <c r="L35" s="358">
        <f t="shared" si="13"/>
        <v>7.3170731707317069E-2</v>
      </c>
      <c r="M35" s="346">
        <f t="shared" si="14"/>
        <v>300</v>
      </c>
      <c r="N35" s="346">
        <f t="shared" si="15"/>
        <v>300</v>
      </c>
      <c r="O35" s="359">
        <f t="shared" si="16"/>
        <v>0</v>
      </c>
      <c r="P35" s="331">
        <f t="shared" si="17"/>
        <v>0</v>
      </c>
      <c r="Q35" s="331">
        <f t="shared" si="18"/>
        <v>0</v>
      </c>
      <c r="R35" s="331">
        <f t="shared" si="19"/>
        <v>10</v>
      </c>
      <c r="S35" s="346">
        <f t="shared" si="20"/>
        <v>10</v>
      </c>
      <c r="T35" s="359">
        <f t="shared" si="21"/>
        <v>0</v>
      </c>
      <c r="U35" s="331">
        <f t="shared" si="22"/>
        <v>0</v>
      </c>
      <c r="V35" s="331">
        <f t="shared" si="23"/>
        <v>0</v>
      </c>
      <c r="W35" s="331">
        <f t="shared" si="24"/>
        <v>30</v>
      </c>
      <c r="X35" s="377">
        <f t="shared" si="25"/>
        <v>30</v>
      </c>
      <c r="Y35" s="332"/>
      <c r="Z35" s="332"/>
      <c r="AA35" s="332"/>
      <c r="AB35" s="332"/>
      <c r="AC35" s="347"/>
      <c r="AD35" s="347"/>
      <c r="AE35" s="347"/>
      <c r="AF35" s="347"/>
      <c r="AG35" s="347"/>
      <c r="AH35" s="347"/>
      <c r="AI35" s="347"/>
      <c r="AJ35" s="347"/>
      <c r="AK35" s="347"/>
      <c r="AL35" s="347"/>
      <c r="AM35" s="347"/>
    </row>
    <row r="36" spans="1:39" ht="13.5" x14ac:dyDescent="0.3">
      <c r="A36" s="355">
        <v>8</v>
      </c>
      <c r="B36" s="828" t="s">
        <v>1698</v>
      </c>
      <c r="C36" s="829"/>
      <c r="D36" s="356"/>
      <c r="E36" s="356"/>
      <c r="F36" s="356"/>
      <c r="G36" s="357" t="s">
        <v>1679</v>
      </c>
      <c r="H36" s="356"/>
      <c r="I36" s="356"/>
      <c r="J36" s="356"/>
      <c r="K36" s="357" t="s">
        <v>1679</v>
      </c>
      <c r="L36" s="358">
        <f t="shared" si="13"/>
        <v>7.3170731707317069E-2</v>
      </c>
      <c r="M36" s="346">
        <f t="shared" si="14"/>
        <v>300</v>
      </c>
      <c r="N36" s="346">
        <f t="shared" si="15"/>
        <v>300</v>
      </c>
      <c r="O36" s="359">
        <f t="shared" si="16"/>
        <v>0</v>
      </c>
      <c r="P36" s="331">
        <f t="shared" si="17"/>
        <v>0</v>
      </c>
      <c r="Q36" s="331">
        <f t="shared" si="18"/>
        <v>0</v>
      </c>
      <c r="R36" s="331">
        <f t="shared" si="19"/>
        <v>10</v>
      </c>
      <c r="S36" s="346">
        <f t="shared" si="20"/>
        <v>10</v>
      </c>
      <c r="T36" s="359">
        <f t="shared" si="21"/>
        <v>0</v>
      </c>
      <c r="U36" s="331">
        <f t="shared" si="22"/>
        <v>0</v>
      </c>
      <c r="V36" s="331">
        <f t="shared" si="23"/>
        <v>0</v>
      </c>
      <c r="W36" s="331">
        <f t="shared" si="24"/>
        <v>30</v>
      </c>
      <c r="X36" s="377">
        <f t="shared" si="25"/>
        <v>30</v>
      </c>
      <c r="Y36" s="332"/>
      <c r="Z36" s="332"/>
      <c r="AA36" s="332"/>
      <c r="AB36" s="332"/>
      <c r="AC36" s="347"/>
      <c r="AD36" s="347"/>
      <c r="AE36" s="347"/>
      <c r="AF36" s="347"/>
      <c r="AG36" s="347"/>
      <c r="AH36" s="347"/>
      <c r="AI36" s="347"/>
      <c r="AJ36" s="347"/>
      <c r="AK36" s="347"/>
      <c r="AL36" s="347"/>
      <c r="AM36" s="347"/>
    </row>
    <row r="37" spans="1:39" ht="13.5" x14ac:dyDescent="0.3">
      <c r="A37" s="348">
        <v>9</v>
      </c>
      <c r="B37" s="828" t="s">
        <v>1699</v>
      </c>
      <c r="C37" s="829"/>
      <c r="D37" s="356"/>
      <c r="E37" s="356"/>
      <c r="F37" s="356"/>
      <c r="G37" s="357" t="s">
        <v>1679</v>
      </c>
      <c r="H37" s="356"/>
      <c r="I37" s="356"/>
      <c r="J37" s="356"/>
      <c r="K37" s="357" t="s">
        <v>1679</v>
      </c>
      <c r="L37" s="358">
        <f>IF($M$44=0,0,N37/$M$44)</f>
        <v>7.3170731707317069E-2</v>
      </c>
      <c r="M37" s="346">
        <f>+X37*10</f>
        <v>300</v>
      </c>
      <c r="N37" s="346">
        <f>+S37*X37</f>
        <v>300</v>
      </c>
      <c r="O37" s="359">
        <f>IF(D37="X",2.5,0)</f>
        <v>0</v>
      </c>
      <c r="P37" s="331">
        <f>IF(E37="X",5,0)</f>
        <v>0</v>
      </c>
      <c r="Q37" s="331">
        <f>IF(F37="X",7.5,0)</f>
        <v>0</v>
      </c>
      <c r="R37" s="331">
        <f>IF(G37="X",10,0)</f>
        <v>10</v>
      </c>
      <c r="S37" s="346">
        <f>SUM(O37:R37)</f>
        <v>10</v>
      </c>
      <c r="T37" s="359">
        <f>IF(H37="X",0,0)</f>
        <v>0</v>
      </c>
      <c r="U37" s="331">
        <f>IF(I37="X",10,0)</f>
        <v>0</v>
      </c>
      <c r="V37" s="331">
        <f>IF(J37="X",20,0)</f>
        <v>0</v>
      </c>
      <c r="W37" s="331">
        <f>IF(K37="X",30,0)</f>
        <v>30</v>
      </c>
      <c r="X37" s="377">
        <f>SUM(U37:W37)</f>
        <v>30</v>
      </c>
      <c r="Y37" s="332"/>
      <c r="Z37" s="332"/>
      <c r="AA37" s="332"/>
      <c r="AB37" s="332"/>
      <c r="AC37" s="347"/>
      <c r="AD37" s="347"/>
      <c r="AE37" s="347"/>
      <c r="AF37" s="347"/>
      <c r="AG37" s="347"/>
      <c r="AH37" s="347"/>
      <c r="AI37" s="347"/>
      <c r="AJ37" s="347"/>
      <c r="AK37" s="347"/>
      <c r="AL37" s="347"/>
      <c r="AM37" s="347"/>
    </row>
    <row r="38" spans="1:39" ht="13.5" x14ac:dyDescent="0.3">
      <c r="A38" s="355">
        <v>10</v>
      </c>
      <c r="B38" s="828" t="s">
        <v>1700</v>
      </c>
      <c r="C38" s="829"/>
      <c r="D38" s="356"/>
      <c r="E38" s="356"/>
      <c r="F38" s="356" t="s">
        <v>1679</v>
      </c>
      <c r="G38" s="357"/>
      <c r="H38" s="356"/>
      <c r="I38" s="356"/>
      <c r="J38" s="356"/>
      <c r="K38" s="357" t="s">
        <v>1679</v>
      </c>
      <c r="L38" s="358">
        <f t="shared" si="13"/>
        <v>5.4878048780487805E-2</v>
      </c>
      <c r="M38" s="346">
        <f t="shared" si="14"/>
        <v>300</v>
      </c>
      <c r="N38" s="346">
        <f t="shared" si="15"/>
        <v>225</v>
      </c>
      <c r="O38" s="359">
        <f t="shared" si="16"/>
        <v>0</v>
      </c>
      <c r="P38" s="331">
        <f t="shared" si="17"/>
        <v>0</v>
      </c>
      <c r="Q38" s="331">
        <f t="shared" si="18"/>
        <v>7.5</v>
      </c>
      <c r="R38" s="331">
        <f t="shared" si="19"/>
        <v>0</v>
      </c>
      <c r="S38" s="346">
        <f t="shared" si="20"/>
        <v>7.5</v>
      </c>
      <c r="T38" s="359">
        <f t="shared" si="21"/>
        <v>0</v>
      </c>
      <c r="U38" s="331">
        <f t="shared" si="22"/>
        <v>0</v>
      </c>
      <c r="V38" s="331">
        <f t="shared" si="23"/>
        <v>0</v>
      </c>
      <c r="W38" s="331">
        <f t="shared" si="24"/>
        <v>30</v>
      </c>
      <c r="X38" s="377">
        <f t="shared" si="25"/>
        <v>30</v>
      </c>
      <c r="Y38" s="332"/>
      <c r="Z38" s="332"/>
      <c r="AA38" s="332"/>
      <c r="AB38" s="332"/>
      <c r="AC38" s="347"/>
      <c r="AD38" s="347"/>
      <c r="AE38" s="347"/>
      <c r="AF38" s="347"/>
      <c r="AG38" s="347"/>
      <c r="AH38" s="347"/>
      <c r="AI38" s="347"/>
      <c r="AJ38" s="347"/>
      <c r="AK38" s="347"/>
      <c r="AL38" s="347"/>
      <c r="AM38" s="347"/>
    </row>
    <row r="39" spans="1:39" ht="13.5" x14ac:dyDescent="0.3">
      <c r="A39" s="348">
        <v>11</v>
      </c>
      <c r="B39" s="828" t="s">
        <v>1701</v>
      </c>
      <c r="C39" s="829"/>
      <c r="D39" s="356"/>
      <c r="E39" s="356"/>
      <c r="F39" s="356" t="s">
        <v>1679</v>
      </c>
      <c r="G39" s="357"/>
      <c r="H39" s="356"/>
      <c r="I39" s="356"/>
      <c r="J39" s="356"/>
      <c r="K39" s="357" t="s">
        <v>1679</v>
      </c>
      <c r="L39" s="358">
        <f t="shared" si="13"/>
        <v>5.4878048780487805E-2</v>
      </c>
      <c r="M39" s="346">
        <f t="shared" si="14"/>
        <v>300</v>
      </c>
      <c r="N39" s="346">
        <f t="shared" si="15"/>
        <v>225</v>
      </c>
      <c r="O39" s="359">
        <f t="shared" si="16"/>
        <v>0</v>
      </c>
      <c r="P39" s="331">
        <f t="shared" si="17"/>
        <v>0</v>
      </c>
      <c r="Q39" s="331">
        <f t="shared" si="18"/>
        <v>7.5</v>
      </c>
      <c r="R39" s="331">
        <f t="shared" si="19"/>
        <v>0</v>
      </c>
      <c r="S39" s="346">
        <f t="shared" si="20"/>
        <v>7.5</v>
      </c>
      <c r="T39" s="359">
        <f t="shared" si="21"/>
        <v>0</v>
      </c>
      <c r="U39" s="331">
        <f t="shared" si="22"/>
        <v>0</v>
      </c>
      <c r="V39" s="331">
        <f t="shared" si="23"/>
        <v>0</v>
      </c>
      <c r="W39" s="331">
        <f t="shared" si="24"/>
        <v>30</v>
      </c>
      <c r="X39" s="377">
        <f t="shared" si="25"/>
        <v>30</v>
      </c>
      <c r="Y39" s="332"/>
      <c r="Z39" s="332"/>
      <c r="AA39" s="332"/>
      <c r="AB39" s="332"/>
      <c r="AC39" s="347"/>
      <c r="AD39" s="347"/>
      <c r="AE39" s="347"/>
      <c r="AF39" s="347"/>
      <c r="AG39" s="347"/>
      <c r="AH39" s="347"/>
      <c r="AI39" s="347"/>
      <c r="AJ39" s="347"/>
      <c r="AK39" s="347"/>
      <c r="AL39" s="347"/>
      <c r="AM39" s="347"/>
    </row>
    <row r="40" spans="1:39" ht="13.5" x14ac:dyDescent="0.3">
      <c r="A40" s="355">
        <v>12</v>
      </c>
      <c r="B40" s="828" t="s">
        <v>1702</v>
      </c>
      <c r="C40" s="829"/>
      <c r="D40" s="356"/>
      <c r="E40" s="356"/>
      <c r="F40" s="356" t="s">
        <v>1679</v>
      </c>
      <c r="G40" s="357"/>
      <c r="H40" s="356"/>
      <c r="I40" s="356"/>
      <c r="J40" s="356"/>
      <c r="K40" s="356" t="s">
        <v>1679</v>
      </c>
      <c r="L40" s="358">
        <f t="shared" si="13"/>
        <v>5.4878048780487805E-2</v>
      </c>
      <c r="M40" s="346">
        <f t="shared" si="14"/>
        <v>300</v>
      </c>
      <c r="N40" s="346">
        <f t="shared" si="15"/>
        <v>225</v>
      </c>
      <c r="O40" s="359">
        <f t="shared" si="16"/>
        <v>0</v>
      </c>
      <c r="P40" s="331">
        <f t="shared" si="17"/>
        <v>0</v>
      </c>
      <c r="Q40" s="331">
        <f t="shared" si="18"/>
        <v>7.5</v>
      </c>
      <c r="R40" s="331">
        <f t="shared" si="19"/>
        <v>0</v>
      </c>
      <c r="S40" s="346">
        <f t="shared" si="20"/>
        <v>7.5</v>
      </c>
      <c r="T40" s="359">
        <f t="shared" si="21"/>
        <v>0</v>
      </c>
      <c r="U40" s="331">
        <f t="shared" si="22"/>
        <v>0</v>
      </c>
      <c r="V40" s="331">
        <f t="shared" si="23"/>
        <v>0</v>
      </c>
      <c r="W40" s="331">
        <f t="shared" si="24"/>
        <v>30</v>
      </c>
      <c r="X40" s="377">
        <f t="shared" si="25"/>
        <v>30</v>
      </c>
      <c r="Y40" s="332"/>
      <c r="Z40" s="332"/>
      <c r="AA40" s="332"/>
      <c r="AB40" s="332"/>
      <c r="AC40" s="347"/>
      <c r="AD40" s="347"/>
      <c r="AE40" s="347"/>
      <c r="AF40" s="347"/>
      <c r="AG40" s="347"/>
      <c r="AH40" s="347"/>
      <c r="AI40" s="347"/>
      <c r="AJ40" s="347"/>
      <c r="AK40" s="347"/>
      <c r="AL40" s="347"/>
      <c r="AM40" s="347"/>
    </row>
    <row r="41" spans="1:39" ht="13.5" x14ac:dyDescent="0.3">
      <c r="A41" s="348">
        <v>13</v>
      </c>
      <c r="B41" s="828" t="s">
        <v>1703</v>
      </c>
      <c r="C41" s="829"/>
      <c r="D41" s="356"/>
      <c r="E41" s="356"/>
      <c r="F41" s="356" t="s">
        <v>1679</v>
      </c>
      <c r="G41" s="357"/>
      <c r="H41" s="356"/>
      <c r="I41" s="356"/>
      <c r="J41" s="356"/>
      <c r="K41" s="356" t="s">
        <v>1679</v>
      </c>
      <c r="L41" s="358">
        <f t="shared" si="13"/>
        <v>5.4878048780487805E-2</v>
      </c>
      <c r="M41" s="346">
        <f t="shared" si="14"/>
        <v>300</v>
      </c>
      <c r="N41" s="346">
        <f t="shared" si="15"/>
        <v>225</v>
      </c>
      <c r="O41" s="359">
        <f t="shared" si="16"/>
        <v>0</v>
      </c>
      <c r="P41" s="331">
        <f t="shared" si="17"/>
        <v>0</v>
      </c>
      <c r="Q41" s="331">
        <f t="shared" si="18"/>
        <v>7.5</v>
      </c>
      <c r="R41" s="331">
        <f t="shared" si="19"/>
        <v>0</v>
      </c>
      <c r="S41" s="346">
        <f t="shared" si="20"/>
        <v>7.5</v>
      </c>
      <c r="T41" s="359">
        <f t="shared" si="21"/>
        <v>0</v>
      </c>
      <c r="U41" s="331">
        <f t="shared" si="22"/>
        <v>0</v>
      </c>
      <c r="V41" s="331">
        <f t="shared" si="23"/>
        <v>0</v>
      </c>
      <c r="W41" s="331">
        <f t="shared" si="24"/>
        <v>30</v>
      </c>
      <c r="X41" s="377">
        <f t="shared" si="25"/>
        <v>30</v>
      </c>
      <c r="Y41" s="332"/>
      <c r="Z41" s="332"/>
      <c r="AA41" s="332"/>
      <c r="AB41" s="332"/>
      <c r="AC41" s="347"/>
      <c r="AD41" s="347"/>
      <c r="AE41" s="347"/>
      <c r="AF41" s="347"/>
      <c r="AG41" s="347"/>
      <c r="AH41" s="347"/>
      <c r="AI41" s="347"/>
      <c r="AJ41" s="347"/>
      <c r="AK41" s="347"/>
      <c r="AL41" s="347"/>
      <c r="AM41" s="347"/>
    </row>
    <row r="42" spans="1:39" ht="13.5" x14ac:dyDescent="0.3">
      <c r="A42" s="355">
        <v>14</v>
      </c>
      <c r="B42" s="828" t="s">
        <v>1704</v>
      </c>
      <c r="C42" s="829"/>
      <c r="D42" s="356"/>
      <c r="E42" s="356"/>
      <c r="F42" s="356"/>
      <c r="G42" s="357" t="s">
        <v>1679</v>
      </c>
      <c r="H42" s="356"/>
      <c r="I42" s="356"/>
      <c r="J42" s="356"/>
      <c r="K42" s="357" t="s">
        <v>1679</v>
      </c>
      <c r="L42" s="358">
        <f t="shared" si="13"/>
        <v>7.3170731707317069E-2</v>
      </c>
      <c r="M42" s="346">
        <f t="shared" si="14"/>
        <v>300</v>
      </c>
      <c r="N42" s="346">
        <f t="shared" si="15"/>
        <v>300</v>
      </c>
      <c r="O42" s="359">
        <f t="shared" si="16"/>
        <v>0</v>
      </c>
      <c r="P42" s="331">
        <f t="shared" si="17"/>
        <v>0</v>
      </c>
      <c r="Q42" s="331">
        <f t="shared" si="18"/>
        <v>0</v>
      </c>
      <c r="R42" s="331">
        <f t="shared" si="19"/>
        <v>10</v>
      </c>
      <c r="S42" s="346">
        <f t="shared" si="20"/>
        <v>10</v>
      </c>
      <c r="T42" s="359">
        <f t="shared" si="21"/>
        <v>0</v>
      </c>
      <c r="U42" s="331">
        <f t="shared" si="22"/>
        <v>0</v>
      </c>
      <c r="V42" s="331">
        <f t="shared" si="23"/>
        <v>0</v>
      </c>
      <c r="W42" s="331">
        <f t="shared" si="24"/>
        <v>30</v>
      </c>
      <c r="X42" s="377">
        <f t="shared" si="25"/>
        <v>30</v>
      </c>
      <c r="Y42" s="332"/>
      <c r="Z42" s="332"/>
      <c r="AA42" s="332"/>
      <c r="AB42" s="332"/>
      <c r="AC42" s="347"/>
      <c r="AD42" s="347"/>
      <c r="AE42" s="347"/>
      <c r="AF42" s="347"/>
      <c r="AG42" s="347"/>
      <c r="AH42" s="347"/>
      <c r="AI42" s="347"/>
      <c r="AJ42" s="347"/>
      <c r="AK42" s="347"/>
      <c r="AL42" s="347"/>
      <c r="AM42" s="347"/>
    </row>
    <row r="43" spans="1:39" ht="14.25" thickBot="1" x14ac:dyDescent="0.35">
      <c r="A43" s="348">
        <v>15</v>
      </c>
      <c r="B43" s="848" t="s">
        <v>1705</v>
      </c>
      <c r="C43" s="848"/>
      <c r="D43" s="361"/>
      <c r="E43" s="361"/>
      <c r="F43" s="361"/>
      <c r="G43" s="378" t="s">
        <v>1679</v>
      </c>
      <c r="H43" s="361"/>
      <c r="I43" s="361"/>
      <c r="J43" s="361"/>
      <c r="K43" s="378" t="s">
        <v>1679</v>
      </c>
      <c r="L43" s="363">
        <f t="shared" si="13"/>
        <v>7.3170731707317069E-2</v>
      </c>
      <c r="M43" s="346">
        <f t="shared" si="14"/>
        <v>300</v>
      </c>
      <c r="N43" s="346">
        <f t="shared" si="15"/>
        <v>300</v>
      </c>
      <c r="O43" s="364">
        <f t="shared" si="16"/>
        <v>0</v>
      </c>
      <c r="P43" s="365">
        <f t="shared" si="17"/>
        <v>0</v>
      </c>
      <c r="Q43" s="365">
        <f t="shared" si="18"/>
        <v>0</v>
      </c>
      <c r="R43" s="365">
        <f t="shared" si="19"/>
        <v>10</v>
      </c>
      <c r="S43" s="379">
        <f t="shared" si="20"/>
        <v>10</v>
      </c>
      <c r="T43" s="364">
        <f t="shared" si="21"/>
        <v>0</v>
      </c>
      <c r="U43" s="365">
        <f t="shared" si="22"/>
        <v>0</v>
      </c>
      <c r="V43" s="365">
        <f t="shared" si="23"/>
        <v>0</v>
      </c>
      <c r="W43" s="365">
        <f t="shared" si="24"/>
        <v>30</v>
      </c>
      <c r="X43" s="380">
        <f t="shared" si="25"/>
        <v>30</v>
      </c>
      <c r="Y43" s="332"/>
      <c r="Z43" s="332"/>
      <c r="AA43" s="332"/>
      <c r="AB43" s="381"/>
      <c r="AC43" s="347"/>
      <c r="AD43" s="347"/>
      <c r="AE43" s="347"/>
      <c r="AF43" s="347"/>
      <c r="AG43" s="347"/>
      <c r="AH43" s="347"/>
      <c r="AI43" s="347"/>
      <c r="AJ43" s="347"/>
      <c r="AK43" s="347"/>
      <c r="AL43" s="347"/>
      <c r="AM43" s="347"/>
    </row>
    <row r="44" spans="1:39" ht="14.25" thickBot="1" x14ac:dyDescent="0.35">
      <c r="L44" s="382">
        <f>SUM(L29:L43)</f>
        <v>0.91463414634146345</v>
      </c>
      <c r="M44" s="346">
        <f>SUM(M29:M43)</f>
        <v>4100</v>
      </c>
      <c r="N44" s="383">
        <f>SUM(N29:N43)</f>
        <v>3750</v>
      </c>
      <c r="O44" s="364">
        <f t="shared" si="16"/>
        <v>0</v>
      </c>
      <c r="P44" s="365">
        <f t="shared" si="17"/>
        <v>0</v>
      </c>
      <c r="Q44" s="365">
        <f t="shared" si="18"/>
        <v>0</v>
      </c>
      <c r="R44" s="365">
        <f t="shared" si="19"/>
        <v>0</v>
      </c>
      <c r="S44" s="379">
        <f t="shared" si="20"/>
        <v>0</v>
      </c>
      <c r="T44" s="364">
        <f t="shared" si="21"/>
        <v>0</v>
      </c>
      <c r="U44" s="365">
        <f t="shared" si="22"/>
        <v>0</v>
      </c>
      <c r="V44" s="365">
        <f t="shared" si="23"/>
        <v>0</v>
      </c>
      <c r="W44" s="365">
        <f t="shared" si="24"/>
        <v>0</v>
      </c>
      <c r="X44" s="380">
        <f t="shared" si="25"/>
        <v>0</v>
      </c>
      <c r="Y44" s="332"/>
      <c r="Z44" s="332"/>
      <c r="AA44" s="332"/>
      <c r="AB44" s="332"/>
      <c r="AC44" s="347"/>
      <c r="AD44" s="347"/>
      <c r="AE44" s="347"/>
      <c r="AF44" s="347"/>
      <c r="AG44" s="347"/>
      <c r="AH44" s="347"/>
      <c r="AI44" s="347"/>
      <c r="AJ44" s="347"/>
      <c r="AK44" s="347"/>
      <c r="AL44" s="347"/>
      <c r="AM44" s="347"/>
    </row>
    <row r="45" spans="1:39" ht="10.5" customHeight="1" x14ac:dyDescent="0.25">
      <c r="B45" s="332"/>
      <c r="C45" s="332"/>
      <c r="D45" s="332"/>
      <c r="E45" s="332"/>
      <c r="F45" s="332"/>
      <c r="G45" s="332"/>
      <c r="H45" s="332"/>
      <c r="I45" s="332"/>
      <c r="J45" s="332"/>
      <c r="K45" s="332"/>
      <c r="L45" s="332"/>
      <c r="O45" s="331"/>
      <c r="P45" s="331"/>
      <c r="Q45" s="331"/>
      <c r="R45" s="331"/>
      <c r="S45" s="331"/>
      <c r="T45" s="331"/>
      <c r="U45" s="331"/>
      <c r="V45" s="331"/>
      <c r="W45" s="331"/>
      <c r="X45" s="331"/>
      <c r="Y45" s="332"/>
      <c r="Z45" s="332"/>
      <c r="AA45" s="332"/>
      <c r="AB45" s="332"/>
      <c r="AC45" s="347"/>
      <c r="AD45" s="347"/>
      <c r="AE45" s="347"/>
      <c r="AF45" s="347"/>
      <c r="AG45" s="347"/>
      <c r="AH45" s="347"/>
      <c r="AI45" s="347"/>
      <c r="AJ45" s="347"/>
      <c r="AK45" s="347"/>
      <c r="AL45" s="347"/>
      <c r="AM45" s="347"/>
    </row>
    <row r="46" spans="1:39" x14ac:dyDescent="0.25">
      <c r="M46" s="331"/>
      <c r="N46" s="331">
        <f>IF($L$44&gt;85%,5,0)</f>
        <v>5</v>
      </c>
      <c r="O46" s="331">
        <f>IF($L$44&lt;=85%,2,0)</f>
        <v>0</v>
      </c>
      <c r="P46" s="331">
        <f>IF($L$44&gt;70%,2,0)</f>
        <v>2</v>
      </c>
      <c r="Q46" s="331">
        <f>IF($L$44&lt;=70%,3,0)</f>
        <v>0</v>
      </c>
      <c r="R46" s="331">
        <f>IF($L$44&gt;45%,1,0)</f>
        <v>1</v>
      </c>
      <c r="S46" s="331">
        <f>IF($L$44&lt;=45%,1,0)</f>
        <v>0</v>
      </c>
      <c r="T46" s="331"/>
      <c r="U46" s="331">
        <f>IF($L$44&gt;0%,2,0)</f>
        <v>2</v>
      </c>
      <c r="V46" s="331"/>
      <c r="W46" s="331"/>
      <c r="X46" s="331"/>
      <c r="Y46" s="332"/>
      <c r="Z46" s="332"/>
      <c r="AA46" s="332"/>
      <c r="AB46" s="332"/>
    </row>
    <row r="47" spans="1:39" ht="13.5" x14ac:dyDescent="0.3">
      <c r="A47" s="849" t="s">
        <v>1706</v>
      </c>
      <c r="B47" s="849"/>
      <c r="C47" s="368">
        <f>L44</f>
        <v>0.91463414634146345</v>
      </c>
      <c r="E47" s="850" t="str">
        <f>+IF(L44&gt;=0.86,"A",IF(AND(L44&lt;0.86,L44&gt;=0.71),"B",IF(AND(L44&lt;0.71,L44&gt;=0.46),"C",IF(AND(L44&lt;0.46,L44&gt;0),"No califica",IF(L44=0,"No evaluado")))))</f>
        <v>A</v>
      </c>
      <c r="F47" s="850"/>
      <c r="G47" s="385"/>
      <c r="H47" s="854" t="s">
        <v>1686</v>
      </c>
      <c r="I47" s="854"/>
      <c r="J47" s="854"/>
      <c r="K47" s="854"/>
      <c r="L47" s="369" t="str">
        <f>+IF(E47="A","Excelente",IF(E47="B","Muy Bueno",IF(E47="C","Bueno a regular",IF(E47="No evaluado","","No califica"))))</f>
        <v>Excelente</v>
      </c>
      <c r="M47" s="331"/>
      <c r="N47" s="331">
        <f>+N46</f>
        <v>5</v>
      </c>
      <c r="O47" s="851">
        <f>+O46*P46</f>
        <v>0</v>
      </c>
      <c r="P47" s="851"/>
      <c r="Q47" s="851">
        <f>+Q46*R46</f>
        <v>0</v>
      </c>
      <c r="R47" s="851"/>
      <c r="S47" s="851">
        <f>+S46*U46</f>
        <v>0</v>
      </c>
      <c r="T47" s="851"/>
      <c r="U47" s="851"/>
      <c r="V47" s="331">
        <f>SUM(N47:U47)</f>
        <v>5</v>
      </c>
      <c r="W47" s="331"/>
      <c r="X47" s="331"/>
      <c r="Y47" s="332"/>
      <c r="Z47" s="332"/>
      <c r="AA47" s="332"/>
      <c r="AB47" s="332"/>
    </row>
    <row r="48" spans="1:39" ht="12.75" customHeight="1" x14ac:dyDescent="0.3">
      <c r="B48" s="386"/>
      <c r="C48" s="332"/>
      <c r="D48" s="332"/>
      <c r="E48" s="332"/>
      <c r="F48" s="332"/>
      <c r="G48" s="387"/>
      <c r="H48" s="371"/>
      <c r="I48" s="371"/>
      <c r="J48" s="372"/>
      <c r="K48" s="373"/>
      <c r="L48" s="374"/>
      <c r="M48" s="331"/>
      <c r="N48" s="331"/>
      <c r="O48" s="331"/>
      <c r="P48" s="331"/>
      <c r="Q48" s="331"/>
      <c r="R48" s="331"/>
      <c r="S48" s="331"/>
      <c r="T48" s="331"/>
      <c r="U48" s="331"/>
      <c r="V48" s="331"/>
      <c r="W48" s="331"/>
      <c r="X48" s="331"/>
      <c r="Y48" s="332"/>
      <c r="Z48" s="332"/>
      <c r="AA48" s="332"/>
      <c r="AB48" s="332"/>
    </row>
    <row r="49" spans="1:28" s="387" customFormat="1" ht="12.75" customHeight="1" x14ac:dyDescent="0.25">
      <c r="A49" s="863" t="s">
        <v>1687</v>
      </c>
      <c r="B49" s="863"/>
      <c r="C49" s="853" t="s">
        <v>2164</v>
      </c>
      <c r="D49" s="853"/>
      <c r="E49" s="853"/>
      <c r="F49" s="853"/>
      <c r="G49" s="385"/>
      <c r="H49" s="854" t="s">
        <v>1689</v>
      </c>
      <c r="I49" s="854"/>
      <c r="J49" s="854"/>
      <c r="K49" s="854"/>
      <c r="L49" s="375">
        <v>43313</v>
      </c>
      <c r="M49" s="388"/>
      <c r="N49" s="388"/>
      <c r="O49" s="388"/>
      <c r="P49" s="388"/>
      <c r="Q49" s="388"/>
      <c r="R49" s="388"/>
      <c r="S49" s="388"/>
      <c r="T49" s="388"/>
      <c r="U49" s="388"/>
      <c r="V49" s="388"/>
      <c r="W49" s="388"/>
      <c r="X49" s="388"/>
      <c r="Y49" s="389"/>
      <c r="Z49" s="389"/>
      <c r="AA49" s="389"/>
      <c r="AB49" s="389"/>
    </row>
    <row r="50" spans="1:28" ht="11.25" customHeight="1" x14ac:dyDescent="0.25">
      <c r="B50" s="390"/>
      <c r="C50" s="391"/>
      <c r="D50" s="334"/>
      <c r="E50" s="334"/>
      <c r="F50" s="334"/>
      <c r="G50" s="392"/>
      <c r="H50" s="373"/>
      <c r="I50" s="373"/>
      <c r="J50" s="373"/>
      <c r="M50" s="331"/>
      <c r="N50" s="331"/>
      <c r="O50" s="331"/>
      <c r="P50" s="331"/>
      <c r="Q50" s="331"/>
      <c r="R50" s="331"/>
      <c r="S50" s="331"/>
      <c r="T50" s="331"/>
      <c r="U50" s="331"/>
      <c r="V50" s="331"/>
      <c r="W50" s="331"/>
      <c r="X50" s="331"/>
      <c r="Y50" s="332"/>
      <c r="Z50" s="332"/>
      <c r="AA50" s="332"/>
      <c r="AB50" s="332"/>
    </row>
    <row r="51" spans="1:28" ht="13.5" x14ac:dyDescent="0.25">
      <c r="B51" s="390"/>
      <c r="C51" s="391"/>
      <c r="D51" s="334"/>
      <c r="E51" s="334"/>
      <c r="F51" s="334"/>
      <c r="G51" s="392"/>
      <c r="H51" s="392"/>
      <c r="I51" s="392"/>
      <c r="J51" s="392"/>
      <c r="K51" s="334"/>
      <c r="L51" s="334"/>
      <c r="M51" s="331"/>
      <c r="N51" s="331"/>
      <c r="O51" s="331"/>
      <c r="P51" s="331"/>
      <c r="Q51" s="331"/>
      <c r="R51" s="331"/>
      <c r="S51" s="331"/>
      <c r="T51" s="331"/>
      <c r="U51" s="331"/>
      <c r="V51" s="331"/>
      <c r="W51" s="331"/>
      <c r="X51" s="331"/>
      <c r="Y51" s="332"/>
      <c r="Z51" s="332"/>
      <c r="AA51" s="332"/>
      <c r="AB51" s="332"/>
    </row>
    <row r="52" spans="1:28" ht="12.75" customHeight="1" x14ac:dyDescent="0.3">
      <c r="A52" s="866" t="s">
        <v>1708</v>
      </c>
      <c r="B52" s="866"/>
      <c r="C52" s="368">
        <f>IF(L44=0,L19,(L19*0.5+L44*0.5))</f>
        <v>0.95731707317073167</v>
      </c>
      <c r="D52" s="393"/>
      <c r="E52" s="850" t="str">
        <f>+IF($C$52&gt;=0.86,"A",IF(AND($C$52&lt;0.86,$C$52&gt;=0.71),"B",IF(AND($C$52&lt;0.71,$C$52&gt;=0.46),"C",IF(AND($C$52&lt;0.46,$C$52&gt;0),"No califica",IF(C52=0,"No evaluado",)))))</f>
        <v>A</v>
      </c>
      <c r="F52" s="850"/>
      <c r="G52" s="867" t="s">
        <v>1686</v>
      </c>
      <c r="H52" s="867"/>
      <c r="I52" s="867"/>
      <c r="J52" s="867"/>
      <c r="K52" s="867"/>
      <c r="L52" s="369" t="str">
        <f>+IF(E52="A","Excelente",IF(E52="B","Muy Bueno",IF(E52="C","Bueno a regular",IF(E52="No evaluado","","No califica"))))</f>
        <v>Excelente</v>
      </c>
      <c r="M52" s="331"/>
      <c r="N52" s="331"/>
      <c r="O52" s="331"/>
      <c r="P52" s="331"/>
      <c r="Q52" s="331"/>
      <c r="R52" s="331"/>
      <c r="S52" s="331"/>
      <c r="T52" s="331"/>
      <c r="U52" s="331"/>
      <c r="V52" s="331"/>
      <c r="W52" s="331"/>
      <c r="X52" s="331"/>
      <c r="Y52" s="332"/>
      <c r="Z52" s="332"/>
      <c r="AA52" s="332"/>
      <c r="AB52" s="332"/>
    </row>
    <row r="53" spans="1:28" ht="14.25" x14ac:dyDescent="0.3">
      <c r="B53" s="386"/>
      <c r="C53" s="332"/>
      <c r="D53" s="332"/>
      <c r="E53" s="332"/>
      <c r="F53" s="332"/>
      <c r="G53" s="394"/>
      <c r="H53" s="394"/>
      <c r="I53" s="394"/>
      <c r="J53" s="394"/>
      <c r="K53" s="395"/>
      <c r="L53" s="374"/>
      <c r="M53" s="331"/>
      <c r="N53" s="331"/>
      <c r="O53" s="331"/>
      <c r="P53" s="331"/>
      <c r="Q53" s="331"/>
      <c r="R53" s="331"/>
      <c r="S53" s="331"/>
      <c r="T53" s="331"/>
      <c r="U53" s="331"/>
      <c r="V53" s="331"/>
      <c r="W53" s="331"/>
      <c r="X53" s="331"/>
      <c r="Y53" s="332"/>
      <c r="Z53" s="332"/>
      <c r="AA53" s="332"/>
      <c r="AB53" s="332"/>
    </row>
    <row r="54" spans="1:28" ht="12" customHeight="1" x14ac:dyDescent="0.3">
      <c r="B54" s="396"/>
      <c r="C54" s="332"/>
      <c r="E54" s="332"/>
      <c r="F54" s="332"/>
      <c r="G54" s="868" t="s">
        <v>1709</v>
      </c>
      <c r="H54" s="868"/>
      <c r="I54" s="868"/>
      <c r="J54" s="868"/>
      <c r="K54" s="868"/>
      <c r="L54" s="375">
        <v>43313</v>
      </c>
      <c r="M54" s="331"/>
      <c r="N54" s="331"/>
      <c r="O54" s="331"/>
      <c r="P54" s="331"/>
      <c r="Q54" s="331"/>
      <c r="R54" s="331"/>
      <c r="S54" s="331"/>
      <c r="T54" s="331"/>
      <c r="U54" s="331"/>
      <c r="V54" s="331"/>
      <c r="W54" s="331"/>
      <c r="X54" s="331"/>
      <c r="Y54" s="332"/>
      <c r="Z54" s="332"/>
      <c r="AA54" s="332"/>
      <c r="AB54" s="332"/>
    </row>
    <row r="55" spans="1:28" x14ac:dyDescent="0.25">
      <c r="B55" s="332"/>
      <c r="C55" s="332"/>
      <c r="D55" s="332"/>
      <c r="E55" s="332"/>
      <c r="F55" s="332"/>
      <c r="G55" s="332"/>
      <c r="H55" s="332"/>
      <c r="I55" s="332"/>
      <c r="J55" s="332"/>
      <c r="K55" s="332"/>
      <c r="L55" s="332"/>
      <c r="M55" s="331"/>
      <c r="N55" s="331"/>
      <c r="O55" s="331"/>
      <c r="P55" s="331"/>
      <c r="Q55" s="331"/>
      <c r="R55" s="331"/>
      <c r="S55" s="331"/>
      <c r="T55" s="331"/>
      <c r="U55" s="331"/>
      <c r="V55" s="331"/>
      <c r="W55" s="331"/>
      <c r="X55" s="331"/>
      <c r="Y55" s="332"/>
      <c r="Z55" s="332"/>
      <c r="AA55" s="332"/>
      <c r="AB55" s="332"/>
    </row>
    <row r="56" spans="1:28" x14ac:dyDescent="0.25">
      <c r="B56" s="332"/>
      <c r="C56" s="332"/>
      <c r="D56" s="332"/>
      <c r="E56" s="332"/>
      <c r="F56" s="332"/>
      <c r="G56" s="332"/>
      <c r="H56" s="332"/>
      <c r="I56" s="332"/>
      <c r="J56" s="332"/>
      <c r="K56" s="332"/>
      <c r="L56" s="332"/>
      <c r="M56" s="331"/>
      <c r="N56" s="331"/>
      <c r="O56" s="331"/>
      <c r="P56" s="331"/>
      <c r="Q56" s="331"/>
      <c r="R56" s="331"/>
      <c r="S56" s="331"/>
      <c r="T56" s="331"/>
      <c r="U56" s="331"/>
      <c r="V56" s="331"/>
      <c r="W56" s="331"/>
      <c r="X56" s="331"/>
      <c r="Y56" s="332"/>
      <c r="Z56" s="332"/>
      <c r="AA56" s="332"/>
      <c r="AB56" s="332"/>
    </row>
    <row r="57" spans="1:28" ht="12.75" customHeight="1" x14ac:dyDescent="0.3">
      <c r="A57" s="869" t="s">
        <v>1710</v>
      </c>
      <c r="B57" s="869"/>
      <c r="C57" s="932" t="s">
        <v>1711</v>
      </c>
      <c r="D57" s="932"/>
      <c r="E57" s="932"/>
      <c r="F57" s="932"/>
      <c r="G57" s="932"/>
      <c r="H57" s="932"/>
      <c r="I57" s="932"/>
      <c r="J57" s="932"/>
      <c r="K57" s="932"/>
      <c r="L57" s="932"/>
      <c r="M57" s="331"/>
      <c r="N57" s="331"/>
      <c r="O57" s="331"/>
      <c r="P57" s="331"/>
      <c r="Q57" s="331"/>
      <c r="R57" s="331"/>
      <c r="S57" s="331"/>
      <c r="T57" s="331"/>
      <c r="U57" s="331"/>
      <c r="V57" s="331"/>
      <c r="W57" s="331"/>
      <c r="X57" s="331"/>
      <c r="Y57" s="332"/>
      <c r="Z57" s="332"/>
      <c r="AA57" s="332"/>
      <c r="AB57" s="332"/>
    </row>
    <row r="58" spans="1:28" ht="12.75" customHeight="1" x14ac:dyDescent="0.25">
      <c r="A58" s="864"/>
      <c r="B58" s="864"/>
      <c r="C58" s="864"/>
      <c r="D58" s="864"/>
      <c r="E58" s="864"/>
      <c r="F58" s="864"/>
      <c r="G58" s="864"/>
      <c r="H58" s="864"/>
      <c r="I58" s="864"/>
      <c r="J58" s="864"/>
      <c r="K58" s="864"/>
      <c r="L58" s="864"/>
      <c r="M58" s="331"/>
      <c r="N58" s="331"/>
      <c r="O58" s="331"/>
      <c r="P58" s="331"/>
      <c r="Q58" s="331"/>
      <c r="R58" s="331"/>
      <c r="S58" s="331"/>
      <c r="T58" s="331"/>
      <c r="U58" s="331"/>
      <c r="V58" s="331"/>
      <c r="W58" s="331"/>
      <c r="X58" s="331"/>
      <c r="Y58" s="332"/>
      <c r="Z58" s="332"/>
      <c r="AA58" s="332"/>
      <c r="AB58" s="332"/>
    </row>
    <row r="59" spans="1:28" ht="9.75" customHeight="1" x14ac:dyDescent="0.25"/>
    <row r="60" spans="1:28" s="339" customFormat="1" ht="24" customHeight="1" x14ac:dyDescent="0.2">
      <c r="A60" s="865" t="s">
        <v>1712</v>
      </c>
      <c r="B60" s="865"/>
      <c r="C60" s="865"/>
      <c r="D60" s="865"/>
      <c r="E60" s="865"/>
      <c r="F60" s="865"/>
      <c r="G60" s="865"/>
      <c r="H60" s="865"/>
      <c r="I60" s="865"/>
      <c r="J60" s="865"/>
      <c r="K60" s="865"/>
      <c r="L60" s="865"/>
      <c r="M60" s="397"/>
      <c r="N60" s="397"/>
      <c r="O60" s="397"/>
      <c r="P60" s="397"/>
      <c r="Q60" s="397"/>
      <c r="R60" s="397"/>
      <c r="S60" s="397"/>
      <c r="T60" s="397"/>
      <c r="U60" s="397"/>
      <c r="V60" s="397"/>
      <c r="W60" s="397"/>
      <c r="X60" s="397"/>
    </row>
    <row r="61" spans="1:28" ht="13.5" x14ac:dyDescent="0.3">
      <c r="H61" s="396" t="s">
        <v>1713</v>
      </c>
      <c r="I61" s="396"/>
      <c r="J61" s="340"/>
      <c r="L61" s="398" t="s">
        <v>1714</v>
      </c>
    </row>
    <row r="62" spans="1:28" ht="13.5" x14ac:dyDescent="0.3">
      <c r="H62" s="396" t="s">
        <v>1715</v>
      </c>
      <c r="I62" s="396"/>
      <c r="J62" s="340"/>
      <c r="L62" s="398" t="s">
        <v>1716</v>
      </c>
    </row>
    <row r="63" spans="1:28" ht="13.5" x14ac:dyDescent="0.3">
      <c r="H63" s="396" t="s">
        <v>1717</v>
      </c>
      <c r="I63" s="396"/>
      <c r="J63" s="340"/>
      <c r="L63" s="398" t="s">
        <v>1718</v>
      </c>
    </row>
    <row r="64" spans="1:28" ht="13.5" x14ac:dyDescent="0.3">
      <c r="H64" s="396" t="s">
        <v>1719</v>
      </c>
      <c r="I64" s="396"/>
      <c r="J64" s="340"/>
      <c r="L64" s="398" t="s">
        <v>1720</v>
      </c>
    </row>
  </sheetData>
  <mergeCells count="69">
    <mergeCell ref="A5:B5"/>
    <mergeCell ref="C5:L5"/>
    <mergeCell ref="A1:B2"/>
    <mergeCell ref="C1:L1"/>
    <mergeCell ref="C2:E2"/>
    <mergeCell ref="F2:L2"/>
    <mergeCell ref="A4:L4"/>
    <mergeCell ref="B15:C15"/>
    <mergeCell ref="A6:B6"/>
    <mergeCell ref="C6:L6"/>
    <mergeCell ref="A8:L8"/>
    <mergeCell ref="D10:G10"/>
    <mergeCell ref="H10:K10"/>
    <mergeCell ref="B11:C11"/>
    <mergeCell ref="O11:S11"/>
    <mergeCell ref="T11:X11"/>
    <mergeCell ref="B12:C12"/>
    <mergeCell ref="B13:C13"/>
    <mergeCell ref="B14:C14"/>
    <mergeCell ref="B16:C16"/>
    <mergeCell ref="B17:C17"/>
    <mergeCell ref="B18:C18"/>
    <mergeCell ref="A21:B21"/>
    <mergeCell ref="E21:F21"/>
    <mergeCell ref="T28:X28"/>
    <mergeCell ref="O21:P21"/>
    <mergeCell ref="Q21:R21"/>
    <mergeCell ref="S21:U21"/>
    <mergeCell ref="A23:B23"/>
    <mergeCell ref="C23:F23"/>
    <mergeCell ref="H23:K23"/>
    <mergeCell ref="H21:K21"/>
    <mergeCell ref="A25:L25"/>
    <mergeCell ref="D27:G27"/>
    <mergeCell ref="H27:K27"/>
    <mergeCell ref="B28:C28"/>
    <mergeCell ref="O28:S28"/>
    <mergeCell ref="B40:C40"/>
    <mergeCell ref="B29:C29"/>
    <mergeCell ref="B30:C30"/>
    <mergeCell ref="B31:C31"/>
    <mergeCell ref="B32:C32"/>
    <mergeCell ref="B33:C33"/>
    <mergeCell ref="B34:C34"/>
    <mergeCell ref="B35:C35"/>
    <mergeCell ref="B36:C36"/>
    <mergeCell ref="B37:C37"/>
    <mergeCell ref="B38:C38"/>
    <mergeCell ref="B39:C39"/>
    <mergeCell ref="B41:C41"/>
    <mergeCell ref="B42:C42"/>
    <mergeCell ref="B43:C43"/>
    <mergeCell ref="A47:B47"/>
    <mergeCell ref="E47:F47"/>
    <mergeCell ref="O47:P47"/>
    <mergeCell ref="Q47:R47"/>
    <mergeCell ref="S47:U47"/>
    <mergeCell ref="A49:B49"/>
    <mergeCell ref="C49:F49"/>
    <mergeCell ref="H49:K49"/>
    <mergeCell ref="H47:K47"/>
    <mergeCell ref="A58:L58"/>
    <mergeCell ref="A60:L60"/>
    <mergeCell ref="A52:B52"/>
    <mergeCell ref="E52:F52"/>
    <mergeCell ref="G52:K52"/>
    <mergeCell ref="G54:K54"/>
    <mergeCell ref="A57:B57"/>
    <mergeCell ref="C57:L57"/>
  </mergeCells>
  <pageMargins left="0.75" right="0.75" top="1" bottom="1" header="0" footer="0"/>
  <pageSetup paperSize="9" scale="78" orientation="portrait" r:id="rId1"/>
  <headerFooter alignWithMargins="0">
    <oddFooter>&amp;L&amp;7EMISIÓN: 5/05/10 
Revisión 1&amp;C&amp;7Revisa y Aprueba : Ruth Clausen&amp;R&amp;7&amp;P de &amp;N</oddFooter>
  </headerFooter>
  <colBreaks count="1" manualBreakCount="1">
    <brk id="12"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tint="0.39997558519241921"/>
  </sheetPr>
  <dimension ref="A1:AM64"/>
  <sheetViews>
    <sheetView workbookViewId="0">
      <selection sqref="A1:B2"/>
    </sheetView>
  </sheetViews>
  <sheetFormatPr baseColWidth="10" defaultRowHeight="11.25" x14ac:dyDescent="0.2"/>
  <cols>
    <col min="1" max="1" width="2.7109375" style="533" customWidth="1"/>
    <col min="2" max="2" width="18.7109375" style="532" customWidth="1"/>
    <col min="3" max="3" width="15.28515625" style="532" customWidth="1"/>
    <col min="4" max="4" width="5.5703125" style="532" customWidth="1"/>
    <col min="5" max="5" width="5" style="532" customWidth="1"/>
    <col min="6" max="7" width="5.5703125" style="532" customWidth="1"/>
    <col min="8" max="8" width="7.28515625" style="532" customWidth="1"/>
    <col min="9" max="10" width="5.85546875" style="532" customWidth="1"/>
    <col min="11" max="11" width="5.7109375" style="532" customWidth="1"/>
    <col min="12" max="12" width="17.28515625" style="532" customWidth="1"/>
    <col min="13" max="14" width="12.28515625" style="583" hidden="1" customWidth="1"/>
    <col min="15" max="23" width="8.7109375" style="583" hidden="1" customWidth="1"/>
    <col min="24" max="24" width="15.85546875" style="583" hidden="1" customWidth="1"/>
    <col min="25" max="25" width="8" style="532" customWidth="1"/>
    <col min="26" max="26" width="11.5703125" style="532" customWidth="1"/>
    <col min="27" max="27" width="10.7109375" style="532" customWidth="1"/>
    <col min="28" max="28" width="4.42578125" style="532" customWidth="1"/>
    <col min="29" max="16384" width="11.42578125" style="532"/>
  </cols>
  <sheetData>
    <row r="1" spans="1:39" ht="28.5" customHeight="1" thickBot="1" x14ac:dyDescent="0.25">
      <c r="A1" s="919"/>
      <c r="B1" s="920"/>
      <c r="C1" s="933" t="s">
        <v>2428</v>
      </c>
      <c r="D1" s="934"/>
      <c r="E1" s="934"/>
      <c r="F1" s="934"/>
      <c r="G1" s="934"/>
      <c r="H1" s="934"/>
      <c r="I1" s="934"/>
      <c r="J1" s="934"/>
      <c r="K1" s="934"/>
      <c r="L1" s="935"/>
      <c r="M1" s="529"/>
      <c r="N1" s="530"/>
      <c r="O1" s="530"/>
      <c r="P1" s="530"/>
      <c r="Q1" s="530"/>
      <c r="R1" s="530"/>
      <c r="S1" s="530"/>
      <c r="T1" s="530"/>
      <c r="U1" s="530"/>
      <c r="V1" s="530"/>
      <c r="W1" s="530"/>
      <c r="X1" s="530"/>
      <c r="Y1" s="531"/>
      <c r="Z1" s="531"/>
      <c r="AA1" s="531"/>
      <c r="AB1" s="531"/>
    </row>
    <row r="2" spans="1:39" ht="24.75" customHeight="1" thickBot="1" x14ac:dyDescent="0.25">
      <c r="A2" s="921"/>
      <c r="B2" s="922"/>
      <c r="C2" s="926" t="s">
        <v>1658</v>
      </c>
      <c r="D2" s="927"/>
      <c r="E2" s="928"/>
      <c r="F2" s="936" t="s">
        <v>1659</v>
      </c>
      <c r="G2" s="937"/>
      <c r="H2" s="937"/>
      <c r="I2" s="937"/>
      <c r="J2" s="937"/>
      <c r="K2" s="937"/>
      <c r="L2" s="938"/>
      <c r="M2" s="530"/>
      <c r="N2" s="530"/>
      <c r="O2" s="530"/>
      <c r="P2" s="530"/>
      <c r="Q2" s="530"/>
      <c r="R2" s="530"/>
      <c r="S2" s="530"/>
      <c r="T2" s="530"/>
      <c r="U2" s="530"/>
      <c r="V2" s="530"/>
      <c r="W2" s="530"/>
      <c r="X2" s="530"/>
      <c r="Y2" s="531"/>
      <c r="Z2" s="531"/>
      <c r="AA2" s="531"/>
      <c r="AB2" s="531"/>
    </row>
    <row r="3" spans="1:39" ht="9" customHeight="1" thickBot="1" x14ac:dyDescent="0.25">
      <c r="B3" s="534"/>
      <c r="C3" s="535"/>
      <c r="D3" s="535"/>
      <c r="E3" s="535"/>
      <c r="F3" s="535"/>
      <c r="G3" s="535"/>
      <c r="H3" s="535"/>
      <c r="I3" s="535"/>
      <c r="J3" s="535"/>
      <c r="K3" s="535"/>
      <c r="L3" s="535"/>
      <c r="M3" s="530"/>
      <c r="N3" s="530"/>
      <c r="O3" s="530"/>
      <c r="P3" s="530"/>
      <c r="Q3" s="530"/>
      <c r="R3" s="530"/>
      <c r="S3" s="530"/>
      <c r="T3" s="530"/>
      <c r="U3" s="530"/>
      <c r="V3" s="530"/>
      <c r="W3" s="530"/>
      <c r="X3" s="530"/>
      <c r="Y3" s="531"/>
      <c r="Z3" s="531"/>
      <c r="AA3" s="531"/>
      <c r="AB3" s="531"/>
    </row>
    <row r="4" spans="1:39" s="538" customFormat="1" ht="18.75" customHeight="1" thickBot="1" x14ac:dyDescent="0.25">
      <c r="A4" s="929" t="s">
        <v>1660</v>
      </c>
      <c r="B4" s="930"/>
      <c r="C4" s="930"/>
      <c r="D4" s="930"/>
      <c r="E4" s="930"/>
      <c r="F4" s="930"/>
      <c r="G4" s="930"/>
      <c r="H4" s="930"/>
      <c r="I4" s="930"/>
      <c r="J4" s="930"/>
      <c r="K4" s="930"/>
      <c r="L4" s="931"/>
      <c r="M4" s="536"/>
      <c r="N4" s="536"/>
      <c r="O4" s="536"/>
      <c r="P4" s="536"/>
      <c r="Q4" s="536"/>
      <c r="R4" s="536"/>
      <c r="S4" s="536"/>
      <c r="T4" s="536"/>
      <c r="U4" s="536"/>
      <c r="V4" s="536"/>
      <c r="W4" s="536"/>
      <c r="X4" s="536"/>
      <c r="Y4" s="537"/>
      <c r="Z4" s="537"/>
      <c r="AA4" s="537"/>
      <c r="AB4" s="537"/>
    </row>
    <row r="5" spans="1:39" s="538" customFormat="1" ht="16.5" customHeight="1" thickBot="1" x14ac:dyDescent="0.25">
      <c r="A5" s="914" t="s">
        <v>1661</v>
      </c>
      <c r="B5" s="915"/>
      <c r="C5" s="916" t="s">
        <v>47</v>
      </c>
      <c r="D5" s="917"/>
      <c r="E5" s="917"/>
      <c r="F5" s="917"/>
      <c r="G5" s="917"/>
      <c r="H5" s="917"/>
      <c r="I5" s="917"/>
      <c r="J5" s="917"/>
      <c r="K5" s="917"/>
      <c r="L5" s="918"/>
      <c r="M5" s="536"/>
      <c r="N5" s="536"/>
      <c r="O5" s="536"/>
      <c r="P5" s="536"/>
      <c r="Q5" s="536"/>
      <c r="R5" s="536"/>
      <c r="S5" s="536"/>
      <c r="T5" s="536"/>
      <c r="U5" s="536"/>
      <c r="V5" s="536"/>
      <c r="W5" s="536"/>
      <c r="X5" s="536"/>
      <c r="Y5" s="537"/>
      <c r="Z5" s="537"/>
      <c r="AA5" s="537"/>
      <c r="AB5" s="537"/>
    </row>
    <row r="6" spans="1:39" ht="16.5" customHeight="1" thickBot="1" x14ac:dyDescent="0.25">
      <c r="A6" s="902" t="s">
        <v>1662</v>
      </c>
      <c r="B6" s="903"/>
      <c r="C6" s="904" t="s">
        <v>1663</v>
      </c>
      <c r="D6" s="905"/>
      <c r="E6" s="905"/>
      <c r="F6" s="905"/>
      <c r="G6" s="905"/>
      <c r="H6" s="905"/>
      <c r="I6" s="905"/>
      <c r="J6" s="905"/>
      <c r="K6" s="905"/>
      <c r="L6" s="906"/>
      <c r="M6" s="530"/>
      <c r="N6" s="530"/>
      <c r="O6" s="530"/>
      <c r="P6" s="530"/>
      <c r="Q6" s="530"/>
      <c r="R6" s="530"/>
      <c r="S6" s="530"/>
      <c r="T6" s="530"/>
      <c r="U6" s="530"/>
      <c r="V6" s="530"/>
      <c r="W6" s="530"/>
      <c r="X6" s="530"/>
      <c r="Y6" s="531"/>
      <c r="Z6" s="531"/>
      <c r="AA6" s="531"/>
      <c r="AB6" s="531"/>
    </row>
    <row r="7" spans="1:39" ht="12" customHeight="1" thickBot="1" x14ac:dyDescent="0.25">
      <c r="B7" s="539"/>
      <c r="D7" s="533"/>
      <c r="E7" s="533"/>
      <c r="F7" s="533"/>
      <c r="G7" s="533"/>
      <c r="H7" s="533"/>
      <c r="I7" s="533"/>
      <c r="J7" s="533"/>
      <c r="K7" s="533"/>
      <c r="L7" s="533"/>
      <c r="M7" s="530"/>
      <c r="N7" s="530"/>
      <c r="O7" s="530"/>
      <c r="P7" s="530"/>
      <c r="Q7" s="530"/>
      <c r="R7" s="530"/>
      <c r="S7" s="530"/>
      <c r="T7" s="530"/>
      <c r="U7" s="530"/>
      <c r="V7" s="530"/>
      <c r="W7" s="530"/>
      <c r="X7" s="530"/>
      <c r="Y7" s="531"/>
      <c r="Z7" s="531"/>
      <c r="AA7" s="531"/>
      <c r="AB7" s="531"/>
    </row>
    <row r="8" spans="1:39" ht="15" customHeight="1" thickBot="1" x14ac:dyDescent="0.25">
      <c r="A8" s="907" t="s">
        <v>1664</v>
      </c>
      <c r="B8" s="908"/>
      <c r="C8" s="908"/>
      <c r="D8" s="908"/>
      <c r="E8" s="908"/>
      <c r="F8" s="908"/>
      <c r="G8" s="908"/>
      <c r="H8" s="908"/>
      <c r="I8" s="908"/>
      <c r="J8" s="908"/>
      <c r="K8" s="908"/>
      <c r="L8" s="909"/>
      <c r="M8" s="530"/>
      <c r="N8" s="530"/>
      <c r="O8" s="530"/>
      <c r="P8" s="530"/>
      <c r="Q8" s="530"/>
      <c r="R8" s="530"/>
      <c r="S8" s="530"/>
      <c r="T8" s="530"/>
      <c r="U8" s="530"/>
      <c r="V8" s="530"/>
      <c r="W8" s="530"/>
      <c r="X8" s="530"/>
      <c r="Y8" s="531"/>
      <c r="Z8" s="531"/>
      <c r="AA8" s="531"/>
      <c r="AB8" s="531"/>
    </row>
    <row r="9" spans="1:39" ht="20.25" customHeight="1" x14ac:dyDescent="0.2">
      <c r="B9" s="539"/>
      <c r="D9" s="533"/>
      <c r="E9" s="533"/>
      <c r="F9" s="533"/>
      <c r="G9" s="533"/>
      <c r="H9" s="533"/>
      <c r="I9" s="533"/>
      <c r="J9" s="533"/>
      <c r="K9" s="533"/>
      <c r="L9" s="533"/>
      <c r="M9" s="530"/>
      <c r="N9" s="530"/>
      <c r="O9" s="530"/>
      <c r="P9" s="530"/>
      <c r="Q9" s="530"/>
      <c r="R9" s="530"/>
      <c r="S9" s="530"/>
      <c r="T9" s="530"/>
      <c r="U9" s="530"/>
      <c r="V9" s="530"/>
      <c r="W9" s="530"/>
      <c r="X9" s="530"/>
      <c r="Y9" s="531"/>
      <c r="Z9" s="531"/>
      <c r="AA9" s="531"/>
      <c r="AB9" s="531"/>
    </row>
    <row r="10" spans="1:39" x14ac:dyDescent="0.2">
      <c r="B10" s="539"/>
      <c r="D10" s="910" t="s">
        <v>1665</v>
      </c>
      <c r="E10" s="910"/>
      <c r="F10" s="910"/>
      <c r="G10" s="910"/>
      <c r="H10" s="911" t="s">
        <v>1666</v>
      </c>
      <c r="I10" s="912"/>
      <c r="J10" s="912"/>
      <c r="K10" s="913"/>
      <c r="L10" s="540" t="s">
        <v>1667</v>
      </c>
      <c r="M10" s="530"/>
      <c r="N10" s="530"/>
      <c r="O10" s="530"/>
      <c r="P10" s="530"/>
      <c r="Q10" s="530"/>
      <c r="R10" s="530"/>
      <c r="S10" s="530"/>
      <c r="T10" s="530"/>
      <c r="U10" s="530"/>
      <c r="V10" s="530"/>
      <c r="W10" s="530"/>
      <c r="X10" s="530"/>
      <c r="Y10" s="531"/>
      <c r="Z10" s="531"/>
      <c r="AA10" s="531"/>
      <c r="AB10" s="531"/>
    </row>
    <row r="11" spans="1:39" x14ac:dyDescent="0.2">
      <c r="A11" s="541" t="s">
        <v>1668</v>
      </c>
      <c r="B11" s="898" t="s">
        <v>1669</v>
      </c>
      <c r="C11" s="898"/>
      <c r="D11" s="542">
        <v>1</v>
      </c>
      <c r="E11" s="542">
        <v>2</v>
      </c>
      <c r="F11" s="542">
        <v>3</v>
      </c>
      <c r="G11" s="543">
        <v>4</v>
      </c>
      <c r="H11" s="544" t="s">
        <v>1670</v>
      </c>
      <c r="I11" s="544" t="s">
        <v>1671</v>
      </c>
      <c r="J11" s="544" t="s">
        <v>1672</v>
      </c>
      <c r="K11" s="544" t="s">
        <v>1673</v>
      </c>
      <c r="L11" s="541" t="s">
        <v>1674</v>
      </c>
      <c r="M11" s="545" t="s">
        <v>1675</v>
      </c>
      <c r="N11" s="545" t="s">
        <v>1676</v>
      </c>
      <c r="O11" s="889" t="s">
        <v>1677</v>
      </c>
      <c r="P11" s="889"/>
      <c r="Q11" s="889"/>
      <c r="R11" s="889"/>
      <c r="S11" s="899"/>
      <c r="T11" s="889" t="s">
        <v>1666</v>
      </c>
      <c r="U11" s="889"/>
      <c r="V11" s="889"/>
      <c r="W11" s="889"/>
      <c r="X11" s="889"/>
      <c r="Y11" s="531"/>
      <c r="Z11" s="531"/>
      <c r="AA11" s="531"/>
      <c r="AB11" s="531"/>
      <c r="AC11" s="546"/>
      <c r="AD11" s="546"/>
      <c r="AE11" s="546"/>
      <c r="AF11" s="546"/>
      <c r="AG11" s="546"/>
      <c r="AH11" s="546"/>
      <c r="AI11" s="546"/>
      <c r="AJ11" s="546"/>
      <c r="AK11" s="546"/>
      <c r="AL11" s="546"/>
      <c r="AM11" s="546"/>
    </row>
    <row r="12" spans="1:39" x14ac:dyDescent="0.2">
      <c r="A12" s="547">
        <v>1</v>
      </c>
      <c r="B12" s="887" t="s">
        <v>1678</v>
      </c>
      <c r="C12" s="901"/>
      <c r="D12" s="548"/>
      <c r="E12" s="548"/>
      <c r="F12" s="548" t="s">
        <v>1679</v>
      </c>
      <c r="G12" s="549"/>
      <c r="H12" s="548"/>
      <c r="I12" s="548"/>
      <c r="J12" s="548"/>
      <c r="K12" s="548" t="s">
        <v>1679</v>
      </c>
      <c r="L12" s="550">
        <f t="shared" ref="L12:L18" si="0">IF($M$19=0,0,N12/$M$19)</f>
        <v>0.11842105263157894</v>
      </c>
      <c r="M12" s="545">
        <f t="shared" ref="M12:M18" si="1">+X12*10</f>
        <v>300</v>
      </c>
      <c r="N12" s="545">
        <f t="shared" ref="N12:N18" si="2">+S12*X12</f>
        <v>225</v>
      </c>
      <c r="O12" s="551">
        <f t="shared" ref="O12:O18" si="3">IF(D12="X",2.5,0)</f>
        <v>0</v>
      </c>
      <c r="P12" s="552">
        <f t="shared" ref="P12:P18" si="4">IF(E12="X",5,0)</f>
        <v>0</v>
      </c>
      <c r="Q12" s="552">
        <f t="shared" ref="Q12:Q18" si="5">IF(F12="X",7.5,0)</f>
        <v>7.5</v>
      </c>
      <c r="R12" s="552">
        <f t="shared" ref="R12:R18" si="6">IF(G12="X",10,0)</f>
        <v>0</v>
      </c>
      <c r="S12" s="553">
        <f t="shared" ref="S12:S18" si="7">SUM(O12:R12)</f>
        <v>7.5</v>
      </c>
      <c r="T12" s="551">
        <f t="shared" ref="T12:T18" si="8">IF(H12="X",0,0)</f>
        <v>0</v>
      </c>
      <c r="U12" s="552">
        <f t="shared" ref="U12:U18" si="9">IF(I12="X",10,0)</f>
        <v>0</v>
      </c>
      <c r="V12" s="552">
        <f t="shared" ref="V12:V18" si="10">IF(J12="X",20,0)</f>
        <v>0</v>
      </c>
      <c r="W12" s="552">
        <f t="shared" ref="W12:W18" si="11">IF(K12="X",30,0)</f>
        <v>30</v>
      </c>
      <c r="X12" s="553">
        <f t="shared" ref="X12:X18" si="12">SUM(U12:W12)</f>
        <v>30</v>
      </c>
      <c r="Y12" s="531"/>
      <c r="Z12" s="531"/>
      <c r="AA12" s="531"/>
      <c r="AB12" s="531"/>
      <c r="AC12" s="546"/>
      <c r="AD12" s="546"/>
      <c r="AE12" s="546"/>
      <c r="AF12" s="546"/>
      <c r="AG12" s="546"/>
      <c r="AH12" s="546"/>
      <c r="AI12" s="546"/>
      <c r="AJ12" s="546"/>
      <c r="AK12" s="546"/>
      <c r="AL12" s="546"/>
      <c r="AM12" s="546"/>
    </row>
    <row r="13" spans="1:39" x14ac:dyDescent="0.2">
      <c r="A13" s="554">
        <v>2</v>
      </c>
      <c r="B13" s="883" t="s">
        <v>1680</v>
      </c>
      <c r="C13" s="884"/>
      <c r="D13" s="555"/>
      <c r="E13" s="555"/>
      <c r="F13" s="555" t="s">
        <v>1679</v>
      </c>
      <c r="G13" s="556"/>
      <c r="H13" s="555"/>
      <c r="I13" s="555"/>
      <c r="J13" s="555"/>
      <c r="K13" s="555" t="s">
        <v>1679</v>
      </c>
      <c r="L13" s="557">
        <f t="shared" si="0"/>
        <v>0.11842105263157894</v>
      </c>
      <c r="M13" s="545">
        <f t="shared" si="1"/>
        <v>300</v>
      </c>
      <c r="N13" s="545">
        <f>+S13*X13</f>
        <v>225</v>
      </c>
      <c r="O13" s="558">
        <f t="shared" si="3"/>
        <v>0</v>
      </c>
      <c r="P13" s="530">
        <f t="shared" si="4"/>
        <v>0</v>
      </c>
      <c r="Q13" s="530">
        <f t="shared" si="5"/>
        <v>7.5</v>
      </c>
      <c r="R13" s="530">
        <f t="shared" si="6"/>
        <v>0</v>
      </c>
      <c r="S13" s="559">
        <f t="shared" si="7"/>
        <v>7.5</v>
      </c>
      <c r="T13" s="558">
        <f t="shared" si="8"/>
        <v>0</v>
      </c>
      <c r="U13" s="530">
        <f t="shared" si="9"/>
        <v>0</v>
      </c>
      <c r="V13" s="530">
        <f t="shared" si="10"/>
        <v>0</v>
      </c>
      <c r="W13" s="530">
        <f t="shared" si="11"/>
        <v>30</v>
      </c>
      <c r="X13" s="559">
        <f t="shared" si="12"/>
        <v>30</v>
      </c>
      <c r="Y13" s="531"/>
      <c r="Z13" s="531"/>
      <c r="AA13" s="531"/>
      <c r="AB13" s="531"/>
      <c r="AC13" s="546"/>
      <c r="AD13" s="546"/>
      <c r="AE13" s="546"/>
      <c r="AF13" s="546"/>
      <c r="AG13" s="546"/>
      <c r="AH13" s="546"/>
      <c r="AI13" s="546"/>
      <c r="AJ13" s="546"/>
      <c r="AK13" s="546"/>
      <c r="AL13" s="546"/>
      <c r="AM13" s="546"/>
    </row>
    <row r="14" spans="1:39" x14ac:dyDescent="0.2">
      <c r="A14" s="554">
        <v>3</v>
      </c>
      <c r="B14" s="883" t="s">
        <v>1681</v>
      </c>
      <c r="C14" s="884"/>
      <c r="D14" s="555"/>
      <c r="E14" s="556"/>
      <c r="F14" s="556" t="s">
        <v>1679</v>
      </c>
      <c r="G14" s="556"/>
      <c r="H14" s="555"/>
      <c r="I14" s="555"/>
      <c r="J14" s="555"/>
      <c r="K14" s="556" t="s">
        <v>1679</v>
      </c>
      <c r="L14" s="557">
        <f t="shared" si="0"/>
        <v>0.11842105263157894</v>
      </c>
      <c r="M14" s="545">
        <f t="shared" si="1"/>
        <v>300</v>
      </c>
      <c r="N14" s="545">
        <f t="shared" si="2"/>
        <v>225</v>
      </c>
      <c r="O14" s="558">
        <f t="shared" si="3"/>
        <v>0</v>
      </c>
      <c r="P14" s="530">
        <f t="shared" si="4"/>
        <v>0</v>
      </c>
      <c r="Q14" s="530">
        <f t="shared" si="5"/>
        <v>7.5</v>
      </c>
      <c r="R14" s="530">
        <f t="shared" si="6"/>
        <v>0</v>
      </c>
      <c r="S14" s="559">
        <f t="shared" si="7"/>
        <v>7.5</v>
      </c>
      <c r="T14" s="558">
        <f t="shared" si="8"/>
        <v>0</v>
      </c>
      <c r="U14" s="530">
        <f t="shared" si="9"/>
        <v>0</v>
      </c>
      <c r="V14" s="530">
        <f t="shared" si="10"/>
        <v>0</v>
      </c>
      <c r="W14" s="530">
        <f t="shared" si="11"/>
        <v>30</v>
      </c>
      <c r="X14" s="559">
        <f t="shared" si="12"/>
        <v>30</v>
      </c>
      <c r="Y14" s="531"/>
      <c r="Z14" s="531"/>
      <c r="AA14" s="531"/>
      <c r="AB14" s="531"/>
      <c r="AC14" s="546"/>
      <c r="AD14" s="546"/>
      <c r="AE14" s="546"/>
      <c r="AF14" s="546"/>
      <c r="AG14" s="546"/>
      <c r="AH14" s="546"/>
      <c r="AI14" s="546"/>
      <c r="AJ14" s="546"/>
      <c r="AK14" s="546"/>
      <c r="AL14" s="546"/>
      <c r="AM14" s="546"/>
    </row>
    <row r="15" spans="1:39" x14ac:dyDescent="0.2">
      <c r="A15" s="554">
        <v>4</v>
      </c>
      <c r="B15" s="883" t="s">
        <v>1682</v>
      </c>
      <c r="C15" s="884"/>
      <c r="D15" s="555"/>
      <c r="E15" s="555"/>
      <c r="F15" s="555" t="s">
        <v>1679</v>
      </c>
      <c r="G15" s="556"/>
      <c r="H15" s="555"/>
      <c r="I15" s="555"/>
      <c r="J15" s="555"/>
      <c r="K15" s="556" t="s">
        <v>1679</v>
      </c>
      <c r="L15" s="557">
        <f t="shared" si="0"/>
        <v>0.11842105263157894</v>
      </c>
      <c r="M15" s="545">
        <f t="shared" si="1"/>
        <v>300</v>
      </c>
      <c r="N15" s="545">
        <f t="shared" si="2"/>
        <v>225</v>
      </c>
      <c r="O15" s="558">
        <f t="shared" si="3"/>
        <v>0</v>
      </c>
      <c r="P15" s="530">
        <f t="shared" si="4"/>
        <v>0</v>
      </c>
      <c r="Q15" s="530">
        <f t="shared" si="5"/>
        <v>7.5</v>
      </c>
      <c r="R15" s="530">
        <f t="shared" si="6"/>
        <v>0</v>
      </c>
      <c r="S15" s="559">
        <f t="shared" si="7"/>
        <v>7.5</v>
      </c>
      <c r="T15" s="558">
        <f t="shared" si="8"/>
        <v>0</v>
      </c>
      <c r="U15" s="530">
        <f t="shared" si="9"/>
        <v>0</v>
      </c>
      <c r="V15" s="530">
        <f t="shared" si="10"/>
        <v>0</v>
      </c>
      <c r="W15" s="530">
        <f t="shared" si="11"/>
        <v>30</v>
      </c>
      <c r="X15" s="559">
        <f t="shared" si="12"/>
        <v>30</v>
      </c>
      <c r="Y15" s="531"/>
      <c r="Z15" s="531"/>
      <c r="AA15" s="531"/>
      <c r="AB15" s="531"/>
      <c r="AC15" s="546"/>
      <c r="AD15" s="546"/>
      <c r="AE15" s="546"/>
      <c r="AF15" s="546"/>
      <c r="AG15" s="546"/>
      <c r="AH15" s="546"/>
      <c r="AI15" s="546"/>
      <c r="AJ15" s="546"/>
      <c r="AK15" s="546"/>
      <c r="AL15" s="546"/>
      <c r="AM15" s="546"/>
    </row>
    <row r="16" spans="1:39" x14ac:dyDescent="0.2">
      <c r="A16" s="554">
        <v>5</v>
      </c>
      <c r="B16" s="883" t="s">
        <v>1586</v>
      </c>
      <c r="C16" s="884"/>
      <c r="D16" s="555"/>
      <c r="E16" s="555" t="s">
        <v>1679</v>
      </c>
      <c r="F16" s="555"/>
      <c r="G16" s="556"/>
      <c r="H16" s="555"/>
      <c r="I16" s="555" t="s">
        <v>1679</v>
      </c>
      <c r="J16" s="555"/>
      <c r="K16" s="556"/>
      <c r="L16" s="557">
        <f t="shared" si="0"/>
        <v>2.6315789473684209E-2</v>
      </c>
      <c r="M16" s="545">
        <f t="shared" si="1"/>
        <v>100</v>
      </c>
      <c r="N16" s="545">
        <f t="shared" si="2"/>
        <v>50</v>
      </c>
      <c r="O16" s="558">
        <f t="shared" si="3"/>
        <v>0</v>
      </c>
      <c r="P16" s="530">
        <f t="shared" si="4"/>
        <v>5</v>
      </c>
      <c r="Q16" s="530">
        <f t="shared" si="5"/>
        <v>0</v>
      </c>
      <c r="R16" s="530">
        <f t="shared" si="6"/>
        <v>0</v>
      </c>
      <c r="S16" s="559">
        <f t="shared" si="7"/>
        <v>5</v>
      </c>
      <c r="T16" s="558">
        <f t="shared" si="8"/>
        <v>0</v>
      </c>
      <c r="U16" s="530">
        <f t="shared" si="9"/>
        <v>10</v>
      </c>
      <c r="V16" s="530">
        <f t="shared" si="10"/>
        <v>0</v>
      </c>
      <c r="W16" s="530">
        <f t="shared" si="11"/>
        <v>0</v>
      </c>
      <c r="X16" s="559">
        <f t="shared" si="12"/>
        <v>10</v>
      </c>
      <c r="Y16" s="531"/>
      <c r="Z16" s="531"/>
      <c r="AA16" s="531"/>
      <c r="AB16" s="531"/>
      <c r="AC16" s="546"/>
      <c r="AD16" s="546"/>
      <c r="AE16" s="546"/>
      <c r="AF16" s="546"/>
      <c r="AG16" s="546"/>
      <c r="AH16" s="546"/>
      <c r="AI16" s="546"/>
      <c r="AJ16" s="546"/>
      <c r="AK16" s="546"/>
      <c r="AL16" s="546"/>
      <c r="AM16" s="546"/>
    </row>
    <row r="17" spans="1:39" x14ac:dyDescent="0.2">
      <c r="A17" s="554">
        <v>6</v>
      </c>
      <c r="B17" s="900" t="s">
        <v>1683</v>
      </c>
      <c r="C17" s="900"/>
      <c r="D17" s="555"/>
      <c r="E17" s="555"/>
      <c r="F17" s="555"/>
      <c r="G17" s="560" t="s">
        <v>1679</v>
      </c>
      <c r="H17" s="555"/>
      <c r="I17" s="555"/>
      <c r="J17" s="555"/>
      <c r="K17" s="560" t="s">
        <v>1679</v>
      </c>
      <c r="L17" s="557">
        <f t="shared" si="0"/>
        <v>0.15789473684210525</v>
      </c>
      <c r="M17" s="545">
        <f t="shared" si="1"/>
        <v>300</v>
      </c>
      <c r="N17" s="545">
        <f t="shared" si="2"/>
        <v>300</v>
      </c>
      <c r="O17" s="558">
        <f t="shared" si="3"/>
        <v>0</v>
      </c>
      <c r="P17" s="530">
        <f t="shared" si="4"/>
        <v>0</v>
      </c>
      <c r="Q17" s="530">
        <f t="shared" si="5"/>
        <v>0</v>
      </c>
      <c r="R17" s="530">
        <f t="shared" si="6"/>
        <v>10</v>
      </c>
      <c r="S17" s="559">
        <f t="shared" si="7"/>
        <v>10</v>
      </c>
      <c r="T17" s="558">
        <f t="shared" si="8"/>
        <v>0</v>
      </c>
      <c r="U17" s="530">
        <f t="shared" si="9"/>
        <v>0</v>
      </c>
      <c r="V17" s="530">
        <f t="shared" si="10"/>
        <v>0</v>
      </c>
      <c r="W17" s="530">
        <f t="shared" si="11"/>
        <v>30</v>
      </c>
      <c r="X17" s="559">
        <f t="shared" si="12"/>
        <v>30</v>
      </c>
      <c r="Y17" s="531"/>
      <c r="Z17" s="531"/>
      <c r="AA17" s="531"/>
      <c r="AB17" s="531"/>
      <c r="AC17" s="546"/>
      <c r="AD17" s="546"/>
      <c r="AE17" s="546"/>
      <c r="AF17" s="546"/>
      <c r="AG17" s="546"/>
      <c r="AH17" s="546"/>
      <c r="AI17" s="546"/>
      <c r="AJ17" s="546"/>
      <c r="AK17" s="546"/>
      <c r="AL17" s="546"/>
      <c r="AM17" s="546"/>
    </row>
    <row r="18" spans="1:39" x14ac:dyDescent="0.2">
      <c r="A18" s="561">
        <v>7</v>
      </c>
      <c r="B18" s="885" t="s">
        <v>1684</v>
      </c>
      <c r="C18" s="885"/>
      <c r="D18" s="560"/>
      <c r="E18" s="560" t="s">
        <v>1679</v>
      </c>
      <c r="F18" s="560"/>
      <c r="G18" s="560"/>
      <c r="H18" s="560"/>
      <c r="I18" s="560"/>
      <c r="J18" s="560"/>
      <c r="K18" s="560" t="s">
        <v>1679</v>
      </c>
      <c r="L18" s="562">
        <f t="shared" si="0"/>
        <v>7.8947368421052627E-2</v>
      </c>
      <c r="M18" s="545">
        <f t="shared" si="1"/>
        <v>300</v>
      </c>
      <c r="N18" s="545">
        <f t="shared" si="2"/>
        <v>150</v>
      </c>
      <c r="O18" s="563">
        <f t="shared" si="3"/>
        <v>0</v>
      </c>
      <c r="P18" s="564">
        <f t="shared" si="4"/>
        <v>5</v>
      </c>
      <c r="Q18" s="564">
        <f t="shared" si="5"/>
        <v>0</v>
      </c>
      <c r="R18" s="564">
        <f t="shared" si="6"/>
        <v>0</v>
      </c>
      <c r="S18" s="565">
        <f t="shared" si="7"/>
        <v>5</v>
      </c>
      <c r="T18" s="563">
        <f t="shared" si="8"/>
        <v>0</v>
      </c>
      <c r="U18" s="564">
        <f t="shared" si="9"/>
        <v>0</v>
      </c>
      <c r="V18" s="564">
        <f t="shared" si="10"/>
        <v>0</v>
      </c>
      <c r="W18" s="564">
        <f t="shared" si="11"/>
        <v>30</v>
      </c>
      <c r="X18" s="565">
        <f t="shared" si="12"/>
        <v>30</v>
      </c>
      <c r="Y18" s="531"/>
      <c r="Z18" s="531"/>
      <c r="AA18" s="531"/>
      <c r="AB18" s="531"/>
      <c r="AC18" s="546"/>
      <c r="AD18" s="546"/>
      <c r="AE18" s="546"/>
      <c r="AF18" s="546"/>
      <c r="AG18" s="546"/>
      <c r="AH18" s="546"/>
      <c r="AI18" s="546"/>
      <c r="AJ18" s="546"/>
      <c r="AK18" s="546"/>
      <c r="AL18" s="546"/>
      <c r="AM18" s="546"/>
    </row>
    <row r="19" spans="1:39" ht="12" thickBot="1" x14ac:dyDescent="0.25">
      <c r="L19" s="566">
        <f>SUM(L12:L18)</f>
        <v>0.73684210526315796</v>
      </c>
      <c r="M19" s="545">
        <f>SUM(M12:M18)</f>
        <v>1900</v>
      </c>
      <c r="N19" s="545">
        <f>SUM(N12:N18)</f>
        <v>1400</v>
      </c>
      <c r="O19" s="530"/>
      <c r="P19" s="530"/>
      <c r="Q19" s="530"/>
      <c r="R19" s="530"/>
      <c r="S19" s="530"/>
      <c r="T19" s="530"/>
      <c r="U19" s="530"/>
      <c r="V19" s="530"/>
      <c r="W19" s="530"/>
      <c r="X19" s="530"/>
      <c r="Y19" s="531"/>
      <c r="Z19" s="531"/>
      <c r="AA19" s="531"/>
      <c r="AB19" s="531"/>
      <c r="AC19" s="546"/>
      <c r="AD19" s="546"/>
      <c r="AE19" s="546"/>
      <c r="AF19" s="546"/>
      <c r="AG19" s="546"/>
      <c r="AH19" s="546"/>
      <c r="AI19" s="546"/>
      <c r="AJ19" s="546"/>
      <c r="AK19" s="546"/>
      <c r="AL19" s="546"/>
      <c r="AM19" s="546"/>
    </row>
    <row r="20" spans="1:39" x14ac:dyDescent="0.2">
      <c r="B20" s="531"/>
      <c r="C20" s="531"/>
      <c r="D20" s="531"/>
      <c r="E20" s="531"/>
      <c r="F20" s="531"/>
      <c r="G20" s="531"/>
      <c r="H20" s="531"/>
      <c r="I20" s="531"/>
      <c r="J20" s="531"/>
      <c r="K20" s="531"/>
      <c r="L20" s="531"/>
      <c r="M20" s="530"/>
      <c r="N20" s="530">
        <f>IF($L$19&gt;85%,5,0)</f>
        <v>0</v>
      </c>
      <c r="O20" s="530">
        <f>IF($L$19&lt;=85%,2,0)</f>
        <v>2</v>
      </c>
      <c r="P20" s="530">
        <f>IF($L$19&gt;70%,2,0)</f>
        <v>2</v>
      </c>
      <c r="Q20" s="530">
        <f>IF($L$19&lt;=70%,3,0)</f>
        <v>0</v>
      </c>
      <c r="R20" s="530">
        <f>IF($L$19&gt;45%,1,0)</f>
        <v>1</v>
      </c>
      <c r="S20" s="530">
        <f>IF($L$19&lt;=45%,1,0)</f>
        <v>0</v>
      </c>
      <c r="T20" s="530"/>
      <c r="U20" s="530">
        <f>IF($L$19&gt;0%,2,0)</f>
        <v>2</v>
      </c>
      <c r="V20" s="530"/>
      <c r="W20" s="530"/>
      <c r="X20" s="530"/>
      <c r="Y20" s="531"/>
      <c r="Z20" s="531"/>
      <c r="AA20" s="531"/>
      <c r="AB20" s="531"/>
      <c r="AC20" s="546"/>
      <c r="AD20" s="546"/>
      <c r="AE20" s="546"/>
      <c r="AF20" s="546"/>
      <c r="AG20" s="546"/>
      <c r="AH20" s="546"/>
      <c r="AI20" s="546"/>
      <c r="AJ20" s="546"/>
      <c r="AK20" s="546"/>
      <c r="AL20" s="546"/>
      <c r="AM20" s="546"/>
    </row>
    <row r="21" spans="1:39" ht="12.75" customHeight="1" x14ac:dyDescent="0.2">
      <c r="A21" s="886" t="s">
        <v>1685</v>
      </c>
      <c r="B21" s="886"/>
      <c r="C21" s="567">
        <f>+L19</f>
        <v>0.73684210526315796</v>
      </c>
      <c r="E21" s="874" t="str">
        <f>+IF(L19&gt;=0.86,"A",IF(AND(L19&lt;0.86,L19&gt;=0.71),"B",IF(AND(L19&lt;0.71,L19&gt;=0.46),"C",IF(AND(L19&lt;0.46,L19&gt;0),"No califica",IF(L19=0,"No evaluado",)))))</f>
        <v>B</v>
      </c>
      <c r="F21" s="874"/>
      <c r="H21" s="882" t="s">
        <v>1686</v>
      </c>
      <c r="I21" s="882"/>
      <c r="J21" s="882"/>
      <c r="K21" s="882"/>
      <c r="L21" s="568" t="str">
        <f>+IF(E21="A","Excelente",IF(E21="B","Muy Bueno",IF(E21="C","Bueno a regular",IF(E21="No evaluado","","No califica"))))</f>
        <v>Muy Bueno</v>
      </c>
      <c r="M21" s="530"/>
      <c r="N21" s="530">
        <f>+N20</f>
        <v>0</v>
      </c>
      <c r="O21" s="879">
        <f>+O20*P20</f>
        <v>4</v>
      </c>
      <c r="P21" s="879"/>
      <c r="Q21" s="879">
        <f>+Q20*R20</f>
        <v>0</v>
      </c>
      <c r="R21" s="879"/>
      <c r="S21" s="879">
        <f>+S20*U20</f>
        <v>0</v>
      </c>
      <c r="T21" s="879"/>
      <c r="U21" s="879"/>
      <c r="V21" s="530">
        <f>SUM(N21:U21)</f>
        <v>4</v>
      </c>
      <c r="W21" s="530"/>
      <c r="X21" s="530"/>
      <c r="Y21" s="531"/>
      <c r="Z21" s="531"/>
      <c r="AA21" s="531"/>
      <c r="AB21" s="531"/>
    </row>
    <row r="22" spans="1:39" ht="12" customHeight="1" x14ac:dyDescent="0.2">
      <c r="B22" s="569"/>
      <c r="C22" s="531"/>
      <c r="D22" s="531"/>
      <c r="E22" s="531"/>
      <c r="F22" s="531"/>
      <c r="H22" s="570"/>
      <c r="I22" s="570"/>
      <c r="J22" s="571"/>
      <c r="K22" s="572"/>
      <c r="L22" s="573"/>
      <c r="M22" s="530"/>
      <c r="N22" s="530"/>
      <c r="O22" s="530"/>
      <c r="P22" s="530"/>
      <c r="Q22" s="530"/>
      <c r="R22" s="530"/>
      <c r="S22" s="530"/>
      <c r="T22" s="530"/>
      <c r="U22" s="530"/>
      <c r="V22" s="530"/>
      <c r="W22" s="530"/>
      <c r="X22" s="530"/>
      <c r="Y22" s="531"/>
      <c r="Z22" s="531"/>
      <c r="AA22" s="531"/>
      <c r="AB22" s="531"/>
    </row>
    <row r="23" spans="1:39" ht="12.75" customHeight="1" x14ac:dyDescent="0.2">
      <c r="A23" s="890" t="s">
        <v>1687</v>
      </c>
      <c r="B23" s="890"/>
      <c r="C23" s="881" t="s">
        <v>2164</v>
      </c>
      <c r="D23" s="881"/>
      <c r="E23" s="881"/>
      <c r="F23" s="881"/>
      <c r="H23" s="882" t="s">
        <v>1689</v>
      </c>
      <c r="I23" s="882"/>
      <c r="J23" s="882"/>
      <c r="K23" s="882"/>
      <c r="L23" s="574">
        <v>43906</v>
      </c>
      <c r="M23" s="530"/>
      <c r="N23" s="530"/>
      <c r="O23" s="530"/>
      <c r="P23" s="530"/>
      <c r="Q23" s="530"/>
      <c r="R23" s="530"/>
      <c r="S23" s="530"/>
      <c r="T23" s="530"/>
      <c r="U23" s="530"/>
      <c r="V23" s="530"/>
      <c r="W23" s="530"/>
      <c r="X23" s="530"/>
      <c r="Y23" s="531"/>
      <c r="Z23" s="531"/>
      <c r="AA23" s="531"/>
      <c r="AB23" s="531"/>
    </row>
    <row r="24" spans="1:39" ht="9" customHeight="1" thickBot="1" x14ac:dyDescent="0.25">
      <c r="B24" s="531"/>
      <c r="C24" s="531"/>
      <c r="D24" s="531"/>
      <c r="E24" s="531"/>
      <c r="F24" s="531"/>
      <c r="G24" s="531"/>
      <c r="H24" s="531"/>
      <c r="I24" s="531"/>
      <c r="M24" s="530"/>
      <c r="N24" s="530"/>
      <c r="O24" s="530"/>
      <c r="P24" s="530"/>
      <c r="Q24" s="530"/>
      <c r="R24" s="530"/>
      <c r="S24" s="530"/>
      <c r="T24" s="530"/>
      <c r="U24" s="530"/>
      <c r="V24" s="530"/>
      <c r="W24" s="530"/>
      <c r="X24" s="530"/>
      <c r="Y24" s="531"/>
      <c r="Z24" s="531"/>
      <c r="AA24" s="531"/>
      <c r="AB24" s="531"/>
    </row>
    <row r="25" spans="1:39" s="575" customFormat="1" ht="14.25" customHeight="1" thickBot="1" x14ac:dyDescent="0.25">
      <c r="A25" s="891" t="s">
        <v>1690</v>
      </c>
      <c r="B25" s="892"/>
      <c r="C25" s="892"/>
      <c r="D25" s="892"/>
      <c r="E25" s="892"/>
      <c r="F25" s="892"/>
      <c r="G25" s="892"/>
      <c r="H25" s="892"/>
      <c r="I25" s="892"/>
      <c r="J25" s="892"/>
      <c r="K25" s="892"/>
      <c r="L25" s="893"/>
      <c r="M25" s="536"/>
      <c r="N25" s="536"/>
      <c r="O25" s="536"/>
      <c r="P25" s="536"/>
      <c r="Q25" s="536"/>
      <c r="R25" s="536"/>
      <c r="S25" s="536"/>
      <c r="T25" s="536"/>
      <c r="U25" s="536"/>
      <c r="V25" s="536"/>
      <c r="W25" s="536"/>
      <c r="X25" s="536"/>
      <c r="Y25" s="536"/>
      <c r="Z25" s="536"/>
      <c r="AA25" s="536"/>
      <c r="AB25" s="536"/>
    </row>
    <row r="26" spans="1:39" ht="6.75" customHeight="1" x14ac:dyDescent="0.2">
      <c r="B26" s="539"/>
      <c r="D26" s="533"/>
      <c r="E26" s="533"/>
      <c r="F26" s="533"/>
      <c r="G26" s="533"/>
      <c r="H26" s="533"/>
      <c r="I26" s="533"/>
      <c r="J26" s="533"/>
      <c r="K26" s="533"/>
      <c r="L26" s="533"/>
      <c r="M26" s="530"/>
      <c r="N26" s="530"/>
      <c r="O26" s="530"/>
      <c r="P26" s="530"/>
      <c r="Q26" s="530"/>
      <c r="R26" s="530"/>
      <c r="S26" s="530"/>
      <c r="T26" s="530"/>
      <c r="U26" s="530"/>
      <c r="V26" s="530"/>
      <c r="W26" s="530"/>
      <c r="X26" s="530"/>
      <c r="Y26" s="531"/>
      <c r="Z26" s="531"/>
      <c r="AA26" s="531"/>
      <c r="AB26" s="531"/>
    </row>
    <row r="27" spans="1:39" x14ac:dyDescent="0.2">
      <c r="B27" s="539"/>
      <c r="D27" s="894" t="s">
        <v>1665</v>
      </c>
      <c r="E27" s="894"/>
      <c r="F27" s="894"/>
      <c r="G27" s="894"/>
      <c r="H27" s="895" t="s">
        <v>1666</v>
      </c>
      <c r="I27" s="896"/>
      <c r="J27" s="896"/>
      <c r="K27" s="897"/>
      <c r="L27" s="540" t="s">
        <v>1667</v>
      </c>
      <c r="M27" s="530"/>
      <c r="N27" s="530"/>
      <c r="O27" s="530"/>
      <c r="P27" s="530"/>
      <c r="Q27" s="530"/>
      <c r="R27" s="530"/>
      <c r="S27" s="530"/>
      <c r="T27" s="530"/>
      <c r="U27" s="530"/>
      <c r="V27" s="530"/>
      <c r="W27" s="530"/>
      <c r="X27" s="530"/>
      <c r="Y27" s="531"/>
      <c r="Z27" s="531"/>
      <c r="AA27" s="531"/>
      <c r="AB27" s="531"/>
    </row>
    <row r="28" spans="1:39" x14ac:dyDescent="0.2">
      <c r="A28" s="541" t="s">
        <v>1668</v>
      </c>
      <c r="B28" s="898" t="s">
        <v>1669</v>
      </c>
      <c r="C28" s="898"/>
      <c r="D28" s="542">
        <v>1</v>
      </c>
      <c r="E28" s="542">
        <v>2</v>
      </c>
      <c r="F28" s="542">
        <v>3</v>
      </c>
      <c r="G28" s="543">
        <v>4</v>
      </c>
      <c r="H28" s="544" t="s">
        <v>1670</v>
      </c>
      <c r="I28" s="544" t="s">
        <v>1671</v>
      </c>
      <c r="J28" s="544" t="s">
        <v>1672</v>
      </c>
      <c r="K28" s="544" t="s">
        <v>1673</v>
      </c>
      <c r="L28" s="541" t="s">
        <v>1674</v>
      </c>
      <c r="M28" s="545" t="s">
        <v>1675</v>
      </c>
      <c r="N28" s="545" t="s">
        <v>1676</v>
      </c>
      <c r="O28" s="889" t="s">
        <v>1677</v>
      </c>
      <c r="P28" s="889"/>
      <c r="Q28" s="889"/>
      <c r="R28" s="889"/>
      <c r="S28" s="899"/>
      <c r="T28" s="889" t="s">
        <v>1666</v>
      </c>
      <c r="U28" s="889"/>
      <c r="V28" s="889"/>
      <c r="W28" s="889"/>
      <c r="X28" s="889"/>
      <c r="Y28" s="531"/>
      <c r="Z28" s="531"/>
      <c r="AA28" s="531"/>
      <c r="AB28" s="531"/>
      <c r="AC28" s="546"/>
      <c r="AD28" s="546"/>
      <c r="AE28" s="546"/>
      <c r="AF28" s="546"/>
      <c r="AG28" s="546"/>
      <c r="AH28" s="546"/>
      <c r="AI28" s="546"/>
      <c r="AJ28" s="546"/>
      <c r="AK28" s="546"/>
      <c r="AL28" s="546"/>
      <c r="AM28" s="546"/>
    </row>
    <row r="29" spans="1:39" x14ac:dyDescent="0.2">
      <c r="A29" s="547">
        <v>1</v>
      </c>
      <c r="B29" s="887" t="s">
        <v>1691</v>
      </c>
      <c r="C29" s="888"/>
      <c r="D29" s="548"/>
      <c r="E29" s="548"/>
      <c r="F29" s="548"/>
      <c r="G29" s="549" t="s">
        <v>1679</v>
      </c>
      <c r="H29" s="548"/>
      <c r="I29" s="548"/>
      <c r="J29" s="548"/>
      <c r="K29" s="549" t="s">
        <v>1679</v>
      </c>
      <c r="L29" s="550">
        <f t="shared" ref="L29:L43" si="13">IF($M$44=0,0,N29/$M$44)</f>
        <v>6.6666666666666666E-2</v>
      </c>
      <c r="M29" s="545">
        <f t="shared" ref="M29:M43" si="14">+X29*10</f>
        <v>300</v>
      </c>
      <c r="N29" s="545">
        <f t="shared" ref="N29:N43" si="15">+S29*X29</f>
        <v>300</v>
      </c>
      <c r="O29" s="558">
        <f t="shared" ref="O29:O44" si="16">IF(D29="X",2.5,0)</f>
        <v>0</v>
      </c>
      <c r="P29" s="530">
        <f t="shared" ref="P29:P44" si="17">IF(E29="X",5,0)</f>
        <v>0</v>
      </c>
      <c r="Q29" s="530">
        <f t="shared" ref="Q29:Q44" si="18">IF(F29="X",7.5,0)</f>
        <v>0</v>
      </c>
      <c r="R29" s="530">
        <f t="shared" ref="R29:R44" si="19">IF(G29="X",10,0)</f>
        <v>10</v>
      </c>
      <c r="S29" s="545">
        <f t="shared" ref="S29:S44" si="20">SUM(O29:R29)</f>
        <v>10</v>
      </c>
      <c r="T29" s="558">
        <f t="shared" ref="T29:T44" si="21">IF(H29="X",0,0)</f>
        <v>0</v>
      </c>
      <c r="U29" s="530">
        <f t="shared" ref="U29:U44" si="22">IF(I29="X",10,0)</f>
        <v>0</v>
      </c>
      <c r="V29" s="530">
        <f t="shared" ref="V29:V44" si="23">IF(J29="X",20,0)</f>
        <v>0</v>
      </c>
      <c r="W29" s="530">
        <f t="shared" ref="W29:W44" si="24">IF(K29="X",30,0)</f>
        <v>30</v>
      </c>
      <c r="X29" s="576">
        <f t="shared" ref="X29:X44" si="25">SUM(U29:W29)</f>
        <v>30</v>
      </c>
      <c r="Y29" s="531"/>
      <c r="Z29" s="531"/>
      <c r="AA29" s="531"/>
      <c r="AB29" s="531"/>
      <c r="AC29" s="546"/>
      <c r="AD29" s="546"/>
      <c r="AE29" s="546"/>
      <c r="AF29" s="546"/>
      <c r="AG29" s="546"/>
      <c r="AH29" s="546"/>
      <c r="AI29" s="546"/>
      <c r="AJ29" s="546"/>
      <c r="AK29" s="546"/>
      <c r="AL29" s="546"/>
      <c r="AM29" s="546"/>
    </row>
    <row r="30" spans="1:39" x14ac:dyDescent="0.2">
      <c r="A30" s="554">
        <v>2</v>
      </c>
      <c r="B30" s="883" t="s">
        <v>1692</v>
      </c>
      <c r="C30" s="884"/>
      <c r="D30" s="555"/>
      <c r="E30" s="555"/>
      <c r="F30" s="555" t="s">
        <v>1679</v>
      </c>
      <c r="G30" s="556"/>
      <c r="H30" s="555"/>
      <c r="I30" s="555"/>
      <c r="J30" s="555"/>
      <c r="K30" s="556" t="s">
        <v>1679</v>
      </c>
      <c r="L30" s="557">
        <f t="shared" si="13"/>
        <v>0.05</v>
      </c>
      <c r="M30" s="545">
        <f t="shared" si="14"/>
        <v>300</v>
      </c>
      <c r="N30" s="545">
        <f t="shared" si="15"/>
        <v>225</v>
      </c>
      <c r="O30" s="558">
        <f t="shared" si="16"/>
        <v>0</v>
      </c>
      <c r="P30" s="530">
        <f>IF(E30="X",5,0)</f>
        <v>0</v>
      </c>
      <c r="Q30" s="530">
        <f t="shared" si="18"/>
        <v>7.5</v>
      </c>
      <c r="R30" s="530">
        <f>IF(G30="X",10,0)</f>
        <v>0</v>
      </c>
      <c r="S30" s="545">
        <f t="shared" si="20"/>
        <v>7.5</v>
      </c>
      <c r="T30" s="558">
        <f t="shared" si="21"/>
        <v>0</v>
      </c>
      <c r="U30" s="530">
        <f t="shared" si="22"/>
        <v>0</v>
      </c>
      <c r="V30" s="530">
        <f t="shared" si="23"/>
        <v>0</v>
      </c>
      <c r="W30" s="530">
        <f t="shared" si="24"/>
        <v>30</v>
      </c>
      <c r="X30" s="576">
        <f t="shared" si="25"/>
        <v>30</v>
      </c>
      <c r="Y30" s="531"/>
      <c r="Z30" s="531"/>
      <c r="AA30" s="531"/>
      <c r="AB30" s="531"/>
      <c r="AC30" s="546"/>
      <c r="AD30" s="546"/>
      <c r="AE30" s="546"/>
      <c r="AF30" s="546"/>
      <c r="AG30" s="546"/>
      <c r="AH30" s="546"/>
      <c r="AI30" s="546"/>
      <c r="AJ30" s="546"/>
      <c r="AK30" s="546"/>
      <c r="AL30" s="546"/>
      <c r="AM30" s="546"/>
    </row>
    <row r="31" spans="1:39" x14ac:dyDescent="0.2">
      <c r="A31" s="547">
        <v>3</v>
      </c>
      <c r="B31" s="883" t="s">
        <v>1693</v>
      </c>
      <c r="C31" s="884"/>
      <c r="D31" s="555"/>
      <c r="E31" s="555"/>
      <c r="F31" s="555" t="s">
        <v>1679</v>
      </c>
      <c r="G31" s="556"/>
      <c r="H31" s="555"/>
      <c r="I31" s="555"/>
      <c r="J31" s="555"/>
      <c r="K31" s="556" t="s">
        <v>1679</v>
      </c>
      <c r="L31" s="557">
        <f t="shared" si="13"/>
        <v>0.05</v>
      </c>
      <c r="M31" s="545">
        <f t="shared" si="14"/>
        <v>300</v>
      </c>
      <c r="N31" s="545">
        <f t="shared" si="15"/>
        <v>225</v>
      </c>
      <c r="O31" s="558">
        <f t="shared" si="16"/>
        <v>0</v>
      </c>
      <c r="P31" s="530">
        <f t="shared" si="17"/>
        <v>0</v>
      </c>
      <c r="Q31" s="530">
        <f t="shared" si="18"/>
        <v>7.5</v>
      </c>
      <c r="R31" s="530">
        <f t="shared" si="19"/>
        <v>0</v>
      </c>
      <c r="S31" s="545">
        <f t="shared" si="20"/>
        <v>7.5</v>
      </c>
      <c r="T31" s="558">
        <f t="shared" si="21"/>
        <v>0</v>
      </c>
      <c r="U31" s="530">
        <f t="shared" si="22"/>
        <v>0</v>
      </c>
      <c r="V31" s="530">
        <f t="shared" si="23"/>
        <v>0</v>
      </c>
      <c r="W31" s="530">
        <f t="shared" si="24"/>
        <v>30</v>
      </c>
      <c r="X31" s="576">
        <f t="shared" si="25"/>
        <v>30</v>
      </c>
      <c r="Y31" s="531"/>
      <c r="Z31" s="531"/>
      <c r="AA31" s="531"/>
      <c r="AB31" s="531"/>
      <c r="AC31" s="546"/>
      <c r="AD31" s="546"/>
      <c r="AE31" s="546"/>
      <c r="AF31" s="546"/>
      <c r="AG31" s="546"/>
      <c r="AH31" s="546"/>
      <c r="AI31" s="546"/>
      <c r="AJ31" s="546"/>
      <c r="AK31" s="546"/>
      <c r="AL31" s="546"/>
      <c r="AM31" s="546"/>
    </row>
    <row r="32" spans="1:39" x14ac:dyDescent="0.2">
      <c r="A32" s="554">
        <v>4</v>
      </c>
      <c r="B32" s="883" t="s">
        <v>1694</v>
      </c>
      <c r="C32" s="884"/>
      <c r="D32" s="555"/>
      <c r="E32" s="555" t="s">
        <v>1679</v>
      </c>
      <c r="F32" s="555"/>
      <c r="G32" s="556"/>
      <c r="H32" s="555"/>
      <c r="I32" s="555"/>
      <c r="J32" s="555"/>
      <c r="K32" s="556" t="s">
        <v>1679</v>
      </c>
      <c r="L32" s="557">
        <f t="shared" si="13"/>
        <v>3.3333333333333333E-2</v>
      </c>
      <c r="M32" s="545">
        <f t="shared" si="14"/>
        <v>300</v>
      </c>
      <c r="N32" s="545">
        <f t="shared" si="15"/>
        <v>150</v>
      </c>
      <c r="O32" s="558">
        <f>IF(D32="X",2.5,0)</f>
        <v>0</v>
      </c>
      <c r="P32" s="530">
        <f t="shared" si="17"/>
        <v>5</v>
      </c>
      <c r="Q32" s="530">
        <f>IF(F32="X",7.5,0)</f>
        <v>0</v>
      </c>
      <c r="R32" s="530">
        <f t="shared" si="19"/>
        <v>0</v>
      </c>
      <c r="S32" s="545">
        <f t="shared" si="20"/>
        <v>5</v>
      </c>
      <c r="T32" s="558">
        <f t="shared" si="21"/>
        <v>0</v>
      </c>
      <c r="U32" s="530">
        <f t="shared" si="22"/>
        <v>0</v>
      </c>
      <c r="V32" s="530">
        <f>IF(J32="X",20,0)</f>
        <v>0</v>
      </c>
      <c r="W32" s="530">
        <f>IF(K32="X",30,0)</f>
        <v>30</v>
      </c>
      <c r="X32" s="576">
        <f t="shared" si="25"/>
        <v>30</v>
      </c>
      <c r="Y32" s="531"/>
      <c r="Z32" s="531"/>
      <c r="AA32" s="531"/>
      <c r="AB32" s="531"/>
      <c r="AC32" s="546"/>
      <c r="AD32" s="546"/>
      <c r="AE32" s="546"/>
      <c r="AF32" s="546"/>
      <c r="AG32" s="546"/>
      <c r="AH32" s="546"/>
      <c r="AI32" s="546"/>
      <c r="AJ32" s="546"/>
      <c r="AK32" s="546"/>
      <c r="AL32" s="546"/>
      <c r="AM32" s="546"/>
    </row>
    <row r="33" spans="1:39" x14ac:dyDescent="0.2">
      <c r="A33" s="547">
        <v>5</v>
      </c>
      <c r="B33" s="883" t="s">
        <v>1695</v>
      </c>
      <c r="C33" s="884"/>
      <c r="D33" s="555"/>
      <c r="E33" s="555" t="s">
        <v>1679</v>
      </c>
      <c r="F33" s="555" t="s">
        <v>1679</v>
      </c>
      <c r="G33" s="556"/>
      <c r="H33" s="555"/>
      <c r="I33" s="555"/>
      <c r="J33" s="555"/>
      <c r="K33" s="555" t="s">
        <v>1679</v>
      </c>
      <c r="L33" s="557">
        <f t="shared" si="13"/>
        <v>8.3333333333333329E-2</v>
      </c>
      <c r="M33" s="545">
        <f t="shared" si="14"/>
        <v>300</v>
      </c>
      <c r="N33" s="545">
        <f t="shared" si="15"/>
        <v>375</v>
      </c>
      <c r="O33" s="558">
        <f t="shared" si="16"/>
        <v>0</v>
      </c>
      <c r="P33" s="530">
        <f t="shared" si="17"/>
        <v>5</v>
      </c>
      <c r="Q33" s="530">
        <f t="shared" si="18"/>
        <v>7.5</v>
      </c>
      <c r="R33" s="530">
        <f t="shared" si="19"/>
        <v>0</v>
      </c>
      <c r="S33" s="545">
        <f t="shared" si="20"/>
        <v>12.5</v>
      </c>
      <c r="T33" s="558">
        <f t="shared" si="21"/>
        <v>0</v>
      </c>
      <c r="U33" s="530">
        <f t="shared" si="22"/>
        <v>0</v>
      </c>
      <c r="V33" s="530">
        <f t="shared" si="23"/>
        <v>0</v>
      </c>
      <c r="W33" s="530">
        <f t="shared" si="24"/>
        <v>30</v>
      </c>
      <c r="X33" s="576">
        <f t="shared" si="25"/>
        <v>30</v>
      </c>
      <c r="Y33" s="531"/>
      <c r="Z33" s="531"/>
      <c r="AA33" s="531"/>
      <c r="AB33" s="531"/>
      <c r="AC33" s="546"/>
      <c r="AD33" s="546"/>
      <c r="AE33" s="546"/>
      <c r="AF33" s="546"/>
      <c r="AG33" s="546"/>
      <c r="AH33" s="546"/>
      <c r="AI33" s="546"/>
      <c r="AJ33" s="546"/>
      <c r="AK33" s="546"/>
      <c r="AL33" s="546"/>
      <c r="AM33" s="546"/>
    </row>
    <row r="34" spans="1:39" x14ac:dyDescent="0.2">
      <c r="A34" s="554">
        <v>6</v>
      </c>
      <c r="B34" s="883" t="s">
        <v>1696</v>
      </c>
      <c r="C34" s="884"/>
      <c r="D34" s="555"/>
      <c r="E34" s="555"/>
      <c r="F34" s="555"/>
      <c r="G34" s="556" t="s">
        <v>1679</v>
      </c>
      <c r="H34" s="555"/>
      <c r="I34" s="555"/>
      <c r="J34" s="555"/>
      <c r="K34" s="556" t="s">
        <v>1679</v>
      </c>
      <c r="L34" s="557">
        <f t="shared" si="13"/>
        <v>6.6666666666666666E-2</v>
      </c>
      <c r="M34" s="545">
        <f t="shared" si="14"/>
        <v>300</v>
      </c>
      <c r="N34" s="545">
        <f t="shared" si="15"/>
        <v>300</v>
      </c>
      <c r="O34" s="558">
        <f t="shared" si="16"/>
        <v>0</v>
      </c>
      <c r="P34" s="530">
        <f t="shared" si="17"/>
        <v>0</v>
      </c>
      <c r="Q34" s="530">
        <f t="shared" si="18"/>
        <v>0</v>
      </c>
      <c r="R34" s="530">
        <f t="shared" si="19"/>
        <v>10</v>
      </c>
      <c r="S34" s="545">
        <f t="shared" si="20"/>
        <v>10</v>
      </c>
      <c r="T34" s="558">
        <f t="shared" si="21"/>
        <v>0</v>
      </c>
      <c r="U34" s="530">
        <f t="shared" si="22"/>
        <v>0</v>
      </c>
      <c r="V34" s="530">
        <f t="shared" si="23"/>
        <v>0</v>
      </c>
      <c r="W34" s="530">
        <f t="shared" si="24"/>
        <v>30</v>
      </c>
      <c r="X34" s="576">
        <f t="shared" si="25"/>
        <v>30</v>
      </c>
      <c r="Y34" s="531"/>
      <c r="Z34" s="531"/>
      <c r="AA34" s="531"/>
      <c r="AB34" s="531"/>
      <c r="AC34" s="546"/>
      <c r="AD34" s="546"/>
      <c r="AE34" s="546"/>
      <c r="AF34" s="546"/>
      <c r="AG34" s="546"/>
      <c r="AH34" s="546"/>
      <c r="AI34" s="546"/>
      <c r="AJ34" s="546"/>
      <c r="AK34" s="546"/>
      <c r="AL34" s="546"/>
      <c r="AM34" s="546"/>
    </row>
    <row r="35" spans="1:39" x14ac:dyDescent="0.2">
      <c r="A35" s="547">
        <v>7</v>
      </c>
      <c r="B35" s="883" t="s">
        <v>1697</v>
      </c>
      <c r="C35" s="884"/>
      <c r="D35" s="555"/>
      <c r="E35" s="555"/>
      <c r="F35" s="555"/>
      <c r="G35" s="556" t="s">
        <v>1679</v>
      </c>
      <c r="H35" s="555"/>
      <c r="I35" s="555"/>
      <c r="J35" s="555"/>
      <c r="K35" s="556" t="s">
        <v>1679</v>
      </c>
      <c r="L35" s="557">
        <f t="shared" si="13"/>
        <v>6.6666666666666666E-2</v>
      </c>
      <c r="M35" s="545">
        <f t="shared" si="14"/>
        <v>300</v>
      </c>
      <c r="N35" s="545">
        <f t="shared" si="15"/>
        <v>300</v>
      </c>
      <c r="O35" s="558">
        <f t="shared" si="16"/>
        <v>0</v>
      </c>
      <c r="P35" s="530">
        <f t="shared" si="17"/>
        <v>0</v>
      </c>
      <c r="Q35" s="530">
        <f t="shared" si="18"/>
        <v>0</v>
      </c>
      <c r="R35" s="530">
        <f t="shared" si="19"/>
        <v>10</v>
      </c>
      <c r="S35" s="545">
        <f t="shared" si="20"/>
        <v>10</v>
      </c>
      <c r="T35" s="558">
        <f t="shared" si="21"/>
        <v>0</v>
      </c>
      <c r="U35" s="530">
        <f t="shared" si="22"/>
        <v>0</v>
      </c>
      <c r="V35" s="530">
        <f t="shared" si="23"/>
        <v>0</v>
      </c>
      <c r="W35" s="530">
        <f t="shared" si="24"/>
        <v>30</v>
      </c>
      <c r="X35" s="576">
        <f t="shared" si="25"/>
        <v>30</v>
      </c>
      <c r="Y35" s="531"/>
      <c r="Z35" s="531"/>
      <c r="AA35" s="531"/>
      <c r="AB35" s="531"/>
      <c r="AC35" s="546"/>
      <c r="AD35" s="546"/>
      <c r="AE35" s="546"/>
      <c r="AF35" s="546"/>
      <c r="AG35" s="546"/>
      <c r="AH35" s="546"/>
      <c r="AI35" s="546"/>
      <c r="AJ35" s="546"/>
      <c r="AK35" s="546"/>
      <c r="AL35" s="546"/>
      <c r="AM35" s="546"/>
    </row>
    <row r="36" spans="1:39" x14ac:dyDescent="0.2">
      <c r="A36" s="554">
        <v>8</v>
      </c>
      <c r="B36" s="883" t="s">
        <v>1698</v>
      </c>
      <c r="C36" s="884"/>
      <c r="D36" s="555"/>
      <c r="E36" s="555"/>
      <c r="F36" s="555"/>
      <c r="G36" s="556" t="s">
        <v>1679</v>
      </c>
      <c r="H36" s="555"/>
      <c r="I36" s="555"/>
      <c r="J36" s="555"/>
      <c r="K36" s="556" t="s">
        <v>1679</v>
      </c>
      <c r="L36" s="557">
        <f t="shared" si="13"/>
        <v>6.6666666666666666E-2</v>
      </c>
      <c r="M36" s="545">
        <f t="shared" si="14"/>
        <v>300</v>
      </c>
      <c r="N36" s="545">
        <f t="shared" si="15"/>
        <v>300</v>
      </c>
      <c r="O36" s="558">
        <f t="shared" si="16"/>
        <v>0</v>
      </c>
      <c r="P36" s="530">
        <f t="shared" si="17"/>
        <v>0</v>
      </c>
      <c r="Q36" s="530">
        <f t="shared" si="18"/>
        <v>0</v>
      </c>
      <c r="R36" s="530">
        <f t="shared" si="19"/>
        <v>10</v>
      </c>
      <c r="S36" s="545">
        <f t="shared" si="20"/>
        <v>10</v>
      </c>
      <c r="T36" s="558">
        <f t="shared" si="21"/>
        <v>0</v>
      </c>
      <c r="U36" s="530">
        <f t="shared" si="22"/>
        <v>0</v>
      </c>
      <c r="V36" s="530">
        <f t="shared" si="23"/>
        <v>0</v>
      </c>
      <c r="W36" s="530">
        <f t="shared" si="24"/>
        <v>30</v>
      </c>
      <c r="X36" s="576">
        <f t="shared" si="25"/>
        <v>30</v>
      </c>
      <c r="Y36" s="531"/>
      <c r="Z36" s="531"/>
      <c r="AA36" s="531"/>
      <c r="AB36" s="531"/>
      <c r="AC36" s="546"/>
      <c r="AD36" s="546"/>
      <c r="AE36" s="546"/>
      <c r="AF36" s="546"/>
      <c r="AG36" s="546"/>
      <c r="AH36" s="546"/>
      <c r="AI36" s="546"/>
      <c r="AJ36" s="546"/>
      <c r="AK36" s="546"/>
      <c r="AL36" s="546"/>
      <c r="AM36" s="546"/>
    </row>
    <row r="37" spans="1:39" x14ac:dyDescent="0.2">
      <c r="A37" s="547">
        <v>9</v>
      </c>
      <c r="B37" s="883" t="s">
        <v>1699</v>
      </c>
      <c r="C37" s="884"/>
      <c r="D37" s="555"/>
      <c r="E37" s="555" t="s">
        <v>1679</v>
      </c>
      <c r="F37" s="555"/>
      <c r="G37" s="556"/>
      <c r="H37" s="555"/>
      <c r="I37" s="555"/>
      <c r="J37" s="555"/>
      <c r="K37" s="556" t="s">
        <v>1679</v>
      </c>
      <c r="L37" s="557">
        <f>IF($M$44=0,0,N37/$M$44)</f>
        <v>3.3333333333333333E-2</v>
      </c>
      <c r="M37" s="545">
        <f>+X37*10</f>
        <v>300</v>
      </c>
      <c r="N37" s="545">
        <f>+S37*X37</f>
        <v>150</v>
      </c>
      <c r="O37" s="558">
        <f>IF(D37="X",2.5,0)</f>
        <v>0</v>
      </c>
      <c r="P37" s="530">
        <f>IF(E37="X",5,0)</f>
        <v>5</v>
      </c>
      <c r="Q37" s="530">
        <f>IF(F37="X",7.5,0)</f>
        <v>0</v>
      </c>
      <c r="R37" s="530">
        <f>IF(G37="X",10,0)</f>
        <v>0</v>
      </c>
      <c r="S37" s="545">
        <f>SUM(O37:R37)</f>
        <v>5</v>
      </c>
      <c r="T37" s="558">
        <f>IF(H37="X",0,0)</f>
        <v>0</v>
      </c>
      <c r="U37" s="530">
        <f>IF(I37="X",10,0)</f>
        <v>0</v>
      </c>
      <c r="V37" s="530">
        <f>IF(J37="X",20,0)</f>
        <v>0</v>
      </c>
      <c r="W37" s="530">
        <f>IF(K37="X",30,0)</f>
        <v>30</v>
      </c>
      <c r="X37" s="576">
        <f>SUM(U37:W37)</f>
        <v>30</v>
      </c>
      <c r="Y37" s="531"/>
      <c r="Z37" s="531"/>
      <c r="AA37" s="531"/>
      <c r="AB37" s="531"/>
      <c r="AC37" s="546"/>
      <c r="AD37" s="546"/>
      <c r="AE37" s="546"/>
      <c r="AF37" s="546"/>
      <c r="AG37" s="546"/>
      <c r="AH37" s="546"/>
      <c r="AI37" s="546"/>
      <c r="AJ37" s="546"/>
      <c r="AK37" s="546"/>
      <c r="AL37" s="546"/>
      <c r="AM37" s="546"/>
    </row>
    <row r="38" spans="1:39" x14ac:dyDescent="0.2">
      <c r="A38" s="554">
        <v>10</v>
      </c>
      <c r="B38" s="883" t="s">
        <v>1700</v>
      </c>
      <c r="C38" s="884"/>
      <c r="D38" s="555"/>
      <c r="E38" s="555"/>
      <c r="F38" s="555"/>
      <c r="G38" s="556" t="s">
        <v>1679</v>
      </c>
      <c r="H38" s="555"/>
      <c r="I38" s="555"/>
      <c r="J38" s="555"/>
      <c r="K38" s="556" t="s">
        <v>1679</v>
      </c>
      <c r="L38" s="557">
        <f t="shared" si="13"/>
        <v>6.6666666666666666E-2</v>
      </c>
      <c r="M38" s="545">
        <f t="shared" si="14"/>
        <v>300</v>
      </c>
      <c r="N38" s="545">
        <f t="shared" si="15"/>
        <v>300</v>
      </c>
      <c r="O38" s="558">
        <f t="shared" si="16"/>
        <v>0</v>
      </c>
      <c r="P38" s="530">
        <f t="shared" si="17"/>
        <v>0</v>
      </c>
      <c r="Q38" s="530">
        <f t="shared" si="18"/>
        <v>0</v>
      </c>
      <c r="R38" s="530">
        <f t="shared" si="19"/>
        <v>10</v>
      </c>
      <c r="S38" s="545">
        <f t="shared" si="20"/>
        <v>10</v>
      </c>
      <c r="T38" s="558">
        <f t="shared" si="21"/>
        <v>0</v>
      </c>
      <c r="U38" s="530">
        <f t="shared" si="22"/>
        <v>0</v>
      </c>
      <c r="V38" s="530">
        <f t="shared" si="23"/>
        <v>0</v>
      </c>
      <c r="W38" s="530">
        <f t="shared" si="24"/>
        <v>30</v>
      </c>
      <c r="X38" s="576">
        <f t="shared" si="25"/>
        <v>30</v>
      </c>
      <c r="Y38" s="531"/>
      <c r="Z38" s="531"/>
      <c r="AA38" s="531"/>
      <c r="AB38" s="531"/>
      <c r="AC38" s="546"/>
      <c r="AD38" s="546"/>
      <c r="AE38" s="546"/>
      <c r="AF38" s="546"/>
      <c r="AG38" s="546"/>
      <c r="AH38" s="546"/>
      <c r="AI38" s="546"/>
      <c r="AJ38" s="546"/>
      <c r="AK38" s="546"/>
      <c r="AL38" s="546"/>
      <c r="AM38" s="546"/>
    </row>
    <row r="39" spans="1:39" x14ac:dyDescent="0.2">
      <c r="A39" s="547">
        <v>11</v>
      </c>
      <c r="B39" s="883" t="s">
        <v>1701</v>
      </c>
      <c r="C39" s="884"/>
      <c r="D39" s="555"/>
      <c r="E39" s="555" t="s">
        <v>1679</v>
      </c>
      <c r="F39" s="555"/>
      <c r="G39" s="556"/>
      <c r="H39" s="555"/>
      <c r="I39" s="555"/>
      <c r="J39" s="555"/>
      <c r="K39" s="556" t="s">
        <v>1679</v>
      </c>
      <c r="L39" s="557">
        <f t="shared" si="13"/>
        <v>3.3333333333333333E-2</v>
      </c>
      <c r="M39" s="545">
        <f t="shared" si="14"/>
        <v>300</v>
      </c>
      <c r="N39" s="545">
        <f t="shared" si="15"/>
        <v>150</v>
      </c>
      <c r="O39" s="558">
        <f t="shared" si="16"/>
        <v>0</v>
      </c>
      <c r="P39" s="530">
        <f t="shared" si="17"/>
        <v>5</v>
      </c>
      <c r="Q39" s="530">
        <f t="shared" si="18"/>
        <v>0</v>
      </c>
      <c r="R39" s="530">
        <f t="shared" si="19"/>
        <v>0</v>
      </c>
      <c r="S39" s="545">
        <f t="shared" si="20"/>
        <v>5</v>
      </c>
      <c r="T39" s="558">
        <f t="shared" si="21"/>
        <v>0</v>
      </c>
      <c r="U39" s="530">
        <f t="shared" si="22"/>
        <v>0</v>
      </c>
      <c r="V39" s="530">
        <f t="shared" si="23"/>
        <v>0</v>
      </c>
      <c r="W39" s="530">
        <f t="shared" si="24"/>
        <v>30</v>
      </c>
      <c r="X39" s="576">
        <f t="shared" si="25"/>
        <v>30</v>
      </c>
      <c r="Y39" s="531"/>
      <c r="Z39" s="531"/>
      <c r="AA39" s="531"/>
      <c r="AB39" s="531"/>
      <c r="AC39" s="546"/>
      <c r="AD39" s="546"/>
      <c r="AE39" s="546"/>
      <c r="AF39" s="546"/>
      <c r="AG39" s="546"/>
      <c r="AH39" s="546"/>
      <c r="AI39" s="546"/>
      <c r="AJ39" s="546"/>
      <c r="AK39" s="546"/>
      <c r="AL39" s="546"/>
      <c r="AM39" s="546"/>
    </row>
    <row r="40" spans="1:39" x14ac:dyDescent="0.2">
      <c r="A40" s="554">
        <v>12</v>
      </c>
      <c r="B40" s="883" t="s">
        <v>1702</v>
      </c>
      <c r="C40" s="884"/>
      <c r="D40" s="555"/>
      <c r="E40" s="555"/>
      <c r="F40" s="555"/>
      <c r="G40" s="556" t="s">
        <v>1679</v>
      </c>
      <c r="H40" s="555"/>
      <c r="I40" s="555"/>
      <c r="J40" s="555"/>
      <c r="K40" s="555" t="s">
        <v>1679</v>
      </c>
      <c r="L40" s="557">
        <f t="shared" si="13"/>
        <v>6.6666666666666666E-2</v>
      </c>
      <c r="M40" s="545">
        <f t="shared" si="14"/>
        <v>300</v>
      </c>
      <c r="N40" s="545">
        <f t="shared" si="15"/>
        <v>300</v>
      </c>
      <c r="O40" s="558">
        <f t="shared" si="16"/>
        <v>0</v>
      </c>
      <c r="P40" s="530">
        <f t="shared" si="17"/>
        <v>0</v>
      </c>
      <c r="Q40" s="530">
        <f t="shared" si="18"/>
        <v>0</v>
      </c>
      <c r="R40" s="530">
        <f t="shared" si="19"/>
        <v>10</v>
      </c>
      <c r="S40" s="545">
        <f t="shared" si="20"/>
        <v>10</v>
      </c>
      <c r="T40" s="558">
        <f t="shared" si="21"/>
        <v>0</v>
      </c>
      <c r="U40" s="530">
        <f t="shared" si="22"/>
        <v>0</v>
      </c>
      <c r="V40" s="530">
        <f t="shared" si="23"/>
        <v>0</v>
      </c>
      <c r="W40" s="530">
        <f t="shared" si="24"/>
        <v>30</v>
      </c>
      <c r="X40" s="576">
        <f t="shared" si="25"/>
        <v>30</v>
      </c>
      <c r="Y40" s="531"/>
      <c r="Z40" s="531"/>
      <c r="AA40" s="531"/>
      <c r="AB40" s="531"/>
      <c r="AC40" s="546"/>
      <c r="AD40" s="546"/>
      <c r="AE40" s="546"/>
      <c r="AF40" s="546"/>
      <c r="AG40" s="546"/>
      <c r="AH40" s="546"/>
      <c r="AI40" s="546"/>
      <c r="AJ40" s="546"/>
      <c r="AK40" s="546"/>
      <c r="AL40" s="546"/>
      <c r="AM40" s="546"/>
    </row>
    <row r="41" spans="1:39" x14ac:dyDescent="0.2">
      <c r="A41" s="547">
        <v>13</v>
      </c>
      <c r="B41" s="883" t="s">
        <v>1703</v>
      </c>
      <c r="C41" s="884"/>
      <c r="D41" s="555"/>
      <c r="E41" s="555"/>
      <c r="F41" s="555"/>
      <c r="G41" s="556" t="s">
        <v>1679</v>
      </c>
      <c r="H41" s="555"/>
      <c r="I41" s="555"/>
      <c r="J41" s="555"/>
      <c r="K41" s="555" t="s">
        <v>1679</v>
      </c>
      <c r="L41" s="557">
        <f t="shared" si="13"/>
        <v>6.6666666666666666E-2</v>
      </c>
      <c r="M41" s="545">
        <f t="shared" si="14"/>
        <v>300</v>
      </c>
      <c r="N41" s="545">
        <f t="shared" si="15"/>
        <v>300</v>
      </c>
      <c r="O41" s="558">
        <f t="shared" si="16"/>
        <v>0</v>
      </c>
      <c r="P41" s="530">
        <f t="shared" si="17"/>
        <v>0</v>
      </c>
      <c r="Q41" s="530">
        <f t="shared" si="18"/>
        <v>0</v>
      </c>
      <c r="R41" s="530">
        <f t="shared" si="19"/>
        <v>10</v>
      </c>
      <c r="S41" s="545">
        <f t="shared" si="20"/>
        <v>10</v>
      </c>
      <c r="T41" s="558">
        <f t="shared" si="21"/>
        <v>0</v>
      </c>
      <c r="U41" s="530">
        <f t="shared" si="22"/>
        <v>0</v>
      </c>
      <c r="V41" s="530">
        <f t="shared" si="23"/>
        <v>0</v>
      </c>
      <c r="W41" s="530">
        <f t="shared" si="24"/>
        <v>30</v>
      </c>
      <c r="X41" s="576">
        <f t="shared" si="25"/>
        <v>30</v>
      </c>
      <c r="Y41" s="531"/>
      <c r="Z41" s="531"/>
      <c r="AA41" s="531"/>
      <c r="AB41" s="531"/>
      <c r="AC41" s="546"/>
      <c r="AD41" s="546"/>
      <c r="AE41" s="546"/>
      <c r="AF41" s="546"/>
      <c r="AG41" s="546"/>
      <c r="AH41" s="546"/>
      <c r="AI41" s="546"/>
      <c r="AJ41" s="546"/>
      <c r="AK41" s="546"/>
      <c r="AL41" s="546"/>
      <c r="AM41" s="546"/>
    </row>
    <row r="42" spans="1:39" x14ac:dyDescent="0.2">
      <c r="A42" s="554">
        <v>14</v>
      </c>
      <c r="B42" s="883" t="s">
        <v>1704</v>
      </c>
      <c r="C42" s="884"/>
      <c r="D42" s="555"/>
      <c r="E42" s="555" t="s">
        <v>1679</v>
      </c>
      <c r="F42" s="555"/>
      <c r="G42" s="556"/>
      <c r="H42" s="555"/>
      <c r="I42" s="555"/>
      <c r="J42" s="555"/>
      <c r="K42" s="556" t="s">
        <v>1679</v>
      </c>
      <c r="L42" s="557">
        <f t="shared" si="13"/>
        <v>3.3333333333333333E-2</v>
      </c>
      <c r="M42" s="545">
        <f t="shared" si="14"/>
        <v>300</v>
      </c>
      <c r="N42" s="545">
        <f t="shared" si="15"/>
        <v>150</v>
      </c>
      <c r="O42" s="558">
        <f t="shared" si="16"/>
        <v>0</v>
      </c>
      <c r="P42" s="530">
        <f t="shared" si="17"/>
        <v>5</v>
      </c>
      <c r="Q42" s="530">
        <f t="shared" si="18"/>
        <v>0</v>
      </c>
      <c r="R42" s="530">
        <f t="shared" si="19"/>
        <v>0</v>
      </c>
      <c r="S42" s="545">
        <f t="shared" si="20"/>
        <v>5</v>
      </c>
      <c r="T42" s="558">
        <f t="shared" si="21"/>
        <v>0</v>
      </c>
      <c r="U42" s="530">
        <f t="shared" si="22"/>
        <v>0</v>
      </c>
      <c r="V42" s="530">
        <f t="shared" si="23"/>
        <v>0</v>
      </c>
      <c r="W42" s="530">
        <f t="shared" si="24"/>
        <v>30</v>
      </c>
      <c r="X42" s="576">
        <f t="shared" si="25"/>
        <v>30</v>
      </c>
      <c r="Y42" s="531"/>
      <c r="Z42" s="531"/>
      <c r="AA42" s="531"/>
      <c r="AB42" s="531"/>
      <c r="AC42" s="546"/>
      <c r="AD42" s="546"/>
      <c r="AE42" s="546"/>
      <c r="AF42" s="546"/>
      <c r="AG42" s="546"/>
      <c r="AH42" s="546"/>
      <c r="AI42" s="546"/>
      <c r="AJ42" s="546"/>
      <c r="AK42" s="546"/>
      <c r="AL42" s="546"/>
      <c r="AM42" s="546"/>
    </row>
    <row r="43" spans="1:39" ht="12" thickBot="1" x14ac:dyDescent="0.25">
      <c r="A43" s="547">
        <v>15</v>
      </c>
      <c r="B43" s="885" t="s">
        <v>1705</v>
      </c>
      <c r="C43" s="885"/>
      <c r="D43" s="560"/>
      <c r="E43" s="560"/>
      <c r="F43" s="560"/>
      <c r="G43" s="577" t="s">
        <v>1679</v>
      </c>
      <c r="H43" s="560"/>
      <c r="I43" s="560"/>
      <c r="J43" s="560"/>
      <c r="K43" s="577" t="s">
        <v>1679</v>
      </c>
      <c r="L43" s="562">
        <f t="shared" si="13"/>
        <v>6.6666666666666666E-2</v>
      </c>
      <c r="M43" s="545">
        <f t="shared" si="14"/>
        <v>300</v>
      </c>
      <c r="N43" s="545">
        <f t="shared" si="15"/>
        <v>300</v>
      </c>
      <c r="O43" s="563">
        <f t="shared" si="16"/>
        <v>0</v>
      </c>
      <c r="P43" s="564">
        <f t="shared" si="17"/>
        <v>0</v>
      </c>
      <c r="Q43" s="564">
        <f t="shared" si="18"/>
        <v>0</v>
      </c>
      <c r="R43" s="564">
        <f t="shared" si="19"/>
        <v>10</v>
      </c>
      <c r="S43" s="578">
        <f t="shared" si="20"/>
        <v>10</v>
      </c>
      <c r="T43" s="563">
        <f t="shared" si="21"/>
        <v>0</v>
      </c>
      <c r="U43" s="564">
        <f t="shared" si="22"/>
        <v>0</v>
      </c>
      <c r="V43" s="564">
        <f t="shared" si="23"/>
        <v>0</v>
      </c>
      <c r="W43" s="564">
        <f t="shared" si="24"/>
        <v>30</v>
      </c>
      <c r="X43" s="579">
        <f t="shared" si="25"/>
        <v>30</v>
      </c>
      <c r="Y43" s="531"/>
      <c r="Z43" s="531"/>
      <c r="AA43" s="531"/>
      <c r="AB43" s="580"/>
      <c r="AC43" s="546"/>
      <c r="AD43" s="546"/>
      <c r="AE43" s="546"/>
      <c r="AF43" s="546"/>
      <c r="AG43" s="546"/>
      <c r="AH43" s="546"/>
      <c r="AI43" s="546"/>
      <c r="AJ43" s="546"/>
      <c r="AK43" s="546"/>
      <c r="AL43" s="546"/>
      <c r="AM43" s="546"/>
    </row>
    <row r="44" spans="1:39" ht="12" thickBot="1" x14ac:dyDescent="0.25">
      <c r="L44" s="581">
        <f>SUM(L29:L43)</f>
        <v>0.84999999999999987</v>
      </c>
      <c r="M44" s="545">
        <f>SUM(M29:M43)</f>
        <v>4500</v>
      </c>
      <c r="N44" s="582">
        <f>SUM(N29:N43)</f>
        <v>3825</v>
      </c>
      <c r="O44" s="563">
        <f t="shared" si="16"/>
        <v>0</v>
      </c>
      <c r="P44" s="564">
        <f t="shared" si="17"/>
        <v>0</v>
      </c>
      <c r="Q44" s="564">
        <f t="shared" si="18"/>
        <v>0</v>
      </c>
      <c r="R44" s="564">
        <f t="shared" si="19"/>
        <v>0</v>
      </c>
      <c r="S44" s="578">
        <f t="shared" si="20"/>
        <v>0</v>
      </c>
      <c r="T44" s="563">
        <f t="shared" si="21"/>
        <v>0</v>
      </c>
      <c r="U44" s="564">
        <f t="shared" si="22"/>
        <v>0</v>
      </c>
      <c r="V44" s="564">
        <f t="shared" si="23"/>
        <v>0</v>
      </c>
      <c r="W44" s="564">
        <f t="shared" si="24"/>
        <v>0</v>
      </c>
      <c r="X44" s="579">
        <f t="shared" si="25"/>
        <v>0</v>
      </c>
      <c r="Y44" s="531"/>
      <c r="Z44" s="531"/>
      <c r="AA44" s="531"/>
      <c r="AB44" s="531"/>
      <c r="AC44" s="546"/>
      <c r="AD44" s="546"/>
      <c r="AE44" s="546"/>
      <c r="AF44" s="546"/>
      <c r="AG44" s="546"/>
      <c r="AH44" s="546"/>
      <c r="AI44" s="546"/>
      <c r="AJ44" s="546"/>
      <c r="AK44" s="546"/>
      <c r="AL44" s="546"/>
      <c r="AM44" s="546"/>
    </row>
    <row r="45" spans="1:39" ht="10.5" customHeight="1" x14ac:dyDescent="0.2">
      <c r="B45" s="531"/>
      <c r="C45" s="531"/>
      <c r="D45" s="531"/>
      <c r="E45" s="531"/>
      <c r="F45" s="531"/>
      <c r="G45" s="531"/>
      <c r="H45" s="531"/>
      <c r="I45" s="531"/>
      <c r="J45" s="531"/>
      <c r="K45" s="531"/>
      <c r="L45" s="531"/>
      <c r="O45" s="530"/>
      <c r="P45" s="530"/>
      <c r="Q45" s="530"/>
      <c r="R45" s="530"/>
      <c r="S45" s="530"/>
      <c r="T45" s="530"/>
      <c r="U45" s="530"/>
      <c r="V45" s="530"/>
      <c r="W45" s="530"/>
      <c r="X45" s="530"/>
      <c r="Y45" s="531"/>
      <c r="Z45" s="531"/>
      <c r="AA45" s="531"/>
      <c r="AB45" s="531"/>
      <c r="AC45" s="546"/>
      <c r="AD45" s="546"/>
      <c r="AE45" s="546"/>
      <c r="AF45" s="546"/>
      <c r="AG45" s="546"/>
      <c r="AH45" s="546"/>
      <c r="AI45" s="546"/>
      <c r="AJ45" s="546"/>
      <c r="AK45" s="546"/>
      <c r="AL45" s="546"/>
      <c r="AM45" s="546"/>
    </row>
    <row r="46" spans="1:39" x14ac:dyDescent="0.2">
      <c r="M46" s="530"/>
      <c r="N46" s="530">
        <f>IF($L$44&gt;85%,5,0)</f>
        <v>0</v>
      </c>
      <c r="O46" s="530">
        <f>IF($L$44&lt;=85%,2,0)</f>
        <v>2</v>
      </c>
      <c r="P46" s="530">
        <f>IF($L$44&gt;70%,2,0)</f>
        <v>2</v>
      </c>
      <c r="Q46" s="530">
        <f>IF($L$44&lt;=70%,3,0)</f>
        <v>0</v>
      </c>
      <c r="R46" s="530">
        <f>IF($L$44&gt;45%,1,0)</f>
        <v>1</v>
      </c>
      <c r="S46" s="530">
        <f>IF($L$44&lt;=45%,1,0)</f>
        <v>0</v>
      </c>
      <c r="T46" s="530"/>
      <c r="U46" s="530">
        <f>IF($L$44&gt;0%,2,0)</f>
        <v>2</v>
      </c>
      <c r="V46" s="530"/>
      <c r="W46" s="530"/>
      <c r="X46" s="530"/>
      <c r="Y46" s="531"/>
      <c r="Z46" s="531"/>
      <c r="AA46" s="531"/>
      <c r="AB46" s="531"/>
    </row>
    <row r="47" spans="1:39" ht="12.75" x14ac:dyDescent="0.2">
      <c r="A47" s="886" t="s">
        <v>1706</v>
      </c>
      <c r="B47" s="886"/>
      <c r="C47" s="567">
        <f>L44</f>
        <v>0.84999999999999987</v>
      </c>
      <c r="E47" s="874" t="str">
        <f>+IF(L44&gt;=0.86,"A",IF(AND(L44&lt;0.86,L44&gt;=0.71),"B",IF(AND(L44&lt;0.71,L44&gt;=0.46),"C",IF(AND(L44&lt;0.46,L44&gt;0),"No califica",IF(L44=0,"No evaluado")))))</f>
        <v>B</v>
      </c>
      <c r="F47" s="874"/>
      <c r="G47" s="584"/>
      <c r="H47" s="882" t="s">
        <v>1686</v>
      </c>
      <c r="I47" s="882"/>
      <c r="J47" s="882"/>
      <c r="K47" s="882"/>
      <c r="L47" s="568" t="str">
        <f>+IF(E47="A","Excelente",IF(E47="B","Muy Bueno",IF(E47="C","Bueno a regular",IF(E47="No evaluado","","No califica"))))</f>
        <v>Muy Bueno</v>
      </c>
      <c r="M47" s="530"/>
      <c r="N47" s="530">
        <f>+N46</f>
        <v>0</v>
      </c>
      <c r="O47" s="879">
        <f>+O46*P46</f>
        <v>4</v>
      </c>
      <c r="P47" s="879"/>
      <c r="Q47" s="879">
        <f>+Q46*R46</f>
        <v>0</v>
      </c>
      <c r="R47" s="879"/>
      <c r="S47" s="879">
        <f>+S46*U46</f>
        <v>0</v>
      </c>
      <c r="T47" s="879"/>
      <c r="U47" s="879"/>
      <c r="V47" s="530">
        <f>SUM(N47:U47)</f>
        <v>4</v>
      </c>
      <c r="W47" s="530"/>
      <c r="X47" s="530"/>
      <c r="Y47" s="531"/>
      <c r="Z47" s="531"/>
      <c r="AA47" s="531"/>
      <c r="AB47" s="531"/>
    </row>
    <row r="48" spans="1:39" ht="12.75" customHeight="1" x14ac:dyDescent="0.2">
      <c r="B48" s="585"/>
      <c r="C48" s="531"/>
      <c r="D48" s="531"/>
      <c r="E48" s="531"/>
      <c r="F48" s="531"/>
      <c r="G48" s="586"/>
      <c r="H48" s="570"/>
      <c r="I48" s="570"/>
      <c r="J48" s="571"/>
      <c r="K48" s="572"/>
      <c r="L48" s="573"/>
      <c r="M48" s="530"/>
      <c r="N48" s="530"/>
      <c r="O48" s="530"/>
      <c r="P48" s="530"/>
      <c r="Q48" s="530"/>
      <c r="R48" s="530"/>
      <c r="S48" s="530"/>
      <c r="T48" s="530"/>
      <c r="U48" s="530"/>
      <c r="V48" s="530"/>
      <c r="W48" s="530"/>
      <c r="X48" s="530"/>
      <c r="Y48" s="531"/>
      <c r="Z48" s="531"/>
      <c r="AA48" s="531"/>
      <c r="AB48" s="531"/>
    </row>
    <row r="49" spans="1:28" s="586" customFormat="1" ht="12.75" customHeight="1" x14ac:dyDescent="0.2">
      <c r="A49" s="880" t="s">
        <v>1687</v>
      </c>
      <c r="B49" s="880"/>
      <c r="C49" s="881" t="s">
        <v>2164</v>
      </c>
      <c r="D49" s="881"/>
      <c r="E49" s="881"/>
      <c r="F49" s="881"/>
      <c r="G49" s="584"/>
      <c r="H49" s="882" t="s">
        <v>1689</v>
      </c>
      <c r="I49" s="882"/>
      <c r="J49" s="882"/>
      <c r="K49" s="882"/>
      <c r="L49" s="574">
        <v>43906</v>
      </c>
      <c r="M49" s="587"/>
      <c r="N49" s="587"/>
      <c r="O49" s="587"/>
      <c r="P49" s="587"/>
      <c r="Q49" s="587"/>
      <c r="R49" s="587"/>
      <c r="S49" s="587"/>
      <c r="T49" s="587"/>
      <c r="U49" s="587"/>
      <c r="V49" s="587"/>
      <c r="W49" s="587"/>
      <c r="X49" s="587"/>
      <c r="Y49" s="588"/>
      <c r="Z49" s="588"/>
      <c r="AA49" s="588"/>
      <c r="AB49" s="588"/>
    </row>
    <row r="50" spans="1:28" ht="11.25" customHeight="1" x14ac:dyDescent="0.2">
      <c r="B50" s="589"/>
      <c r="C50" s="590"/>
      <c r="D50" s="533"/>
      <c r="E50" s="533"/>
      <c r="F50" s="533"/>
      <c r="G50" s="591"/>
      <c r="H50" s="572"/>
      <c r="I50" s="572"/>
      <c r="J50" s="572"/>
      <c r="M50" s="530"/>
      <c r="N50" s="530"/>
      <c r="O50" s="530"/>
      <c r="P50" s="530"/>
      <c r="Q50" s="530"/>
      <c r="R50" s="530"/>
      <c r="S50" s="530"/>
      <c r="T50" s="530"/>
      <c r="U50" s="530"/>
      <c r="V50" s="530"/>
      <c r="W50" s="530"/>
      <c r="X50" s="530"/>
      <c r="Y50" s="531"/>
      <c r="Z50" s="531"/>
      <c r="AA50" s="531"/>
      <c r="AB50" s="531"/>
    </row>
    <row r="51" spans="1:28" ht="12" x14ac:dyDescent="0.2">
      <c r="B51" s="589"/>
      <c r="C51" s="590"/>
      <c r="D51" s="533"/>
      <c r="E51" s="533"/>
      <c r="F51" s="533"/>
      <c r="G51" s="591"/>
      <c r="H51" s="591"/>
      <c r="I51" s="591"/>
      <c r="J51" s="591"/>
      <c r="K51" s="533"/>
      <c r="L51" s="533"/>
      <c r="M51" s="530"/>
      <c r="N51" s="530"/>
      <c r="O51" s="530"/>
      <c r="P51" s="530"/>
      <c r="Q51" s="530"/>
      <c r="R51" s="530"/>
      <c r="S51" s="530"/>
      <c r="T51" s="530"/>
      <c r="U51" s="530"/>
      <c r="V51" s="530"/>
      <c r="W51" s="530"/>
      <c r="X51" s="530"/>
      <c r="Y51" s="531"/>
      <c r="Z51" s="531"/>
      <c r="AA51" s="531"/>
      <c r="AB51" s="531"/>
    </row>
    <row r="52" spans="1:28" ht="12.75" customHeight="1" x14ac:dyDescent="0.2">
      <c r="A52" s="873" t="s">
        <v>1708</v>
      </c>
      <c r="B52" s="873"/>
      <c r="C52" s="567">
        <f>IF(L44=0,L19,(L19*0.5+L44*0.5))</f>
        <v>0.79342105263157892</v>
      </c>
      <c r="D52" s="592"/>
      <c r="E52" s="874" t="str">
        <f>+IF($C$52&gt;=0.86,"A",IF(AND($C$52&lt;0.86,$C$52&gt;=0.71),"B",IF(AND($C$52&lt;0.71,$C$52&gt;=0.46),"C",IF(AND($C$52&lt;0.46,$C$52&gt;0),"No califica",IF(C52=0,"No evaluado",)))))</f>
        <v>B</v>
      </c>
      <c r="F52" s="874"/>
      <c r="G52" s="875" t="s">
        <v>1686</v>
      </c>
      <c r="H52" s="875"/>
      <c r="I52" s="875"/>
      <c r="J52" s="875"/>
      <c r="K52" s="875"/>
      <c r="L52" s="568" t="str">
        <f>+IF(E52="A","Excelente",IF(E52="B","Muy Bueno",IF(E52="C","Bueno a regular",IF(E52="No evaluado","","No califica"))))</f>
        <v>Muy Bueno</v>
      </c>
      <c r="M52" s="530"/>
      <c r="N52" s="530"/>
      <c r="O52" s="530"/>
      <c r="P52" s="530"/>
      <c r="Q52" s="530"/>
      <c r="R52" s="530"/>
      <c r="S52" s="530"/>
      <c r="T52" s="530"/>
      <c r="U52" s="530"/>
      <c r="V52" s="530"/>
      <c r="W52" s="530"/>
      <c r="X52" s="530"/>
      <c r="Y52" s="531"/>
      <c r="Z52" s="531"/>
      <c r="AA52" s="531"/>
      <c r="AB52" s="531"/>
    </row>
    <row r="53" spans="1:28" ht="12" x14ac:dyDescent="0.2">
      <c r="B53" s="585"/>
      <c r="C53" s="531"/>
      <c r="D53" s="531"/>
      <c r="E53" s="531"/>
      <c r="F53" s="531"/>
      <c r="G53" s="593"/>
      <c r="H53" s="593"/>
      <c r="I53" s="593"/>
      <c r="J53" s="593"/>
      <c r="K53" s="594"/>
      <c r="L53" s="573"/>
      <c r="M53" s="530"/>
      <c r="N53" s="530"/>
      <c r="O53" s="530"/>
      <c r="P53" s="530"/>
      <c r="Q53" s="530"/>
      <c r="R53" s="530"/>
      <c r="S53" s="530"/>
      <c r="T53" s="530"/>
      <c r="U53" s="530"/>
      <c r="V53" s="530"/>
      <c r="W53" s="530"/>
      <c r="X53" s="530"/>
      <c r="Y53" s="531"/>
      <c r="Z53" s="531"/>
      <c r="AA53" s="531"/>
      <c r="AB53" s="531"/>
    </row>
    <row r="54" spans="1:28" ht="12" customHeight="1" x14ac:dyDescent="0.2">
      <c r="B54" s="595"/>
      <c r="C54" s="531"/>
      <c r="E54" s="531"/>
      <c r="F54" s="531"/>
      <c r="G54" s="876" t="s">
        <v>1709</v>
      </c>
      <c r="H54" s="876"/>
      <c r="I54" s="876"/>
      <c r="J54" s="876"/>
      <c r="K54" s="876"/>
      <c r="L54" s="574">
        <v>43906</v>
      </c>
      <c r="M54" s="530"/>
      <c r="N54" s="530"/>
      <c r="O54" s="530"/>
      <c r="P54" s="530"/>
      <c r="Q54" s="530"/>
      <c r="R54" s="530"/>
      <c r="S54" s="530"/>
      <c r="T54" s="530"/>
      <c r="U54" s="530"/>
      <c r="V54" s="530"/>
      <c r="W54" s="530"/>
      <c r="X54" s="530"/>
      <c r="Y54" s="531"/>
      <c r="Z54" s="531"/>
      <c r="AA54" s="531"/>
      <c r="AB54" s="531"/>
    </row>
    <row r="55" spans="1:28" x14ac:dyDescent="0.2">
      <c r="B55" s="531"/>
      <c r="C55" s="531"/>
      <c r="D55" s="531"/>
      <c r="E55" s="531"/>
      <c r="F55" s="531"/>
      <c r="G55" s="531"/>
      <c r="H55" s="531"/>
      <c r="I55" s="531"/>
      <c r="J55" s="531"/>
      <c r="K55" s="531"/>
      <c r="L55" s="531"/>
      <c r="M55" s="530"/>
      <c r="N55" s="530"/>
      <c r="O55" s="530"/>
      <c r="P55" s="530"/>
      <c r="Q55" s="530"/>
      <c r="R55" s="530"/>
      <c r="S55" s="530"/>
      <c r="T55" s="530"/>
      <c r="U55" s="530"/>
      <c r="V55" s="530"/>
      <c r="W55" s="530"/>
      <c r="X55" s="530"/>
      <c r="Y55" s="531"/>
      <c r="Z55" s="531"/>
      <c r="AA55" s="531"/>
      <c r="AB55" s="531"/>
    </row>
    <row r="56" spans="1:28" x14ac:dyDescent="0.2">
      <c r="B56" s="531"/>
      <c r="C56" s="531"/>
      <c r="D56" s="531"/>
      <c r="E56" s="531"/>
      <c r="F56" s="531"/>
      <c r="G56" s="531"/>
      <c r="H56" s="531"/>
      <c r="I56" s="531"/>
      <c r="J56" s="531"/>
      <c r="K56" s="531"/>
      <c r="L56" s="531"/>
      <c r="M56" s="530"/>
      <c r="N56" s="530"/>
      <c r="O56" s="530"/>
      <c r="P56" s="530"/>
      <c r="Q56" s="530"/>
      <c r="R56" s="530"/>
      <c r="S56" s="530"/>
      <c r="T56" s="530"/>
      <c r="U56" s="530"/>
      <c r="V56" s="530"/>
      <c r="W56" s="530"/>
      <c r="X56" s="530"/>
      <c r="Y56" s="531"/>
      <c r="Z56" s="531"/>
      <c r="AA56" s="531"/>
      <c r="AB56" s="531"/>
    </row>
    <row r="57" spans="1:28" ht="24.75" customHeight="1" x14ac:dyDescent="0.2">
      <c r="A57" s="877" t="s">
        <v>1710</v>
      </c>
      <c r="B57" s="877"/>
      <c r="C57" s="939" t="s">
        <v>2549</v>
      </c>
      <c r="D57" s="878"/>
      <c r="E57" s="878"/>
      <c r="F57" s="878"/>
      <c r="G57" s="878"/>
      <c r="H57" s="878"/>
      <c r="I57" s="878"/>
      <c r="J57" s="878"/>
      <c r="K57" s="878"/>
      <c r="L57" s="878"/>
      <c r="M57" s="530"/>
      <c r="N57" s="530"/>
      <c r="O57" s="530"/>
      <c r="P57" s="530"/>
      <c r="Q57" s="530"/>
      <c r="R57" s="530"/>
      <c r="S57" s="530"/>
      <c r="T57" s="530"/>
      <c r="U57" s="530"/>
      <c r="V57" s="530"/>
      <c r="W57" s="530"/>
      <c r="X57" s="530"/>
      <c r="Y57" s="531"/>
      <c r="Z57" s="531"/>
      <c r="AA57" s="531"/>
      <c r="AB57" s="531"/>
    </row>
    <row r="58" spans="1:28" ht="12.75" customHeight="1" x14ac:dyDescent="0.2">
      <c r="A58" s="871"/>
      <c r="B58" s="871"/>
      <c r="C58" s="871"/>
      <c r="D58" s="871"/>
      <c r="E58" s="871"/>
      <c r="F58" s="871"/>
      <c r="G58" s="871"/>
      <c r="H58" s="871"/>
      <c r="I58" s="871"/>
      <c r="J58" s="871"/>
      <c r="K58" s="871"/>
      <c r="L58" s="871"/>
      <c r="M58" s="530"/>
      <c r="N58" s="530"/>
      <c r="O58" s="530"/>
      <c r="P58" s="530"/>
      <c r="Q58" s="530"/>
      <c r="R58" s="530"/>
      <c r="S58" s="530"/>
      <c r="T58" s="530"/>
      <c r="U58" s="530"/>
      <c r="V58" s="530"/>
      <c r="W58" s="530"/>
      <c r="X58" s="530"/>
      <c r="Y58" s="531"/>
      <c r="Z58" s="531"/>
      <c r="AA58" s="531"/>
      <c r="AB58" s="531"/>
    </row>
    <row r="59" spans="1:28" ht="9.75" customHeight="1" x14ac:dyDescent="0.2"/>
    <row r="60" spans="1:28" s="538" customFormat="1" ht="24" customHeight="1" x14ac:dyDescent="0.2">
      <c r="A60" s="872" t="s">
        <v>1712</v>
      </c>
      <c r="B60" s="872"/>
      <c r="C60" s="872"/>
      <c r="D60" s="872"/>
      <c r="E60" s="872"/>
      <c r="F60" s="872"/>
      <c r="G60" s="872"/>
      <c r="H60" s="872"/>
      <c r="I60" s="872"/>
      <c r="J60" s="872"/>
      <c r="K60" s="872"/>
      <c r="L60" s="872"/>
      <c r="M60" s="596"/>
      <c r="N60" s="596"/>
      <c r="O60" s="596"/>
      <c r="P60" s="596"/>
      <c r="Q60" s="596"/>
      <c r="R60" s="596"/>
      <c r="S60" s="596"/>
      <c r="T60" s="596"/>
      <c r="U60" s="596"/>
      <c r="V60" s="596"/>
      <c r="W60" s="596"/>
      <c r="X60" s="596"/>
    </row>
    <row r="61" spans="1:28" x14ac:dyDescent="0.2">
      <c r="H61" s="595" t="s">
        <v>1713</v>
      </c>
      <c r="I61" s="595"/>
      <c r="J61" s="539"/>
      <c r="L61" s="597" t="s">
        <v>1714</v>
      </c>
    </row>
    <row r="62" spans="1:28" x14ac:dyDescent="0.2">
      <c r="H62" s="595" t="s">
        <v>1715</v>
      </c>
      <c r="I62" s="595"/>
      <c r="J62" s="539"/>
      <c r="L62" s="597" t="s">
        <v>1716</v>
      </c>
    </row>
    <row r="63" spans="1:28" x14ac:dyDescent="0.2">
      <c r="H63" s="595" t="s">
        <v>1717</v>
      </c>
      <c r="I63" s="595"/>
      <c r="J63" s="539"/>
      <c r="L63" s="597" t="s">
        <v>1718</v>
      </c>
    </row>
    <row r="64" spans="1:28" x14ac:dyDescent="0.2">
      <c r="H64" s="595" t="s">
        <v>1719</v>
      </c>
      <c r="I64" s="595"/>
      <c r="J64" s="539"/>
      <c r="L64" s="597" t="s">
        <v>1720</v>
      </c>
    </row>
  </sheetData>
  <mergeCells count="69">
    <mergeCell ref="A58:L58"/>
    <mergeCell ref="A60:L60"/>
    <mergeCell ref="A52:B52"/>
    <mergeCell ref="E52:F52"/>
    <mergeCell ref="G52:K52"/>
    <mergeCell ref="G54:K54"/>
    <mergeCell ref="A57:B57"/>
    <mergeCell ref="C57:L57"/>
    <mergeCell ref="O47:P47"/>
    <mergeCell ref="Q47:R47"/>
    <mergeCell ref="S47:U47"/>
    <mergeCell ref="A49:B49"/>
    <mergeCell ref="C49:F49"/>
    <mergeCell ref="H49:K49"/>
    <mergeCell ref="H47:K47"/>
    <mergeCell ref="B41:C41"/>
    <mergeCell ref="B42:C42"/>
    <mergeCell ref="B43:C43"/>
    <mergeCell ref="A47:B47"/>
    <mergeCell ref="E47:F47"/>
    <mergeCell ref="B40:C40"/>
    <mergeCell ref="B29:C29"/>
    <mergeCell ref="B30:C30"/>
    <mergeCell ref="B31:C31"/>
    <mergeCell ref="B32:C32"/>
    <mergeCell ref="B33:C33"/>
    <mergeCell ref="B34:C34"/>
    <mergeCell ref="B35:C35"/>
    <mergeCell ref="B36:C36"/>
    <mergeCell ref="B37:C37"/>
    <mergeCell ref="B38:C38"/>
    <mergeCell ref="B39:C39"/>
    <mergeCell ref="T28:X28"/>
    <mergeCell ref="O21:P21"/>
    <mergeCell ref="Q21:R21"/>
    <mergeCell ref="S21:U21"/>
    <mergeCell ref="A23:B23"/>
    <mergeCell ref="C23:F23"/>
    <mergeCell ref="H23:K23"/>
    <mergeCell ref="H21:K21"/>
    <mergeCell ref="A25:L25"/>
    <mergeCell ref="D27:G27"/>
    <mergeCell ref="H27:K27"/>
    <mergeCell ref="B28:C28"/>
    <mergeCell ref="O28:S28"/>
    <mergeCell ref="B16:C16"/>
    <mergeCell ref="B17:C17"/>
    <mergeCell ref="B18:C18"/>
    <mergeCell ref="A21:B21"/>
    <mergeCell ref="E21:F21"/>
    <mergeCell ref="O11:S11"/>
    <mergeCell ref="T11:X11"/>
    <mergeCell ref="B12:C12"/>
    <mergeCell ref="B13:C13"/>
    <mergeCell ref="B14:C14"/>
    <mergeCell ref="B15:C15"/>
    <mergeCell ref="A6:B6"/>
    <mergeCell ref="C6:L6"/>
    <mergeCell ref="A8:L8"/>
    <mergeCell ref="D10:G10"/>
    <mergeCell ref="H10:K10"/>
    <mergeCell ref="B11:C11"/>
    <mergeCell ref="A5:B5"/>
    <mergeCell ref="C5:L5"/>
    <mergeCell ref="A1:B2"/>
    <mergeCell ref="C1:L1"/>
    <mergeCell ref="C2:E2"/>
    <mergeCell ref="F2:L2"/>
    <mergeCell ref="A4:L4"/>
  </mergeCells>
  <pageMargins left="0.74803149606299213" right="0.74803149606299213" top="0.98425196850393704" bottom="0.98425196850393704" header="0" footer="0"/>
  <pageSetup paperSize="9" scale="78" orientation="portrait" r:id="rId1"/>
  <headerFooter alignWithMargins="0">
    <oddFooter>&amp;L&amp;7Revisión 1
EMISIÓN: 5/05/17 &amp;C&amp;7Revisa y Aprueba : Ruth Clausen&amp;R&amp;7&amp;P de &amp;N</oddFooter>
  </headerFooter>
  <colBreaks count="1" manualBreakCount="1">
    <brk id="12"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tint="0.39997558519241921"/>
  </sheetPr>
  <dimension ref="A1:AM64"/>
  <sheetViews>
    <sheetView workbookViewId="0">
      <selection sqref="A1:B2"/>
    </sheetView>
  </sheetViews>
  <sheetFormatPr baseColWidth="10" defaultRowHeight="11.25" x14ac:dyDescent="0.2"/>
  <cols>
    <col min="1" max="1" width="2.7109375" style="533" customWidth="1"/>
    <col min="2" max="2" width="18.7109375" style="532" customWidth="1"/>
    <col min="3" max="3" width="15.28515625" style="532" customWidth="1"/>
    <col min="4" max="4" width="5.5703125" style="532" customWidth="1"/>
    <col min="5" max="5" width="5" style="532" customWidth="1"/>
    <col min="6" max="7" width="5.5703125" style="532" customWidth="1"/>
    <col min="8" max="8" width="7.28515625" style="532" customWidth="1"/>
    <col min="9" max="10" width="5.85546875" style="532" customWidth="1"/>
    <col min="11" max="11" width="5.7109375" style="532" customWidth="1"/>
    <col min="12" max="12" width="17.28515625" style="532" customWidth="1"/>
    <col min="13" max="14" width="12.28515625" style="583" hidden="1" customWidth="1"/>
    <col min="15" max="24" width="8.7109375" style="583" hidden="1" customWidth="1"/>
    <col min="25" max="16384" width="11.42578125" style="532"/>
  </cols>
  <sheetData>
    <row r="1" spans="1:39" ht="29.25" customHeight="1" thickBot="1" x14ac:dyDescent="0.25">
      <c r="A1" s="919"/>
      <c r="B1" s="920"/>
      <c r="C1" s="933" t="s">
        <v>2428</v>
      </c>
      <c r="D1" s="934"/>
      <c r="E1" s="934"/>
      <c r="F1" s="934"/>
      <c r="G1" s="934"/>
      <c r="H1" s="934"/>
      <c r="I1" s="934"/>
      <c r="J1" s="934"/>
      <c r="K1" s="934"/>
      <c r="L1" s="935"/>
      <c r="M1" s="529"/>
      <c r="N1" s="530"/>
      <c r="O1" s="530"/>
      <c r="P1" s="530"/>
      <c r="Q1" s="530"/>
      <c r="R1" s="530"/>
      <c r="S1" s="530"/>
      <c r="T1" s="530"/>
      <c r="U1" s="530"/>
      <c r="V1" s="530"/>
      <c r="W1" s="530"/>
      <c r="X1" s="530"/>
      <c r="Y1" s="531"/>
      <c r="Z1" s="531"/>
      <c r="AA1" s="531"/>
      <c r="AB1" s="531"/>
    </row>
    <row r="2" spans="1:39" ht="24.75" customHeight="1" thickBot="1" x14ac:dyDescent="0.25">
      <c r="A2" s="921"/>
      <c r="B2" s="922"/>
      <c r="C2" s="926" t="s">
        <v>1658</v>
      </c>
      <c r="D2" s="927"/>
      <c r="E2" s="928"/>
      <c r="F2" s="926" t="s">
        <v>1659</v>
      </c>
      <c r="G2" s="927"/>
      <c r="H2" s="927"/>
      <c r="I2" s="927"/>
      <c r="J2" s="927"/>
      <c r="K2" s="927"/>
      <c r="L2" s="928"/>
      <c r="M2" s="530"/>
      <c r="N2" s="530"/>
      <c r="O2" s="530"/>
      <c r="P2" s="530"/>
      <c r="Q2" s="530"/>
      <c r="R2" s="530"/>
      <c r="S2" s="530"/>
      <c r="T2" s="530"/>
      <c r="U2" s="530"/>
      <c r="V2" s="530"/>
      <c r="W2" s="530"/>
      <c r="X2" s="530"/>
      <c r="Y2" s="531"/>
      <c r="Z2" s="531"/>
      <c r="AA2" s="531"/>
      <c r="AB2" s="531"/>
    </row>
    <row r="3" spans="1:39" ht="9" customHeight="1" thickBot="1" x14ac:dyDescent="0.25">
      <c r="B3" s="534"/>
      <c r="C3" s="535"/>
      <c r="D3" s="535"/>
      <c r="E3" s="535"/>
      <c r="F3" s="535"/>
      <c r="G3" s="535"/>
      <c r="H3" s="535"/>
      <c r="I3" s="535"/>
      <c r="J3" s="535"/>
      <c r="K3" s="535"/>
      <c r="L3" s="535"/>
      <c r="M3" s="530"/>
      <c r="N3" s="530"/>
      <c r="O3" s="530"/>
      <c r="P3" s="530"/>
      <c r="Q3" s="530"/>
      <c r="R3" s="530"/>
      <c r="S3" s="530"/>
      <c r="T3" s="530"/>
      <c r="U3" s="530"/>
      <c r="V3" s="530"/>
      <c r="W3" s="530"/>
      <c r="X3" s="530"/>
      <c r="Y3" s="531"/>
      <c r="Z3" s="531"/>
      <c r="AA3" s="531"/>
      <c r="AB3" s="531"/>
    </row>
    <row r="4" spans="1:39" s="538" customFormat="1" ht="18.75" customHeight="1" thickBot="1" x14ac:dyDescent="0.25">
      <c r="A4" s="929" t="s">
        <v>1660</v>
      </c>
      <c r="B4" s="930"/>
      <c r="C4" s="930"/>
      <c r="D4" s="930"/>
      <c r="E4" s="930"/>
      <c r="F4" s="930"/>
      <c r="G4" s="930"/>
      <c r="H4" s="930"/>
      <c r="I4" s="930"/>
      <c r="J4" s="930"/>
      <c r="K4" s="930"/>
      <c r="L4" s="931"/>
      <c r="M4" s="536"/>
      <c r="N4" s="536"/>
      <c r="O4" s="536"/>
      <c r="P4" s="536"/>
      <c r="Q4" s="536"/>
      <c r="R4" s="536"/>
      <c r="S4" s="536"/>
      <c r="T4" s="536"/>
      <c r="U4" s="536"/>
      <c r="V4" s="536"/>
      <c r="W4" s="536"/>
      <c r="X4" s="536"/>
      <c r="Y4" s="537"/>
      <c r="Z4" s="537"/>
      <c r="AA4" s="537"/>
      <c r="AB4" s="537"/>
    </row>
    <row r="5" spans="1:39" s="538" customFormat="1" ht="16.5" customHeight="1" thickBot="1" x14ac:dyDescent="0.25">
      <c r="A5" s="914" t="s">
        <v>1661</v>
      </c>
      <c r="B5" s="915"/>
      <c r="C5" s="916" t="s">
        <v>2163</v>
      </c>
      <c r="D5" s="917"/>
      <c r="E5" s="917"/>
      <c r="F5" s="917"/>
      <c r="G5" s="917"/>
      <c r="H5" s="917"/>
      <c r="I5" s="917"/>
      <c r="J5" s="917"/>
      <c r="K5" s="917"/>
      <c r="L5" s="918"/>
      <c r="M5" s="536"/>
      <c r="N5" s="536"/>
      <c r="O5" s="536"/>
      <c r="P5" s="536"/>
      <c r="Q5" s="536"/>
      <c r="R5" s="536"/>
      <c r="S5" s="536"/>
      <c r="T5" s="536"/>
      <c r="U5" s="536"/>
      <c r="V5" s="536"/>
      <c r="W5" s="536"/>
      <c r="X5" s="536"/>
      <c r="Y5" s="537"/>
      <c r="Z5" s="537"/>
      <c r="AA5" s="537"/>
      <c r="AB5" s="537"/>
    </row>
    <row r="6" spans="1:39" ht="16.5" customHeight="1" thickBot="1" x14ac:dyDescent="0.25">
      <c r="A6" s="902" t="s">
        <v>1662</v>
      </c>
      <c r="B6" s="903"/>
      <c r="C6" s="904" t="s">
        <v>1663</v>
      </c>
      <c r="D6" s="905"/>
      <c r="E6" s="905"/>
      <c r="F6" s="905"/>
      <c r="G6" s="905"/>
      <c r="H6" s="905"/>
      <c r="I6" s="905"/>
      <c r="J6" s="905"/>
      <c r="K6" s="905"/>
      <c r="L6" s="906"/>
      <c r="M6" s="530"/>
      <c r="N6" s="530"/>
      <c r="O6" s="530"/>
      <c r="P6" s="530"/>
      <c r="Q6" s="530"/>
      <c r="R6" s="530"/>
      <c r="S6" s="530"/>
      <c r="T6" s="530"/>
      <c r="U6" s="530"/>
      <c r="V6" s="530"/>
      <c r="W6" s="530"/>
      <c r="X6" s="530"/>
      <c r="Y6" s="531"/>
      <c r="Z6" s="531"/>
      <c r="AA6" s="531"/>
      <c r="AB6" s="531"/>
    </row>
    <row r="7" spans="1:39" ht="12" customHeight="1" thickBot="1" x14ac:dyDescent="0.25">
      <c r="B7" s="539"/>
      <c r="D7" s="533"/>
      <c r="E7" s="533"/>
      <c r="F7" s="533"/>
      <c r="G7" s="533"/>
      <c r="H7" s="533"/>
      <c r="I7" s="533"/>
      <c r="J7" s="533"/>
      <c r="K7" s="533"/>
      <c r="L7" s="533"/>
      <c r="M7" s="530"/>
      <c r="N7" s="530"/>
      <c r="O7" s="530"/>
      <c r="P7" s="530"/>
      <c r="Q7" s="530"/>
      <c r="R7" s="530"/>
      <c r="S7" s="530"/>
      <c r="T7" s="530"/>
      <c r="U7" s="530"/>
      <c r="V7" s="530"/>
      <c r="W7" s="530"/>
      <c r="X7" s="530"/>
      <c r="Y7" s="531"/>
      <c r="Z7" s="531"/>
      <c r="AA7" s="531"/>
      <c r="AB7" s="531"/>
    </row>
    <row r="8" spans="1:39" ht="15" customHeight="1" thickBot="1" x14ac:dyDescent="0.25">
      <c r="A8" s="907" t="s">
        <v>1664</v>
      </c>
      <c r="B8" s="908"/>
      <c r="C8" s="908"/>
      <c r="D8" s="908"/>
      <c r="E8" s="908"/>
      <c r="F8" s="908"/>
      <c r="G8" s="908"/>
      <c r="H8" s="908"/>
      <c r="I8" s="908"/>
      <c r="J8" s="908"/>
      <c r="K8" s="908"/>
      <c r="L8" s="909"/>
      <c r="M8" s="530"/>
      <c r="N8" s="530"/>
      <c r="O8" s="530"/>
      <c r="P8" s="530"/>
      <c r="Q8" s="530"/>
      <c r="R8" s="530"/>
      <c r="S8" s="530"/>
      <c r="T8" s="530"/>
      <c r="U8" s="530"/>
      <c r="V8" s="530"/>
      <c r="W8" s="530"/>
      <c r="X8" s="530"/>
      <c r="Y8" s="531"/>
      <c r="Z8" s="531"/>
      <c r="AA8" s="531"/>
      <c r="AB8" s="531"/>
    </row>
    <row r="9" spans="1:39" ht="20.25" customHeight="1" x14ac:dyDescent="0.2">
      <c r="B9" s="539"/>
      <c r="D9" s="533"/>
      <c r="E9" s="533"/>
      <c r="F9" s="533"/>
      <c r="G9" s="533"/>
      <c r="H9" s="533"/>
      <c r="I9" s="533"/>
      <c r="J9" s="533"/>
      <c r="K9" s="533"/>
      <c r="L9" s="533"/>
      <c r="M9" s="530"/>
      <c r="N9" s="530"/>
      <c r="O9" s="530"/>
      <c r="P9" s="530"/>
      <c r="Q9" s="530"/>
      <c r="R9" s="530"/>
      <c r="S9" s="530"/>
      <c r="T9" s="530"/>
      <c r="U9" s="530"/>
      <c r="V9" s="530"/>
      <c r="W9" s="530"/>
      <c r="X9" s="530"/>
      <c r="Y9" s="531"/>
      <c r="Z9" s="531"/>
      <c r="AA9" s="531"/>
      <c r="AB9" s="531"/>
    </row>
    <row r="10" spans="1:39" x14ac:dyDescent="0.2">
      <c r="B10" s="539"/>
      <c r="D10" s="910" t="s">
        <v>1665</v>
      </c>
      <c r="E10" s="910"/>
      <c r="F10" s="910"/>
      <c r="G10" s="910"/>
      <c r="H10" s="911" t="s">
        <v>1666</v>
      </c>
      <c r="I10" s="912"/>
      <c r="J10" s="912"/>
      <c r="K10" s="913"/>
      <c r="L10" s="540" t="s">
        <v>1667</v>
      </c>
      <c r="M10" s="530"/>
      <c r="N10" s="530"/>
      <c r="O10" s="530"/>
      <c r="P10" s="530"/>
      <c r="Q10" s="530"/>
      <c r="R10" s="530"/>
      <c r="S10" s="530"/>
      <c r="T10" s="530"/>
      <c r="U10" s="530"/>
      <c r="V10" s="530"/>
      <c r="W10" s="530"/>
      <c r="X10" s="530"/>
      <c r="Y10" s="531"/>
      <c r="Z10" s="531"/>
      <c r="AA10" s="531"/>
      <c r="AB10" s="531"/>
    </row>
    <row r="11" spans="1:39" x14ac:dyDescent="0.2">
      <c r="A11" s="541" t="s">
        <v>1668</v>
      </c>
      <c r="B11" s="898" t="s">
        <v>1669</v>
      </c>
      <c r="C11" s="898"/>
      <c r="D11" s="542">
        <v>1</v>
      </c>
      <c r="E11" s="542">
        <v>2</v>
      </c>
      <c r="F11" s="542">
        <v>3</v>
      </c>
      <c r="G11" s="543">
        <v>4</v>
      </c>
      <c r="H11" s="544" t="s">
        <v>1670</v>
      </c>
      <c r="I11" s="544" t="s">
        <v>1671</v>
      </c>
      <c r="J11" s="544" t="s">
        <v>1672</v>
      </c>
      <c r="K11" s="544" t="s">
        <v>1673</v>
      </c>
      <c r="L11" s="541" t="s">
        <v>1674</v>
      </c>
      <c r="M11" s="545" t="s">
        <v>1675</v>
      </c>
      <c r="N11" s="545" t="s">
        <v>1676</v>
      </c>
      <c r="O11" s="889" t="s">
        <v>1677</v>
      </c>
      <c r="P11" s="889"/>
      <c r="Q11" s="889"/>
      <c r="R11" s="889"/>
      <c r="S11" s="899"/>
      <c r="T11" s="889" t="s">
        <v>1666</v>
      </c>
      <c r="U11" s="889"/>
      <c r="V11" s="889"/>
      <c r="W11" s="889"/>
      <c r="X11" s="889"/>
      <c r="Y11" s="531"/>
      <c r="Z11" s="531"/>
      <c r="AA11" s="531"/>
      <c r="AB11" s="531"/>
      <c r="AC11" s="546"/>
      <c r="AD11" s="546"/>
      <c r="AE11" s="546"/>
      <c r="AF11" s="546"/>
      <c r="AG11" s="546"/>
      <c r="AH11" s="546"/>
      <c r="AI11" s="546"/>
      <c r="AJ11" s="546"/>
      <c r="AK11" s="546"/>
      <c r="AL11" s="546"/>
      <c r="AM11" s="546"/>
    </row>
    <row r="12" spans="1:39" x14ac:dyDescent="0.2">
      <c r="A12" s="547">
        <v>1</v>
      </c>
      <c r="B12" s="887" t="s">
        <v>1678</v>
      </c>
      <c r="C12" s="901"/>
      <c r="D12" s="548"/>
      <c r="E12" s="548"/>
      <c r="F12" s="548"/>
      <c r="G12" s="549" t="s">
        <v>1679</v>
      </c>
      <c r="H12" s="548"/>
      <c r="I12" s="548"/>
      <c r="J12" s="548" t="s">
        <v>1679</v>
      </c>
      <c r="K12" s="549"/>
      <c r="L12" s="550">
        <f t="shared" ref="L12:L18" si="0">IF($M$19=0,0,N12/$M$19)</f>
        <v>0.10526315789473684</v>
      </c>
      <c r="M12" s="545">
        <f t="shared" ref="M12:M18" si="1">+X12*10</f>
        <v>200</v>
      </c>
      <c r="N12" s="545">
        <f t="shared" ref="N12:N18" si="2">+S12*X12</f>
        <v>200</v>
      </c>
      <c r="O12" s="551">
        <f t="shared" ref="O12:O18" si="3">IF(D12="X",2.5,0)</f>
        <v>0</v>
      </c>
      <c r="P12" s="552">
        <f t="shared" ref="P12:P18" si="4">IF(E12="X",5,0)</f>
        <v>0</v>
      </c>
      <c r="Q12" s="552">
        <f t="shared" ref="Q12:Q18" si="5">IF(F12="X",7.5,0)</f>
        <v>0</v>
      </c>
      <c r="R12" s="552">
        <f t="shared" ref="R12:R18" si="6">IF(G12="X",10,0)</f>
        <v>10</v>
      </c>
      <c r="S12" s="553">
        <f t="shared" ref="S12:S18" si="7">SUM(O12:R12)</f>
        <v>10</v>
      </c>
      <c r="T12" s="551">
        <f t="shared" ref="T12:T18" si="8">IF(H12="X",0,0)</f>
        <v>0</v>
      </c>
      <c r="U12" s="552">
        <f t="shared" ref="U12:U18" si="9">IF(I12="X",10,0)</f>
        <v>0</v>
      </c>
      <c r="V12" s="552">
        <f t="shared" ref="V12:V18" si="10">IF(J12="X",20,0)</f>
        <v>20</v>
      </c>
      <c r="W12" s="552">
        <f t="shared" ref="W12:W18" si="11">IF(K12="X",30,0)</f>
        <v>0</v>
      </c>
      <c r="X12" s="553">
        <f t="shared" ref="X12:X18" si="12">SUM(U12:W12)</f>
        <v>20</v>
      </c>
      <c r="Y12" s="531"/>
      <c r="Z12" s="531"/>
      <c r="AA12" s="531"/>
      <c r="AB12" s="531"/>
      <c r="AC12" s="546"/>
      <c r="AD12" s="546"/>
      <c r="AE12" s="546"/>
      <c r="AF12" s="546"/>
      <c r="AG12" s="546"/>
      <c r="AH12" s="546"/>
      <c r="AI12" s="546"/>
      <c r="AJ12" s="546"/>
      <c r="AK12" s="546"/>
      <c r="AL12" s="546"/>
      <c r="AM12" s="546"/>
    </row>
    <row r="13" spans="1:39" x14ac:dyDescent="0.2">
      <c r="A13" s="554">
        <v>2</v>
      </c>
      <c r="B13" s="883" t="s">
        <v>1680</v>
      </c>
      <c r="C13" s="884"/>
      <c r="D13" s="555"/>
      <c r="E13" s="555"/>
      <c r="F13" s="555"/>
      <c r="G13" s="556" t="s">
        <v>1679</v>
      </c>
      <c r="H13" s="555"/>
      <c r="I13" s="555"/>
      <c r="J13" s="555"/>
      <c r="K13" s="555" t="s">
        <v>1679</v>
      </c>
      <c r="L13" s="557">
        <f t="shared" si="0"/>
        <v>0.15789473684210525</v>
      </c>
      <c r="M13" s="545">
        <f t="shared" si="1"/>
        <v>300</v>
      </c>
      <c r="N13" s="545">
        <f t="shared" si="2"/>
        <v>300</v>
      </c>
      <c r="O13" s="558">
        <f t="shared" si="3"/>
        <v>0</v>
      </c>
      <c r="P13" s="530">
        <f t="shared" si="4"/>
        <v>0</v>
      </c>
      <c r="Q13" s="530">
        <f t="shared" si="5"/>
        <v>0</v>
      </c>
      <c r="R13" s="530">
        <f t="shared" si="6"/>
        <v>10</v>
      </c>
      <c r="S13" s="559">
        <f t="shared" si="7"/>
        <v>10</v>
      </c>
      <c r="T13" s="558">
        <f t="shared" si="8"/>
        <v>0</v>
      </c>
      <c r="U13" s="530">
        <f t="shared" si="9"/>
        <v>0</v>
      </c>
      <c r="V13" s="530">
        <f t="shared" si="10"/>
        <v>0</v>
      </c>
      <c r="W13" s="530">
        <f t="shared" si="11"/>
        <v>30</v>
      </c>
      <c r="X13" s="559">
        <f t="shared" si="12"/>
        <v>30</v>
      </c>
      <c r="Y13" s="531"/>
      <c r="Z13" s="531"/>
      <c r="AA13" s="531"/>
      <c r="AB13" s="531"/>
      <c r="AC13" s="546"/>
      <c r="AD13" s="546"/>
      <c r="AE13" s="546"/>
      <c r="AF13" s="546"/>
      <c r="AG13" s="546"/>
      <c r="AH13" s="546"/>
      <c r="AI13" s="546"/>
      <c r="AJ13" s="546"/>
      <c r="AK13" s="546"/>
      <c r="AL13" s="546"/>
      <c r="AM13" s="546"/>
    </row>
    <row r="14" spans="1:39" x14ac:dyDescent="0.2">
      <c r="A14" s="554">
        <v>3</v>
      </c>
      <c r="B14" s="883" t="s">
        <v>1681</v>
      </c>
      <c r="C14" s="884"/>
      <c r="D14" s="555"/>
      <c r="E14" s="556"/>
      <c r="F14" s="556"/>
      <c r="G14" s="556" t="s">
        <v>1679</v>
      </c>
      <c r="H14" s="555"/>
      <c r="I14" s="555"/>
      <c r="J14" s="555"/>
      <c r="K14" s="556" t="s">
        <v>1679</v>
      </c>
      <c r="L14" s="557">
        <f t="shared" si="0"/>
        <v>0.15789473684210525</v>
      </c>
      <c r="M14" s="545">
        <f t="shared" si="1"/>
        <v>300</v>
      </c>
      <c r="N14" s="545">
        <f t="shared" si="2"/>
        <v>300</v>
      </c>
      <c r="O14" s="558">
        <f t="shared" si="3"/>
        <v>0</v>
      </c>
      <c r="P14" s="530">
        <f t="shared" si="4"/>
        <v>0</v>
      </c>
      <c r="Q14" s="530">
        <f t="shared" si="5"/>
        <v>0</v>
      </c>
      <c r="R14" s="530">
        <f t="shared" si="6"/>
        <v>10</v>
      </c>
      <c r="S14" s="559">
        <f t="shared" si="7"/>
        <v>10</v>
      </c>
      <c r="T14" s="558">
        <f t="shared" si="8"/>
        <v>0</v>
      </c>
      <c r="U14" s="530">
        <f t="shared" si="9"/>
        <v>0</v>
      </c>
      <c r="V14" s="530">
        <f t="shared" si="10"/>
        <v>0</v>
      </c>
      <c r="W14" s="530">
        <f t="shared" si="11"/>
        <v>30</v>
      </c>
      <c r="X14" s="559">
        <f t="shared" si="12"/>
        <v>30</v>
      </c>
      <c r="Y14" s="531"/>
      <c r="Z14" s="531"/>
      <c r="AA14" s="531"/>
      <c r="AB14" s="531"/>
      <c r="AC14" s="546"/>
      <c r="AD14" s="546"/>
      <c r="AE14" s="546"/>
      <c r="AF14" s="546"/>
      <c r="AG14" s="546"/>
      <c r="AH14" s="546"/>
      <c r="AI14" s="546"/>
      <c r="AJ14" s="546"/>
      <c r="AK14" s="546"/>
      <c r="AL14" s="546"/>
      <c r="AM14" s="546"/>
    </row>
    <row r="15" spans="1:39" x14ac:dyDescent="0.2">
      <c r="A15" s="554">
        <v>4</v>
      </c>
      <c r="B15" s="883" t="s">
        <v>1682</v>
      </c>
      <c r="C15" s="884"/>
      <c r="D15" s="555"/>
      <c r="E15" s="555"/>
      <c r="F15" s="555" t="s">
        <v>1679</v>
      </c>
      <c r="G15" s="556"/>
      <c r="H15" s="555"/>
      <c r="I15" s="555"/>
      <c r="J15" s="555"/>
      <c r="K15" s="556" t="s">
        <v>1679</v>
      </c>
      <c r="L15" s="557">
        <f t="shared" si="0"/>
        <v>0.11842105263157894</v>
      </c>
      <c r="M15" s="545">
        <f t="shared" si="1"/>
        <v>300</v>
      </c>
      <c r="N15" s="545">
        <f t="shared" si="2"/>
        <v>225</v>
      </c>
      <c r="O15" s="558">
        <f t="shared" si="3"/>
        <v>0</v>
      </c>
      <c r="P15" s="530">
        <f t="shared" si="4"/>
        <v>0</v>
      </c>
      <c r="Q15" s="530">
        <f t="shared" si="5"/>
        <v>7.5</v>
      </c>
      <c r="R15" s="530">
        <f t="shared" si="6"/>
        <v>0</v>
      </c>
      <c r="S15" s="559">
        <f t="shared" si="7"/>
        <v>7.5</v>
      </c>
      <c r="T15" s="558">
        <f t="shared" si="8"/>
        <v>0</v>
      </c>
      <c r="U15" s="530">
        <f t="shared" si="9"/>
        <v>0</v>
      </c>
      <c r="V15" s="530">
        <f t="shared" si="10"/>
        <v>0</v>
      </c>
      <c r="W15" s="530">
        <f t="shared" si="11"/>
        <v>30</v>
      </c>
      <c r="X15" s="559">
        <f t="shared" si="12"/>
        <v>30</v>
      </c>
      <c r="Y15" s="531"/>
      <c r="Z15" s="531"/>
      <c r="AA15" s="531"/>
      <c r="AB15" s="531"/>
      <c r="AC15" s="546"/>
      <c r="AD15" s="546"/>
      <c r="AE15" s="546"/>
      <c r="AF15" s="546"/>
      <c r="AG15" s="546"/>
      <c r="AH15" s="546"/>
      <c r="AI15" s="546"/>
      <c r="AJ15" s="546"/>
      <c r="AK15" s="546"/>
      <c r="AL15" s="546"/>
      <c r="AM15" s="546"/>
    </row>
    <row r="16" spans="1:39" x14ac:dyDescent="0.2">
      <c r="A16" s="554">
        <v>5</v>
      </c>
      <c r="B16" s="883" t="s">
        <v>1586</v>
      </c>
      <c r="C16" s="884"/>
      <c r="D16" s="555"/>
      <c r="E16" s="555"/>
      <c r="F16" s="556" t="s">
        <v>1679</v>
      </c>
      <c r="G16" s="556"/>
      <c r="H16" s="555"/>
      <c r="I16" s="555"/>
      <c r="J16" s="555" t="s">
        <v>1679</v>
      </c>
      <c r="K16" s="556"/>
      <c r="L16" s="557">
        <f t="shared" si="0"/>
        <v>7.8947368421052627E-2</v>
      </c>
      <c r="M16" s="545">
        <f t="shared" si="1"/>
        <v>200</v>
      </c>
      <c r="N16" s="545">
        <f t="shared" si="2"/>
        <v>150</v>
      </c>
      <c r="O16" s="558">
        <f t="shared" si="3"/>
        <v>0</v>
      </c>
      <c r="P16" s="530">
        <f t="shared" si="4"/>
        <v>0</v>
      </c>
      <c r="Q16" s="530">
        <f>IF(F16="X",7.5,0)</f>
        <v>7.5</v>
      </c>
      <c r="R16" s="530">
        <f>IF(G16="X",10,0)</f>
        <v>0</v>
      </c>
      <c r="S16" s="559">
        <f t="shared" si="7"/>
        <v>7.5</v>
      </c>
      <c r="T16" s="558">
        <f t="shared" si="8"/>
        <v>0</v>
      </c>
      <c r="U16" s="530">
        <f t="shared" si="9"/>
        <v>0</v>
      </c>
      <c r="V16" s="530">
        <f t="shared" si="10"/>
        <v>20</v>
      </c>
      <c r="W16" s="530">
        <f t="shared" si="11"/>
        <v>0</v>
      </c>
      <c r="X16" s="559">
        <f t="shared" si="12"/>
        <v>20</v>
      </c>
      <c r="Y16" s="531"/>
      <c r="Z16" s="531"/>
      <c r="AA16" s="531"/>
      <c r="AB16" s="531"/>
      <c r="AC16" s="546"/>
      <c r="AD16" s="546"/>
      <c r="AE16" s="546"/>
      <c r="AF16" s="546"/>
      <c r="AG16" s="546"/>
      <c r="AH16" s="546"/>
      <c r="AI16" s="546"/>
      <c r="AJ16" s="546"/>
      <c r="AK16" s="546"/>
      <c r="AL16" s="546"/>
      <c r="AM16" s="546"/>
    </row>
    <row r="17" spans="1:39" x14ac:dyDescent="0.2">
      <c r="A17" s="554">
        <v>6</v>
      </c>
      <c r="B17" s="900" t="s">
        <v>1683</v>
      </c>
      <c r="C17" s="900"/>
      <c r="D17" s="555"/>
      <c r="E17" s="555"/>
      <c r="F17" s="555"/>
      <c r="G17" s="556" t="s">
        <v>1679</v>
      </c>
      <c r="H17" s="555"/>
      <c r="I17" s="555"/>
      <c r="J17" s="555"/>
      <c r="K17" s="560" t="s">
        <v>1679</v>
      </c>
      <c r="L17" s="557">
        <f t="shared" si="0"/>
        <v>0.15789473684210525</v>
      </c>
      <c r="M17" s="545">
        <f t="shared" si="1"/>
        <v>300</v>
      </c>
      <c r="N17" s="545">
        <f t="shared" si="2"/>
        <v>300</v>
      </c>
      <c r="O17" s="558">
        <f t="shared" si="3"/>
        <v>0</v>
      </c>
      <c r="P17" s="530">
        <f t="shared" si="4"/>
        <v>0</v>
      </c>
      <c r="Q17" s="530">
        <f t="shared" si="5"/>
        <v>0</v>
      </c>
      <c r="R17" s="530">
        <f t="shared" si="6"/>
        <v>10</v>
      </c>
      <c r="S17" s="559">
        <f t="shared" si="7"/>
        <v>10</v>
      </c>
      <c r="T17" s="558">
        <f t="shared" si="8"/>
        <v>0</v>
      </c>
      <c r="U17" s="530">
        <f t="shared" si="9"/>
        <v>0</v>
      </c>
      <c r="V17" s="530">
        <f t="shared" si="10"/>
        <v>0</v>
      </c>
      <c r="W17" s="530">
        <f t="shared" si="11"/>
        <v>30</v>
      </c>
      <c r="X17" s="559">
        <f t="shared" si="12"/>
        <v>30</v>
      </c>
      <c r="Y17" s="531"/>
      <c r="Z17" s="531"/>
      <c r="AA17" s="531"/>
      <c r="AB17" s="531"/>
      <c r="AC17" s="546"/>
      <c r="AD17" s="546"/>
      <c r="AE17" s="546"/>
      <c r="AF17" s="546"/>
      <c r="AG17" s="546"/>
      <c r="AH17" s="546"/>
      <c r="AI17" s="546"/>
      <c r="AJ17" s="546"/>
      <c r="AK17" s="546"/>
      <c r="AL17" s="546"/>
      <c r="AM17" s="546"/>
    </row>
    <row r="18" spans="1:39" x14ac:dyDescent="0.2">
      <c r="A18" s="561">
        <v>7</v>
      </c>
      <c r="B18" s="885" t="s">
        <v>1684</v>
      </c>
      <c r="C18" s="885"/>
      <c r="D18" s="560"/>
      <c r="E18" s="560"/>
      <c r="F18" s="560"/>
      <c r="G18" s="556" t="s">
        <v>1679</v>
      </c>
      <c r="H18" s="560"/>
      <c r="I18" s="560"/>
      <c r="J18" s="560"/>
      <c r="K18" s="560" t="s">
        <v>1679</v>
      </c>
      <c r="L18" s="562">
        <f t="shared" si="0"/>
        <v>0.15789473684210525</v>
      </c>
      <c r="M18" s="545">
        <f t="shared" si="1"/>
        <v>300</v>
      </c>
      <c r="N18" s="545">
        <f t="shared" si="2"/>
        <v>300</v>
      </c>
      <c r="O18" s="563">
        <f t="shared" si="3"/>
        <v>0</v>
      </c>
      <c r="P18" s="564">
        <f t="shared" si="4"/>
        <v>0</v>
      </c>
      <c r="Q18" s="564">
        <f t="shared" si="5"/>
        <v>0</v>
      </c>
      <c r="R18" s="564">
        <f t="shared" si="6"/>
        <v>10</v>
      </c>
      <c r="S18" s="565">
        <f t="shared" si="7"/>
        <v>10</v>
      </c>
      <c r="T18" s="563">
        <f t="shared" si="8"/>
        <v>0</v>
      </c>
      <c r="U18" s="564">
        <f t="shared" si="9"/>
        <v>0</v>
      </c>
      <c r="V18" s="564">
        <f t="shared" si="10"/>
        <v>0</v>
      </c>
      <c r="W18" s="564">
        <f t="shared" si="11"/>
        <v>30</v>
      </c>
      <c r="X18" s="565">
        <f t="shared" si="12"/>
        <v>30</v>
      </c>
      <c r="Y18" s="531"/>
      <c r="Z18" s="531"/>
      <c r="AA18" s="531"/>
      <c r="AB18" s="531"/>
      <c r="AC18" s="546"/>
      <c r="AD18" s="546"/>
      <c r="AE18" s="546"/>
      <c r="AF18" s="546"/>
      <c r="AG18" s="546"/>
      <c r="AH18" s="546"/>
      <c r="AI18" s="546"/>
      <c r="AJ18" s="546"/>
      <c r="AK18" s="546"/>
      <c r="AL18" s="546"/>
      <c r="AM18" s="546"/>
    </row>
    <row r="19" spans="1:39" ht="12" thickBot="1" x14ac:dyDescent="0.25">
      <c r="L19" s="566">
        <f>SUM(L12:L18)</f>
        <v>0.9342105263157896</v>
      </c>
      <c r="M19" s="545">
        <f>SUM(M12:M18)</f>
        <v>1900</v>
      </c>
      <c r="N19" s="545">
        <f>SUM(N12:N18)</f>
        <v>1775</v>
      </c>
      <c r="O19" s="530"/>
      <c r="P19" s="530"/>
      <c r="Q19" s="530"/>
      <c r="R19" s="530"/>
      <c r="S19" s="530"/>
      <c r="T19" s="530"/>
      <c r="U19" s="530"/>
      <c r="V19" s="530"/>
      <c r="W19" s="530"/>
      <c r="X19" s="530"/>
      <c r="Y19" s="531"/>
      <c r="Z19" s="531"/>
      <c r="AA19" s="531"/>
      <c r="AB19" s="531"/>
      <c r="AC19" s="546"/>
      <c r="AD19" s="546"/>
      <c r="AE19" s="546"/>
      <c r="AF19" s="546"/>
      <c r="AG19" s="546"/>
      <c r="AH19" s="546"/>
      <c r="AI19" s="546"/>
      <c r="AJ19" s="546"/>
      <c r="AK19" s="546"/>
      <c r="AL19" s="546"/>
      <c r="AM19" s="546"/>
    </row>
    <row r="20" spans="1:39" x14ac:dyDescent="0.2">
      <c r="B20" s="531"/>
      <c r="C20" s="531"/>
      <c r="D20" s="531"/>
      <c r="E20" s="531"/>
      <c r="F20" s="531"/>
      <c r="G20" s="531"/>
      <c r="H20" s="531"/>
      <c r="I20" s="531"/>
      <c r="J20" s="531"/>
      <c r="K20" s="531"/>
      <c r="L20" s="531"/>
      <c r="M20" s="530"/>
      <c r="N20" s="530">
        <f>IF($L$19&gt;85%,5,0)</f>
        <v>5</v>
      </c>
      <c r="O20" s="530">
        <f>IF($L$19&lt;=85%,2,0)</f>
        <v>0</v>
      </c>
      <c r="P20" s="530">
        <f>IF($L$19&gt;70%,2,0)</f>
        <v>2</v>
      </c>
      <c r="Q20" s="530">
        <f>IF($L$19&lt;=70%,3,0)</f>
        <v>0</v>
      </c>
      <c r="R20" s="530">
        <f>IF($L$19&gt;45%,1,0)</f>
        <v>1</v>
      </c>
      <c r="S20" s="530">
        <f>IF($L$19&lt;=45%,1,0)</f>
        <v>0</v>
      </c>
      <c r="T20" s="530"/>
      <c r="U20" s="530">
        <f>IF($L$19&gt;0%,2,0)</f>
        <v>2</v>
      </c>
      <c r="V20" s="530"/>
      <c r="W20" s="530"/>
      <c r="X20" s="530"/>
      <c r="Y20" s="531"/>
      <c r="Z20" s="531"/>
      <c r="AA20" s="531"/>
      <c r="AB20" s="531"/>
      <c r="AC20" s="546"/>
      <c r="AD20" s="546"/>
      <c r="AE20" s="546"/>
      <c r="AF20" s="546"/>
      <c r="AG20" s="546"/>
      <c r="AH20" s="546"/>
      <c r="AI20" s="546"/>
      <c r="AJ20" s="546"/>
      <c r="AK20" s="546"/>
      <c r="AL20" s="546"/>
      <c r="AM20" s="546"/>
    </row>
    <row r="21" spans="1:39" ht="12.75" customHeight="1" x14ac:dyDescent="0.2">
      <c r="A21" s="886" t="s">
        <v>1685</v>
      </c>
      <c r="B21" s="886"/>
      <c r="C21" s="567">
        <f>+L19</f>
        <v>0.9342105263157896</v>
      </c>
      <c r="E21" s="874" t="str">
        <f>+IF(L19&gt;=0.86,"A",IF(AND(L19&lt;0.86,L19&gt;=0.71),"B",IF(AND(L19&lt;0.71,L19&gt;=0.46),"C",IF(AND(L19&lt;0.46,L19&gt;0),"No califica",IF(L19=0,"No evaluado",)))))</f>
        <v>A</v>
      </c>
      <c r="F21" s="874"/>
      <c r="H21" s="882" t="s">
        <v>1686</v>
      </c>
      <c r="I21" s="882"/>
      <c r="J21" s="882"/>
      <c r="K21" s="882"/>
      <c r="L21" s="568" t="str">
        <f>+IF(E21="A","Excelente",IF(E21="B","Muy Bueno",IF(E21="C","Bueno a regular",IF(E21="No evaluado","","No califica"))))</f>
        <v>Excelente</v>
      </c>
      <c r="M21" s="530"/>
      <c r="N21" s="530">
        <f>+N20</f>
        <v>5</v>
      </c>
      <c r="O21" s="879">
        <f>+O20*P20</f>
        <v>0</v>
      </c>
      <c r="P21" s="879"/>
      <c r="Q21" s="879">
        <f>+Q20*R20</f>
        <v>0</v>
      </c>
      <c r="R21" s="879"/>
      <c r="S21" s="879">
        <f>+S20*U20</f>
        <v>0</v>
      </c>
      <c r="T21" s="879"/>
      <c r="U21" s="879"/>
      <c r="V21" s="530">
        <f>SUM(N21:U21)</f>
        <v>5</v>
      </c>
      <c r="W21" s="530"/>
      <c r="X21" s="530"/>
      <c r="Y21" s="531"/>
      <c r="Z21" s="531"/>
      <c r="AA21" s="531"/>
      <c r="AB21" s="531"/>
    </row>
    <row r="22" spans="1:39" ht="12" customHeight="1" x14ac:dyDescent="0.2">
      <c r="B22" s="569"/>
      <c r="C22" s="531"/>
      <c r="D22" s="531"/>
      <c r="E22" s="531"/>
      <c r="F22" s="531"/>
      <c r="H22" s="570"/>
      <c r="I22" s="570"/>
      <c r="J22" s="571"/>
      <c r="K22" s="572"/>
      <c r="L22" s="573"/>
      <c r="M22" s="530"/>
      <c r="N22" s="530"/>
      <c r="O22" s="530"/>
      <c r="P22" s="530"/>
      <c r="Q22" s="530"/>
      <c r="R22" s="530"/>
      <c r="S22" s="530"/>
      <c r="T22" s="530"/>
      <c r="U22" s="530"/>
      <c r="V22" s="530"/>
      <c r="W22" s="530"/>
      <c r="X22" s="530"/>
      <c r="Y22" s="531"/>
      <c r="Z22" s="531"/>
      <c r="AA22" s="531"/>
      <c r="AB22" s="531"/>
    </row>
    <row r="23" spans="1:39" ht="12.75" customHeight="1" x14ac:dyDescent="0.2">
      <c r="A23" s="890" t="s">
        <v>1687</v>
      </c>
      <c r="B23" s="890"/>
      <c r="C23" s="881" t="s">
        <v>2402</v>
      </c>
      <c r="D23" s="881"/>
      <c r="E23" s="881"/>
      <c r="F23" s="881"/>
      <c r="H23" s="882" t="s">
        <v>1689</v>
      </c>
      <c r="I23" s="882"/>
      <c r="J23" s="882"/>
      <c r="K23" s="882"/>
      <c r="L23" s="574">
        <v>43564</v>
      </c>
      <c r="M23" s="530"/>
      <c r="N23" s="530"/>
      <c r="O23" s="530"/>
      <c r="P23" s="530"/>
      <c r="Q23" s="530"/>
      <c r="R23" s="530"/>
      <c r="S23" s="530"/>
      <c r="T23" s="530"/>
      <c r="U23" s="530"/>
      <c r="V23" s="530"/>
      <c r="W23" s="530"/>
      <c r="X23" s="530"/>
      <c r="Y23" s="531"/>
      <c r="Z23" s="531"/>
      <c r="AA23" s="531"/>
      <c r="AB23" s="531"/>
    </row>
    <row r="24" spans="1:39" ht="9" customHeight="1" thickBot="1" x14ac:dyDescent="0.25">
      <c r="B24" s="531"/>
      <c r="C24" s="531"/>
      <c r="D24" s="531"/>
      <c r="E24" s="531"/>
      <c r="F24" s="531"/>
      <c r="G24" s="531"/>
      <c r="H24" s="531"/>
      <c r="I24" s="531"/>
      <c r="M24" s="530"/>
      <c r="N24" s="530"/>
      <c r="O24" s="530"/>
      <c r="P24" s="530"/>
      <c r="Q24" s="530"/>
      <c r="R24" s="530"/>
      <c r="S24" s="530"/>
      <c r="T24" s="530"/>
      <c r="U24" s="530"/>
      <c r="V24" s="530"/>
      <c r="W24" s="530"/>
      <c r="X24" s="530"/>
      <c r="Y24" s="531"/>
      <c r="Z24" s="531"/>
      <c r="AA24" s="531"/>
      <c r="AB24" s="531"/>
    </row>
    <row r="25" spans="1:39" s="575" customFormat="1" ht="14.25" customHeight="1" thickBot="1" x14ac:dyDescent="0.25">
      <c r="A25" s="891" t="s">
        <v>1690</v>
      </c>
      <c r="B25" s="892"/>
      <c r="C25" s="892"/>
      <c r="D25" s="892"/>
      <c r="E25" s="892"/>
      <c r="F25" s="892"/>
      <c r="G25" s="892"/>
      <c r="H25" s="892"/>
      <c r="I25" s="892"/>
      <c r="J25" s="892"/>
      <c r="K25" s="892"/>
      <c r="L25" s="893"/>
      <c r="M25" s="536"/>
      <c r="N25" s="536"/>
      <c r="O25" s="536"/>
      <c r="P25" s="536"/>
      <c r="Q25" s="536"/>
      <c r="R25" s="536"/>
      <c r="S25" s="536"/>
      <c r="T25" s="536"/>
      <c r="U25" s="536"/>
      <c r="V25" s="536"/>
      <c r="W25" s="536"/>
      <c r="X25" s="536"/>
      <c r="Y25" s="536"/>
      <c r="Z25" s="536"/>
      <c r="AA25" s="536"/>
      <c r="AB25" s="536"/>
    </row>
    <row r="26" spans="1:39" ht="6.75" customHeight="1" x14ac:dyDescent="0.2">
      <c r="B26" s="539"/>
      <c r="D26" s="533"/>
      <c r="E26" s="533"/>
      <c r="F26" s="533"/>
      <c r="G26" s="533"/>
      <c r="H26" s="533"/>
      <c r="I26" s="533"/>
      <c r="J26" s="533"/>
      <c r="K26" s="533"/>
      <c r="L26" s="533"/>
      <c r="M26" s="530"/>
      <c r="N26" s="530"/>
      <c r="O26" s="530"/>
      <c r="P26" s="530"/>
      <c r="Q26" s="530"/>
      <c r="R26" s="530"/>
      <c r="S26" s="530"/>
      <c r="T26" s="530"/>
      <c r="U26" s="530"/>
      <c r="V26" s="530"/>
      <c r="W26" s="530"/>
      <c r="X26" s="530"/>
      <c r="Y26" s="531"/>
      <c r="Z26" s="531"/>
      <c r="AA26" s="531"/>
      <c r="AB26" s="531"/>
    </row>
    <row r="27" spans="1:39" x14ac:dyDescent="0.2">
      <c r="B27" s="539"/>
      <c r="D27" s="894" t="s">
        <v>1665</v>
      </c>
      <c r="E27" s="894"/>
      <c r="F27" s="894"/>
      <c r="G27" s="894"/>
      <c r="H27" s="895" t="s">
        <v>1666</v>
      </c>
      <c r="I27" s="896"/>
      <c r="J27" s="896"/>
      <c r="K27" s="897"/>
      <c r="L27" s="540" t="s">
        <v>1667</v>
      </c>
      <c r="M27" s="530"/>
      <c r="N27" s="530"/>
      <c r="O27" s="530"/>
      <c r="P27" s="530"/>
      <c r="Q27" s="530"/>
      <c r="R27" s="530"/>
      <c r="S27" s="530"/>
      <c r="T27" s="530"/>
      <c r="U27" s="530"/>
      <c r="V27" s="530"/>
      <c r="W27" s="530"/>
      <c r="X27" s="530"/>
      <c r="Y27" s="531"/>
      <c r="Z27" s="531"/>
      <c r="AA27" s="531"/>
      <c r="AB27" s="531"/>
    </row>
    <row r="28" spans="1:39" x14ac:dyDescent="0.2">
      <c r="A28" s="541" t="s">
        <v>1668</v>
      </c>
      <c r="B28" s="898" t="s">
        <v>1669</v>
      </c>
      <c r="C28" s="898"/>
      <c r="D28" s="542">
        <v>1</v>
      </c>
      <c r="E28" s="542">
        <v>2</v>
      </c>
      <c r="F28" s="542">
        <v>3</v>
      </c>
      <c r="G28" s="543">
        <v>4</v>
      </c>
      <c r="H28" s="544" t="s">
        <v>1670</v>
      </c>
      <c r="I28" s="544" t="s">
        <v>1671</v>
      </c>
      <c r="J28" s="544" t="s">
        <v>1672</v>
      </c>
      <c r="K28" s="544" t="s">
        <v>1673</v>
      </c>
      <c r="L28" s="541" t="s">
        <v>1674</v>
      </c>
      <c r="M28" s="545" t="s">
        <v>1675</v>
      </c>
      <c r="N28" s="545" t="s">
        <v>1676</v>
      </c>
      <c r="O28" s="889" t="s">
        <v>1677</v>
      </c>
      <c r="P28" s="889"/>
      <c r="Q28" s="889"/>
      <c r="R28" s="889"/>
      <c r="S28" s="899"/>
      <c r="T28" s="889" t="s">
        <v>1666</v>
      </c>
      <c r="U28" s="889"/>
      <c r="V28" s="889"/>
      <c r="W28" s="889"/>
      <c r="X28" s="889"/>
      <c r="Y28" s="531"/>
      <c r="Z28" s="531"/>
      <c r="AA28" s="531"/>
      <c r="AB28" s="531"/>
      <c r="AC28" s="546"/>
      <c r="AD28" s="546"/>
      <c r="AE28" s="546"/>
      <c r="AF28" s="546"/>
      <c r="AG28" s="546"/>
      <c r="AH28" s="546"/>
      <c r="AI28" s="546"/>
      <c r="AJ28" s="546"/>
      <c r="AK28" s="546"/>
      <c r="AL28" s="546"/>
      <c r="AM28" s="546"/>
    </row>
    <row r="29" spans="1:39" x14ac:dyDescent="0.2">
      <c r="A29" s="547">
        <v>1</v>
      </c>
      <c r="B29" s="887" t="s">
        <v>1691</v>
      </c>
      <c r="C29" s="888"/>
      <c r="D29" s="548"/>
      <c r="E29" s="548"/>
      <c r="F29" s="548"/>
      <c r="G29" s="549" t="s">
        <v>1679</v>
      </c>
      <c r="H29" s="548"/>
      <c r="I29" s="548"/>
      <c r="J29" s="548"/>
      <c r="K29" s="549" t="s">
        <v>1679</v>
      </c>
      <c r="L29" s="550">
        <f t="shared" ref="L29:L43" si="13">IF($M$44=0,0,N29/$M$44)</f>
        <v>6.6666666666666666E-2</v>
      </c>
      <c r="M29" s="545">
        <f t="shared" ref="M29:M43" si="14">+X29*10</f>
        <v>300</v>
      </c>
      <c r="N29" s="545">
        <f t="shared" ref="N29:N43" si="15">+S29*X29</f>
        <v>300</v>
      </c>
      <c r="O29" s="558">
        <f t="shared" ref="O29:O44" si="16">IF(D29="X",2.5,0)</f>
        <v>0</v>
      </c>
      <c r="P29" s="530">
        <f t="shared" ref="P29:P44" si="17">IF(E29="X",5,0)</f>
        <v>0</v>
      </c>
      <c r="Q29" s="530">
        <f t="shared" ref="Q29:Q44" si="18">IF(F29="X",7.5,0)</f>
        <v>0</v>
      </c>
      <c r="R29" s="530">
        <f t="shared" ref="R29:R44" si="19">IF(G29="X",10,0)</f>
        <v>10</v>
      </c>
      <c r="S29" s="545">
        <f t="shared" ref="S29:S44" si="20">SUM(O29:R29)</f>
        <v>10</v>
      </c>
      <c r="T29" s="558">
        <f t="shared" ref="T29:T44" si="21">IF(H29="X",0,0)</f>
        <v>0</v>
      </c>
      <c r="U29" s="530">
        <f t="shared" ref="U29:U44" si="22">IF(I29="X",10,0)</f>
        <v>0</v>
      </c>
      <c r="V29" s="530">
        <f t="shared" ref="V29:V44" si="23">IF(J29="X",20,0)</f>
        <v>0</v>
      </c>
      <c r="W29" s="530">
        <f t="shared" ref="W29:W44" si="24">IF(K29="X",30,0)</f>
        <v>30</v>
      </c>
      <c r="X29" s="576">
        <f t="shared" ref="X29:X44" si="25">SUM(U29:W29)</f>
        <v>30</v>
      </c>
      <c r="Y29" s="531"/>
      <c r="Z29" s="531"/>
      <c r="AA29" s="531"/>
      <c r="AB29" s="531"/>
      <c r="AC29" s="546"/>
      <c r="AD29" s="546"/>
      <c r="AE29" s="546"/>
      <c r="AF29" s="546"/>
      <c r="AG29" s="546"/>
      <c r="AH29" s="546"/>
      <c r="AI29" s="546"/>
      <c r="AJ29" s="546"/>
      <c r="AK29" s="546"/>
      <c r="AL29" s="546"/>
      <c r="AM29" s="546"/>
    </row>
    <row r="30" spans="1:39" x14ac:dyDescent="0.2">
      <c r="A30" s="554">
        <v>2</v>
      </c>
      <c r="B30" s="883" t="s">
        <v>1692</v>
      </c>
      <c r="C30" s="884"/>
      <c r="D30" s="555"/>
      <c r="E30" s="555"/>
      <c r="F30" s="555"/>
      <c r="G30" s="556" t="s">
        <v>1679</v>
      </c>
      <c r="H30" s="555"/>
      <c r="I30" s="555"/>
      <c r="J30" s="555"/>
      <c r="K30" s="556" t="s">
        <v>1679</v>
      </c>
      <c r="L30" s="557">
        <f t="shared" si="13"/>
        <v>6.6666666666666666E-2</v>
      </c>
      <c r="M30" s="545">
        <f t="shared" si="14"/>
        <v>300</v>
      </c>
      <c r="N30" s="545">
        <f t="shared" si="15"/>
        <v>300</v>
      </c>
      <c r="O30" s="558">
        <f t="shared" si="16"/>
        <v>0</v>
      </c>
      <c r="P30" s="530">
        <f>IF(E30="X",5,0)</f>
        <v>0</v>
      </c>
      <c r="Q30" s="530">
        <f t="shared" si="18"/>
        <v>0</v>
      </c>
      <c r="R30" s="530">
        <f>IF(G30="X",10,0)</f>
        <v>10</v>
      </c>
      <c r="S30" s="545">
        <f t="shared" si="20"/>
        <v>10</v>
      </c>
      <c r="T30" s="558">
        <f t="shared" si="21"/>
        <v>0</v>
      </c>
      <c r="U30" s="530">
        <f t="shared" si="22"/>
        <v>0</v>
      </c>
      <c r="V30" s="530">
        <f t="shared" si="23"/>
        <v>0</v>
      </c>
      <c r="W30" s="530">
        <f t="shared" si="24"/>
        <v>30</v>
      </c>
      <c r="X30" s="576">
        <f t="shared" si="25"/>
        <v>30</v>
      </c>
      <c r="Y30" s="531"/>
      <c r="Z30" s="531"/>
      <c r="AA30" s="531"/>
      <c r="AB30" s="531"/>
      <c r="AC30" s="546"/>
      <c r="AD30" s="546"/>
      <c r="AE30" s="546"/>
      <c r="AF30" s="546"/>
      <c r="AG30" s="546"/>
      <c r="AH30" s="546"/>
      <c r="AI30" s="546"/>
      <c r="AJ30" s="546"/>
      <c r="AK30" s="546"/>
      <c r="AL30" s="546"/>
      <c r="AM30" s="546"/>
    </row>
    <row r="31" spans="1:39" x14ac:dyDescent="0.2">
      <c r="A31" s="547">
        <v>3</v>
      </c>
      <c r="B31" s="883" t="s">
        <v>1693</v>
      </c>
      <c r="C31" s="884"/>
      <c r="D31" s="555"/>
      <c r="E31" s="555"/>
      <c r="F31" s="555"/>
      <c r="G31" s="556" t="s">
        <v>1679</v>
      </c>
      <c r="H31" s="555"/>
      <c r="I31" s="555"/>
      <c r="J31" s="555"/>
      <c r="K31" s="556" t="s">
        <v>1679</v>
      </c>
      <c r="L31" s="557">
        <f t="shared" si="13"/>
        <v>6.6666666666666666E-2</v>
      </c>
      <c r="M31" s="545">
        <f t="shared" si="14"/>
        <v>300</v>
      </c>
      <c r="N31" s="545">
        <f t="shared" si="15"/>
        <v>300</v>
      </c>
      <c r="O31" s="558">
        <f t="shared" si="16"/>
        <v>0</v>
      </c>
      <c r="P31" s="530">
        <f t="shared" si="17"/>
        <v>0</v>
      </c>
      <c r="Q31" s="530">
        <f t="shared" si="18"/>
        <v>0</v>
      </c>
      <c r="R31" s="530">
        <f t="shared" si="19"/>
        <v>10</v>
      </c>
      <c r="S31" s="545">
        <f t="shared" si="20"/>
        <v>10</v>
      </c>
      <c r="T31" s="558">
        <f t="shared" si="21"/>
        <v>0</v>
      </c>
      <c r="U31" s="530">
        <f t="shared" si="22"/>
        <v>0</v>
      </c>
      <c r="V31" s="530">
        <f t="shared" si="23"/>
        <v>0</v>
      </c>
      <c r="W31" s="530">
        <f t="shared" si="24"/>
        <v>30</v>
      </c>
      <c r="X31" s="576">
        <f t="shared" si="25"/>
        <v>30</v>
      </c>
      <c r="Y31" s="531"/>
      <c r="Z31" s="531"/>
      <c r="AA31" s="531"/>
      <c r="AB31" s="531"/>
      <c r="AC31" s="546"/>
      <c r="AD31" s="546"/>
      <c r="AE31" s="546"/>
      <c r="AF31" s="546"/>
      <c r="AG31" s="546"/>
      <c r="AH31" s="546"/>
      <c r="AI31" s="546"/>
      <c r="AJ31" s="546"/>
      <c r="AK31" s="546"/>
      <c r="AL31" s="546"/>
      <c r="AM31" s="546"/>
    </row>
    <row r="32" spans="1:39" x14ac:dyDescent="0.2">
      <c r="A32" s="554">
        <v>4</v>
      </c>
      <c r="B32" s="883" t="s">
        <v>1694</v>
      </c>
      <c r="C32" s="884"/>
      <c r="D32" s="555"/>
      <c r="E32" s="555"/>
      <c r="F32" s="555"/>
      <c r="G32" s="556" t="s">
        <v>1679</v>
      </c>
      <c r="H32" s="555"/>
      <c r="I32" s="555"/>
      <c r="J32" s="555"/>
      <c r="K32" s="556" t="s">
        <v>1679</v>
      </c>
      <c r="L32" s="557">
        <f t="shared" si="13"/>
        <v>6.6666666666666666E-2</v>
      </c>
      <c r="M32" s="545">
        <f t="shared" si="14"/>
        <v>300</v>
      </c>
      <c r="N32" s="545">
        <f t="shared" si="15"/>
        <v>300</v>
      </c>
      <c r="O32" s="558">
        <f>IF(D32="X",2.5,0)</f>
        <v>0</v>
      </c>
      <c r="P32" s="530">
        <f t="shared" si="17"/>
        <v>0</v>
      </c>
      <c r="Q32" s="530">
        <f>IF(F32="X",7.5,0)</f>
        <v>0</v>
      </c>
      <c r="R32" s="530">
        <f t="shared" si="19"/>
        <v>10</v>
      </c>
      <c r="S32" s="545">
        <f t="shared" si="20"/>
        <v>10</v>
      </c>
      <c r="T32" s="558">
        <f t="shared" si="21"/>
        <v>0</v>
      </c>
      <c r="U32" s="530">
        <f t="shared" si="22"/>
        <v>0</v>
      </c>
      <c r="V32" s="530">
        <f>IF(J32="X",20,0)</f>
        <v>0</v>
      </c>
      <c r="W32" s="530">
        <f>IF(K32="X",30,0)</f>
        <v>30</v>
      </c>
      <c r="X32" s="576">
        <f t="shared" si="25"/>
        <v>30</v>
      </c>
      <c r="Y32" s="531"/>
      <c r="Z32" s="531"/>
      <c r="AA32" s="531"/>
      <c r="AB32" s="531"/>
      <c r="AC32" s="546"/>
      <c r="AD32" s="546"/>
      <c r="AE32" s="546"/>
      <c r="AF32" s="546"/>
      <c r="AG32" s="546"/>
      <c r="AH32" s="546"/>
      <c r="AI32" s="546"/>
      <c r="AJ32" s="546"/>
      <c r="AK32" s="546"/>
      <c r="AL32" s="546"/>
      <c r="AM32" s="546"/>
    </row>
    <row r="33" spans="1:39" x14ac:dyDescent="0.2">
      <c r="A33" s="547">
        <v>5</v>
      </c>
      <c r="B33" s="883" t="s">
        <v>1695</v>
      </c>
      <c r="C33" s="884"/>
      <c r="D33" s="555"/>
      <c r="E33" s="555"/>
      <c r="F33" s="555"/>
      <c r="G33" s="555" t="s">
        <v>1679</v>
      </c>
      <c r="H33" s="555"/>
      <c r="I33" s="555"/>
      <c r="J33" s="555"/>
      <c r="K33" s="555" t="s">
        <v>1679</v>
      </c>
      <c r="L33" s="557">
        <f t="shared" si="13"/>
        <v>6.6666666666666666E-2</v>
      </c>
      <c r="M33" s="545">
        <f t="shared" si="14"/>
        <v>300</v>
      </c>
      <c r="N33" s="545">
        <f t="shared" si="15"/>
        <v>300</v>
      </c>
      <c r="O33" s="558">
        <f t="shared" si="16"/>
        <v>0</v>
      </c>
      <c r="P33" s="530">
        <f t="shared" si="17"/>
        <v>0</v>
      </c>
      <c r="Q33" s="530">
        <f t="shared" si="18"/>
        <v>0</v>
      </c>
      <c r="R33" s="530">
        <f t="shared" si="19"/>
        <v>10</v>
      </c>
      <c r="S33" s="545">
        <f t="shared" si="20"/>
        <v>10</v>
      </c>
      <c r="T33" s="558">
        <f t="shared" si="21"/>
        <v>0</v>
      </c>
      <c r="U33" s="530">
        <f t="shared" si="22"/>
        <v>0</v>
      </c>
      <c r="V33" s="530">
        <f t="shared" si="23"/>
        <v>0</v>
      </c>
      <c r="W33" s="530">
        <f t="shared" si="24"/>
        <v>30</v>
      </c>
      <c r="X33" s="576">
        <f t="shared" si="25"/>
        <v>30</v>
      </c>
      <c r="Y33" s="531"/>
      <c r="Z33" s="531"/>
      <c r="AA33" s="531"/>
      <c r="AB33" s="531"/>
      <c r="AC33" s="546"/>
      <c r="AD33" s="546"/>
      <c r="AE33" s="546"/>
      <c r="AF33" s="546"/>
      <c r="AG33" s="546"/>
      <c r="AH33" s="546"/>
      <c r="AI33" s="546"/>
      <c r="AJ33" s="546"/>
      <c r="AK33" s="546"/>
      <c r="AL33" s="546"/>
      <c r="AM33" s="546"/>
    </row>
    <row r="34" spans="1:39" x14ac:dyDescent="0.2">
      <c r="A34" s="554">
        <v>6</v>
      </c>
      <c r="B34" s="883" t="s">
        <v>1696</v>
      </c>
      <c r="C34" s="884"/>
      <c r="D34" s="555"/>
      <c r="E34" s="555"/>
      <c r="F34" s="555"/>
      <c r="G34" s="556" t="s">
        <v>1679</v>
      </c>
      <c r="H34" s="555"/>
      <c r="I34" s="555"/>
      <c r="J34" s="555"/>
      <c r="K34" s="556" t="s">
        <v>1679</v>
      </c>
      <c r="L34" s="557">
        <f t="shared" si="13"/>
        <v>6.6666666666666666E-2</v>
      </c>
      <c r="M34" s="545">
        <f t="shared" si="14"/>
        <v>300</v>
      </c>
      <c r="N34" s="545">
        <f t="shared" si="15"/>
        <v>300</v>
      </c>
      <c r="O34" s="558">
        <f t="shared" si="16"/>
        <v>0</v>
      </c>
      <c r="P34" s="530">
        <f t="shared" si="17"/>
        <v>0</v>
      </c>
      <c r="Q34" s="530">
        <f t="shared" si="18"/>
        <v>0</v>
      </c>
      <c r="R34" s="530">
        <f t="shared" si="19"/>
        <v>10</v>
      </c>
      <c r="S34" s="545">
        <f t="shared" si="20"/>
        <v>10</v>
      </c>
      <c r="T34" s="558">
        <f t="shared" si="21"/>
        <v>0</v>
      </c>
      <c r="U34" s="530">
        <f t="shared" si="22"/>
        <v>0</v>
      </c>
      <c r="V34" s="530">
        <f t="shared" si="23"/>
        <v>0</v>
      </c>
      <c r="W34" s="530">
        <f t="shared" si="24"/>
        <v>30</v>
      </c>
      <c r="X34" s="576">
        <f t="shared" si="25"/>
        <v>30</v>
      </c>
      <c r="Y34" s="531"/>
      <c r="Z34" s="531"/>
      <c r="AA34" s="531"/>
      <c r="AB34" s="531"/>
      <c r="AC34" s="546"/>
      <c r="AD34" s="546"/>
      <c r="AE34" s="546"/>
      <c r="AF34" s="546"/>
      <c r="AG34" s="546"/>
      <c r="AH34" s="546"/>
      <c r="AI34" s="546"/>
      <c r="AJ34" s="546"/>
      <c r="AK34" s="546"/>
      <c r="AL34" s="546"/>
      <c r="AM34" s="546"/>
    </row>
    <row r="35" spans="1:39" x14ac:dyDescent="0.2">
      <c r="A35" s="547">
        <v>7</v>
      </c>
      <c r="B35" s="883" t="s">
        <v>1697</v>
      </c>
      <c r="C35" s="884"/>
      <c r="D35" s="555"/>
      <c r="E35" s="555"/>
      <c r="F35" s="555"/>
      <c r="G35" s="556" t="s">
        <v>1679</v>
      </c>
      <c r="H35" s="555"/>
      <c r="I35" s="555"/>
      <c r="J35" s="555"/>
      <c r="K35" s="556" t="s">
        <v>1679</v>
      </c>
      <c r="L35" s="557">
        <f t="shared" si="13"/>
        <v>6.6666666666666666E-2</v>
      </c>
      <c r="M35" s="545">
        <f t="shared" si="14"/>
        <v>300</v>
      </c>
      <c r="N35" s="545">
        <f t="shared" si="15"/>
        <v>300</v>
      </c>
      <c r="O35" s="558">
        <f t="shared" si="16"/>
        <v>0</v>
      </c>
      <c r="P35" s="530">
        <f t="shared" si="17"/>
        <v>0</v>
      </c>
      <c r="Q35" s="530">
        <f t="shared" si="18"/>
        <v>0</v>
      </c>
      <c r="R35" s="530">
        <f t="shared" si="19"/>
        <v>10</v>
      </c>
      <c r="S35" s="545">
        <f t="shared" si="20"/>
        <v>10</v>
      </c>
      <c r="T35" s="558">
        <f t="shared" si="21"/>
        <v>0</v>
      </c>
      <c r="U35" s="530">
        <f t="shared" si="22"/>
        <v>0</v>
      </c>
      <c r="V35" s="530">
        <f t="shared" si="23"/>
        <v>0</v>
      </c>
      <c r="W35" s="530">
        <f t="shared" si="24"/>
        <v>30</v>
      </c>
      <c r="X35" s="576">
        <f t="shared" si="25"/>
        <v>30</v>
      </c>
      <c r="Y35" s="531"/>
      <c r="Z35" s="531"/>
      <c r="AA35" s="531"/>
      <c r="AB35" s="531"/>
      <c r="AC35" s="546"/>
      <c r="AD35" s="546"/>
      <c r="AE35" s="546"/>
      <c r="AF35" s="546"/>
      <c r="AG35" s="546"/>
      <c r="AH35" s="546"/>
      <c r="AI35" s="546"/>
      <c r="AJ35" s="546"/>
      <c r="AK35" s="546"/>
      <c r="AL35" s="546"/>
      <c r="AM35" s="546"/>
    </row>
    <row r="36" spans="1:39" x14ac:dyDescent="0.2">
      <c r="A36" s="554">
        <v>8</v>
      </c>
      <c r="B36" s="883" t="s">
        <v>1698</v>
      </c>
      <c r="C36" s="884"/>
      <c r="D36" s="555"/>
      <c r="E36" s="555"/>
      <c r="F36" s="555"/>
      <c r="G36" s="556" t="s">
        <v>1679</v>
      </c>
      <c r="H36" s="555"/>
      <c r="I36" s="555"/>
      <c r="J36" s="555"/>
      <c r="K36" s="556" t="s">
        <v>1679</v>
      </c>
      <c r="L36" s="557">
        <f t="shared" si="13"/>
        <v>6.6666666666666666E-2</v>
      </c>
      <c r="M36" s="545">
        <f t="shared" si="14"/>
        <v>300</v>
      </c>
      <c r="N36" s="545">
        <f t="shared" si="15"/>
        <v>300</v>
      </c>
      <c r="O36" s="558">
        <f t="shared" si="16"/>
        <v>0</v>
      </c>
      <c r="P36" s="530">
        <f t="shared" si="17"/>
        <v>0</v>
      </c>
      <c r="Q36" s="530">
        <f t="shared" si="18"/>
        <v>0</v>
      </c>
      <c r="R36" s="530">
        <f t="shared" si="19"/>
        <v>10</v>
      </c>
      <c r="S36" s="545">
        <f t="shared" si="20"/>
        <v>10</v>
      </c>
      <c r="T36" s="558">
        <f t="shared" si="21"/>
        <v>0</v>
      </c>
      <c r="U36" s="530">
        <f t="shared" si="22"/>
        <v>0</v>
      </c>
      <c r="V36" s="530">
        <f t="shared" si="23"/>
        <v>0</v>
      </c>
      <c r="W36" s="530">
        <f t="shared" si="24"/>
        <v>30</v>
      </c>
      <c r="X36" s="576">
        <f t="shared" si="25"/>
        <v>30</v>
      </c>
      <c r="Y36" s="531"/>
      <c r="Z36" s="531"/>
      <c r="AA36" s="531"/>
      <c r="AB36" s="531"/>
      <c r="AC36" s="546"/>
      <c r="AD36" s="546"/>
      <c r="AE36" s="546"/>
      <c r="AF36" s="546"/>
      <c r="AG36" s="546"/>
      <c r="AH36" s="546"/>
      <c r="AI36" s="546"/>
      <c r="AJ36" s="546"/>
      <c r="AK36" s="546"/>
      <c r="AL36" s="546"/>
      <c r="AM36" s="546"/>
    </row>
    <row r="37" spans="1:39" x14ac:dyDescent="0.2">
      <c r="A37" s="547">
        <v>9</v>
      </c>
      <c r="B37" s="883" t="s">
        <v>1699</v>
      </c>
      <c r="C37" s="884"/>
      <c r="D37" s="555"/>
      <c r="E37" s="555"/>
      <c r="F37" s="555"/>
      <c r="G37" s="556" t="s">
        <v>1679</v>
      </c>
      <c r="H37" s="555"/>
      <c r="I37" s="555"/>
      <c r="J37" s="555"/>
      <c r="K37" s="556" t="s">
        <v>1679</v>
      </c>
      <c r="L37" s="557">
        <f>IF($M$44=0,0,N37/$M$44)</f>
        <v>6.6666666666666666E-2</v>
      </c>
      <c r="M37" s="545">
        <f>+X37*10</f>
        <v>300</v>
      </c>
      <c r="N37" s="545">
        <f>+S37*X37</f>
        <v>300</v>
      </c>
      <c r="O37" s="558">
        <f>IF(D37="X",2.5,0)</f>
        <v>0</v>
      </c>
      <c r="P37" s="530">
        <f>IF(E37="X",5,0)</f>
        <v>0</v>
      </c>
      <c r="Q37" s="530">
        <f>IF(F37="X",7.5,0)</f>
        <v>0</v>
      </c>
      <c r="R37" s="530">
        <f>IF(G37="X",10,0)</f>
        <v>10</v>
      </c>
      <c r="S37" s="545">
        <f>SUM(O37:R37)</f>
        <v>10</v>
      </c>
      <c r="T37" s="558">
        <f>IF(H37="X",0,0)</f>
        <v>0</v>
      </c>
      <c r="U37" s="530">
        <f>IF(I37="X",10,0)</f>
        <v>0</v>
      </c>
      <c r="V37" s="530">
        <f>IF(J37="X",20,0)</f>
        <v>0</v>
      </c>
      <c r="W37" s="530">
        <f>IF(K37="X",30,0)</f>
        <v>30</v>
      </c>
      <c r="X37" s="576">
        <f>SUM(U37:W37)</f>
        <v>30</v>
      </c>
      <c r="Y37" s="531"/>
      <c r="Z37" s="531"/>
      <c r="AA37" s="531"/>
      <c r="AB37" s="531"/>
      <c r="AC37" s="546"/>
      <c r="AD37" s="546"/>
      <c r="AE37" s="546"/>
      <c r="AF37" s="546"/>
      <c r="AG37" s="546"/>
      <c r="AH37" s="546"/>
      <c r="AI37" s="546"/>
      <c r="AJ37" s="546"/>
      <c r="AK37" s="546"/>
      <c r="AL37" s="546"/>
      <c r="AM37" s="546"/>
    </row>
    <row r="38" spans="1:39" x14ac:dyDescent="0.2">
      <c r="A38" s="554">
        <v>10</v>
      </c>
      <c r="B38" s="883" t="s">
        <v>1700</v>
      </c>
      <c r="C38" s="884"/>
      <c r="D38" s="555"/>
      <c r="E38" s="555"/>
      <c r="F38" s="555" t="s">
        <v>1679</v>
      </c>
      <c r="G38" s="556"/>
      <c r="H38" s="555"/>
      <c r="I38" s="555"/>
      <c r="J38" s="555"/>
      <c r="K38" s="556" t="s">
        <v>1679</v>
      </c>
      <c r="L38" s="557">
        <f t="shared" si="13"/>
        <v>0.05</v>
      </c>
      <c r="M38" s="545">
        <f t="shared" si="14"/>
        <v>300</v>
      </c>
      <c r="N38" s="545">
        <f t="shared" si="15"/>
        <v>225</v>
      </c>
      <c r="O38" s="558">
        <f t="shared" si="16"/>
        <v>0</v>
      </c>
      <c r="P38" s="530">
        <f t="shared" si="17"/>
        <v>0</v>
      </c>
      <c r="Q38" s="530">
        <f t="shared" si="18"/>
        <v>7.5</v>
      </c>
      <c r="R38" s="530">
        <f t="shared" si="19"/>
        <v>0</v>
      </c>
      <c r="S38" s="545">
        <f t="shared" si="20"/>
        <v>7.5</v>
      </c>
      <c r="T38" s="558">
        <f t="shared" si="21"/>
        <v>0</v>
      </c>
      <c r="U38" s="530">
        <f t="shared" si="22"/>
        <v>0</v>
      </c>
      <c r="V38" s="530">
        <f t="shared" si="23"/>
        <v>0</v>
      </c>
      <c r="W38" s="530">
        <f t="shared" si="24"/>
        <v>30</v>
      </c>
      <c r="X38" s="576">
        <f t="shared" si="25"/>
        <v>30</v>
      </c>
      <c r="Y38" s="531"/>
      <c r="Z38" s="531"/>
      <c r="AA38" s="531"/>
      <c r="AB38" s="531"/>
      <c r="AC38" s="546"/>
      <c r="AD38" s="546"/>
      <c r="AE38" s="546"/>
      <c r="AF38" s="546"/>
      <c r="AG38" s="546"/>
      <c r="AH38" s="546"/>
      <c r="AI38" s="546"/>
      <c r="AJ38" s="546"/>
      <c r="AK38" s="546"/>
      <c r="AL38" s="546"/>
      <c r="AM38" s="546"/>
    </row>
    <row r="39" spans="1:39" x14ac:dyDescent="0.2">
      <c r="A39" s="547">
        <v>11</v>
      </c>
      <c r="B39" s="883" t="s">
        <v>1701</v>
      </c>
      <c r="C39" s="884"/>
      <c r="D39" s="555"/>
      <c r="E39" s="555"/>
      <c r="F39" s="555" t="s">
        <v>1679</v>
      </c>
      <c r="G39" s="556"/>
      <c r="H39" s="555"/>
      <c r="I39" s="555"/>
      <c r="J39" s="555"/>
      <c r="K39" s="556" t="s">
        <v>1679</v>
      </c>
      <c r="L39" s="557">
        <f t="shared" si="13"/>
        <v>0.05</v>
      </c>
      <c r="M39" s="545">
        <f t="shared" si="14"/>
        <v>300</v>
      </c>
      <c r="N39" s="545">
        <f t="shared" si="15"/>
        <v>225</v>
      </c>
      <c r="O39" s="558">
        <f t="shared" si="16"/>
        <v>0</v>
      </c>
      <c r="P39" s="530">
        <f t="shared" si="17"/>
        <v>0</v>
      </c>
      <c r="Q39" s="530">
        <f t="shared" si="18"/>
        <v>7.5</v>
      </c>
      <c r="R39" s="530">
        <f t="shared" si="19"/>
        <v>0</v>
      </c>
      <c r="S39" s="545">
        <f t="shared" si="20"/>
        <v>7.5</v>
      </c>
      <c r="T39" s="558">
        <f t="shared" si="21"/>
        <v>0</v>
      </c>
      <c r="U39" s="530">
        <f t="shared" si="22"/>
        <v>0</v>
      </c>
      <c r="V39" s="530">
        <f t="shared" si="23"/>
        <v>0</v>
      </c>
      <c r="W39" s="530">
        <f t="shared" si="24"/>
        <v>30</v>
      </c>
      <c r="X39" s="576">
        <f t="shared" si="25"/>
        <v>30</v>
      </c>
      <c r="Y39" s="531"/>
      <c r="Z39" s="531"/>
      <c r="AA39" s="531"/>
      <c r="AB39" s="531"/>
      <c r="AC39" s="546"/>
      <c r="AD39" s="546"/>
      <c r="AE39" s="546"/>
      <c r="AF39" s="546"/>
      <c r="AG39" s="546"/>
      <c r="AH39" s="546"/>
      <c r="AI39" s="546"/>
      <c r="AJ39" s="546"/>
      <c r="AK39" s="546"/>
      <c r="AL39" s="546"/>
      <c r="AM39" s="546"/>
    </row>
    <row r="40" spans="1:39" x14ac:dyDescent="0.2">
      <c r="A40" s="554">
        <v>12</v>
      </c>
      <c r="B40" s="883" t="s">
        <v>1702</v>
      </c>
      <c r="C40" s="884"/>
      <c r="D40" s="555"/>
      <c r="E40" s="555" t="s">
        <v>1679</v>
      </c>
      <c r="F40" s="555"/>
      <c r="G40" s="556"/>
      <c r="H40" s="555"/>
      <c r="I40" s="555"/>
      <c r="J40" s="555"/>
      <c r="K40" s="555" t="s">
        <v>1679</v>
      </c>
      <c r="L40" s="557">
        <f t="shared" si="13"/>
        <v>3.3333333333333333E-2</v>
      </c>
      <c r="M40" s="545">
        <f t="shared" si="14"/>
        <v>300</v>
      </c>
      <c r="N40" s="545">
        <f t="shared" si="15"/>
        <v>150</v>
      </c>
      <c r="O40" s="558">
        <f t="shared" si="16"/>
        <v>0</v>
      </c>
      <c r="P40" s="530">
        <f t="shared" si="17"/>
        <v>5</v>
      </c>
      <c r="Q40" s="530">
        <f t="shared" si="18"/>
        <v>0</v>
      </c>
      <c r="R40" s="530">
        <f t="shared" si="19"/>
        <v>0</v>
      </c>
      <c r="S40" s="545">
        <f t="shared" si="20"/>
        <v>5</v>
      </c>
      <c r="T40" s="558">
        <f t="shared" si="21"/>
        <v>0</v>
      </c>
      <c r="U40" s="530">
        <f t="shared" si="22"/>
        <v>0</v>
      </c>
      <c r="V40" s="530">
        <f t="shared" si="23"/>
        <v>0</v>
      </c>
      <c r="W40" s="530">
        <f t="shared" si="24"/>
        <v>30</v>
      </c>
      <c r="X40" s="576">
        <f t="shared" si="25"/>
        <v>30</v>
      </c>
      <c r="Y40" s="531"/>
      <c r="Z40" s="531"/>
      <c r="AA40" s="531"/>
      <c r="AB40" s="531"/>
      <c r="AC40" s="546"/>
      <c r="AD40" s="546"/>
      <c r="AE40" s="546"/>
      <c r="AF40" s="546"/>
      <c r="AG40" s="546"/>
      <c r="AH40" s="546"/>
      <c r="AI40" s="546"/>
      <c r="AJ40" s="546"/>
      <c r="AK40" s="546"/>
      <c r="AL40" s="546"/>
      <c r="AM40" s="546"/>
    </row>
    <row r="41" spans="1:39" x14ac:dyDescent="0.2">
      <c r="A41" s="547">
        <v>13</v>
      </c>
      <c r="B41" s="883" t="s">
        <v>1703</v>
      </c>
      <c r="C41" s="884"/>
      <c r="D41" s="555"/>
      <c r="E41" s="555" t="s">
        <v>1679</v>
      </c>
      <c r="F41" s="555"/>
      <c r="G41" s="556"/>
      <c r="H41" s="555"/>
      <c r="I41" s="555"/>
      <c r="J41" s="555"/>
      <c r="K41" s="555" t="s">
        <v>1679</v>
      </c>
      <c r="L41" s="557">
        <f t="shared" si="13"/>
        <v>3.3333333333333333E-2</v>
      </c>
      <c r="M41" s="545">
        <f t="shared" si="14"/>
        <v>300</v>
      </c>
      <c r="N41" s="545">
        <f t="shared" si="15"/>
        <v>150</v>
      </c>
      <c r="O41" s="558">
        <f t="shared" si="16"/>
        <v>0</v>
      </c>
      <c r="P41" s="530">
        <f t="shared" si="17"/>
        <v>5</v>
      </c>
      <c r="Q41" s="530">
        <f t="shared" si="18"/>
        <v>0</v>
      </c>
      <c r="R41" s="530">
        <f t="shared" si="19"/>
        <v>0</v>
      </c>
      <c r="S41" s="545">
        <f t="shared" si="20"/>
        <v>5</v>
      </c>
      <c r="T41" s="558">
        <f t="shared" si="21"/>
        <v>0</v>
      </c>
      <c r="U41" s="530">
        <f t="shared" si="22"/>
        <v>0</v>
      </c>
      <c r="V41" s="530">
        <f t="shared" si="23"/>
        <v>0</v>
      </c>
      <c r="W41" s="530">
        <f t="shared" si="24"/>
        <v>30</v>
      </c>
      <c r="X41" s="576">
        <f t="shared" si="25"/>
        <v>30</v>
      </c>
      <c r="Y41" s="531"/>
      <c r="Z41" s="531"/>
      <c r="AA41" s="531"/>
      <c r="AB41" s="531"/>
      <c r="AC41" s="546"/>
      <c r="AD41" s="546"/>
      <c r="AE41" s="546"/>
      <c r="AF41" s="546"/>
      <c r="AG41" s="546"/>
      <c r="AH41" s="546"/>
      <c r="AI41" s="546"/>
      <c r="AJ41" s="546"/>
      <c r="AK41" s="546"/>
      <c r="AL41" s="546"/>
      <c r="AM41" s="546"/>
    </row>
    <row r="42" spans="1:39" x14ac:dyDescent="0.2">
      <c r="A42" s="554">
        <v>14</v>
      </c>
      <c r="B42" s="883" t="s">
        <v>1704</v>
      </c>
      <c r="C42" s="884"/>
      <c r="D42" s="555"/>
      <c r="E42" s="555"/>
      <c r="F42" s="555"/>
      <c r="G42" s="556" t="s">
        <v>1679</v>
      </c>
      <c r="H42" s="555"/>
      <c r="I42" s="555"/>
      <c r="J42" s="555"/>
      <c r="K42" s="556" t="s">
        <v>1679</v>
      </c>
      <c r="L42" s="557">
        <f t="shared" si="13"/>
        <v>6.6666666666666666E-2</v>
      </c>
      <c r="M42" s="545">
        <f t="shared" si="14"/>
        <v>300</v>
      </c>
      <c r="N42" s="545">
        <f t="shared" si="15"/>
        <v>300</v>
      </c>
      <c r="O42" s="558">
        <f t="shared" si="16"/>
        <v>0</v>
      </c>
      <c r="P42" s="530">
        <f t="shared" si="17"/>
        <v>0</v>
      </c>
      <c r="Q42" s="530">
        <f t="shared" si="18"/>
        <v>0</v>
      </c>
      <c r="R42" s="530">
        <f t="shared" si="19"/>
        <v>10</v>
      </c>
      <c r="S42" s="545">
        <f t="shared" si="20"/>
        <v>10</v>
      </c>
      <c r="T42" s="558">
        <f t="shared" si="21"/>
        <v>0</v>
      </c>
      <c r="U42" s="530">
        <f t="shared" si="22"/>
        <v>0</v>
      </c>
      <c r="V42" s="530">
        <f t="shared" si="23"/>
        <v>0</v>
      </c>
      <c r="W42" s="530">
        <f t="shared" si="24"/>
        <v>30</v>
      </c>
      <c r="X42" s="576">
        <f t="shared" si="25"/>
        <v>30</v>
      </c>
      <c r="Y42" s="531"/>
      <c r="Z42" s="531"/>
      <c r="AA42" s="531"/>
      <c r="AB42" s="531"/>
      <c r="AC42" s="546"/>
      <c r="AD42" s="546"/>
      <c r="AE42" s="546"/>
      <c r="AF42" s="546"/>
      <c r="AG42" s="546"/>
      <c r="AH42" s="546"/>
      <c r="AI42" s="546"/>
      <c r="AJ42" s="546"/>
      <c r="AK42" s="546"/>
      <c r="AL42" s="546"/>
      <c r="AM42" s="546"/>
    </row>
    <row r="43" spans="1:39" ht="12" thickBot="1" x14ac:dyDescent="0.25">
      <c r="A43" s="547">
        <v>15</v>
      </c>
      <c r="B43" s="885" t="s">
        <v>1705</v>
      </c>
      <c r="C43" s="885"/>
      <c r="D43" s="560"/>
      <c r="E43" s="560"/>
      <c r="F43" s="560"/>
      <c r="G43" s="577" t="s">
        <v>1679</v>
      </c>
      <c r="H43" s="560"/>
      <c r="I43" s="560"/>
      <c r="J43" s="560"/>
      <c r="K43" s="577" t="s">
        <v>1679</v>
      </c>
      <c r="L43" s="562">
        <f t="shared" si="13"/>
        <v>6.6666666666666666E-2</v>
      </c>
      <c r="M43" s="545">
        <f t="shared" si="14"/>
        <v>300</v>
      </c>
      <c r="N43" s="545">
        <f t="shared" si="15"/>
        <v>300</v>
      </c>
      <c r="O43" s="563">
        <f t="shared" si="16"/>
        <v>0</v>
      </c>
      <c r="P43" s="564">
        <f t="shared" si="17"/>
        <v>0</v>
      </c>
      <c r="Q43" s="564">
        <f t="shared" si="18"/>
        <v>0</v>
      </c>
      <c r="R43" s="564">
        <f t="shared" si="19"/>
        <v>10</v>
      </c>
      <c r="S43" s="578">
        <f t="shared" si="20"/>
        <v>10</v>
      </c>
      <c r="T43" s="563">
        <f t="shared" si="21"/>
        <v>0</v>
      </c>
      <c r="U43" s="564">
        <f t="shared" si="22"/>
        <v>0</v>
      </c>
      <c r="V43" s="564">
        <f t="shared" si="23"/>
        <v>0</v>
      </c>
      <c r="W43" s="564">
        <f t="shared" si="24"/>
        <v>30</v>
      </c>
      <c r="X43" s="579">
        <f t="shared" si="25"/>
        <v>30</v>
      </c>
      <c r="Y43" s="531"/>
      <c r="Z43" s="531"/>
      <c r="AA43" s="531"/>
      <c r="AB43" s="580"/>
      <c r="AC43" s="546"/>
      <c r="AD43" s="546"/>
      <c r="AE43" s="546"/>
      <c r="AF43" s="546"/>
      <c r="AG43" s="546"/>
      <c r="AH43" s="546"/>
      <c r="AI43" s="546"/>
      <c r="AJ43" s="546"/>
      <c r="AK43" s="546"/>
      <c r="AL43" s="546"/>
      <c r="AM43" s="546"/>
    </row>
    <row r="44" spans="1:39" ht="12" thickBot="1" x14ac:dyDescent="0.25">
      <c r="L44" s="581">
        <f>SUM(L29:L43)</f>
        <v>0.9</v>
      </c>
      <c r="M44" s="545">
        <f>SUM(M29:M43)</f>
        <v>4500</v>
      </c>
      <c r="N44" s="582">
        <f>SUM(N29:N43)</f>
        <v>4050</v>
      </c>
      <c r="O44" s="563">
        <f t="shared" si="16"/>
        <v>0</v>
      </c>
      <c r="P44" s="564">
        <f t="shared" si="17"/>
        <v>0</v>
      </c>
      <c r="Q44" s="564">
        <f t="shared" si="18"/>
        <v>0</v>
      </c>
      <c r="R44" s="564">
        <f t="shared" si="19"/>
        <v>0</v>
      </c>
      <c r="S44" s="578">
        <f t="shared" si="20"/>
        <v>0</v>
      </c>
      <c r="T44" s="563">
        <f t="shared" si="21"/>
        <v>0</v>
      </c>
      <c r="U44" s="564">
        <f t="shared" si="22"/>
        <v>0</v>
      </c>
      <c r="V44" s="564">
        <f t="shared" si="23"/>
        <v>0</v>
      </c>
      <c r="W44" s="564">
        <f t="shared" si="24"/>
        <v>0</v>
      </c>
      <c r="X44" s="579">
        <f t="shared" si="25"/>
        <v>0</v>
      </c>
      <c r="Y44" s="531"/>
      <c r="Z44" s="531"/>
      <c r="AA44" s="531"/>
      <c r="AB44" s="531"/>
      <c r="AC44" s="546"/>
      <c r="AD44" s="546"/>
      <c r="AE44" s="546"/>
      <c r="AF44" s="546"/>
      <c r="AG44" s="546"/>
      <c r="AH44" s="546"/>
      <c r="AI44" s="546"/>
      <c r="AJ44" s="546"/>
      <c r="AK44" s="546"/>
      <c r="AL44" s="546"/>
      <c r="AM44" s="546"/>
    </row>
    <row r="45" spans="1:39" ht="10.5" customHeight="1" x14ac:dyDescent="0.2">
      <c r="B45" s="531"/>
      <c r="C45" s="531"/>
      <c r="D45" s="531"/>
      <c r="E45" s="531"/>
      <c r="F45" s="531"/>
      <c r="G45" s="531"/>
      <c r="H45" s="531"/>
      <c r="I45" s="531"/>
      <c r="J45" s="531"/>
      <c r="K45" s="531"/>
      <c r="L45" s="531"/>
      <c r="O45" s="530"/>
      <c r="P45" s="530"/>
      <c r="Q45" s="530"/>
      <c r="R45" s="530"/>
      <c r="S45" s="530"/>
      <c r="T45" s="530"/>
      <c r="U45" s="530"/>
      <c r="V45" s="530"/>
      <c r="W45" s="530"/>
      <c r="X45" s="530"/>
      <c r="Y45" s="531"/>
      <c r="Z45" s="531"/>
      <c r="AA45" s="531"/>
      <c r="AB45" s="531"/>
      <c r="AC45" s="546"/>
      <c r="AD45" s="546"/>
      <c r="AE45" s="546"/>
      <c r="AF45" s="546"/>
      <c r="AG45" s="546"/>
      <c r="AH45" s="546"/>
      <c r="AI45" s="546"/>
      <c r="AJ45" s="546"/>
      <c r="AK45" s="546"/>
      <c r="AL45" s="546"/>
      <c r="AM45" s="546"/>
    </row>
    <row r="46" spans="1:39" x14ac:dyDescent="0.2">
      <c r="M46" s="530"/>
      <c r="N46" s="530">
        <f>IF($L$44&gt;85%,5,0)</f>
        <v>5</v>
      </c>
      <c r="O46" s="530">
        <f>IF($L$44&lt;=85%,2,0)</f>
        <v>0</v>
      </c>
      <c r="P46" s="530">
        <f>IF($L$44&gt;70%,2,0)</f>
        <v>2</v>
      </c>
      <c r="Q46" s="530">
        <f>IF($L$44&lt;=70%,3,0)</f>
        <v>0</v>
      </c>
      <c r="R46" s="530">
        <f>IF($L$44&gt;45%,1,0)</f>
        <v>1</v>
      </c>
      <c r="S46" s="530">
        <f>IF($L$44&lt;=45%,1,0)</f>
        <v>0</v>
      </c>
      <c r="T46" s="530"/>
      <c r="U46" s="530">
        <f>IF($L$44&gt;0%,2,0)</f>
        <v>2</v>
      </c>
      <c r="V46" s="530"/>
      <c r="W46" s="530"/>
      <c r="X46" s="530"/>
      <c r="Y46" s="531"/>
      <c r="Z46" s="531"/>
      <c r="AA46" s="531"/>
      <c r="AB46" s="531"/>
    </row>
    <row r="47" spans="1:39" ht="12.75" x14ac:dyDescent="0.2">
      <c r="A47" s="886" t="s">
        <v>1706</v>
      </c>
      <c r="B47" s="886"/>
      <c r="C47" s="567">
        <f>L44</f>
        <v>0.9</v>
      </c>
      <c r="E47" s="874" t="str">
        <f>+IF(L44&gt;=0.86,"A",IF(AND(L44&lt;0.86,L44&gt;=0.71),"B",IF(AND(L44&lt;0.71,L44&gt;=0.46),"C",IF(AND(L44&lt;0.46,L44&gt;0),"No califica",IF(L44=0,"No evaluado")))))</f>
        <v>A</v>
      </c>
      <c r="F47" s="874"/>
      <c r="G47" s="584"/>
      <c r="H47" s="882" t="s">
        <v>1686</v>
      </c>
      <c r="I47" s="882"/>
      <c r="J47" s="882"/>
      <c r="K47" s="882"/>
      <c r="L47" s="568" t="str">
        <f>+IF(E47="A","Excelente",IF(E47="B","Muy Bueno",IF(E47="C","Bueno a regular",IF(E47="No evaluado","","No califica"))))</f>
        <v>Excelente</v>
      </c>
      <c r="M47" s="530"/>
      <c r="N47" s="530">
        <f>+N46</f>
        <v>5</v>
      </c>
      <c r="O47" s="879">
        <f>+O46*P46</f>
        <v>0</v>
      </c>
      <c r="P47" s="879"/>
      <c r="Q47" s="879">
        <f>+Q46*R46</f>
        <v>0</v>
      </c>
      <c r="R47" s="879"/>
      <c r="S47" s="879">
        <f>+S46*U46</f>
        <v>0</v>
      </c>
      <c r="T47" s="879"/>
      <c r="U47" s="879"/>
      <c r="V47" s="530">
        <f>SUM(N47:U47)</f>
        <v>5</v>
      </c>
      <c r="W47" s="530"/>
      <c r="X47" s="530"/>
      <c r="Y47" s="531"/>
      <c r="Z47" s="531"/>
      <c r="AA47" s="531"/>
      <c r="AB47" s="531"/>
    </row>
    <row r="48" spans="1:39" ht="12.75" customHeight="1" x14ac:dyDescent="0.2">
      <c r="B48" s="585"/>
      <c r="C48" s="531"/>
      <c r="D48" s="531"/>
      <c r="E48" s="531"/>
      <c r="F48" s="531"/>
      <c r="G48" s="586"/>
      <c r="H48" s="570"/>
      <c r="I48" s="570"/>
      <c r="J48" s="571"/>
      <c r="K48" s="572"/>
      <c r="L48" s="573"/>
      <c r="M48" s="530"/>
      <c r="N48" s="530"/>
      <c r="O48" s="530"/>
      <c r="P48" s="530"/>
      <c r="Q48" s="530"/>
      <c r="R48" s="530"/>
      <c r="S48" s="530"/>
      <c r="T48" s="530"/>
      <c r="U48" s="530"/>
      <c r="V48" s="530"/>
      <c r="W48" s="530"/>
      <c r="X48" s="530"/>
      <c r="Y48" s="531"/>
      <c r="Z48" s="531"/>
      <c r="AA48" s="531"/>
      <c r="AB48" s="531"/>
    </row>
    <row r="49" spans="1:28" s="586" customFormat="1" ht="12.75" customHeight="1" x14ac:dyDescent="0.2">
      <c r="A49" s="880" t="s">
        <v>1687</v>
      </c>
      <c r="B49" s="880"/>
      <c r="C49" s="881" t="s">
        <v>2164</v>
      </c>
      <c r="D49" s="881"/>
      <c r="E49" s="881"/>
      <c r="F49" s="881"/>
      <c r="G49" s="584"/>
      <c r="H49" s="882" t="s">
        <v>1689</v>
      </c>
      <c r="I49" s="882"/>
      <c r="J49" s="882"/>
      <c r="K49" s="882"/>
      <c r="L49" s="574">
        <v>43564</v>
      </c>
      <c r="M49" s="587"/>
      <c r="N49" s="587"/>
      <c r="O49" s="587"/>
      <c r="P49" s="587"/>
      <c r="Q49" s="587"/>
      <c r="R49" s="587"/>
      <c r="S49" s="587"/>
      <c r="T49" s="587"/>
      <c r="U49" s="587"/>
      <c r="V49" s="587"/>
      <c r="W49" s="587"/>
      <c r="X49" s="587"/>
      <c r="Y49" s="588"/>
      <c r="Z49" s="588"/>
      <c r="AA49" s="588"/>
      <c r="AB49" s="588"/>
    </row>
    <row r="50" spans="1:28" ht="11.25" customHeight="1" x14ac:dyDescent="0.2">
      <c r="B50" s="589"/>
      <c r="C50" s="590"/>
      <c r="D50" s="533"/>
      <c r="E50" s="533"/>
      <c r="F50" s="533"/>
      <c r="G50" s="591"/>
      <c r="H50" s="572"/>
      <c r="I50" s="572"/>
      <c r="J50" s="572"/>
      <c r="M50" s="530"/>
      <c r="N50" s="530"/>
      <c r="O50" s="530"/>
      <c r="P50" s="530"/>
      <c r="Q50" s="530"/>
      <c r="R50" s="530"/>
      <c r="S50" s="530"/>
      <c r="T50" s="530"/>
      <c r="U50" s="530"/>
      <c r="V50" s="530"/>
      <c r="W50" s="530"/>
      <c r="X50" s="530"/>
      <c r="Y50" s="531"/>
      <c r="Z50" s="531"/>
      <c r="AA50" s="531"/>
      <c r="AB50" s="531"/>
    </row>
    <row r="51" spans="1:28" ht="12" x14ac:dyDescent="0.2">
      <c r="B51" s="589"/>
      <c r="C51" s="590"/>
      <c r="D51" s="533"/>
      <c r="E51" s="533"/>
      <c r="F51" s="533"/>
      <c r="G51" s="591"/>
      <c r="H51" s="591"/>
      <c r="I51" s="591"/>
      <c r="J51" s="591"/>
      <c r="K51" s="533"/>
      <c r="L51" s="533"/>
      <c r="M51" s="530"/>
      <c r="N51" s="530"/>
      <c r="O51" s="530"/>
      <c r="P51" s="530"/>
      <c r="Q51" s="530"/>
      <c r="R51" s="530"/>
      <c r="S51" s="530"/>
      <c r="T51" s="530"/>
      <c r="U51" s="530"/>
      <c r="V51" s="530"/>
      <c r="W51" s="530"/>
      <c r="X51" s="530"/>
      <c r="Y51" s="531"/>
      <c r="Z51" s="531"/>
      <c r="AA51" s="531"/>
      <c r="AB51" s="531"/>
    </row>
    <row r="52" spans="1:28" ht="12.75" customHeight="1" x14ac:dyDescent="0.2">
      <c r="A52" s="873" t="s">
        <v>1708</v>
      </c>
      <c r="B52" s="873"/>
      <c r="C52" s="567">
        <f>IF(L44=0,L19,(L19*0.5+L44*0.5))</f>
        <v>0.91710526315789487</v>
      </c>
      <c r="D52" s="592"/>
      <c r="E52" s="874" t="str">
        <f>+IF($C$52&gt;=0.86,"A",IF(AND($C$52&lt;0.86,$C$52&gt;=0.71),"B",IF(AND($C$52&lt;0.71,$C$52&gt;=0.46),"C",IF(AND($C$52&lt;0.46,$C$52&gt;0),"No califica",IF(C52=0,"No evaluado",)))))</f>
        <v>A</v>
      </c>
      <c r="F52" s="874"/>
      <c r="G52" s="875" t="s">
        <v>1686</v>
      </c>
      <c r="H52" s="875"/>
      <c r="I52" s="875"/>
      <c r="J52" s="875"/>
      <c r="K52" s="875"/>
      <c r="L52" s="568" t="str">
        <f>+IF(E52="A","Excelente",IF(E52="B","Muy Bueno",IF(E52="C","Bueno a regular",IF(E52="No evaluado","","No califica"))))</f>
        <v>Excelente</v>
      </c>
      <c r="M52" s="530"/>
      <c r="N52" s="530"/>
      <c r="O52" s="530"/>
      <c r="P52" s="530"/>
      <c r="Q52" s="530"/>
      <c r="R52" s="530"/>
      <c r="S52" s="530"/>
      <c r="T52" s="530"/>
      <c r="U52" s="530"/>
      <c r="V52" s="530"/>
      <c r="W52" s="530"/>
      <c r="X52" s="530"/>
      <c r="Y52" s="531"/>
      <c r="Z52" s="531"/>
      <c r="AA52" s="531"/>
      <c r="AB52" s="531"/>
    </row>
    <row r="53" spans="1:28" ht="12" x14ac:dyDescent="0.2">
      <c r="B53" s="585"/>
      <c r="C53" s="531"/>
      <c r="D53" s="531"/>
      <c r="E53" s="531"/>
      <c r="F53" s="531"/>
      <c r="G53" s="593"/>
      <c r="H53" s="593"/>
      <c r="I53" s="593"/>
      <c r="J53" s="593"/>
      <c r="K53" s="594"/>
      <c r="L53" s="573"/>
      <c r="M53" s="530"/>
      <c r="N53" s="530"/>
      <c r="O53" s="530"/>
      <c r="P53" s="530"/>
      <c r="Q53" s="530"/>
      <c r="R53" s="530"/>
      <c r="S53" s="530"/>
      <c r="T53" s="530"/>
      <c r="U53" s="530"/>
      <c r="V53" s="530"/>
      <c r="W53" s="530"/>
      <c r="X53" s="530"/>
      <c r="Y53" s="531"/>
      <c r="Z53" s="531"/>
      <c r="AA53" s="531"/>
      <c r="AB53" s="531"/>
    </row>
    <row r="54" spans="1:28" ht="12" customHeight="1" x14ac:dyDescent="0.2">
      <c r="B54" s="595"/>
      <c r="C54" s="531"/>
      <c r="E54" s="531"/>
      <c r="F54" s="531"/>
      <c r="G54" s="876" t="s">
        <v>1709</v>
      </c>
      <c r="H54" s="876"/>
      <c r="I54" s="876"/>
      <c r="J54" s="876"/>
      <c r="K54" s="876"/>
      <c r="L54" s="574">
        <v>43564</v>
      </c>
      <c r="M54" s="530"/>
      <c r="N54" s="530"/>
      <c r="O54" s="530"/>
      <c r="P54" s="530"/>
      <c r="Q54" s="530"/>
      <c r="R54" s="530"/>
      <c r="S54" s="530"/>
      <c r="T54" s="530"/>
      <c r="U54" s="530"/>
      <c r="V54" s="530"/>
      <c r="W54" s="530"/>
      <c r="X54" s="530"/>
      <c r="Y54" s="531"/>
      <c r="Z54" s="531"/>
      <c r="AA54" s="531"/>
      <c r="AB54" s="531"/>
    </row>
    <row r="55" spans="1:28" x14ac:dyDescent="0.2">
      <c r="B55" s="531"/>
      <c r="C55" s="531"/>
      <c r="D55" s="531"/>
      <c r="E55" s="531"/>
      <c r="F55" s="531"/>
      <c r="G55" s="531"/>
      <c r="H55" s="531"/>
      <c r="I55" s="531"/>
      <c r="J55" s="531"/>
      <c r="K55" s="531"/>
      <c r="L55" s="531"/>
      <c r="M55" s="530"/>
      <c r="N55" s="530"/>
      <c r="O55" s="530"/>
      <c r="P55" s="530"/>
      <c r="Q55" s="530"/>
      <c r="R55" s="530"/>
      <c r="S55" s="530"/>
      <c r="T55" s="530"/>
      <c r="U55" s="530"/>
      <c r="V55" s="530"/>
      <c r="W55" s="530"/>
      <c r="X55" s="530"/>
      <c r="Y55" s="531"/>
      <c r="Z55" s="531"/>
      <c r="AA55" s="531"/>
      <c r="AB55" s="531"/>
    </row>
    <row r="56" spans="1:28" x14ac:dyDescent="0.2">
      <c r="B56" s="531"/>
      <c r="C56" s="531"/>
      <c r="D56" s="531"/>
      <c r="E56" s="531"/>
      <c r="F56" s="531"/>
      <c r="G56" s="531"/>
      <c r="H56" s="531"/>
      <c r="I56" s="531"/>
      <c r="J56" s="531"/>
      <c r="K56" s="531"/>
      <c r="L56" s="531"/>
      <c r="M56" s="530"/>
      <c r="N56" s="530"/>
      <c r="O56" s="530"/>
      <c r="P56" s="530"/>
      <c r="Q56" s="530"/>
      <c r="R56" s="530"/>
      <c r="S56" s="530"/>
      <c r="T56" s="530"/>
      <c r="U56" s="530"/>
      <c r="V56" s="530"/>
      <c r="W56" s="530"/>
      <c r="X56" s="530"/>
      <c r="Y56" s="531"/>
      <c r="Z56" s="531"/>
      <c r="AA56" s="531"/>
      <c r="AB56" s="531"/>
    </row>
    <row r="57" spans="1:28" ht="38.25" customHeight="1" x14ac:dyDescent="0.2">
      <c r="A57" s="877" t="s">
        <v>1710</v>
      </c>
      <c r="B57" s="877"/>
      <c r="C57" s="940" t="s">
        <v>2559</v>
      </c>
      <c r="D57" s="941"/>
      <c r="E57" s="941"/>
      <c r="F57" s="941"/>
      <c r="G57" s="941"/>
      <c r="H57" s="941"/>
      <c r="I57" s="941"/>
      <c r="J57" s="941"/>
      <c r="K57" s="941"/>
      <c r="L57" s="941"/>
      <c r="M57" s="530"/>
      <c r="N57" s="530"/>
      <c r="O57" s="530"/>
      <c r="P57" s="530"/>
      <c r="Q57" s="530"/>
      <c r="R57" s="530"/>
      <c r="S57" s="530"/>
      <c r="T57" s="530"/>
      <c r="U57" s="530"/>
      <c r="V57" s="530"/>
      <c r="W57" s="530"/>
      <c r="X57" s="530"/>
      <c r="Y57" s="531"/>
      <c r="Z57" s="531"/>
      <c r="AA57" s="531"/>
      <c r="AB57" s="531"/>
    </row>
    <row r="58" spans="1:28" ht="12.75" customHeight="1" x14ac:dyDescent="0.2">
      <c r="A58" s="871"/>
      <c r="B58" s="871"/>
      <c r="C58" s="871"/>
      <c r="D58" s="871"/>
      <c r="E58" s="871"/>
      <c r="F58" s="871"/>
      <c r="G58" s="871"/>
      <c r="H58" s="871"/>
      <c r="I58" s="871"/>
      <c r="J58" s="871"/>
      <c r="K58" s="871"/>
      <c r="L58" s="871"/>
      <c r="M58" s="530"/>
      <c r="N58" s="530"/>
      <c r="O58" s="530"/>
      <c r="P58" s="530"/>
      <c r="Q58" s="530"/>
      <c r="R58" s="530"/>
      <c r="S58" s="530"/>
      <c r="T58" s="530"/>
      <c r="U58" s="530"/>
      <c r="V58" s="530"/>
      <c r="W58" s="530"/>
      <c r="X58" s="530"/>
      <c r="Y58" s="531"/>
      <c r="Z58" s="531"/>
      <c r="AA58" s="531"/>
      <c r="AB58" s="531"/>
    </row>
    <row r="59" spans="1:28" ht="9.75" customHeight="1" x14ac:dyDescent="0.2"/>
    <row r="60" spans="1:28" s="538" customFormat="1" ht="24" customHeight="1" x14ac:dyDescent="0.2">
      <c r="A60" s="872" t="s">
        <v>1712</v>
      </c>
      <c r="B60" s="872"/>
      <c r="C60" s="872"/>
      <c r="D60" s="872"/>
      <c r="E60" s="872"/>
      <c r="F60" s="872"/>
      <c r="G60" s="872"/>
      <c r="H60" s="872"/>
      <c r="I60" s="872"/>
      <c r="J60" s="872"/>
      <c r="K60" s="872"/>
      <c r="L60" s="872"/>
      <c r="M60" s="596"/>
      <c r="N60" s="596"/>
      <c r="O60" s="596"/>
      <c r="P60" s="596"/>
      <c r="Q60" s="596"/>
      <c r="R60" s="596"/>
      <c r="S60" s="596"/>
      <c r="T60" s="596"/>
      <c r="U60" s="596"/>
      <c r="V60" s="596"/>
      <c r="W60" s="596"/>
      <c r="X60" s="596"/>
    </row>
    <row r="61" spans="1:28" x14ac:dyDescent="0.2">
      <c r="H61" s="595" t="s">
        <v>1713</v>
      </c>
      <c r="I61" s="595"/>
      <c r="J61" s="539"/>
      <c r="L61" s="597" t="s">
        <v>1714</v>
      </c>
    </row>
    <row r="62" spans="1:28" x14ac:dyDescent="0.2">
      <c r="H62" s="595" t="s">
        <v>1715</v>
      </c>
      <c r="I62" s="595"/>
      <c r="J62" s="539"/>
      <c r="L62" s="597" t="s">
        <v>1716</v>
      </c>
    </row>
    <row r="63" spans="1:28" x14ac:dyDescent="0.2">
      <c r="H63" s="595" t="s">
        <v>1717</v>
      </c>
      <c r="I63" s="595"/>
      <c r="J63" s="539"/>
      <c r="L63" s="597" t="s">
        <v>1718</v>
      </c>
    </row>
    <row r="64" spans="1:28" x14ac:dyDescent="0.2">
      <c r="H64" s="595" t="s">
        <v>1719</v>
      </c>
      <c r="I64" s="595"/>
      <c r="J64" s="539"/>
      <c r="L64" s="597" t="s">
        <v>1720</v>
      </c>
    </row>
  </sheetData>
  <mergeCells count="69">
    <mergeCell ref="A5:B5"/>
    <mergeCell ref="C5:L5"/>
    <mergeCell ref="A1:B2"/>
    <mergeCell ref="C1:L1"/>
    <mergeCell ref="C2:E2"/>
    <mergeCell ref="F2:L2"/>
    <mergeCell ref="A4:L4"/>
    <mergeCell ref="B15:C15"/>
    <mergeCell ref="A6:B6"/>
    <mergeCell ref="C6:L6"/>
    <mergeCell ref="A8:L8"/>
    <mergeCell ref="D10:G10"/>
    <mergeCell ref="H10:K10"/>
    <mergeCell ref="B11:C11"/>
    <mergeCell ref="O11:S11"/>
    <mergeCell ref="T11:X11"/>
    <mergeCell ref="B12:C12"/>
    <mergeCell ref="B13:C13"/>
    <mergeCell ref="B14:C14"/>
    <mergeCell ref="B16:C16"/>
    <mergeCell ref="B17:C17"/>
    <mergeCell ref="B18:C18"/>
    <mergeCell ref="A21:B21"/>
    <mergeCell ref="E21:F21"/>
    <mergeCell ref="T28:X28"/>
    <mergeCell ref="O21:P21"/>
    <mergeCell ref="Q21:R21"/>
    <mergeCell ref="S21:U21"/>
    <mergeCell ref="A23:B23"/>
    <mergeCell ref="C23:F23"/>
    <mergeCell ref="H23:K23"/>
    <mergeCell ref="H21:K21"/>
    <mergeCell ref="A25:L25"/>
    <mergeCell ref="D27:G27"/>
    <mergeCell ref="H27:K27"/>
    <mergeCell ref="B28:C28"/>
    <mergeCell ref="O28:S28"/>
    <mergeCell ref="B40:C40"/>
    <mergeCell ref="B29:C29"/>
    <mergeCell ref="B30:C30"/>
    <mergeCell ref="B31:C31"/>
    <mergeCell ref="B32:C32"/>
    <mergeCell ref="B33:C33"/>
    <mergeCell ref="B34:C34"/>
    <mergeCell ref="B35:C35"/>
    <mergeCell ref="B36:C36"/>
    <mergeCell ref="B37:C37"/>
    <mergeCell ref="B38:C38"/>
    <mergeCell ref="B39:C39"/>
    <mergeCell ref="B41:C41"/>
    <mergeCell ref="B42:C42"/>
    <mergeCell ref="B43:C43"/>
    <mergeCell ref="A47:B47"/>
    <mergeCell ref="E47:F47"/>
    <mergeCell ref="O47:P47"/>
    <mergeCell ref="Q47:R47"/>
    <mergeCell ref="S47:U47"/>
    <mergeCell ref="A49:B49"/>
    <mergeCell ref="C49:F49"/>
    <mergeCell ref="H49:K49"/>
    <mergeCell ref="H47:K47"/>
    <mergeCell ref="A58:L58"/>
    <mergeCell ref="A60:L60"/>
    <mergeCell ref="A52:B52"/>
    <mergeCell ref="E52:F52"/>
    <mergeCell ref="G52:K52"/>
    <mergeCell ref="G54:K54"/>
    <mergeCell ref="A57:B57"/>
    <mergeCell ref="C57:L57"/>
  </mergeCells>
  <pageMargins left="0.74803149606299213" right="0.74803149606299213" top="0.98425196850393704" bottom="0.98425196850393704" header="0" footer="0"/>
  <pageSetup paperSize="9" scale="78" orientation="portrait" r:id="rId1"/>
  <headerFooter alignWithMargins="0">
    <oddFooter>&amp;L&amp;7Revisión 1
EMISIÓN: 5/05/17 &amp;C&amp;7Revisa y Aprueba : Ruth Clausen&amp;R&amp;7&amp;P de &amp;N</oddFooter>
  </headerFooter>
  <colBreaks count="1" manualBreakCount="1">
    <brk id="12"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9" tint="0.39997558519241921"/>
  </sheetPr>
  <dimension ref="A1:AM64"/>
  <sheetViews>
    <sheetView workbookViewId="0">
      <selection sqref="A1:B2"/>
    </sheetView>
  </sheetViews>
  <sheetFormatPr baseColWidth="10" defaultRowHeight="11.25" x14ac:dyDescent="0.2"/>
  <cols>
    <col min="1" max="1" width="2.7109375" style="533" customWidth="1"/>
    <col min="2" max="2" width="18.7109375" style="532" customWidth="1"/>
    <col min="3" max="3" width="15.28515625" style="532" customWidth="1"/>
    <col min="4" max="4" width="5.5703125" style="532" customWidth="1"/>
    <col min="5" max="5" width="5" style="532" customWidth="1"/>
    <col min="6" max="7" width="5.5703125" style="532" customWidth="1"/>
    <col min="8" max="8" width="7.28515625" style="532" customWidth="1"/>
    <col min="9" max="10" width="5.85546875" style="532" customWidth="1"/>
    <col min="11" max="11" width="5.7109375" style="532" customWidth="1"/>
    <col min="12" max="12" width="17.28515625" style="532" customWidth="1"/>
    <col min="13" max="14" width="12.28515625" style="583" hidden="1" customWidth="1"/>
    <col min="15" max="24" width="8.7109375" style="583" hidden="1" customWidth="1"/>
    <col min="25" max="16384" width="11.42578125" style="532"/>
  </cols>
  <sheetData>
    <row r="1" spans="1:39" ht="33" customHeight="1" thickBot="1" x14ac:dyDescent="0.25">
      <c r="A1" s="919"/>
      <c r="B1" s="920"/>
      <c r="C1" s="942" t="s">
        <v>2428</v>
      </c>
      <c r="D1" s="943"/>
      <c r="E1" s="943"/>
      <c r="F1" s="943"/>
      <c r="G1" s="943"/>
      <c r="H1" s="943"/>
      <c r="I1" s="943"/>
      <c r="J1" s="943"/>
      <c r="K1" s="943"/>
      <c r="L1" s="944"/>
      <c r="M1" s="529"/>
      <c r="N1" s="530"/>
      <c r="O1" s="530"/>
      <c r="P1" s="530"/>
      <c r="Q1" s="530"/>
      <c r="R1" s="530"/>
      <c r="S1" s="530"/>
      <c r="T1" s="530"/>
      <c r="U1" s="530"/>
      <c r="V1" s="530"/>
      <c r="W1" s="530"/>
      <c r="X1" s="530"/>
      <c r="Y1" s="531"/>
      <c r="Z1" s="531"/>
      <c r="AA1" s="531"/>
      <c r="AB1" s="531"/>
    </row>
    <row r="2" spans="1:39" ht="24.75" customHeight="1" thickBot="1" x14ac:dyDescent="0.25">
      <c r="A2" s="921"/>
      <c r="B2" s="922"/>
      <c r="C2" s="926" t="s">
        <v>1658</v>
      </c>
      <c r="D2" s="927"/>
      <c r="E2" s="928"/>
      <c r="F2" s="926" t="s">
        <v>1659</v>
      </c>
      <c r="G2" s="927"/>
      <c r="H2" s="927"/>
      <c r="I2" s="927"/>
      <c r="J2" s="927"/>
      <c r="K2" s="927"/>
      <c r="L2" s="928"/>
      <c r="M2" s="530"/>
      <c r="N2" s="530"/>
      <c r="O2" s="530"/>
      <c r="P2" s="530"/>
      <c r="Q2" s="530"/>
      <c r="R2" s="530"/>
      <c r="S2" s="530"/>
      <c r="T2" s="530"/>
      <c r="U2" s="530"/>
      <c r="V2" s="530"/>
      <c r="W2" s="530"/>
      <c r="X2" s="530"/>
      <c r="Y2" s="531"/>
      <c r="Z2" s="531"/>
      <c r="AA2" s="531"/>
      <c r="AB2" s="531"/>
    </row>
    <row r="3" spans="1:39" ht="9" customHeight="1" thickBot="1" x14ac:dyDescent="0.25">
      <c r="B3" s="534"/>
      <c r="C3" s="535"/>
      <c r="D3" s="535"/>
      <c r="E3" s="535"/>
      <c r="F3" s="535"/>
      <c r="G3" s="535"/>
      <c r="H3" s="535"/>
      <c r="I3" s="535"/>
      <c r="J3" s="535"/>
      <c r="K3" s="535"/>
      <c r="L3" s="535"/>
      <c r="M3" s="530"/>
      <c r="N3" s="530"/>
      <c r="O3" s="530"/>
      <c r="P3" s="530"/>
      <c r="Q3" s="530"/>
      <c r="R3" s="530"/>
      <c r="S3" s="530"/>
      <c r="T3" s="530"/>
      <c r="U3" s="530"/>
      <c r="V3" s="530"/>
      <c r="W3" s="530"/>
      <c r="X3" s="530"/>
      <c r="Y3" s="531"/>
      <c r="Z3" s="531"/>
      <c r="AA3" s="531"/>
      <c r="AB3" s="531"/>
    </row>
    <row r="4" spans="1:39" s="538" customFormat="1" ht="18.75" customHeight="1" thickBot="1" x14ac:dyDescent="0.25">
      <c r="A4" s="929" t="s">
        <v>1660</v>
      </c>
      <c r="B4" s="930"/>
      <c r="C4" s="930"/>
      <c r="D4" s="930"/>
      <c r="E4" s="930"/>
      <c r="F4" s="930"/>
      <c r="G4" s="930"/>
      <c r="H4" s="930"/>
      <c r="I4" s="930"/>
      <c r="J4" s="930"/>
      <c r="K4" s="930"/>
      <c r="L4" s="931"/>
      <c r="M4" s="536"/>
      <c r="N4" s="536"/>
      <c r="O4" s="536"/>
      <c r="P4" s="536"/>
      <c r="Q4" s="536"/>
      <c r="R4" s="536"/>
      <c r="S4" s="536"/>
      <c r="T4" s="536"/>
      <c r="U4" s="536"/>
      <c r="V4" s="536"/>
      <c r="W4" s="536"/>
      <c r="X4" s="536"/>
      <c r="Y4" s="537"/>
      <c r="Z4" s="537"/>
      <c r="AA4" s="537"/>
      <c r="AB4" s="537"/>
    </row>
    <row r="5" spans="1:39" s="538" customFormat="1" ht="16.5" customHeight="1" thickBot="1" x14ac:dyDescent="0.25">
      <c r="A5" s="914" t="s">
        <v>1661</v>
      </c>
      <c r="B5" s="915"/>
      <c r="C5" s="916" t="s">
        <v>628</v>
      </c>
      <c r="D5" s="917"/>
      <c r="E5" s="917"/>
      <c r="F5" s="917"/>
      <c r="G5" s="917"/>
      <c r="H5" s="917"/>
      <c r="I5" s="917"/>
      <c r="J5" s="917"/>
      <c r="K5" s="917"/>
      <c r="L5" s="918"/>
      <c r="M5" s="536"/>
      <c r="N5" s="536"/>
      <c r="O5" s="536"/>
      <c r="P5" s="536"/>
      <c r="Q5" s="536"/>
      <c r="R5" s="536"/>
      <c r="S5" s="536"/>
      <c r="T5" s="536"/>
      <c r="U5" s="536"/>
      <c r="V5" s="536"/>
      <c r="W5" s="536"/>
      <c r="X5" s="536"/>
      <c r="Y5" s="537"/>
      <c r="Z5" s="537"/>
      <c r="AA5" s="537"/>
      <c r="AB5" s="537"/>
    </row>
    <row r="6" spans="1:39" ht="16.5" customHeight="1" thickBot="1" x14ac:dyDescent="0.25">
      <c r="A6" s="902" t="s">
        <v>1662</v>
      </c>
      <c r="B6" s="903"/>
      <c r="C6" s="904" t="s">
        <v>1663</v>
      </c>
      <c r="D6" s="905"/>
      <c r="E6" s="905"/>
      <c r="F6" s="905"/>
      <c r="G6" s="905"/>
      <c r="H6" s="905"/>
      <c r="I6" s="905"/>
      <c r="J6" s="905"/>
      <c r="K6" s="905"/>
      <c r="L6" s="906"/>
      <c r="M6" s="530"/>
      <c r="N6" s="530"/>
      <c r="O6" s="530"/>
      <c r="P6" s="530"/>
      <c r="Q6" s="530"/>
      <c r="R6" s="530"/>
      <c r="S6" s="530"/>
      <c r="T6" s="530"/>
      <c r="U6" s="530"/>
      <c r="V6" s="530"/>
      <c r="W6" s="530"/>
      <c r="X6" s="530"/>
      <c r="Y6" s="531"/>
      <c r="Z6" s="531"/>
      <c r="AA6" s="531"/>
      <c r="AB6" s="531"/>
    </row>
    <row r="7" spans="1:39" ht="12" customHeight="1" thickBot="1" x14ac:dyDescent="0.25">
      <c r="B7" s="539"/>
      <c r="D7" s="533"/>
      <c r="E7" s="533"/>
      <c r="F7" s="533"/>
      <c r="G7" s="533"/>
      <c r="H7" s="533"/>
      <c r="I7" s="533"/>
      <c r="J7" s="533"/>
      <c r="K7" s="533"/>
      <c r="L7" s="533"/>
      <c r="M7" s="530"/>
      <c r="N7" s="530"/>
      <c r="O7" s="530"/>
      <c r="P7" s="530"/>
      <c r="Q7" s="530"/>
      <c r="R7" s="530"/>
      <c r="S7" s="530"/>
      <c r="T7" s="530"/>
      <c r="U7" s="530"/>
      <c r="V7" s="530"/>
      <c r="W7" s="530"/>
      <c r="X7" s="530"/>
      <c r="Y7" s="531"/>
      <c r="Z7" s="531"/>
      <c r="AA7" s="531"/>
      <c r="AB7" s="531"/>
    </row>
    <row r="8" spans="1:39" ht="15" customHeight="1" thickBot="1" x14ac:dyDescent="0.25">
      <c r="A8" s="907" t="s">
        <v>1664</v>
      </c>
      <c r="B8" s="908"/>
      <c r="C8" s="908"/>
      <c r="D8" s="908"/>
      <c r="E8" s="908"/>
      <c r="F8" s="908"/>
      <c r="G8" s="908"/>
      <c r="H8" s="908"/>
      <c r="I8" s="908"/>
      <c r="J8" s="908"/>
      <c r="K8" s="908"/>
      <c r="L8" s="909"/>
      <c r="M8" s="530"/>
      <c r="N8" s="530"/>
      <c r="O8" s="530"/>
      <c r="P8" s="530"/>
      <c r="Q8" s="530"/>
      <c r="R8" s="530"/>
      <c r="S8" s="530"/>
      <c r="T8" s="530"/>
      <c r="U8" s="530"/>
      <c r="V8" s="530"/>
      <c r="W8" s="530"/>
      <c r="X8" s="530"/>
      <c r="Y8" s="531"/>
      <c r="Z8" s="531"/>
      <c r="AA8" s="531"/>
      <c r="AB8" s="531"/>
    </row>
    <row r="9" spans="1:39" ht="20.25" customHeight="1" x14ac:dyDescent="0.2">
      <c r="B9" s="539"/>
      <c r="D9" s="533"/>
      <c r="E9" s="533"/>
      <c r="F9" s="533"/>
      <c r="G9" s="533"/>
      <c r="H9" s="533"/>
      <c r="I9" s="533"/>
      <c r="J9" s="533"/>
      <c r="K9" s="533"/>
      <c r="L9" s="533"/>
      <c r="M9" s="530"/>
      <c r="N9" s="530"/>
      <c r="O9" s="530"/>
      <c r="P9" s="530"/>
      <c r="Q9" s="530"/>
      <c r="R9" s="530"/>
      <c r="S9" s="530"/>
      <c r="T9" s="530"/>
      <c r="U9" s="530"/>
      <c r="V9" s="530"/>
      <c r="W9" s="530"/>
      <c r="X9" s="530"/>
      <c r="Y9" s="531"/>
      <c r="Z9" s="531"/>
      <c r="AA9" s="531"/>
      <c r="AB9" s="531"/>
    </row>
    <row r="10" spans="1:39" x14ac:dyDescent="0.2">
      <c r="B10" s="539"/>
      <c r="D10" s="910" t="s">
        <v>1665</v>
      </c>
      <c r="E10" s="910"/>
      <c r="F10" s="910"/>
      <c r="G10" s="910"/>
      <c r="H10" s="911" t="s">
        <v>1666</v>
      </c>
      <c r="I10" s="912"/>
      <c r="J10" s="912"/>
      <c r="K10" s="913"/>
      <c r="L10" s="540" t="s">
        <v>1667</v>
      </c>
      <c r="M10" s="530"/>
      <c r="N10" s="530"/>
      <c r="O10" s="530"/>
      <c r="P10" s="530"/>
      <c r="Q10" s="530"/>
      <c r="R10" s="530"/>
      <c r="S10" s="530"/>
      <c r="T10" s="530"/>
      <c r="U10" s="530"/>
      <c r="V10" s="530"/>
      <c r="W10" s="530"/>
      <c r="X10" s="530"/>
      <c r="Y10" s="531"/>
      <c r="Z10" s="531"/>
      <c r="AA10" s="531"/>
      <c r="AB10" s="531"/>
    </row>
    <row r="11" spans="1:39" x14ac:dyDescent="0.2">
      <c r="A11" s="541" t="s">
        <v>1668</v>
      </c>
      <c r="B11" s="898" t="s">
        <v>1669</v>
      </c>
      <c r="C11" s="898"/>
      <c r="D11" s="542">
        <v>1</v>
      </c>
      <c r="E11" s="542">
        <v>2</v>
      </c>
      <c r="F11" s="542">
        <v>3</v>
      </c>
      <c r="G11" s="543">
        <v>4</v>
      </c>
      <c r="H11" s="544" t="s">
        <v>1670</v>
      </c>
      <c r="I11" s="544" t="s">
        <v>1671</v>
      </c>
      <c r="J11" s="544" t="s">
        <v>1672</v>
      </c>
      <c r="K11" s="544" t="s">
        <v>1673</v>
      </c>
      <c r="L11" s="541" t="s">
        <v>1674</v>
      </c>
      <c r="M11" s="545" t="s">
        <v>1675</v>
      </c>
      <c r="N11" s="545" t="s">
        <v>1676</v>
      </c>
      <c r="O11" s="889" t="s">
        <v>1677</v>
      </c>
      <c r="P11" s="889"/>
      <c r="Q11" s="889"/>
      <c r="R11" s="889"/>
      <c r="S11" s="899"/>
      <c r="T11" s="889" t="s">
        <v>1666</v>
      </c>
      <c r="U11" s="889"/>
      <c r="V11" s="889"/>
      <c r="W11" s="889"/>
      <c r="X11" s="889"/>
      <c r="Y11" s="531"/>
      <c r="Z11" s="531"/>
      <c r="AA11" s="531"/>
      <c r="AB11" s="531"/>
      <c r="AC11" s="546"/>
      <c r="AD11" s="546"/>
      <c r="AE11" s="546"/>
      <c r="AF11" s="546"/>
      <c r="AG11" s="546"/>
      <c r="AH11" s="546"/>
      <c r="AI11" s="546"/>
      <c r="AJ11" s="546"/>
      <c r="AK11" s="546"/>
      <c r="AL11" s="546"/>
      <c r="AM11" s="546"/>
    </row>
    <row r="12" spans="1:39" x14ac:dyDescent="0.2">
      <c r="A12" s="547">
        <v>1</v>
      </c>
      <c r="B12" s="887" t="s">
        <v>1678</v>
      </c>
      <c r="C12" s="901"/>
      <c r="D12" s="548"/>
      <c r="E12" s="548"/>
      <c r="F12" s="548" t="s">
        <v>1679</v>
      </c>
      <c r="G12" s="549"/>
      <c r="H12" s="548"/>
      <c r="I12" s="548"/>
      <c r="J12" s="548" t="s">
        <v>1679</v>
      </c>
      <c r="K12" s="549"/>
      <c r="L12" s="550">
        <f t="shared" ref="L12:L18" si="0">IF($M$19=0,0,N12/$M$19)</f>
        <v>7.8947368421052627E-2</v>
      </c>
      <c r="M12" s="545">
        <f t="shared" ref="M12:M18" si="1">+X12*10</f>
        <v>200</v>
      </c>
      <c r="N12" s="545">
        <f t="shared" ref="N12:N18" si="2">+S12*X12</f>
        <v>150</v>
      </c>
      <c r="O12" s="551">
        <f t="shared" ref="O12:O18" si="3">IF(D12="X",2.5,0)</f>
        <v>0</v>
      </c>
      <c r="P12" s="552">
        <f t="shared" ref="P12:P18" si="4">IF(E12="X",5,0)</f>
        <v>0</v>
      </c>
      <c r="Q12" s="552">
        <f t="shared" ref="Q12:Q18" si="5">IF(F12="X",7.5,0)</f>
        <v>7.5</v>
      </c>
      <c r="R12" s="552">
        <f t="shared" ref="R12:R18" si="6">IF(G12="X",10,0)</f>
        <v>0</v>
      </c>
      <c r="S12" s="553">
        <f t="shared" ref="S12:S18" si="7">SUM(O12:R12)</f>
        <v>7.5</v>
      </c>
      <c r="T12" s="551">
        <f t="shared" ref="T12:T18" si="8">IF(H12="X",0,0)</f>
        <v>0</v>
      </c>
      <c r="U12" s="552">
        <f t="shared" ref="U12:U18" si="9">IF(I12="X",10,0)</f>
        <v>0</v>
      </c>
      <c r="V12" s="552">
        <f t="shared" ref="V12:V18" si="10">IF(J12="X",20,0)</f>
        <v>20</v>
      </c>
      <c r="W12" s="552">
        <f t="shared" ref="W12:W18" si="11">IF(K12="X",30,0)</f>
        <v>0</v>
      </c>
      <c r="X12" s="553">
        <f t="shared" ref="X12:X18" si="12">SUM(U12:W12)</f>
        <v>20</v>
      </c>
      <c r="Y12" s="531"/>
      <c r="Z12" s="531"/>
      <c r="AA12" s="531"/>
      <c r="AB12" s="531"/>
      <c r="AC12" s="546"/>
      <c r="AD12" s="546"/>
      <c r="AE12" s="546"/>
      <c r="AF12" s="546"/>
      <c r="AG12" s="546"/>
      <c r="AH12" s="546"/>
      <c r="AI12" s="546"/>
      <c r="AJ12" s="546"/>
      <c r="AK12" s="546"/>
      <c r="AL12" s="546"/>
      <c r="AM12" s="546"/>
    </row>
    <row r="13" spans="1:39" x14ac:dyDescent="0.2">
      <c r="A13" s="554">
        <v>2</v>
      </c>
      <c r="B13" s="883" t="s">
        <v>1680</v>
      </c>
      <c r="C13" s="884"/>
      <c r="D13" s="555"/>
      <c r="E13" s="555"/>
      <c r="F13" s="555" t="s">
        <v>1679</v>
      </c>
      <c r="G13" s="556"/>
      <c r="H13" s="555"/>
      <c r="I13" s="555"/>
      <c r="J13" s="555"/>
      <c r="K13" s="555" t="s">
        <v>1679</v>
      </c>
      <c r="L13" s="557">
        <f t="shared" si="0"/>
        <v>0.11842105263157894</v>
      </c>
      <c r="M13" s="545">
        <f t="shared" si="1"/>
        <v>300</v>
      </c>
      <c r="N13" s="545">
        <f t="shared" si="2"/>
        <v>225</v>
      </c>
      <c r="O13" s="558">
        <f t="shared" si="3"/>
        <v>0</v>
      </c>
      <c r="P13" s="530">
        <f t="shared" si="4"/>
        <v>0</v>
      </c>
      <c r="Q13" s="530">
        <f t="shared" si="5"/>
        <v>7.5</v>
      </c>
      <c r="R13" s="530">
        <f t="shared" si="6"/>
        <v>0</v>
      </c>
      <c r="S13" s="559">
        <f t="shared" si="7"/>
        <v>7.5</v>
      </c>
      <c r="T13" s="558">
        <f t="shared" si="8"/>
        <v>0</v>
      </c>
      <c r="U13" s="530">
        <f t="shared" si="9"/>
        <v>0</v>
      </c>
      <c r="V13" s="530">
        <f t="shared" si="10"/>
        <v>0</v>
      </c>
      <c r="W13" s="530">
        <f t="shared" si="11"/>
        <v>30</v>
      </c>
      <c r="X13" s="559">
        <f t="shared" si="12"/>
        <v>30</v>
      </c>
      <c r="Y13" s="531"/>
      <c r="Z13" s="531"/>
      <c r="AA13" s="531"/>
      <c r="AB13" s="531"/>
      <c r="AC13" s="546"/>
      <c r="AD13" s="546"/>
      <c r="AE13" s="546"/>
      <c r="AF13" s="546"/>
      <c r="AG13" s="546"/>
      <c r="AH13" s="546"/>
      <c r="AI13" s="546"/>
      <c r="AJ13" s="546"/>
      <c r="AK13" s="546"/>
      <c r="AL13" s="546"/>
      <c r="AM13" s="546"/>
    </row>
    <row r="14" spans="1:39" x14ac:dyDescent="0.2">
      <c r="A14" s="554">
        <v>3</v>
      </c>
      <c r="B14" s="883" t="s">
        <v>1681</v>
      </c>
      <c r="C14" s="884"/>
      <c r="D14" s="555"/>
      <c r="E14" s="556"/>
      <c r="F14" s="556" t="s">
        <v>1679</v>
      </c>
      <c r="G14" s="556"/>
      <c r="H14" s="555"/>
      <c r="I14" s="555"/>
      <c r="J14" s="555"/>
      <c r="K14" s="556" t="s">
        <v>1679</v>
      </c>
      <c r="L14" s="557">
        <f t="shared" si="0"/>
        <v>0.11842105263157894</v>
      </c>
      <c r="M14" s="545">
        <f t="shared" si="1"/>
        <v>300</v>
      </c>
      <c r="N14" s="545">
        <f t="shared" si="2"/>
        <v>225</v>
      </c>
      <c r="O14" s="558">
        <f t="shared" si="3"/>
        <v>0</v>
      </c>
      <c r="P14" s="530">
        <f t="shared" si="4"/>
        <v>0</v>
      </c>
      <c r="Q14" s="530">
        <f t="shared" si="5"/>
        <v>7.5</v>
      </c>
      <c r="R14" s="530">
        <f t="shared" si="6"/>
        <v>0</v>
      </c>
      <c r="S14" s="559">
        <f t="shared" si="7"/>
        <v>7.5</v>
      </c>
      <c r="T14" s="558">
        <f t="shared" si="8"/>
        <v>0</v>
      </c>
      <c r="U14" s="530">
        <f t="shared" si="9"/>
        <v>0</v>
      </c>
      <c r="V14" s="530">
        <f t="shared" si="10"/>
        <v>0</v>
      </c>
      <c r="W14" s="530">
        <f t="shared" si="11"/>
        <v>30</v>
      </c>
      <c r="X14" s="559">
        <f t="shared" si="12"/>
        <v>30</v>
      </c>
      <c r="Y14" s="531"/>
      <c r="Z14" s="531"/>
      <c r="AA14" s="531"/>
      <c r="AB14" s="531"/>
      <c r="AC14" s="546"/>
      <c r="AD14" s="546"/>
      <c r="AE14" s="546"/>
      <c r="AF14" s="546"/>
      <c r="AG14" s="546"/>
      <c r="AH14" s="546"/>
      <c r="AI14" s="546"/>
      <c r="AJ14" s="546"/>
      <c r="AK14" s="546"/>
      <c r="AL14" s="546"/>
      <c r="AM14" s="546"/>
    </row>
    <row r="15" spans="1:39" x14ac:dyDescent="0.2">
      <c r="A15" s="554">
        <v>4</v>
      </c>
      <c r="B15" s="883" t="s">
        <v>1682</v>
      </c>
      <c r="C15" s="884"/>
      <c r="D15" s="555"/>
      <c r="E15" s="555"/>
      <c r="F15" s="555" t="s">
        <v>1679</v>
      </c>
      <c r="G15" s="556"/>
      <c r="H15" s="555"/>
      <c r="I15" s="555"/>
      <c r="J15" s="555"/>
      <c r="K15" s="556" t="s">
        <v>1679</v>
      </c>
      <c r="L15" s="557">
        <f t="shared" si="0"/>
        <v>0.11842105263157894</v>
      </c>
      <c r="M15" s="545">
        <f t="shared" si="1"/>
        <v>300</v>
      </c>
      <c r="N15" s="545">
        <f t="shared" si="2"/>
        <v>225</v>
      </c>
      <c r="O15" s="558">
        <f t="shared" si="3"/>
        <v>0</v>
      </c>
      <c r="P15" s="530">
        <f t="shared" si="4"/>
        <v>0</v>
      </c>
      <c r="Q15" s="530">
        <f t="shared" si="5"/>
        <v>7.5</v>
      </c>
      <c r="R15" s="530">
        <f t="shared" si="6"/>
        <v>0</v>
      </c>
      <c r="S15" s="559">
        <f t="shared" si="7"/>
        <v>7.5</v>
      </c>
      <c r="T15" s="558">
        <f t="shared" si="8"/>
        <v>0</v>
      </c>
      <c r="U15" s="530">
        <f t="shared" si="9"/>
        <v>0</v>
      </c>
      <c r="V15" s="530">
        <f t="shared" si="10"/>
        <v>0</v>
      </c>
      <c r="W15" s="530">
        <f t="shared" si="11"/>
        <v>30</v>
      </c>
      <c r="X15" s="559">
        <f t="shared" si="12"/>
        <v>30</v>
      </c>
      <c r="Y15" s="531"/>
      <c r="Z15" s="531"/>
      <c r="AA15" s="531"/>
      <c r="AB15" s="531"/>
      <c r="AC15" s="546"/>
      <c r="AD15" s="546"/>
      <c r="AE15" s="546"/>
      <c r="AF15" s="546"/>
      <c r="AG15" s="546"/>
      <c r="AH15" s="546"/>
      <c r="AI15" s="546"/>
      <c r="AJ15" s="546"/>
      <c r="AK15" s="546"/>
      <c r="AL15" s="546"/>
      <c r="AM15" s="546"/>
    </row>
    <row r="16" spans="1:39" x14ac:dyDescent="0.2">
      <c r="A16" s="554">
        <v>5</v>
      </c>
      <c r="B16" s="883" t="s">
        <v>1586</v>
      </c>
      <c r="C16" s="884"/>
      <c r="D16" s="555"/>
      <c r="E16" s="555"/>
      <c r="F16" s="555" t="s">
        <v>1679</v>
      </c>
      <c r="G16" s="555"/>
      <c r="H16" s="555"/>
      <c r="I16" s="555"/>
      <c r="J16" s="555" t="s">
        <v>1679</v>
      </c>
      <c r="K16" s="555"/>
      <c r="L16" s="557">
        <f t="shared" si="0"/>
        <v>7.8947368421052627E-2</v>
      </c>
      <c r="M16" s="545">
        <f t="shared" si="1"/>
        <v>200</v>
      </c>
      <c r="N16" s="545">
        <f t="shared" si="2"/>
        <v>150</v>
      </c>
      <c r="O16" s="558">
        <f t="shared" si="3"/>
        <v>0</v>
      </c>
      <c r="P16" s="530">
        <f t="shared" si="4"/>
        <v>0</v>
      </c>
      <c r="Q16" s="530">
        <f t="shared" si="5"/>
        <v>7.5</v>
      </c>
      <c r="R16" s="530">
        <f t="shared" si="6"/>
        <v>0</v>
      </c>
      <c r="S16" s="559">
        <f t="shared" si="7"/>
        <v>7.5</v>
      </c>
      <c r="T16" s="558">
        <f t="shared" si="8"/>
        <v>0</v>
      </c>
      <c r="U16" s="530">
        <f t="shared" si="9"/>
        <v>0</v>
      </c>
      <c r="V16" s="530">
        <f t="shared" si="10"/>
        <v>20</v>
      </c>
      <c r="W16" s="530">
        <f t="shared" si="11"/>
        <v>0</v>
      </c>
      <c r="X16" s="559">
        <f t="shared" si="12"/>
        <v>20</v>
      </c>
      <c r="Y16" s="531"/>
      <c r="Z16" s="531"/>
      <c r="AA16" s="531"/>
      <c r="AB16" s="531"/>
      <c r="AC16" s="546"/>
      <c r="AD16" s="546"/>
      <c r="AE16" s="546"/>
      <c r="AF16" s="546"/>
      <c r="AG16" s="546"/>
      <c r="AH16" s="546"/>
      <c r="AI16" s="546"/>
      <c r="AJ16" s="546"/>
      <c r="AK16" s="546"/>
      <c r="AL16" s="546"/>
      <c r="AM16" s="546"/>
    </row>
    <row r="17" spans="1:39" x14ac:dyDescent="0.2">
      <c r="A17" s="554">
        <v>6</v>
      </c>
      <c r="B17" s="900" t="s">
        <v>1683</v>
      </c>
      <c r="C17" s="900"/>
      <c r="D17" s="555"/>
      <c r="E17" s="560"/>
      <c r="F17" s="560"/>
      <c r="G17" s="560" t="s">
        <v>1679</v>
      </c>
      <c r="H17" s="555"/>
      <c r="I17" s="555"/>
      <c r="J17" s="555"/>
      <c r="K17" s="555" t="s">
        <v>1679</v>
      </c>
      <c r="L17" s="557">
        <f t="shared" si="0"/>
        <v>0.15789473684210525</v>
      </c>
      <c r="M17" s="545">
        <f t="shared" si="1"/>
        <v>300</v>
      </c>
      <c r="N17" s="545">
        <f t="shared" si="2"/>
        <v>300</v>
      </c>
      <c r="O17" s="558">
        <f t="shared" si="3"/>
        <v>0</v>
      </c>
      <c r="P17" s="530">
        <f t="shared" si="4"/>
        <v>0</v>
      </c>
      <c r="Q17" s="530">
        <f t="shared" si="5"/>
        <v>0</v>
      </c>
      <c r="R17" s="530">
        <f t="shared" si="6"/>
        <v>10</v>
      </c>
      <c r="S17" s="559">
        <f t="shared" si="7"/>
        <v>10</v>
      </c>
      <c r="T17" s="558">
        <f t="shared" si="8"/>
        <v>0</v>
      </c>
      <c r="U17" s="530">
        <f t="shared" si="9"/>
        <v>0</v>
      </c>
      <c r="V17" s="530">
        <f t="shared" si="10"/>
        <v>0</v>
      </c>
      <c r="W17" s="530">
        <f t="shared" si="11"/>
        <v>30</v>
      </c>
      <c r="X17" s="559">
        <f t="shared" si="12"/>
        <v>30</v>
      </c>
      <c r="Y17" s="531"/>
      <c r="Z17" s="531"/>
      <c r="AA17" s="531"/>
      <c r="AB17" s="531"/>
      <c r="AC17" s="546"/>
      <c r="AD17" s="546"/>
      <c r="AE17" s="546"/>
      <c r="AF17" s="546"/>
      <c r="AG17" s="546"/>
      <c r="AH17" s="546"/>
      <c r="AI17" s="546"/>
      <c r="AJ17" s="546"/>
      <c r="AK17" s="546"/>
      <c r="AL17" s="546"/>
      <c r="AM17" s="546"/>
    </row>
    <row r="18" spans="1:39" x14ac:dyDescent="0.2">
      <c r="A18" s="561">
        <v>7</v>
      </c>
      <c r="B18" s="885" t="s">
        <v>1684</v>
      </c>
      <c r="C18" s="885"/>
      <c r="D18" s="560"/>
      <c r="E18" s="560" t="s">
        <v>1679</v>
      </c>
      <c r="F18" s="560"/>
      <c r="G18" s="560"/>
      <c r="H18" s="560"/>
      <c r="I18" s="560"/>
      <c r="J18" s="560"/>
      <c r="K18" s="560" t="s">
        <v>1679</v>
      </c>
      <c r="L18" s="562">
        <f t="shared" si="0"/>
        <v>7.8947368421052627E-2</v>
      </c>
      <c r="M18" s="545">
        <f t="shared" si="1"/>
        <v>300</v>
      </c>
      <c r="N18" s="545">
        <f t="shared" si="2"/>
        <v>150</v>
      </c>
      <c r="O18" s="563">
        <f t="shared" si="3"/>
        <v>0</v>
      </c>
      <c r="P18" s="564">
        <f t="shared" si="4"/>
        <v>5</v>
      </c>
      <c r="Q18" s="564">
        <f t="shared" si="5"/>
        <v>0</v>
      </c>
      <c r="R18" s="564">
        <f t="shared" si="6"/>
        <v>0</v>
      </c>
      <c r="S18" s="565">
        <f t="shared" si="7"/>
        <v>5</v>
      </c>
      <c r="T18" s="563">
        <f t="shared" si="8"/>
        <v>0</v>
      </c>
      <c r="U18" s="564">
        <f t="shared" si="9"/>
        <v>0</v>
      </c>
      <c r="V18" s="564">
        <f t="shared" si="10"/>
        <v>0</v>
      </c>
      <c r="W18" s="564">
        <f t="shared" si="11"/>
        <v>30</v>
      </c>
      <c r="X18" s="565">
        <f t="shared" si="12"/>
        <v>30</v>
      </c>
      <c r="Y18" s="531"/>
      <c r="Z18" s="531"/>
      <c r="AA18" s="531"/>
      <c r="AB18" s="531"/>
      <c r="AC18" s="546"/>
      <c r="AD18" s="546"/>
      <c r="AE18" s="546"/>
      <c r="AF18" s="546"/>
      <c r="AG18" s="546"/>
      <c r="AH18" s="546"/>
      <c r="AI18" s="546"/>
      <c r="AJ18" s="546"/>
      <c r="AK18" s="546"/>
      <c r="AL18" s="546"/>
      <c r="AM18" s="546"/>
    </row>
    <row r="19" spans="1:39" ht="12" thickBot="1" x14ac:dyDescent="0.25">
      <c r="L19" s="566">
        <f>SUM(L12:L18)</f>
        <v>0.75</v>
      </c>
      <c r="M19" s="545">
        <f>SUM(M12:M18)</f>
        <v>1900</v>
      </c>
      <c r="N19" s="545">
        <f>SUM(N12:N18)</f>
        <v>1425</v>
      </c>
      <c r="O19" s="530"/>
      <c r="P19" s="530"/>
      <c r="Q19" s="530"/>
      <c r="R19" s="530"/>
      <c r="S19" s="530"/>
      <c r="T19" s="530"/>
      <c r="U19" s="530"/>
      <c r="V19" s="530"/>
      <c r="W19" s="530"/>
      <c r="X19" s="530"/>
      <c r="Y19" s="531"/>
      <c r="Z19" s="531"/>
      <c r="AA19" s="531"/>
      <c r="AB19" s="531"/>
      <c r="AC19" s="546"/>
      <c r="AD19" s="546"/>
      <c r="AE19" s="546"/>
      <c r="AF19" s="546"/>
      <c r="AG19" s="546"/>
      <c r="AH19" s="546"/>
      <c r="AI19" s="546"/>
      <c r="AJ19" s="546"/>
      <c r="AK19" s="546"/>
      <c r="AL19" s="546"/>
      <c r="AM19" s="546"/>
    </row>
    <row r="20" spans="1:39" x14ac:dyDescent="0.2">
      <c r="B20" s="531"/>
      <c r="C20" s="531"/>
      <c r="D20" s="531"/>
      <c r="E20" s="531"/>
      <c r="F20" s="531"/>
      <c r="G20" s="531"/>
      <c r="H20" s="531"/>
      <c r="I20" s="531"/>
      <c r="J20" s="531"/>
      <c r="K20" s="531"/>
      <c r="L20" s="531"/>
      <c r="M20" s="530"/>
      <c r="N20" s="530">
        <f>IF($L$19&gt;85%,5,0)</f>
        <v>0</v>
      </c>
      <c r="O20" s="530">
        <f>IF($L$19&lt;=85%,2,0)</f>
        <v>2</v>
      </c>
      <c r="P20" s="530">
        <f>IF($L$19&gt;70%,2,0)</f>
        <v>2</v>
      </c>
      <c r="Q20" s="530">
        <f>IF($L$19&lt;=70%,3,0)</f>
        <v>0</v>
      </c>
      <c r="R20" s="530">
        <f>IF($L$19&gt;45%,1,0)</f>
        <v>1</v>
      </c>
      <c r="S20" s="530">
        <f>IF($L$19&lt;=45%,1,0)</f>
        <v>0</v>
      </c>
      <c r="T20" s="530"/>
      <c r="U20" s="530">
        <f>IF($L$19&gt;0%,2,0)</f>
        <v>2</v>
      </c>
      <c r="V20" s="530"/>
      <c r="W20" s="530"/>
      <c r="X20" s="530"/>
      <c r="Y20" s="531"/>
      <c r="Z20" s="531"/>
      <c r="AA20" s="531"/>
      <c r="AB20" s="531"/>
      <c r="AC20" s="546"/>
      <c r="AD20" s="546"/>
      <c r="AE20" s="546"/>
      <c r="AF20" s="546"/>
      <c r="AG20" s="546"/>
      <c r="AH20" s="546"/>
      <c r="AI20" s="546"/>
      <c r="AJ20" s="546"/>
      <c r="AK20" s="546"/>
      <c r="AL20" s="546"/>
      <c r="AM20" s="546"/>
    </row>
    <row r="21" spans="1:39" ht="12.75" customHeight="1" x14ac:dyDescent="0.2">
      <c r="A21" s="886" t="s">
        <v>1685</v>
      </c>
      <c r="B21" s="886"/>
      <c r="C21" s="567">
        <f>+L19</f>
        <v>0.75</v>
      </c>
      <c r="E21" s="874" t="str">
        <f>+IF(L19&gt;=0.86,"A",IF(AND(L19&lt;0.86,L19&gt;=0.71),"B",IF(AND(L19&lt;0.71,L19&gt;=0.46),"C",IF(AND(L19&lt;0.46,L19&gt;0),"No califica",IF(L19=0,"No evaluado",)))))</f>
        <v>B</v>
      </c>
      <c r="F21" s="874"/>
      <c r="H21" s="882" t="s">
        <v>1686</v>
      </c>
      <c r="I21" s="882"/>
      <c r="J21" s="882"/>
      <c r="K21" s="882"/>
      <c r="L21" s="568" t="str">
        <f>+IF(E21="A","Excelente",IF(E21="B","Muy Bueno",IF(E21="C","Bueno a regular",IF(E21="No evaluado","","No califica"))))</f>
        <v>Muy Bueno</v>
      </c>
      <c r="M21" s="530"/>
      <c r="N21" s="530">
        <f>+N20</f>
        <v>0</v>
      </c>
      <c r="O21" s="879">
        <f>+O20*P20</f>
        <v>4</v>
      </c>
      <c r="P21" s="879"/>
      <c r="Q21" s="879">
        <f>+Q20*R20</f>
        <v>0</v>
      </c>
      <c r="R21" s="879"/>
      <c r="S21" s="879">
        <f>+S20*U20</f>
        <v>0</v>
      </c>
      <c r="T21" s="879"/>
      <c r="U21" s="879"/>
      <c r="V21" s="530">
        <f>SUM(N21:U21)</f>
        <v>4</v>
      </c>
      <c r="W21" s="530"/>
      <c r="X21" s="530"/>
      <c r="Y21" s="531"/>
      <c r="Z21" s="531"/>
      <c r="AA21" s="531"/>
      <c r="AB21" s="531"/>
    </row>
    <row r="22" spans="1:39" ht="12" customHeight="1" x14ac:dyDescent="0.2">
      <c r="B22" s="569"/>
      <c r="C22" s="531"/>
      <c r="D22" s="531"/>
      <c r="E22" s="531"/>
      <c r="F22" s="531"/>
      <c r="H22" s="570"/>
      <c r="I22" s="570"/>
      <c r="J22" s="571"/>
      <c r="K22" s="572"/>
      <c r="L22" s="573"/>
      <c r="M22" s="530"/>
      <c r="N22" s="530"/>
      <c r="O22" s="530"/>
      <c r="P22" s="530"/>
      <c r="Q22" s="530"/>
      <c r="R22" s="530"/>
      <c r="S22" s="530"/>
      <c r="T22" s="530"/>
      <c r="U22" s="530"/>
      <c r="V22" s="530"/>
      <c r="W22" s="530"/>
      <c r="X22" s="530"/>
      <c r="Y22" s="531"/>
      <c r="Z22" s="531"/>
      <c r="AA22" s="531"/>
      <c r="AB22" s="531"/>
    </row>
    <row r="23" spans="1:39" ht="12.75" customHeight="1" x14ac:dyDescent="0.2">
      <c r="A23" s="890" t="s">
        <v>1687</v>
      </c>
      <c r="B23" s="890"/>
      <c r="C23" s="881" t="s">
        <v>2164</v>
      </c>
      <c r="D23" s="881"/>
      <c r="E23" s="881"/>
      <c r="F23" s="881"/>
      <c r="H23" s="882" t="s">
        <v>1689</v>
      </c>
      <c r="I23" s="882"/>
      <c r="J23" s="882"/>
      <c r="K23" s="882"/>
      <c r="L23" s="574">
        <v>43906</v>
      </c>
      <c r="M23" s="530"/>
      <c r="N23" s="530"/>
      <c r="O23" s="530"/>
      <c r="P23" s="530"/>
      <c r="Q23" s="530"/>
      <c r="R23" s="530"/>
      <c r="S23" s="530"/>
      <c r="T23" s="530"/>
      <c r="U23" s="530"/>
      <c r="V23" s="530"/>
      <c r="W23" s="530"/>
      <c r="X23" s="530"/>
      <c r="Y23" s="531"/>
      <c r="Z23" s="531"/>
      <c r="AA23" s="531"/>
      <c r="AB23" s="531"/>
    </row>
    <row r="24" spans="1:39" ht="9" customHeight="1" thickBot="1" x14ac:dyDescent="0.25">
      <c r="B24" s="531"/>
      <c r="C24" s="531"/>
      <c r="D24" s="531"/>
      <c r="E24" s="531"/>
      <c r="F24" s="531"/>
      <c r="G24" s="531"/>
      <c r="H24" s="531"/>
      <c r="I24" s="531"/>
      <c r="M24" s="530"/>
      <c r="N24" s="530"/>
      <c r="O24" s="530"/>
      <c r="P24" s="530"/>
      <c r="Q24" s="530"/>
      <c r="R24" s="530"/>
      <c r="S24" s="530"/>
      <c r="T24" s="530"/>
      <c r="U24" s="530"/>
      <c r="V24" s="530"/>
      <c r="W24" s="530"/>
      <c r="X24" s="530"/>
      <c r="Y24" s="531"/>
      <c r="Z24" s="531"/>
      <c r="AA24" s="531"/>
      <c r="AB24" s="531"/>
    </row>
    <row r="25" spans="1:39" s="575" customFormat="1" ht="14.25" customHeight="1" thickBot="1" x14ac:dyDescent="0.25">
      <c r="A25" s="891" t="s">
        <v>1690</v>
      </c>
      <c r="B25" s="892"/>
      <c r="C25" s="892"/>
      <c r="D25" s="892"/>
      <c r="E25" s="892"/>
      <c r="F25" s="892"/>
      <c r="G25" s="892"/>
      <c r="H25" s="892"/>
      <c r="I25" s="892"/>
      <c r="J25" s="892"/>
      <c r="K25" s="892"/>
      <c r="L25" s="893"/>
      <c r="M25" s="536"/>
      <c r="N25" s="536"/>
      <c r="O25" s="536"/>
      <c r="P25" s="536"/>
      <c r="Q25" s="536"/>
      <c r="R25" s="536"/>
      <c r="S25" s="536"/>
      <c r="T25" s="536"/>
      <c r="U25" s="536"/>
      <c r="V25" s="536"/>
      <c r="W25" s="536"/>
      <c r="X25" s="536"/>
      <c r="Y25" s="536"/>
      <c r="Z25" s="536"/>
      <c r="AA25" s="536"/>
      <c r="AB25" s="536"/>
    </row>
    <row r="26" spans="1:39" ht="6.75" customHeight="1" x14ac:dyDescent="0.2">
      <c r="B26" s="539"/>
      <c r="D26" s="533"/>
      <c r="E26" s="533"/>
      <c r="F26" s="533"/>
      <c r="G26" s="533"/>
      <c r="H26" s="533"/>
      <c r="I26" s="533"/>
      <c r="J26" s="533"/>
      <c r="K26" s="533"/>
      <c r="L26" s="533"/>
      <c r="M26" s="530"/>
      <c r="N26" s="530"/>
      <c r="O26" s="530"/>
      <c r="P26" s="530"/>
      <c r="Q26" s="530"/>
      <c r="R26" s="530"/>
      <c r="S26" s="530"/>
      <c r="T26" s="530"/>
      <c r="U26" s="530"/>
      <c r="V26" s="530"/>
      <c r="W26" s="530"/>
      <c r="X26" s="530"/>
      <c r="Y26" s="531"/>
      <c r="Z26" s="531"/>
      <c r="AA26" s="531"/>
      <c r="AB26" s="531"/>
    </row>
    <row r="27" spans="1:39" x14ac:dyDescent="0.2">
      <c r="B27" s="539"/>
      <c r="D27" s="894" t="s">
        <v>1665</v>
      </c>
      <c r="E27" s="894"/>
      <c r="F27" s="894"/>
      <c r="G27" s="894"/>
      <c r="H27" s="895" t="s">
        <v>1666</v>
      </c>
      <c r="I27" s="896"/>
      <c r="J27" s="896"/>
      <c r="K27" s="897"/>
      <c r="L27" s="540" t="s">
        <v>1667</v>
      </c>
      <c r="M27" s="530"/>
      <c r="N27" s="530"/>
      <c r="O27" s="530"/>
      <c r="P27" s="530"/>
      <c r="Q27" s="530"/>
      <c r="R27" s="530"/>
      <c r="S27" s="530"/>
      <c r="T27" s="530"/>
      <c r="U27" s="530"/>
      <c r="V27" s="530"/>
      <c r="W27" s="530"/>
      <c r="X27" s="530"/>
      <c r="Y27" s="531"/>
      <c r="Z27" s="531"/>
      <c r="AA27" s="531"/>
      <c r="AB27" s="531"/>
    </row>
    <row r="28" spans="1:39" x14ac:dyDescent="0.2">
      <c r="A28" s="541" t="s">
        <v>1668</v>
      </c>
      <c r="B28" s="898" t="s">
        <v>1669</v>
      </c>
      <c r="C28" s="898"/>
      <c r="D28" s="542">
        <v>1</v>
      </c>
      <c r="E28" s="542">
        <v>2</v>
      </c>
      <c r="F28" s="542">
        <v>3</v>
      </c>
      <c r="G28" s="543">
        <v>4</v>
      </c>
      <c r="H28" s="544" t="s">
        <v>1670</v>
      </c>
      <c r="I28" s="544" t="s">
        <v>1671</v>
      </c>
      <c r="J28" s="544" t="s">
        <v>1672</v>
      </c>
      <c r="K28" s="544" t="s">
        <v>1673</v>
      </c>
      <c r="L28" s="541" t="s">
        <v>1674</v>
      </c>
      <c r="M28" s="545" t="s">
        <v>1675</v>
      </c>
      <c r="N28" s="545" t="s">
        <v>1676</v>
      </c>
      <c r="O28" s="889" t="s">
        <v>1677</v>
      </c>
      <c r="P28" s="889"/>
      <c r="Q28" s="889"/>
      <c r="R28" s="889"/>
      <c r="S28" s="899"/>
      <c r="T28" s="889" t="s">
        <v>1666</v>
      </c>
      <c r="U28" s="889"/>
      <c r="V28" s="889"/>
      <c r="W28" s="889"/>
      <c r="X28" s="889"/>
      <c r="Y28" s="531"/>
      <c r="Z28" s="531"/>
      <c r="AA28" s="531"/>
      <c r="AB28" s="531"/>
      <c r="AC28" s="546"/>
      <c r="AD28" s="546"/>
      <c r="AE28" s="546"/>
      <c r="AF28" s="546"/>
      <c r="AG28" s="546"/>
      <c r="AH28" s="546"/>
      <c r="AI28" s="546"/>
      <c r="AJ28" s="546"/>
      <c r="AK28" s="546"/>
      <c r="AL28" s="546"/>
      <c r="AM28" s="546"/>
    </row>
    <row r="29" spans="1:39" x14ac:dyDescent="0.2">
      <c r="A29" s="547">
        <v>1</v>
      </c>
      <c r="B29" s="887" t="s">
        <v>1691</v>
      </c>
      <c r="C29" s="888"/>
      <c r="D29" s="548"/>
      <c r="E29" s="548"/>
      <c r="F29" s="548"/>
      <c r="G29" s="549" t="s">
        <v>1679</v>
      </c>
      <c r="H29" s="548"/>
      <c r="I29" s="548"/>
      <c r="J29" s="548"/>
      <c r="K29" s="549" t="s">
        <v>1679</v>
      </c>
      <c r="L29" s="550">
        <f t="shared" ref="L29:L43" si="13">IF($M$44=0,0,N29/$M$44)</f>
        <v>6.6666666666666666E-2</v>
      </c>
      <c r="M29" s="545">
        <f t="shared" ref="M29:M43" si="14">+X29*10</f>
        <v>300</v>
      </c>
      <c r="N29" s="545">
        <f t="shared" ref="N29:N43" si="15">+S29*X29</f>
        <v>300</v>
      </c>
      <c r="O29" s="558">
        <f t="shared" ref="O29:O44" si="16">IF(D29="X",2.5,0)</f>
        <v>0</v>
      </c>
      <c r="P29" s="530">
        <f t="shared" ref="P29:P44" si="17">IF(E29="X",5,0)</f>
        <v>0</v>
      </c>
      <c r="Q29" s="530">
        <f t="shared" ref="Q29:Q44" si="18">IF(F29="X",7.5,0)</f>
        <v>0</v>
      </c>
      <c r="R29" s="530">
        <f t="shared" ref="R29:R44" si="19">IF(G29="X",10,0)</f>
        <v>10</v>
      </c>
      <c r="S29" s="545">
        <f t="shared" ref="S29:S44" si="20">SUM(O29:R29)</f>
        <v>10</v>
      </c>
      <c r="T29" s="558">
        <f t="shared" ref="T29:T44" si="21">IF(H29="X",0,0)</f>
        <v>0</v>
      </c>
      <c r="U29" s="530">
        <f t="shared" ref="U29:U44" si="22">IF(I29="X",10,0)</f>
        <v>0</v>
      </c>
      <c r="V29" s="530">
        <f t="shared" ref="V29:V44" si="23">IF(J29="X",20,0)</f>
        <v>0</v>
      </c>
      <c r="W29" s="530">
        <f t="shared" ref="W29:W44" si="24">IF(K29="X",30,0)</f>
        <v>30</v>
      </c>
      <c r="X29" s="576">
        <f t="shared" ref="X29:X44" si="25">SUM(U29:W29)</f>
        <v>30</v>
      </c>
      <c r="Y29" s="531"/>
      <c r="Z29" s="531"/>
      <c r="AA29" s="531"/>
      <c r="AB29" s="531"/>
      <c r="AC29" s="546"/>
      <c r="AD29" s="546"/>
      <c r="AE29" s="546"/>
      <c r="AF29" s="546"/>
      <c r="AG29" s="546"/>
      <c r="AH29" s="546"/>
      <c r="AI29" s="546"/>
      <c r="AJ29" s="546"/>
      <c r="AK29" s="546"/>
      <c r="AL29" s="546"/>
      <c r="AM29" s="546"/>
    </row>
    <row r="30" spans="1:39" x14ac:dyDescent="0.2">
      <c r="A30" s="554">
        <v>2</v>
      </c>
      <c r="B30" s="883" t="s">
        <v>1692</v>
      </c>
      <c r="C30" s="884"/>
      <c r="D30" s="555"/>
      <c r="E30" s="555"/>
      <c r="F30" s="555" t="s">
        <v>1679</v>
      </c>
      <c r="G30" s="556"/>
      <c r="H30" s="555"/>
      <c r="I30" s="555"/>
      <c r="J30" s="555"/>
      <c r="K30" s="556" t="s">
        <v>1679</v>
      </c>
      <c r="L30" s="557">
        <f t="shared" si="13"/>
        <v>0.05</v>
      </c>
      <c r="M30" s="545">
        <f t="shared" si="14"/>
        <v>300</v>
      </c>
      <c r="N30" s="545">
        <f t="shared" si="15"/>
        <v>225</v>
      </c>
      <c r="O30" s="558">
        <f t="shared" si="16"/>
        <v>0</v>
      </c>
      <c r="P30" s="530">
        <f>IF(E30="X",5,0)</f>
        <v>0</v>
      </c>
      <c r="Q30" s="530">
        <f t="shared" si="18"/>
        <v>7.5</v>
      </c>
      <c r="R30" s="530">
        <f>IF(G30="X",10,0)</f>
        <v>0</v>
      </c>
      <c r="S30" s="545">
        <f t="shared" si="20"/>
        <v>7.5</v>
      </c>
      <c r="T30" s="558">
        <f t="shared" si="21"/>
        <v>0</v>
      </c>
      <c r="U30" s="530">
        <f t="shared" si="22"/>
        <v>0</v>
      </c>
      <c r="V30" s="530">
        <f t="shared" si="23"/>
        <v>0</v>
      </c>
      <c r="W30" s="530">
        <f t="shared" si="24"/>
        <v>30</v>
      </c>
      <c r="X30" s="576">
        <f t="shared" si="25"/>
        <v>30</v>
      </c>
      <c r="Y30" s="531"/>
      <c r="Z30" s="531"/>
      <c r="AA30" s="531"/>
      <c r="AB30" s="531"/>
      <c r="AC30" s="546"/>
      <c r="AD30" s="546"/>
      <c r="AE30" s="546"/>
      <c r="AF30" s="546"/>
      <c r="AG30" s="546"/>
      <c r="AH30" s="546"/>
      <c r="AI30" s="546"/>
      <c r="AJ30" s="546"/>
      <c r="AK30" s="546"/>
      <c r="AL30" s="546"/>
      <c r="AM30" s="546"/>
    </row>
    <row r="31" spans="1:39" x14ac:dyDescent="0.2">
      <c r="A31" s="547">
        <v>3</v>
      </c>
      <c r="B31" s="883" t="s">
        <v>1693</v>
      </c>
      <c r="C31" s="884"/>
      <c r="D31" s="555"/>
      <c r="E31" s="555"/>
      <c r="F31" s="555"/>
      <c r="G31" s="556"/>
      <c r="H31" s="555"/>
      <c r="I31" s="555"/>
      <c r="J31" s="555"/>
      <c r="K31" s="556" t="s">
        <v>1679</v>
      </c>
      <c r="L31" s="557">
        <f t="shared" si="13"/>
        <v>0</v>
      </c>
      <c r="M31" s="545">
        <f t="shared" si="14"/>
        <v>300</v>
      </c>
      <c r="N31" s="545">
        <f t="shared" si="15"/>
        <v>0</v>
      </c>
      <c r="O31" s="558">
        <f t="shared" si="16"/>
        <v>0</v>
      </c>
      <c r="P31" s="530">
        <f t="shared" si="17"/>
        <v>0</v>
      </c>
      <c r="Q31" s="530">
        <f t="shared" si="18"/>
        <v>0</v>
      </c>
      <c r="R31" s="530">
        <f t="shared" si="19"/>
        <v>0</v>
      </c>
      <c r="S31" s="545">
        <f t="shared" si="20"/>
        <v>0</v>
      </c>
      <c r="T31" s="558">
        <f t="shared" si="21"/>
        <v>0</v>
      </c>
      <c r="U31" s="530">
        <f t="shared" si="22"/>
        <v>0</v>
      </c>
      <c r="V31" s="530">
        <f t="shared" si="23"/>
        <v>0</v>
      </c>
      <c r="W31" s="530">
        <f t="shared" si="24"/>
        <v>30</v>
      </c>
      <c r="X31" s="576">
        <f t="shared" si="25"/>
        <v>30</v>
      </c>
      <c r="Y31" s="531"/>
      <c r="Z31" s="531"/>
      <c r="AA31" s="531"/>
      <c r="AB31" s="531"/>
      <c r="AC31" s="546"/>
      <c r="AD31" s="546"/>
      <c r="AE31" s="546"/>
      <c r="AF31" s="546"/>
      <c r="AG31" s="546"/>
      <c r="AH31" s="546"/>
      <c r="AI31" s="546"/>
      <c r="AJ31" s="546"/>
      <c r="AK31" s="546"/>
      <c r="AL31" s="546"/>
      <c r="AM31" s="546"/>
    </row>
    <row r="32" spans="1:39" x14ac:dyDescent="0.2">
      <c r="A32" s="554">
        <v>4</v>
      </c>
      <c r="B32" s="883" t="s">
        <v>1694</v>
      </c>
      <c r="C32" s="884"/>
      <c r="D32" s="555"/>
      <c r="E32" s="555"/>
      <c r="F32" s="555" t="s">
        <v>1679</v>
      </c>
      <c r="G32" s="556"/>
      <c r="H32" s="555"/>
      <c r="I32" s="555"/>
      <c r="J32" s="555"/>
      <c r="K32" s="556" t="s">
        <v>1679</v>
      </c>
      <c r="L32" s="557">
        <f t="shared" si="13"/>
        <v>0.05</v>
      </c>
      <c r="M32" s="545">
        <f t="shared" si="14"/>
        <v>300</v>
      </c>
      <c r="N32" s="545">
        <f t="shared" si="15"/>
        <v>225</v>
      </c>
      <c r="O32" s="558">
        <f>IF(D32="X",2.5,0)</f>
        <v>0</v>
      </c>
      <c r="P32" s="530">
        <f t="shared" si="17"/>
        <v>0</v>
      </c>
      <c r="Q32" s="530">
        <f>IF(F32="X",7.5,0)</f>
        <v>7.5</v>
      </c>
      <c r="R32" s="530">
        <f t="shared" si="19"/>
        <v>0</v>
      </c>
      <c r="S32" s="545">
        <f t="shared" si="20"/>
        <v>7.5</v>
      </c>
      <c r="T32" s="558">
        <f t="shared" si="21"/>
        <v>0</v>
      </c>
      <c r="U32" s="530">
        <f t="shared" si="22"/>
        <v>0</v>
      </c>
      <c r="V32" s="530">
        <f>IF(J32="X",20,0)</f>
        <v>0</v>
      </c>
      <c r="W32" s="530">
        <f>IF(K32="X",30,0)</f>
        <v>30</v>
      </c>
      <c r="X32" s="576">
        <f t="shared" si="25"/>
        <v>30</v>
      </c>
      <c r="Y32" s="531"/>
      <c r="Z32" s="531"/>
      <c r="AA32" s="531"/>
      <c r="AB32" s="531"/>
      <c r="AC32" s="546"/>
      <c r="AD32" s="546"/>
      <c r="AE32" s="546"/>
      <c r="AF32" s="546"/>
      <c r="AG32" s="546"/>
      <c r="AH32" s="546"/>
      <c r="AI32" s="546"/>
      <c r="AJ32" s="546"/>
      <c r="AK32" s="546"/>
      <c r="AL32" s="546"/>
      <c r="AM32" s="546"/>
    </row>
    <row r="33" spans="1:39" x14ac:dyDescent="0.2">
      <c r="A33" s="547">
        <v>5</v>
      </c>
      <c r="B33" s="883" t="s">
        <v>1695</v>
      </c>
      <c r="C33" s="884"/>
      <c r="D33" s="555"/>
      <c r="E33" s="555"/>
      <c r="F33" s="555" t="s">
        <v>1679</v>
      </c>
      <c r="G33" s="556"/>
      <c r="H33" s="555"/>
      <c r="I33" s="555"/>
      <c r="J33" s="555"/>
      <c r="K33" s="555" t="s">
        <v>1679</v>
      </c>
      <c r="L33" s="557">
        <f t="shared" si="13"/>
        <v>0.05</v>
      </c>
      <c r="M33" s="545">
        <f t="shared" si="14"/>
        <v>300</v>
      </c>
      <c r="N33" s="545">
        <f t="shared" si="15"/>
        <v>225</v>
      </c>
      <c r="O33" s="558">
        <f t="shared" si="16"/>
        <v>0</v>
      </c>
      <c r="P33" s="530">
        <f t="shared" si="17"/>
        <v>0</v>
      </c>
      <c r="Q33" s="530">
        <f t="shared" si="18"/>
        <v>7.5</v>
      </c>
      <c r="R33" s="530">
        <f t="shared" si="19"/>
        <v>0</v>
      </c>
      <c r="S33" s="545">
        <f t="shared" si="20"/>
        <v>7.5</v>
      </c>
      <c r="T33" s="558">
        <f t="shared" si="21"/>
        <v>0</v>
      </c>
      <c r="U33" s="530">
        <f t="shared" si="22"/>
        <v>0</v>
      </c>
      <c r="V33" s="530">
        <f t="shared" si="23"/>
        <v>0</v>
      </c>
      <c r="W33" s="530">
        <f t="shared" si="24"/>
        <v>30</v>
      </c>
      <c r="X33" s="576">
        <f t="shared" si="25"/>
        <v>30</v>
      </c>
      <c r="Y33" s="531"/>
      <c r="Z33" s="531"/>
      <c r="AA33" s="531"/>
      <c r="AB33" s="531"/>
      <c r="AC33" s="546"/>
      <c r="AD33" s="546"/>
      <c r="AE33" s="546"/>
      <c r="AF33" s="546"/>
      <c r="AG33" s="546"/>
      <c r="AH33" s="546"/>
      <c r="AI33" s="546"/>
      <c r="AJ33" s="546"/>
      <c r="AK33" s="546"/>
      <c r="AL33" s="546"/>
      <c r="AM33" s="546"/>
    </row>
    <row r="34" spans="1:39" x14ac:dyDescent="0.2">
      <c r="A34" s="554">
        <v>6</v>
      </c>
      <c r="B34" s="883" t="s">
        <v>1696</v>
      </c>
      <c r="C34" s="884"/>
      <c r="D34" s="555"/>
      <c r="E34" s="555"/>
      <c r="F34" s="555" t="s">
        <v>1679</v>
      </c>
      <c r="G34" s="556"/>
      <c r="H34" s="555"/>
      <c r="I34" s="555"/>
      <c r="J34" s="555"/>
      <c r="K34" s="556" t="s">
        <v>1679</v>
      </c>
      <c r="L34" s="557">
        <f t="shared" si="13"/>
        <v>0.05</v>
      </c>
      <c r="M34" s="545">
        <f t="shared" si="14"/>
        <v>300</v>
      </c>
      <c r="N34" s="545">
        <f t="shared" si="15"/>
        <v>225</v>
      </c>
      <c r="O34" s="558">
        <f t="shared" si="16"/>
        <v>0</v>
      </c>
      <c r="P34" s="530">
        <f t="shared" si="17"/>
        <v>0</v>
      </c>
      <c r="Q34" s="530">
        <f t="shared" si="18"/>
        <v>7.5</v>
      </c>
      <c r="R34" s="530">
        <f t="shared" si="19"/>
        <v>0</v>
      </c>
      <c r="S34" s="545">
        <f t="shared" si="20"/>
        <v>7.5</v>
      </c>
      <c r="T34" s="558">
        <f t="shared" si="21"/>
        <v>0</v>
      </c>
      <c r="U34" s="530">
        <f t="shared" si="22"/>
        <v>0</v>
      </c>
      <c r="V34" s="530">
        <f t="shared" si="23"/>
        <v>0</v>
      </c>
      <c r="W34" s="530">
        <f t="shared" si="24"/>
        <v>30</v>
      </c>
      <c r="X34" s="576">
        <f t="shared" si="25"/>
        <v>30</v>
      </c>
      <c r="Y34" s="531"/>
      <c r="Z34" s="531"/>
      <c r="AA34" s="531"/>
      <c r="AB34" s="531"/>
      <c r="AC34" s="546"/>
      <c r="AD34" s="546"/>
      <c r="AE34" s="546"/>
      <c r="AF34" s="546"/>
      <c r="AG34" s="546"/>
      <c r="AH34" s="546"/>
      <c r="AI34" s="546"/>
      <c r="AJ34" s="546"/>
      <c r="AK34" s="546"/>
      <c r="AL34" s="546"/>
      <c r="AM34" s="546"/>
    </row>
    <row r="35" spans="1:39" x14ac:dyDescent="0.2">
      <c r="A35" s="547">
        <v>7</v>
      </c>
      <c r="B35" s="883" t="s">
        <v>1697</v>
      </c>
      <c r="C35" s="884"/>
      <c r="D35" s="555"/>
      <c r="E35" s="555"/>
      <c r="F35" s="555"/>
      <c r="G35" s="556" t="s">
        <v>1679</v>
      </c>
      <c r="H35" s="555"/>
      <c r="I35" s="555"/>
      <c r="J35" s="555"/>
      <c r="K35" s="556" t="s">
        <v>1679</v>
      </c>
      <c r="L35" s="557">
        <f t="shared" si="13"/>
        <v>6.6666666666666666E-2</v>
      </c>
      <c r="M35" s="545">
        <f t="shared" si="14"/>
        <v>300</v>
      </c>
      <c r="N35" s="545">
        <f t="shared" si="15"/>
        <v>300</v>
      </c>
      <c r="O35" s="558">
        <f t="shared" si="16"/>
        <v>0</v>
      </c>
      <c r="P35" s="530">
        <f t="shared" si="17"/>
        <v>0</v>
      </c>
      <c r="Q35" s="530">
        <f t="shared" si="18"/>
        <v>0</v>
      </c>
      <c r="R35" s="530">
        <f t="shared" si="19"/>
        <v>10</v>
      </c>
      <c r="S35" s="545">
        <f t="shared" si="20"/>
        <v>10</v>
      </c>
      <c r="T35" s="558">
        <f t="shared" si="21"/>
        <v>0</v>
      </c>
      <c r="U35" s="530">
        <f t="shared" si="22"/>
        <v>0</v>
      </c>
      <c r="V35" s="530">
        <f t="shared" si="23"/>
        <v>0</v>
      </c>
      <c r="W35" s="530">
        <f t="shared" si="24"/>
        <v>30</v>
      </c>
      <c r="X35" s="576">
        <f t="shared" si="25"/>
        <v>30</v>
      </c>
      <c r="Y35" s="531"/>
      <c r="Z35" s="531"/>
      <c r="AA35" s="531"/>
      <c r="AB35" s="531"/>
      <c r="AC35" s="546"/>
      <c r="AD35" s="546"/>
      <c r="AE35" s="546"/>
      <c r="AF35" s="546"/>
      <c r="AG35" s="546"/>
      <c r="AH35" s="546"/>
      <c r="AI35" s="546"/>
      <c r="AJ35" s="546"/>
      <c r="AK35" s="546"/>
      <c r="AL35" s="546"/>
      <c r="AM35" s="546"/>
    </row>
    <row r="36" spans="1:39" x14ac:dyDescent="0.2">
      <c r="A36" s="554">
        <v>8</v>
      </c>
      <c r="B36" s="883" t="s">
        <v>1698</v>
      </c>
      <c r="C36" s="884"/>
      <c r="D36" s="555"/>
      <c r="E36" s="555"/>
      <c r="F36" s="555"/>
      <c r="G36" s="556" t="s">
        <v>1679</v>
      </c>
      <c r="H36" s="555"/>
      <c r="I36" s="555"/>
      <c r="J36" s="555"/>
      <c r="K36" s="556" t="s">
        <v>1679</v>
      </c>
      <c r="L36" s="557">
        <f t="shared" si="13"/>
        <v>6.6666666666666666E-2</v>
      </c>
      <c r="M36" s="545">
        <f t="shared" si="14"/>
        <v>300</v>
      </c>
      <c r="N36" s="545">
        <f t="shared" si="15"/>
        <v>300</v>
      </c>
      <c r="O36" s="558">
        <f t="shared" si="16"/>
        <v>0</v>
      </c>
      <c r="P36" s="530">
        <f t="shared" si="17"/>
        <v>0</v>
      </c>
      <c r="Q36" s="530">
        <f t="shared" si="18"/>
        <v>0</v>
      </c>
      <c r="R36" s="530">
        <f t="shared" si="19"/>
        <v>10</v>
      </c>
      <c r="S36" s="545">
        <f t="shared" si="20"/>
        <v>10</v>
      </c>
      <c r="T36" s="558">
        <f t="shared" si="21"/>
        <v>0</v>
      </c>
      <c r="U36" s="530">
        <f t="shared" si="22"/>
        <v>0</v>
      </c>
      <c r="V36" s="530">
        <f t="shared" si="23"/>
        <v>0</v>
      </c>
      <c r="W36" s="530">
        <f t="shared" si="24"/>
        <v>30</v>
      </c>
      <c r="X36" s="576">
        <f t="shared" si="25"/>
        <v>30</v>
      </c>
      <c r="Y36" s="531"/>
      <c r="Z36" s="531"/>
      <c r="AA36" s="531"/>
      <c r="AB36" s="531"/>
      <c r="AC36" s="546"/>
      <c r="AD36" s="546"/>
      <c r="AE36" s="546"/>
      <c r="AF36" s="546"/>
      <c r="AG36" s="546"/>
      <c r="AH36" s="546"/>
      <c r="AI36" s="546"/>
      <c r="AJ36" s="546"/>
      <c r="AK36" s="546"/>
      <c r="AL36" s="546"/>
      <c r="AM36" s="546"/>
    </row>
    <row r="37" spans="1:39" x14ac:dyDescent="0.2">
      <c r="A37" s="547">
        <v>9</v>
      </c>
      <c r="B37" s="883" t="s">
        <v>1699</v>
      </c>
      <c r="C37" s="884"/>
      <c r="D37" s="555"/>
      <c r="E37" s="555" t="s">
        <v>1679</v>
      </c>
      <c r="F37" s="555"/>
      <c r="G37" s="556"/>
      <c r="H37" s="555"/>
      <c r="I37" s="555"/>
      <c r="J37" s="555"/>
      <c r="K37" s="556" t="s">
        <v>1679</v>
      </c>
      <c r="L37" s="557">
        <f>IF($M$44=0,0,N37/$M$44)</f>
        <v>3.3333333333333333E-2</v>
      </c>
      <c r="M37" s="545">
        <f>+X37*10</f>
        <v>300</v>
      </c>
      <c r="N37" s="545">
        <f>+S37*X37</f>
        <v>150</v>
      </c>
      <c r="O37" s="558">
        <f>IF(D37="X",2.5,0)</f>
        <v>0</v>
      </c>
      <c r="P37" s="530">
        <f>IF(E37="X",5,0)</f>
        <v>5</v>
      </c>
      <c r="Q37" s="530">
        <f>IF(F37="X",7.5,0)</f>
        <v>0</v>
      </c>
      <c r="R37" s="530">
        <f>IF(G37="X",10,0)</f>
        <v>0</v>
      </c>
      <c r="S37" s="545">
        <f>SUM(O37:R37)</f>
        <v>5</v>
      </c>
      <c r="T37" s="558">
        <f>IF(H37="X",0,0)</f>
        <v>0</v>
      </c>
      <c r="U37" s="530">
        <f>IF(I37="X",10,0)</f>
        <v>0</v>
      </c>
      <c r="V37" s="530">
        <f>IF(J37="X",20,0)</f>
        <v>0</v>
      </c>
      <c r="W37" s="530">
        <f>IF(K37="X",30,0)</f>
        <v>30</v>
      </c>
      <c r="X37" s="576">
        <f>SUM(U37:W37)</f>
        <v>30</v>
      </c>
      <c r="Y37" s="531"/>
      <c r="Z37" s="531"/>
      <c r="AA37" s="531"/>
      <c r="AB37" s="531"/>
      <c r="AC37" s="546"/>
      <c r="AD37" s="546"/>
      <c r="AE37" s="546"/>
      <c r="AF37" s="546"/>
      <c r="AG37" s="546"/>
      <c r="AH37" s="546"/>
      <c r="AI37" s="546"/>
      <c r="AJ37" s="546"/>
      <c r="AK37" s="546"/>
      <c r="AL37" s="546"/>
      <c r="AM37" s="546"/>
    </row>
    <row r="38" spans="1:39" x14ac:dyDescent="0.2">
      <c r="A38" s="554">
        <v>10</v>
      </c>
      <c r="B38" s="883" t="s">
        <v>1700</v>
      </c>
      <c r="C38" s="884"/>
      <c r="D38" s="555"/>
      <c r="E38" s="555"/>
      <c r="F38" s="555"/>
      <c r="G38" s="556" t="s">
        <v>1679</v>
      </c>
      <c r="H38" s="555"/>
      <c r="I38" s="555"/>
      <c r="J38" s="555"/>
      <c r="K38" s="556" t="s">
        <v>1679</v>
      </c>
      <c r="L38" s="557">
        <f t="shared" si="13"/>
        <v>6.6666666666666666E-2</v>
      </c>
      <c r="M38" s="545">
        <f t="shared" si="14"/>
        <v>300</v>
      </c>
      <c r="N38" s="545">
        <f t="shared" si="15"/>
        <v>300</v>
      </c>
      <c r="O38" s="558">
        <f t="shared" si="16"/>
        <v>0</v>
      </c>
      <c r="P38" s="530">
        <f t="shared" si="17"/>
        <v>0</v>
      </c>
      <c r="Q38" s="530">
        <f t="shared" si="18"/>
        <v>0</v>
      </c>
      <c r="R38" s="530">
        <f t="shared" si="19"/>
        <v>10</v>
      </c>
      <c r="S38" s="545">
        <f t="shared" si="20"/>
        <v>10</v>
      </c>
      <c r="T38" s="558">
        <f t="shared" si="21"/>
        <v>0</v>
      </c>
      <c r="U38" s="530">
        <f t="shared" si="22"/>
        <v>0</v>
      </c>
      <c r="V38" s="530">
        <f t="shared" si="23"/>
        <v>0</v>
      </c>
      <c r="W38" s="530">
        <f t="shared" si="24"/>
        <v>30</v>
      </c>
      <c r="X38" s="576">
        <f t="shared" si="25"/>
        <v>30</v>
      </c>
      <c r="Y38" s="531"/>
      <c r="Z38" s="531"/>
      <c r="AA38" s="531"/>
      <c r="AB38" s="531"/>
      <c r="AC38" s="546"/>
      <c r="AD38" s="546"/>
      <c r="AE38" s="546"/>
      <c r="AF38" s="546"/>
      <c r="AG38" s="546"/>
      <c r="AH38" s="546"/>
      <c r="AI38" s="546"/>
      <c r="AJ38" s="546"/>
      <c r="AK38" s="546"/>
      <c r="AL38" s="546"/>
      <c r="AM38" s="546"/>
    </row>
    <row r="39" spans="1:39" x14ac:dyDescent="0.2">
      <c r="A39" s="547">
        <v>11</v>
      </c>
      <c r="B39" s="883" t="s">
        <v>1701</v>
      </c>
      <c r="C39" s="884"/>
      <c r="D39" s="555"/>
      <c r="E39" s="555" t="s">
        <v>1679</v>
      </c>
      <c r="F39" s="555"/>
      <c r="G39" s="556"/>
      <c r="H39" s="555"/>
      <c r="I39" s="555"/>
      <c r="J39" s="555"/>
      <c r="K39" s="556" t="s">
        <v>1679</v>
      </c>
      <c r="L39" s="557">
        <f t="shared" si="13"/>
        <v>3.3333333333333333E-2</v>
      </c>
      <c r="M39" s="545">
        <f t="shared" si="14"/>
        <v>300</v>
      </c>
      <c r="N39" s="545">
        <f t="shared" si="15"/>
        <v>150</v>
      </c>
      <c r="O39" s="558">
        <f t="shared" si="16"/>
        <v>0</v>
      </c>
      <c r="P39" s="530">
        <f t="shared" si="17"/>
        <v>5</v>
      </c>
      <c r="Q39" s="530">
        <f t="shared" si="18"/>
        <v>0</v>
      </c>
      <c r="R39" s="530">
        <f t="shared" si="19"/>
        <v>0</v>
      </c>
      <c r="S39" s="545">
        <f t="shared" si="20"/>
        <v>5</v>
      </c>
      <c r="T39" s="558">
        <f t="shared" si="21"/>
        <v>0</v>
      </c>
      <c r="U39" s="530">
        <f t="shared" si="22"/>
        <v>0</v>
      </c>
      <c r="V39" s="530">
        <f t="shared" si="23"/>
        <v>0</v>
      </c>
      <c r="W39" s="530">
        <f t="shared" si="24"/>
        <v>30</v>
      </c>
      <c r="X39" s="576">
        <f t="shared" si="25"/>
        <v>30</v>
      </c>
      <c r="Y39" s="531"/>
      <c r="Z39" s="531"/>
      <c r="AA39" s="531"/>
      <c r="AB39" s="531"/>
      <c r="AC39" s="546"/>
      <c r="AD39" s="546"/>
      <c r="AE39" s="546"/>
      <c r="AF39" s="546"/>
      <c r="AG39" s="546"/>
      <c r="AH39" s="546"/>
      <c r="AI39" s="546"/>
      <c r="AJ39" s="546"/>
      <c r="AK39" s="546"/>
      <c r="AL39" s="546"/>
      <c r="AM39" s="546"/>
    </row>
    <row r="40" spans="1:39" x14ac:dyDescent="0.2">
      <c r="A40" s="554">
        <v>12</v>
      </c>
      <c r="B40" s="883" t="s">
        <v>1702</v>
      </c>
      <c r="C40" s="884"/>
      <c r="D40" s="555"/>
      <c r="E40" s="555"/>
      <c r="F40" s="555"/>
      <c r="G40" s="556" t="s">
        <v>1679</v>
      </c>
      <c r="H40" s="555"/>
      <c r="I40" s="555"/>
      <c r="J40" s="555"/>
      <c r="K40" s="555" t="s">
        <v>1679</v>
      </c>
      <c r="L40" s="557">
        <f t="shared" si="13"/>
        <v>6.6666666666666666E-2</v>
      </c>
      <c r="M40" s="545">
        <f t="shared" si="14"/>
        <v>300</v>
      </c>
      <c r="N40" s="545">
        <f t="shared" si="15"/>
        <v>300</v>
      </c>
      <c r="O40" s="558">
        <f t="shared" si="16"/>
        <v>0</v>
      </c>
      <c r="P40" s="530">
        <f t="shared" si="17"/>
        <v>0</v>
      </c>
      <c r="Q40" s="530">
        <f t="shared" si="18"/>
        <v>0</v>
      </c>
      <c r="R40" s="530">
        <f t="shared" si="19"/>
        <v>10</v>
      </c>
      <c r="S40" s="545">
        <f t="shared" si="20"/>
        <v>10</v>
      </c>
      <c r="T40" s="558">
        <f t="shared" si="21"/>
        <v>0</v>
      </c>
      <c r="U40" s="530">
        <f t="shared" si="22"/>
        <v>0</v>
      </c>
      <c r="V40" s="530">
        <f t="shared" si="23"/>
        <v>0</v>
      </c>
      <c r="W40" s="530">
        <f t="shared" si="24"/>
        <v>30</v>
      </c>
      <c r="X40" s="576">
        <f t="shared" si="25"/>
        <v>30</v>
      </c>
      <c r="Y40" s="531"/>
      <c r="Z40" s="531"/>
      <c r="AA40" s="531"/>
      <c r="AB40" s="531"/>
      <c r="AC40" s="546"/>
      <c r="AD40" s="546"/>
      <c r="AE40" s="546"/>
      <c r="AF40" s="546"/>
      <c r="AG40" s="546"/>
      <c r="AH40" s="546"/>
      <c r="AI40" s="546"/>
      <c r="AJ40" s="546"/>
      <c r="AK40" s="546"/>
      <c r="AL40" s="546"/>
      <c r="AM40" s="546"/>
    </row>
    <row r="41" spans="1:39" x14ac:dyDescent="0.2">
      <c r="A41" s="547">
        <v>13</v>
      </c>
      <c r="B41" s="883" t="s">
        <v>1703</v>
      </c>
      <c r="C41" s="884"/>
      <c r="D41" s="555"/>
      <c r="E41" s="555"/>
      <c r="F41" s="555"/>
      <c r="G41" s="556" t="s">
        <v>1679</v>
      </c>
      <c r="H41" s="555"/>
      <c r="I41" s="555"/>
      <c r="J41" s="555"/>
      <c r="K41" s="555" t="s">
        <v>1679</v>
      </c>
      <c r="L41" s="557">
        <f t="shared" si="13"/>
        <v>6.6666666666666666E-2</v>
      </c>
      <c r="M41" s="545">
        <f t="shared" si="14"/>
        <v>300</v>
      </c>
      <c r="N41" s="545">
        <f t="shared" si="15"/>
        <v>300</v>
      </c>
      <c r="O41" s="558">
        <f t="shared" si="16"/>
        <v>0</v>
      </c>
      <c r="P41" s="530">
        <f t="shared" si="17"/>
        <v>0</v>
      </c>
      <c r="Q41" s="530">
        <f t="shared" si="18"/>
        <v>0</v>
      </c>
      <c r="R41" s="530">
        <f t="shared" si="19"/>
        <v>10</v>
      </c>
      <c r="S41" s="545">
        <f t="shared" si="20"/>
        <v>10</v>
      </c>
      <c r="T41" s="558">
        <f t="shared" si="21"/>
        <v>0</v>
      </c>
      <c r="U41" s="530">
        <f t="shared" si="22"/>
        <v>0</v>
      </c>
      <c r="V41" s="530">
        <f t="shared" si="23"/>
        <v>0</v>
      </c>
      <c r="W41" s="530">
        <f t="shared" si="24"/>
        <v>30</v>
      </c>
      <c r="X41" s="576">
        <f t="shared" si="25"/>
        <v>30</v>
      </c>
      <c r="Y41" s="531"/>
      <c r="Z41" s="531"/>
      <c r="AA41" s="531"/>
      <c r="AB41" s="531"/>
      <c r="AC41" s="546"/>
      <c r="AD41" s="546"/>
      <c r="AE41" s="546"/>
      <c r="AF41" s="546"/>
      <c r="AG41" s="546"/>
      <c r="AH41" s="546"/>
      <c r="AI41" s="546"/>
      <c r="AJ41" s="546"/>
      <c r="AK41" s="546"/>
      <c r="AL41" s="546"/>
      <c r="AM41" s="546"/>
    </row>
    <row r="42" spans="1:39" x14ac:dyDescent="0.2">
      <c r="A42" s="554">
        <v>14</v>
      </c>
      <c r="B42" s="883" t="s">
        <v>1704</v>
      </c>
      <c r="C42" s="884"/>
      <c r="D42" s="555"/>
      <c r="E42" s="555" t="s">
        <v>1679</v>
      </c>
      <c r="F42" s="555"/>
      <c r="G42" s="556"/>
      <c r="H42" s="555"/>
      <c r="I42" s="555"/>
      <c r="J42" s="555"/>
      <c r="K42" s="556" t="s">
        <v>1679</v>
      </c>
      <c r="L42" s="557">
        <f t="shared" si="13"/>
        <v>3.3333333333333333E-2</v>
      </c>
      <c r="M42" s="545">
        <f t="shared" si="14"/>
        <v>300</v>
      </c>
      <c r="N42" s="545">
        <f t="shared" si="15"/>
        <v>150</v>
      </c>
      <c r="O42" s="558">
        <f t="shared" si="16"/>
        <v>0</v>
      </c>
      <c r="P42" s="530">
        <f t="shared" si="17"/>
        <v>5</v>
      </c>
      <c r="Q42" s="530">
        <f t="shared" si="18"/>
        <v>0</v>
      </c>
      <c r="R42" s="530">
        <f t="shared" si="19"/>
        <v>0</v>
      </c>
      <c r="S42" s="545">
        <f t="shared" si="20"/>
        <v>5</v>
      </c>
      <c r="T42" s="558">
        <f t="shared" si="21"/>
        <v>0</v>
      </c>
      <c r="U42" s="530">
        <f t="shared" si="22"/>
        <v>0</v>
      </c>
      <c r="V42" s="530">
        <f t="shared" si="23"/>
        <v>0</v>
      </c>
      <c r="W42" s="530">
        <f t="shared" si="24"/>
        <v>30</v>
      </c>
      <c r="X42" s="576">
        <f t="shared" si="25"/>
        <v>30</v>
      </c>
      <c r="Y42" s="531"/>
      <c r="Z42" s="531"/>
      <c r="AA42" s="531"/>
      <c r="AB42" s="531"/>
      <c r="AC42" s="546"/>
      <c r="AD42" s="546"/>
      <c r="AE42" s="546"/>
      <c r="AF42" s="546"/>
      <c r="AG42" s="546"/>
      <c r="AH42" s="546"/>
      <c r="AI42" s="546"/>
      <c r="AJ42" s="546"/>
      <c r="AK42" s="546"/>
      <c r="AL42" s="546"/>
      <c r="AM42" s="546"/>
    </row>
    <row r="43" spans="1:39" ht="12" thickBot="1" x14ac:dyDescent="0.25">
      <c r="A43" s="547">
        <v>15</v>
      </c>
      <c r="B43" s="885" t="s">
        <v>1705</v>
      </c>
      <c r="C43" s="885"/>
      <c r="D43" s="560"/>
      <c r="E43" s="560"/>
      <c r="F43" s="560"/>
      <c r="G43" s="577" t="s">
        <v>1679</v>
      </c>
      <c r="H43" s="560"/>
      <c r="I43" s="560"/>
      <c r="J43" s="560"/>
      <c r="K43" s="577" t="s">
        <v>1679</v>
      </c>
      <c r="L43" s="562">
        <f t="shared" si="13"/>
        <v>6.6666666666666666E-2</v>
      </c>
      <c r="M43" s="545">
        <f t="shared" si="14"/>
        <v>300</v>
      </c>
      <c r="N43" s="545">
        <f t="shared" si="15"/>
        <v>300</v>
      </c>
      <c r="O43" s="563">
        <f t="shared" si="16"/>
        <v>0</v>
      </c>
      <c r="P43" s="564">
        <f t="shared" si="17"/>
        <v>0</v>
      </c>
      <c r="Q43" s="564">
        <f t="shared" si="18"/>
        <v>0</v>
      </c>
      <c r="R43" s="564">
        <f t="shared" si="19"/>
        <v>10</v>
      </c>
      <c r="S43" s="578">
        <f t="shared" si="20"/>
        <v>10</v>
      </c>
      <c r="T43" s="563">
        <f t="shared" si="21"/>
        <v>0</v>
      </c>
      <c r="U43" s="564">
        <f t="shared" si="22"/>
        <v>0</v>
      </c>
      <c r="V43" s="564">
        <f t="shared" si="23"/>
        <v>0</v>
      </c>
      <c r="W43" s="564">
        <f t="shared" si="24"/>
        <v>30</v>
      </c>
      <c r="X43" s="579">
        <f t="shared" si="25"/>
        <v>30</v>
      </c>
      <c r="Y43" s="531"/>
      <c r="Z43" s="531"/>
      <c r="AA43" s="531"/>
      <c r="AB43" s="580"/>
      <c r="AC43" s="546"/>
      <c r="AD43" s="546"/>
      <c r="AE43" s="546"/>
      <c r="AF43" s="546"/>
      <c r="AG43" s="546"/>
      <c r="AH43" s="546"/>
      <c r="AI43" s="546"/>
      <c r="AJ43" s="546"/>
      <c r="AK43" s="546"/>
      <c r="AL43" s="546"/>
      <c r="AM43" s="546"/>
    </row>
    <row r="44" spans="1:39" ht="12" thickBot="1" x14ac:dyDescent="0.25">
      <c r="L44" s="581">
        <f>SUM(L29:L43)</f>
        <v>0.76666666666666661</v>
      </c>
      <c r="M44" s="545">
        <f>SUM(M29:M43)</f>
        <v>4500</v>
      </c>
      <c r="N44" s="582">
        <f>SUM(N29:N43)</f>
        <v>3450</v>
      </c>
      <c r="O44" s="563">
        <f t="shared" si="16"/>
        <v>0</v>
      </c>
      <c r="P44" s="564">
        <f t="shared" si="17"/>
        <v>0</v>
      </c>
      <c r="Q44" s="564">
        <f t="shared" si="18"/>
        <v>0</v>
      </c>
      <c r="R44" s="564">
        <f t="shared" si="19"/>
        <v>0</v>
      </c>
      <c r="S44" s="578">
        <f t="shared" si="20"/>
        <v>0</v>
      </c>
      <c r="T44" s="563">
        <f t="shared" si="21"/>
        <v>0</v>
      </c>
      <c r="U44" s="564">
        <f t="shared" si="22"/>
        <v>0</v>
      </c>
      <c r="V44" s="564">
        <f t="shared" si="23"/>
        <v>0</v>
      </c>
      <c r="W44" s="564">
        <f t="shared" si="24"/>
        <v>0</v>
      </c>
      <c r="X44" s="579">
        <f t="shared" si="25"/>
        <v>0</v>
      </c>
      <c r="Y44" s="531"/>
      <c r="Z44" s="531"/>
      <c r="AA44" s="531"/>
      <c r="AB44" s="531"/>
      <c r="AC44" s="546"/>
      <c r="AD44" s="546"/>
      <c r="AE44" s="546"/>
      <c r="AF44" s="546"/>
      <c r="AG44" s="546"/>
      <c r="AH44" s="546"/>
      <c r="AI44" s="546"/>
      <c r="AJ44" s="546"/>
      <c r="AK44" s="546"/>
      <c r="AL44" s="546"/>
      <c r="AM44" s="546"/>
    </row>
    <row r="45" spans="1:39" ht="10.5" customHeight="1" x14ac:dyDescent="0.2">
      <c r="B45" s="531"/>
      <c r="C45" s="531"/>
      <c r="D45" s="531"/>
      <c r="E45" s="531"/>
      <c r="F45" s="531"/>
      <c r="G45" s="531"/>
      <c r="H45" s="531"/>
      <c r="I45" s="531"/>
      <c r="J45" s="531"/>
      <c r="K45" s="531"/>
      <c r="L45" s="531"/>
      <c r="O45" s="530"/>
      <c r="P45" s="530"/>
      <c r="Q45" s="530"/>
      <c r="R45" s="530"/>
      <c r="S45" s="530"/>
      <c r="T45" s="530"/>
      <c r="U45" s="530"/>
      <c r="V45" s="530"/>
      <c r="W45" s="530"/>
      <c r="X45" s="530"/>
      <c r="Y45" s="531"/>
      <c r="Z45" s="531"/>
      <c r="AA45" s="531"/>
      <c r="AB45" s="531"/>
      <c r="AC45" s="546"/>
      <c r="AD45" s="546"/>
      <c r="AE45" s="546"/>
      <c r="AF45" s="546"/>
      <c r="AG45" s="546"/>
      <c r="AH45" s="546"/>
      <c r="AI45" s="546"/>
      <c r="AJ45" s="546"/>
      <c r="AK45" s="546"/>
      <c r="AL45" s="546"/>
      <c r="AM45" s="546"/>
    </row>
    <row r="46" spans="1:39" x14ac:dyDescent="0.2">
      <c r="M46" s="530"/>
      <c r="N46" s="530">
        <f>IF($L$44&gt;85%,5,0)</f>
        <v>0</v>
      </c>
      <c r="O46" s="530">
        <f>IF($L$44&lt;=85%,2,0)</f>
        <v>2</v>
      </c>
      <c r="P46" s="530">
        <f>IF($L$44&gt;70%,2,0)</f>
        <v>2</v>
      </c>
      <c r="Q46" s="530">
        <f>IF($L$44&lt;=70%,3,0)</f>
        <v>0</v>
      </c>
      <c r="R46" s="530">
        <f>IF($L$44&gt;45%,1,0)</f>
        <v>1</v>
      </c>
      <c r="S46" s="530">
        <f>IF($L$44&lt;=45%,1,0)</f>
        <v>0</v>
      </c>
      <c r="T46" s="530"/>
      <c r="U46" s="530">
        <f>IF($L$44&gt;0%,2,0)</f>
        <v>2</v>
      </c>
      <c r="V46" s="530"/>
      <c r="W46" s="530"/>
      <c r="X46" s="530"/>
      <c r="Y46" s="531"/>
      <c r="Z46" s="531"/>
      <c r="AA46" s="531"/>
      <c r="AB46" s="531"/>
    </row>
    <row r="47" spans="1:39" ht="12.75" x14ac:dyDescent="0.2">
      <c r="A47" s="886" t="s">
        <v>1706</v>
      </c>
      <c r="B47" s="886"/>
      <c r="C47" s="567">
        <f>L44</f>
        <v>0.76666666666666661</v>
      </c>
      <c r="E47" s="874" t="str">
        <f>+IF(L44&gt;=0.86,"A",IF(AND(L44&lt;0.86,L44&gt;=0.71),"B",IF(AND(L44&lt;0.71,L44&gt;=0.46),"C",IF(AND(L44&lt;0.46,L44&gt;0),"No califica",IF(L44=0,"No evaluado")))))</f>
        <v>B</v>
      </c>
      <c r="F47" s="874"/>
      <c r="G47" s="584"/>
      <c r="H47" s="882" t="s">
        <v>1686</v>
      </c>
      <c r="I47" s="882"/>
      <c r="J47" s="882"/>
      <c r="K47" s="882"/>
      <c r="L47" s="568" t="str">
        <f>+IF(E47="A","Excelente",IF(E47="B","Muy Bueno",IF(E47="C","Bueno a regular",IF(E47="No evaluado","","No califica"))))</f>
        <v>Muy Bueno</v>
      </c>
      <c r="M47" s="530"/>
      <c r="N47" s="530">
        <f>+N46</f>
        <v>0</v>
      </c>
      <c r="O47" s="879">
        <f>+O46*P46</f>
        <v>4</v>
      </c>
      <c r="P47" s="879"/>
      <c r="Q47" s="879">
        <f>+Q46*R46</f>
        <v>0</v>
      </c>
      <c r="R47" s="879"/>
      <c r="S47" s="879">
        <f>+S46*U46</f>
        <v>0</v>
      </c>
      <c r="T47" s="879"/>
      <c r="U47" s="879"/>
      <c r="V47" s="530">
        <f>SUM(N47:U47)</f>
        <v>4</v>
      </c>
      <c r="W47" s="530"/>
      <c r="X47" s="530"/>
      <c r="Y47" s="531"/>
      <c r="Z47" s="531"/>
      <c r="AA47" s="531"/>
      <c r="AB47" s="531"/>
    </row>
    <row r="48" spans="1:39" ht="12.75" customHeight="1" x14ac:dyDescent="0.2">
      <c r="B48" s="585"/>
      <c r="C48" s="531"/>
      <c r="D48" s="531"/>
      <c r="E48" s="531"/>
      <c r="F48" s="531"/>
      <c r="G48" s="586"/>
      <c r="H48" s="570"/>
      <c r="I48" s="570"/>
      <c r="J48" s="571"/>
      <c r="K48" s="572"/>
      <c r="L48" s="573"/>
      <c r="M48" s="530"/>
      <c r="N48" s="530"/>
      <c r="O48" s="530"/>
      <c r="P48" s="530"/>
      <c r="Q48" s="530"/>
      <c r="R48" s="530"/>
      <c r="S48" s="530"/>
      <c r="T48" s="530"/>
      <c r="U48" s="530"/>
      <c r="V48" s="530"/>
      <c r="W48" s="530"/>
      <c r="X48" s="530"/>
      <c r="Y48" s="531"/>
      <c r="Z48" s="531"/>
      <c r="AA48" s="531"/>
      <c r="AB48" s="531"/>
    </row>
    <row r="49" spans="1:28" s="586" customFormat="1" ht="12.75" customHeight="1" x14ac:dyDescent="0.2">
      <c r="A49" s="880" t="s">
        <v>1687</v>
      </c>
      <c r="B49" s="880"/>
      <c r="C49" s="881" t="s">
        <v>2164</v>
      </c>
      <c r="D49" s="881"/>
      <c r="E49" s="881"/>
      <c r="F49" s="881"/>
      <c r="G49" s="584"/>
      <c r="H49" s="882" t="s">
        <v>1689</v>
      </c>
      <c r="I49" s="882"/>
      <c r="J49" s="882"/>
      <c r="K49" s="882"/>
      <c r="L49" s="574">
        <v>43906</v>
      </c>
      <c r="M49" s="587"/>
      <c r="N49" s="587"/>
      <c r="O49" s="587"/>
      <c r="P49" s="587"/>
      <c r="Q49" s="587"/>
      <c r="R49" s="587"/>
      <c r="S49" s="587"/>
      <c r="T49" s="587"/>
      <c r="U49" s="587"/>
      <c r="V49" s="587"/>
      <c r="W49" s="587"/>
      <c r="X49" s="587"/>
      <c r="Y49" s="588"/>
      <c r="Z49" s="588"/>
      <c r="AA49" s="588"/>
      <c r="AB49" s="588"/>
    </row>
    <row r="50" spans="1:28" ht="11.25" customHeight="1" x14ac:dyDescent="0.2">
      <c r="B50" s="589"/>
      <c r="C50" s="590"/>
      <c r="D50" s="533"/>
      <c r="E50" s="533"/>
      <c r="F50" s="533"/>
      <c r="G50" s="591"/>
      <c r="H50" s="572"/>
      <c r="I50" s="572"/>
      <c r="J50" s="572"/>
      <c r="M50" s="530"/>
      <c r="N50" s="530"/>
      <c r="O50" s="530"/>
      <c r="P50" s="530"/>
      <c r="Q50" s="530"/>
      <c r="R50" s="530"/>
      <c r="S50" s="530"/>
      <c r="T50" s="530"/>
      <c r="U50" s="530"/>
      <c r="V50" s="530"/>
      <c r="W50" s="530"/>
      <c r="X50" s="530"/>
      <c r="Y50" s="531"/>
      <c r="Z50" s="531"/>
      <c r="AA50" s="531"/>
      <c r="AB50" s="531"/>
    </row>
    <row r="51" spans="1:28" ht="12" x14ac:dyDescent="0.2">
      <c r="B51" s="589"/>
      <c r="C51" s="590"/>
      <c r="D51" s="533"/>
      <c r="E51" s="533"/>
      <c r="F51" s="533"/>
      <c r="G51" s="591"/>
      <c r="H51" s="591"/>
      <c r="I51" s="591"/>
      <c r="J51" s="591"/>
      <c r="K51" s="533"/>
      <c r="L51" s="533"/>
      <c r="M51" s="530"/>
      <c r="N51" s="530"/>
      <c r="O51" s="530"/>
      <c r="P51" s="530"/>
      <c r="Q51" s="530"/>
      <c r="R51" s="530"/>
      <c r="S51" s="530"/>
      <c r="T51" s="530"/>
      <c r="U51" s="530"/>
      <c r="V51" s="530"/>
      <c r="W51" s="530"/>
      <c r="X51" s="530"/>
      <c r="Y51" s="531"/>
      <c r="Z51" s="531"/>
      <c r="AA51" s="531"/>
      <c r="AB51" s="531"/>
    </row>
    <row r="52" spans="1:28" ht="12.75" customHeight="1" x14ac:dyDescent="0.2">
      <c r="A52" s="873" t="s">
        <v>1708</v>
      </c>
      <c r="B52" s="873"/>
      <c r="C52" s="567">
        <f>IF(L44=0,L19,(L19*0.5+L44*0.5))</f>
        <v>0.7583333333333333</v>
      </c>
      <c r="D52" s="592"/>
      <c r="E52" s="874" t="str">
        <f>+IF($C$52&gt;=0.86,"A",IF(AND($C$52&lt;0.86,$C$52&gt;=0.71),"B",IF(AND($C$52&lt;0.71,$C$52&gt;=0.46),"C",IF(AND($C$52&lt;0.46,$C$52&gt;0),"No califica",IF(C52=0,"No evaluado",)))))</f>
        <v>B</v>
      </c>
      <c r="F52" s="874"/>
      <c r="G52" s="875" t="s">
        <v>1686</v>
      </c>
      <c r="H52" s="875"/>
      <c r="I52" s="875"/>
      <c r="J52" s="875"/>
      <c r="K52" s="875"/>
      <c r="L52" s="568" t="str">
        <f>+IF(E52="A","Excelente",IF(E52="B","Muy Bueno",IF(E52="C","Bueno a regular",IF(E52="No evaluado","","No califica"))))</f>
        <v>Muy Bueno</v>
      </c>
      <c r="M52" s="530"/>
      <c r="N52" s="530"/>
      <c r="O52" s="530"/>
      <c r="P52" s="530"/>
      <c r="Q52" s="530"/>
      <c r="R52" s="530"/>
      <c r="S52" s="530"/>
      <c r="T52" s="530"/>
      <c r="U52" s="530"/>
      <c r="V52" s="530"/>
      <c r="W52" s="530"/>
      <c r="X52" s="530"/>
      <c r="Y52" s="531"/>
      <c r="Z52" s="531"/>
      <c r="AA52" s="531"/>
      <c r="AB52" s="531"/>
    </row>
    <row r="53" spans="1:28" ht="12" x14ac:dyDescent="0.2">
      <c r="B53" s="585"/>
      <c r="C53" s="531"/>
      <c r="D53" s="531"/>
      <c r="E53" s="531"/>
      <c r="F53" s="531"/>
      <c r="G53" s="593"/>
      <c r="H53" s="593"/>
      <c r="I53" s="593"/>
      <c r="J53" s="593"/>
      <c r="K53" s="594"/>
      <c r="L53" s="573"/>
      <c r="M53" s="530"/>
      <c r="N53" s="530"/>
      <c r="O53" s="530"/>
      <c r="P53" s="530"/>
      <c r="Q53" s="530"/>
      <c r="R53" s="530"/>
      <c r="S53" s="530"/>
      <c r="T53" s="530"/>
      <c r="U53" s="530"/>
      <c r="V53" s="530"/>
      <c r="W53" s="530"/>
      <c r="X53" s="530"/>
      <c r="Y53" s="531"/>
      <c r="Z53" s="531"/>
      <c r="AA53" s="531"/>
      <c r="AB53" s="531"/>
    </row>
    <row r="54" spans="1:28" ht="12" customHeight="1" x14ac:dyDescent="0.2">
      <c r="B54" s="595"/>
      <c r="C54" s="531"/>
      <c r="E54" s="531"/>
      <c r="F54" s="531"/>
      <c r="G54" s="876" t="s">
        <v>1709</v>
      </c>
      <c r="H54" s="876"/>
      <c r="I54" s="876"/>
      <c r="J54" s="876"/>
      <c r="K54" s="876"/>
      <c r="L54" s="574">
        <v>43906</v>
      </c>
      <c r="M54" s="530"/>
      <c r="N54" s="530"/>
      <c r="O54" s="530"/>
      <c r="P54" s="530"/>
      <c r="Q54" s="530"/>
      <c r="R54" s="530"/>
      <c r="S54" s="530"/>
      <c r="T54" s="530"/>
      <c r="U54" s="530"/>
      <c r="V54" s="530"/>
      <c r="W54" s="530"/>
      <c r="X54" s="530"/>
      <c r="Y54" s="531"/>
      <c r="Z54" s="531"/>
      <c r="AA54" s="531"/>
      <c r="AB54" s="531"/>
    </row>
    <row r="55" spans="1:28" x14ac:dyDescent="0.2">
      <c r="B55" s="531"/>
      <c r="C55" s="531"/>
      <c r="D55" s="531"/>
      <c r="E55" s="531"/>
      <c r="F55" s="531"/>
      <c r="G55" s="531"/>
      <c r="H55" s="531"/>
      <c r="I55" s="531"/>
      <c r="J55" s="531"/>
      <c r="K55" s="531"/>
      <c r="L55" s="531"/>
      <c r="M55" s="530"/>
      <c r="N55" s="530"/>
      <c r="O55" s="530"/>
      <c r="P55" s="530"/>
      <c r="Q55" s="530"/>
      <c r="R55" s="530"/>
      <c r="S55" s="530"/>
      <c r="T55" s="530"/>
      <c r="U55" s="530"/>
      <c r="V55" s="530"/>
      <c r="W55" s="530"/>
      <c r="X55" s="530"/>
      <c r="Y55" s="531"/>
      <c r="Z55" s="531"/>
      <c r="AA55" s="531"/>
      <c r="AB55" s="531"/>
    </row>
    <row r="56" spans="1:28" x14ac:dyDescent="0.2">
      <c r="B56" s="531"/>
      <c r="C56" s="531"/>
      <c r="D56" s="531"/>
      <c r="E56" s="531"/>
      <c r="F56" s="531"/>
      <c r="G56" s="531"/>
      <c r="H56" s="531"/>
      <c r="I56" s="531"/>
      <c r="J56" s="531"/>
      <c r="K56" s="531"/>
      <c r="L56" s="531"/>
      <c r="M56" s="530"/>
      <c r="N56" s="530"/>
      <c r="O56" s="530"/>
      <c r="P56" s="530"/>
      <c r="Q56" s="530"/>
      <c r="R56" s="530"/>
      <c r="S56" s="530"/>
      <c r="T56" s="530"/>
      <c r="U56" s="530"/>
      <c r="V56" s="530"/>
      <c r="W56" s="530"/>
      <c r="X56" s="530"/>
      <c r="Y56" s="531"/>
      <c r="Z56" s="531"/>
      <c r="AA56" s="531"/>
      <c r="AB56" s="531"/>
    </row>
    <row r="57" spans="1:28" ht="22.5" customHeight="1" x14ac:dyDescent="0.2">
      <c r="A57" s="877" t="s">
        <v>1710</v>
      </c>
      <c r="B57" s="877"/>
      <c r="C57" s="939" t="s">
        <v>2558</v>
      </c>
      <c r="D57" s="878"/>
      <c r="E57" s="878"/>
      <c r="F57" s="878"/>
      <c r="G57" s="878"/>
      <c r="H57" s="878"/>
      <c r="I57" s="878"/>
      <c r="J57" s="878"/>
      <c r="K57" s="878"/>
      <c r="L57" s="878"/>
      <c r="M57" s="530"/>
      <c r="N57" s="530"/>
      <c r="O57" s="530"/>
      <c r="P57" s="530"/>
      <c r="Q57" s="530"/>
      <c r="R57" s="530"/>
      <c r="S57" s="530"/>
      <c r="T57" s="530"/>
      <c r="U57" s="530"/>
      <c r="V57" s="530"/>
      <c r="W57" s="530"/>
      <c r="X57" s="530"/>
      <c r="Y57" s="531"/>
      <c r="Z57" s="531"/>
      <c r="AA57" s="531"/>
      <c r="AB57" s="531"/>
    </row>
    <row r="58" spans="1:28" ht="12.75" customHeight="1" x14ac:dyDescent="0.2">
      <c r="A58" s="871"/>
      <c r="B58" s="871"/>
      <c r="C58" s="871"/>
      <c r="D58" s="871"/>
      <c r="E58" s="871"/>
      <c r="F58" s="871"/>
      <c r="G58" s="871"/>
      <c r="H58" s="871"/>
      <c r="I58" s="871"/>
      <c r="J58" s="871"/>
      <c r="K58" s="871"/>
      <c r="L58" s="871"/>
      <c r="M58" s="530"/>
      <c r="N58" s="530"/>
      <c r="O58" s="530"/>
      <c r="P58" s="530"/>
      <c r="Q58" s="530"/>
      <c r="R58" s="530"/>
      <c r="S58" s="530"/>
      <c r="T58" s="530"/>
      <c r="U58" s="530"/>
      <c r="V58" s="530"/>
      <c r="W58" s="530"/>
      <c r="X58" s="530"/>
      <c r="Y58" s="531"/>
      <c r="Z58" s="531"/>
      <c r="AA58" s="531"/>
      <c r="AB58" s="531"/>
    </row>
    <row r="59" spans="1:28" ht="9.75" customHeight="1" x14ac:dyDescent="0.2"/>
    <row r="60" spans="1:28" s="538" customFormat="1" ht="24" customHeight="1" x14ac:dyDescent="0.2">
      <c r="A60" s="872" t="s">
        <v>1712</v>
      </c>
      <c r="B60" s="872"/>
      <c r="C60" s="872"/>
      <c r="D60" s="872"/>
      <c r="E60" s="872"/>
      <c r="F60" s="872"/>
      <c r="G60" s="872"/>
      <c r="H60" s="872"/>
      <c r="I60" s="872"/>
      <c r="J60" s="872"/>
      <c r="K60" s="872"/>
      <c r="L60" s="872"/>
      <c r="M60" s="596"/>
      <c r="N60" s="596"/>
      <c r="O60" s="596"/>
      <c r="P60" s="596"/>
      <c r="Q60" s="596"/>
      <c r="R60" s="596"/>
      <c r="S60" s="596"/>
      <c r="T60" s="596"/>
      <c r="U60" s="596"/>
      <c r="V60" s="596"/>
      <c r="W60" s="596"/>
      <c r="X60" s="596"/>
    </row>
    <row r="61" spans="1:28" x14ac:dyDescent="0.2">
      <c r="H61" s="595" t="s">
        <v>1713</v>
      </c>
      <c r="I61" s="595"/>
      <c r="J61" s="539"/>
      <c r="L61" s="597" t="s">
        <v>1714</v>
      </c>
    </row>
    <row r="62" spans="1:28" x14ac:dyDescent="0.2">
      <c r="H62" s="595" t="s">
        <v>1715</v>
      </c>
      <c r="I62" s="595"/>
      <c r="J62" s="539"/>
      <c r="L62" s="597" t="s">
        <v>1716</v>
      </c>
    </row>
    <row r="63" spans="1:28" x14ac:dyDescent="0.2">
      <c r="H63" s="595" t="s">
        <v>1717</v>
      </c>
      <c r="I63" s="595"/>
      <c r="J63" s="539"/>
      <c r="L63" s="597" t="s">
        <v>1718</v>
      </c>
    </row>
    <row r="64" spans="1:28" x14ac:dyDescent="0.2">
      <c r="H64" s="595" t="s">
        <v>1719</v>
      </c>
      <c r="I64" s="595"/>
      <c r="J64" s="539"/>
      <c r="L64" s="597" t="s">
        <v>1720</v>
      </c>
    </row>
  </sheetData>
  <mergeCells count="69">
    <mergeCell ref="A58:L58"/>
    <mergeCell ref="A60:L60"/>
    <mergeCell ref="A52:B52"/>
    <mergeCell ref="E52:F52"/>
    <mergeCell ref="G52:K52"/>
    <mergeCell ref="G54:K54"/>
    <mergeCell ref="A57:B57"/>
    <mergeCell ref="C57:L57"/>
    <mergeCell ref="O47:P47"/>
    <mergeCell ref="Q47:R47"/>
    <mergeCell ref="S47:U47"/>
    <mergeCell ref="A49:B49"/>
    <mergeCell ref="C49:F49"/>
    <mergeCell ref="H49:K49"/>
    <mergeCell ref="H47:K47"/>
    <mergeCell ref="B41:C41"/>
    <mergeCell ref="B42:C42"/>
    <mergeCell ref="B43:C43"/>
    <mergeCell ref="A47:B47"/>
    <mergeCell ref="E47:F47"/>
    <mergeCell ref="B40:C40"/>
    <mergeCell ref="B29:C29"/>
    <mergeCell ref="B30:C30"/>
    <mergeCell ref="B31:C31"/>
    <mergeCell ref="B32:C32"/>
    <mergeCell ref="B33:C33"/>
    <mergeCell ref="B34:C34"/>
    <mergeCell ref="B35:C35"/>
    <mergeCell ref="B36:C36"/>
    <mergeCell ref="B37:C37"/>
    <mergeCell ref="B38:C38"/>
    <mergeCell ref="B39:C39"/>
    <mergeCell ref="T28:X28"/>
    <mergeCell ref="O21:P21"/>
    <mergeCell ref="Q21:R21"/>
    <mergeCell ref="S21:U21"/>
    <mergeCell ref="A23:B23"/>
    <mergeCell ref="C23:F23"/>
    <mergeCell ref="H23:K23"/>
    <mergeCell ref="H21:K21"/>
    <mergeCell ref="A25:L25"/>
    <mergeCell ref="D27:G27"/>
    <mergeCell ref="H27:K27"/>
    <mergeCell ref="B28:C28"/>
    <mergeCell ref="O28:S28"/>
    <mergeCell ref="B16:C16"/>
    <mergeCell ref="B17:C17"/>
    <mergeCell ref="B18:C18"/>
    <mergeCell ref="A21:B21"/>
    <mergeCell ref="E21:F21"/>
    <mergeCell ref="O11:S11"/>
    <mergeCell ref="T11:X11"/>
    <mergeCell ref="B12:C12"/>
    <mergeCell ref="B13:C13"/>
    <mergeCell ref="B14:C14"/>
    <mergeCell ref="B15:C15"/>
    <mergeCell ref="A6:B6"/>
    <mergeCell ref="C6:L6"/>
    <mergeCell ref="A8:L8"/>
    <mergeCell ref="D10:G10"/>
    <mergeCell ref="H10:K10"/>
    <mergeCell ref="B11:C11"/>
    <mergeCell ref="A5:B5"/>
    <mergeCell ref="C5:L5"/>
    <mergeCell ref="A1:B2"/>
    <mergeCell ref="C1:L1"/>
    <mergeCell ref="C2:E2"/>
    <mergeCell ref="F2:L2"/>
    <mergeCell ref="A4:L4"/>
  </mergeCells>
  <pageMargins left="0.74803149606299213" right="0.74803149606299213" top="0.98425196850393704" bottom="0.98425196850393704" header="0" footer="0"/>
  <pageSetup paperSize="9" scale="78" orientation="portrait" r:id="rId1"/>
  <headerFooter alignWithMargins="0">
    <oddFooter>&amp;L&amp;7Revisión 1
EMISIÓN: 5/05/17 &amp;C&amp;7Revisa y Aprueba : Ruth Clausen&amp;R&amp;7&amp;P de &amp;N</oddFooter>
  </headerFooter>
  <colBreaks count="1" manualBreakCount="1">
    <brk id="12"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1"/>
  <dimension ref="A1:Y823"/>
  <sheetViews>
    <sheetView workbookViewId="0"/>
  </sheetViews>
  <sheetFormatPr baseColWidth="10" defaultColWidth="9.140625" defaultRowHeight="12.75" x14ac:dyDescent="0.2"/>
  <cols>
    <col min="1" max="2" width="17.28515625" style="4" customWidth="1"/>
    <col min="3" max="3" width="19" style="4" bestFit="1" customWidth="1"/>
    <col min="4" max="4" width="11.5703125" style="1" customWidth="1"/>
    <col min="5" max="5" width="15" style="4" customWidth="1"/>
    <col min="6" max="6" width="17.5703125" style="1" customWidth="1"/>
    <col min="7" max="7" width="63" style="4" customWidth="1"/>
    <col min="8" max="8" width="11" style="1" customWidth="1"/>
    <col min="9" max="9" width="9.5703125" style="1" customWidth="1"/>
    <col min="10" max="10" width="24.5703125" style="4" customWidth="1"/>
    <col min="11" max="11" width="21.42578125" style="1" customWidth="1"/>
    <col min="12" max="12" width="18.140625" style="1" customWidth="1"/>
    <col min="13" max="13" width="20.5703125" style="1" customWidth="1"/>
    <col min="14" max="14" width="23.85546875" style="1" customWidth="1"/>
    <col min="15" max="15" width="23" style="1" customWidth="1"/>
    <col min="16" max="16" width="16.42578125" style="99" customWidth="1"/>
    <col min="17" max="17" width="15.28515625" style="4" customWidth="1"/>
    <col min="18" max="18" width="13.140625" style="4" customWidth="1"/>
    <col min="19" max="19" width="56.28515625" style="4" customWidth="1"/>
    <col min="20" max="20" width="36.28515625" style="1" customWidth="1"/>
    <col min="21" max="21" width="42" style="107" customWidth="1"/>
    <col min="22" max="22" width="14.140625" style="1" bestFit="1" customWidth="1"/>
    <col min="23" max="23" width="41.42578125" style="1" customWidth="1"/>
    <col min="24" max="16384" width="9.140625" style="1"/>
  </cols>
  <sheetData>
    <row r="1" spans="1:25" ht="68.25" customHeight="1" x14ac:dyDescent="0.35">
      <c r="E1" s="945" t="s">
        <v>2155</v>
      </c>
      <c r="F1" s="945"/>
      <c r="G1" s="945"/>
    </row>
    <row r="2" spans="1:25" ht="20.25" customHeight="1" thickBot="1" x14ac:dyDescent="0.25"/>
    <row r="3" spans="1:25" s="81" customFormat="1" ht="60" customHeight="1" thickBot="1" x14ac:dyDescent="0.25">
      <c r="A3" s="67" t="s">
        <v>8</v>
      </c>
      <c r="B3" s="67" t="s">
        <v>2012</v>
      </c>
      <c r="C3" s="68" t="s">
        <v>760</v>
      </c>
      <c r="D3" s="69" t="s">
        <v>1643</v>
      </c>
      <c r="E3" s="67" t="s">
        <v>9</v>
      </c>
      <c r="F3" s="67" t="s">
        <v>761</v>
      </c>
      <c r="G3" s="70" t="s">
        <v>1</v>
      </c>
      <c r="H3" s="71" t="s">
        <v>2</v>
      </c>
      <c r="I3" s="72" t="s">
        <v>488</v>
      </c>
      <c r="J3" s="129" t="s">
        <v>0</v>
      </c>
      <c r="K3" s="73" t="s">
        <v>26</v>
      </c>
      <c r="L3" s="74" t="s">
        <v>489</v>
      </c>
      <c r="M3" s="75" t="s">
        <v>1826</v>
      </c>
      <c r="N3" s="76" t="s">
        <v>490</v>
      </c>
      <c r="O3" s="77" t="s">
        <v>273</v>
      </c>
      <c r="P3" s="136" t="s">
        <v>274</v>
      </c>
      <c r="Q3" s="78" t="s">
        <v>10</v>
      </c>
      <c r="R3" s="78" t="s">
        <v>6</v>
      </c>
      <c r="S3" s="78" t="s">
        <v>7</v>
      </c>
      <c r="T3" s="79" t="s">
        <v>762</v>
      </c>
      <c r="U3" s="119" t="s">
        <v>20</v>
      </c>
      <c r="V3" s="79" t="s">
        <v>3</v>
      </c>
      <c r="W3" s="80" t="s">
        <v>4</v>
      </c>
      <c r="X3" s="86" t="s">
        <v>764</v>
      </c>
      <c r="Y3" s="86" t="s">
        <v>765</v>
      </c>
    </row>
    <row r="4" spans="1:25" ht="25.5" customHeight="1" x14ac:dyDescent="0.2">
      <c r="A4" s="149">
        <v>42393</v>
      </c>
      <c r="B4" s="142" t="s">
        <v>487</v>
      </c>
      <c r="C4" s="142" t="s">
        <v>921</v>
      </c>
      <c r="D4" s="16" t="s">
        <v>33</v>
      </c>
      <c r="E4" s="65" t="s">
        <v>31</v>
      </c>
      <c r="F4" s="22" t="s">
        <v>921</v>
      </c>
      <c r="G4" s="65" t="s">
        <v>266</v>
      </c>
      <c r="H4" s="16">
        <v>2</v>
      </c>
      <c r="I4" s="16" t="s">
        <v>800</v>
      </c>
      <c r="J4" s="65" t="s">
        <v>77</v>
      </c>
      <c r="K4" s="16"/>
      <c r="L4" s="16"/>
      <c r="M4" s="21">
        <v>42549</v>
      </c>
      <c r="N4" s="21"/>
      <c r="O4" s="22" t="str">
        <f>IF( Tabla1[[#This Row],[Fecha de entrega real]]="","NO CONCRETADO",IF(N4&lt;=M4,"CUMPLIÓ","NO CUMPLIÓ"))</f>
        <v>NO CONCRETADO</v>
      </c>
      <c r="P4" s="137" t="str">
        <f t="shared" ref="P4:P39" si="0">IF(N4="","NO CONCRETADO",N4-M4)</f>
        <v>NO CONCRETADO</v>
      </c>
      <c r="Q4" s="65"/>
      <c r="R4" s="116"/>
      <c r="S4" s="65" t="s">
        <v>934</v>
      </c>
      <c r="T4" s="19"/>
      <c r="U4" s="120"/>
      <c r="V4" s="19"/>
      <c r="W4" s="19"/>
      <c r="X4" s="84">
        <f>MONTH(Tabla1[[#This Row],[fecha
de
pedido]])</f>
        <v>1</v>
      </c>
      <c r="Y4" s="84">
        <f>YEAR(Tabla1[[#This Row],[fecha
de
pedido]])</f>
        <v>2016</v>
      </c>
    </row>
    <row r="5" spans="1:25" ht="12.75" customHeight="1" x14ac:dyDescent="0.2">
      <c r="A5" s="150">
        <v>42410</v>
      </c>
      <c r="B5" s="118" t="s">
        <v>487</v>
      </c>
      <c r="C5" s="118" t="s">
        <v>921</v>
      </c>
      <c r="D5" s="15" t="s">
        <v>33</v>
      </c>
      <c r="E5" s="24" t="s">
        <v>29</v>
      </c>
      <c r="F5" s="22" t="s">
        <v>921</v>
      </c>
      <c r="G5" s="24" t="s">
        <v>24</v>
      </c>
      <c r="H5" s="15">
        <v>2</v>
      </c>
      <c r="I5" s="15" t="s">
        <v>491</v>
      </c>
      <c r="J5" s="24" t="s">
        <v>27</v>
      </c>
      <c r="K5" s="15"/>
      <c r="L5" s="23"/>
      <c r="M5" s="22">
        <v>42411</v>
      </c>
      <c r="N5" s="22">
        <v>42411</v>
      </c>
      <c r="O5" s="22" t="str">
        <f>IF( Tabla1[[#This Row],[Fecha de entrega real]]="","NO CONCRETADO",IF(N5&lt;=M5,"CUMPLIÓ","NO CUMPLIÓ"))</f>
        <v>CUMPLIÓ</v>
      </c>
      <c r="P5" s="138">
        <f t="shared" si="0"/>
        <v>0</v>
      </c>
      <c r="Q5" s="24"/>
      <c r="R5" s="117" t="s">
        <v>32</v>
      </c>
      <c r="S5" s="24" t="s">
        <v>216</v>
      </c>
      <c r="T5" s="18"/>
      <c r="U5" s="120">
        <v>78642</v>
      </c>
      <c r="V5" s="20"/>
      <c r="W5" s="19"/>
      <c r="X5" s="84">
        <f>MONTH(Tabla1[[#This Row],[fecha
de
pedido]])</f>
        <v>2</v>
      </c>
      <c r="Y5" s="84">
        <f>YEAR(Tabla1[[#This Row],[fecha
de
pedido]])</f>
        <v>2016</v>
      </c>
    </row>
    <row r="6" spans="1:25" ht="25.5" customHeight="1" x14ac:dyDescent="0.2">
      <c r="A6" s="150">
        <v>42415</v>
      </c>
      <c r="B6" s="118" t="s">
        <v>487</v>
      </c>
      <c r="C6" s="118" t="s">
        <v>921</v>
      </c>
      <c r="D6" s="15" t="s">
        <v>33</v>
      </c>
      <c r="E6" s="24" t="s">
        <v>29</v>
      </c>
      <c r="F6" s="22" t="s">
        <v>921</v>
      </c>
      <c r="G6" s="24" t="s">
        <v>204</v>
      </c>
      <c r="H6" s="15">
        <v>170</v>
      </c>
      <c r="I6" s="15" t="s">
        <v>492</v>
      </c>
      <c r="J6" s="24" t="s">
        <v>12</v>
      </c>
      <c r="K6" s="15">
        <v>3.91</v>
      </c>
      <c r="L6" s="23">
        <f>Tabla1[[#This Row],[Costo Unitario]]*Tabla1[[#This Row],[cantidad]]</f>
        <v>664.7</v>
      </c>
      <c r="M6" s="22">
        <v>42418</v>
      </c>
      <c r="N6" s="22">
        <v>42416</v>
      </c>
      <c r="O6" s="22" t="str">
        <f>IF( Tabla1[[#This Row],[Fecha de entrega real]]="","NO CONCRETADO",IF(N6&lt;=M6,"CUMPLIÓ","NO CUMPLIÓ"))</f>
        <v>CUMPLIÓ</v>
      </c>
      <c r="P6" s="138">
        <f t="shared" si="0"/>
        <v>-2</v>
      </c>
      <c r="Q6" s="24"/>
      <c r="R6" s="117" t="s">
        <v>33</v>
      </c>
      <c r="S6" s="24" t="s">
        <v>221</v>
      </c>
      <c r="T6" s="19"/>
      <c r="U6" s="120">
        <v>237</v>
      </c>
      <c r="V6" s="19"/>
      <c r="W6" s="19"/>
      <c r="X6" s="84">
        <f>MONTH(Tabla1[[#This Row],[fecha
de
pedido]])</f>
        <v>2</v>
      </c>
      <c r="Y6" s="84">
        <f>YEAR(Tabla1[[#This Row],[fecha
de
pedido]])</f>
        <v>2016</v>
      </c>
    </row>
    <row r="7" spans="1:25" ht="12.75" customHeight="1" x14ac:dyDescent="0.2">
      <c r="A7" s="150">
        <v>42422</v>
      </c>
      <c r="B7" s="118" t="s">
        <v>487</v>
      </c>
      <c r="C7" s="118" t="s">
        <v>921</v>
      </c>
      <c r="D7" s="15" t="s">
        <v>33</v>
      </c>
      <c r="E7" s="24" t="s">
        <v>29</v>
      </c>
      <c r="F7" s="22" t="s">
        <v>921</v>
      </c>
      <c r="G7" s="24" t="s">
        <v>204</v>
      </c>
      <c r="H7" s="15">
        <v>160</v>
      </c>
      <c r="I7" s="15" t="s">
        <v>492</v>
      </c>
      <c r="J7" s="24" t="s">
        <v>12</v>
      </c>
      <c r="K7" s="15">
        <v>3.91</v>
      </c>
      <c r="L7" s="23">
        <f>Tabla1[[#This Row],[Costo Unitario]]*Tabla1[[#This Row],[cantidad]]</f>
        <v>625.6</v>
      </c>
      <c r="M7" s="22">
        <v>42422</v>
      </c>
      <c r="N7" s="22">
        <v>42423</v>
      </c>
      <c r="O7" s="22" t="str">
        <f>IF( Tabla1[[#This Row],[Fecha de entrega real]]="","NO CONCRETADO",IF(N7&lt;=M7,"CUMPLIÓ","NO CUMPLIÓ"))</f>
        <v>NO CUMPLIÓ</v>
      </c>
      <c r="P7" s="138">
        <f t="shared" si="0"/>
        <v>1</v>
      </c>
      <c r="Q7" s="24"/>
      <c r="R7" s="117" t="s">
        <v>33</v>
      </c>
      <c r="S7" s="24" t="s">
        <v>222</v>
      </c>
      <c r="T7" s="19"/>
      <c r="U7" s="120" t="s">
        <v>223</v>
      </c>
      <c r="V7" s="19"/>
      <c r="W7" s="19"/>
      <c r="X7" s="84">
        <f>MONTH(Tabla1[[#This Row],[fecha
de
pedido]])</f>
        <v>2</v>
      </c>
      <c r="Y7" s="84">
        <f>YEAR(Tabla1[[#This Row],[fecha
de
pedido]])</f>
        <v>2016</v>
      </c>
    </row>
    <row r="8" spans="1:25" ht="12.75" customHeight="1" x14ac:dyDescent="0.2">
      <c r="A8" s="150">
        <v>42424</v>
      </c>
      <c r="B8" s="118" t="s">
        <v>487</v>
      </c>
      <c r="C8" s="118" t="s">
        <v>921</v>
      </c>
      <c r="D8" s="15" t="s">
        <v>33</v>
      </c>
      <c r="E8" s="24" t="s">
        <v>29</v>
      </c>
      <c r="F8" s="22" t="s">
        <v>921</v>
      </c>
      <c r="G8" s="24" t="s">
        <v>24</v>
      </c>
      <c r="H8" s="15">
        <v>3</v>
      </c>
      <c r="I8" s="15" t="s">
        <v>781</v>
      </c>
      <c r="J8" s="24" t="s">
        <v>27</v>
      </c>
      <c r="K8" s="15"/>
      <c r="L8" s="23">
        <f>Tabla1[[#This Row],[Costo Unitario]]*Tabla1[[#This Row],[cantidad]]</f>
        <v>0</v>
      </c>
      <c r="M8" s="22">
        <v>42425</v>
      </c>
      <c r="N8" s="22">
        <v>42425</v>
      </c>
      <c r="O8" s="22" t="str">
        <f>IF( Tabla1[[#This Row],[Fecha de entrega real]]="","NO CONCRETADO",IF(N8&lt;=M8,"CUMPLIÓ","NO CUMPLIÓ"))</f>
        <v>CUMPLIÓ</v>
      </c>
      <c r="P8" s="138">
        <f t="shared" si="0"/>
        <v>0</v>
      </c>
      <c r="Q8" s="24"/>
      <c r="R8" s="117" t="s">
        <v>33</v>
      </c>
      <c r="S8" s="24" t="s">
        <v>224</v>
      </c>
      <c r="T8" s="19"/>
      <c r="U8" s="120"/>
      <c r="V8" s="19"/>
      <c r="W8" s="19"/>
      <c r="X8" s="84">
        <f>MONTH(Tabla1[[#This Row],[fecha
de
pedido]])</f>
        <v>2</v>
      </c>
      <c r="Y8" s="84">
        <f>YEAR(Tabla1[[#This Row],[fecha
de
pedido]])</f>
        <v>2016</v>
      </c>
    </row>
    <row r="9" spans="1:25" ht="12.75" customHeight="1" x14ac:dyDescent="0.2">
      <c r="A9" s="150">
        <v>42425</v>
      </c>
      <c r="B9" s="118" t="s">
        <v>487</v>
      </c>
      <c r="C9" s="118" t="s">
        <v>921</v>
      </c>
      <c r="D9" s="15" t="s">
        <v>33</v>
      </c>
      <c r="E9" s="24" t="s">
        <v>29</v>
      </c>
      <c r="F9" s="22" t="s">
        <v>921</v>
      </c>
      <c r="G9" s="24" t="s">
        <v>142</v>
      </c>
      <c r="H9" s="15">
        <v>13</v>
      </c>
      <c r="I9" s="15" t="s">
        <v>897</v>
      </c>
      <c r="J9" s="24" t="s">
        <v>225</v>
      </c>
      <c r="K9" s="15"/>
      <c r="L9" s="23">
        <f>Tabla1[[#This Row],[Costo Unitario]]*Tabla1[[#This Row],[cantidad]]</f>
        <v>0</v>
      </c>
      <c r="M9" s="22">
        <v>42439</v>
      </c>
      <c r="N9" s="22">
        <v>42439</v>
      </c>
      <c r="O9" s="22" t="str">
        <f>IF( Tabla1[[#This Row],[Fecha de entrega real]]="","NO CONCRETADO",IF(N9&lt;=M9,"CUMPLIÓ","NO CUMPLIÓ"))</f>
        <v>CUMPLIÓ</v>
      </c>
      <c r="P9" s="138">
        <f t="shared" si="0"/>
        <v>0</v>
      </c>
      <c r="Q9" s="24"/>
      <c r="R9" s="117" t="s">
        <v>33</v>
      </c>
      <c r="S9" s="24" t="s">
        <v>216</v>
      </c>
      <c r="T9" s="19"/>
      <c r="U9" s="120"/>
      <c r="V9" s="19"/>
      <c r="W9" s="19"/>
      <c r="X9" s="84">
        <f>MONTH(Tabla1[[#This Row],[fecha
de
pedido]])</f>
        <v>2</v>
      </c>
      <c r="Y9" s="84">
        <f>YEAR(Tabla1[[#This Row],[fecha
de
pedido]])</f>
        <v>2016</v>
      </c>
    </row>
    <row r="10" spans="1:25" ht="12.75" customHeight="1" x14ac:dyDescent="0.2">
      <c r="A10" s="150">
        <v>42425</v>
      </c>
      <c r="B10" s="118" t="s">
        <v>487</v>
      </c>
      <c r="C10" s="118" t="s">
        <v>921</v>
      </c>
      <c r="D10" s="15" t="s">
        <v>33</v>
      </c>
      <c r="E10" s="24" t="s">
        <v>29</v>
      </c>
      <c r="F10" s="22" t="s">
        <v>921</v>
      </c>
      <c r="G10" s="24" t="s">
        <v>140</v>
      </c>
      <c r="H10" s="15">
        <v>3</v>
      </c>
      <c r="I10" s="15" t="s">
        <v>897</v>
      </c>
      <c r="J10" s="24" t="s">
        <v>225</v>
      </c>
      <c r="K10" s="15">
        <v>135</v>
      </c>
      <c r="L10" s="15">
        <v>405</v>
      </c>
      <c r="M10" s="22">
        <v>42429</v>
      </c>
      <c r="N10" s="22">
        <v>42429</v>
      </c>
      <c r="O10" s="22" t="str">
        <f>IF( Tabla1[[#This Row],[Fecha de entrega real]]="","NO CONCRETADO",IF(N10&lt;=M10,"CUMPLIÓ","NO CUMPLIÓ"))</f>
        <v>CUMPLIÓ</v>
      </c>
      <c r="P10" s="138">
        <f>IF(N10="","NO CONCRETADO",N10-M10)</f>
        <v>0</v>
      </c>
      <c r="Q10" s="24"/>
      <c r="R10" s="117" t="s">
        <v>33</v>
      </c>
      <c r="S10" s="24" t="s">
        <v>216</v>
      </c>
      <c r="X10" s="84">
        <f>MONTH(Tabla1[[#This Row],[fecha
de
pedido]])</f>
        <v>2</v>
      </c>
      <c r="Y10" s="84">
        <f>YEAR(Tabla1[[#This Row],[fecha
de
pedido]])</f>
        <v>2016</v>
      </c>
    </row>
    <row r="11" spans="1:25" ht="12.75" customHeight="1" x14ac:dyDescent="0.2">
      <c r="A11" s="150">
        <v>42425</v>
      </c>
      <c r="B11" s="118" t="s">
        <v>487</v>
      </c>
      <c r="C11" s="118" t="s">
        <v>921</v>
      </c>
      <c r="D11" s="15" t="s">
        <v>33</v>
      </c>
      <c r="E11" s="24" t="s">
        <v>29</v>
      </c>
      <c r="F11" s="22" t="s">
        <v>921</v>
      </c>
      <c r="G11" s="24" t="s">
        <v>139</v>
      </c>
      <c r="H11" s="15">
        <v>3</v>
      </c>
      <c r="I11" s="15" t="s">
        <v>897</v>
      </c>
      <c r="J11" s="24" t="s">
        <v>225</v>
      </c>
      <c r="K11" s="15">
        <v>135</v>
      </c>
      <c r="L11" s="15">
        <v>405</v>
      </c>
      <c r="M11" s="22">
        <v>42439</v>
      </c>
      <c r="N11" s="22">
        <v>42439</v>
      </c>
      <c r="O11" s="22" t="str">
        <f>IF( Tabla1[[#This Row],[Fecha de entrega real]]="","NO CONCRETADO",IF(N11&lt;=M11,"CUMPLIÓ","NO CUMPLIÓ"))</f>
        <v>CUMPLIÓ</v>
      </c>
      <c r="P11" s="138">
        <f>IF(N11="","NO CONCRETADO",N11-M11)</f>
        <v>0</v>
      </c>
      <c r="Q11" s="24"/>
      <c r="R11" s="117" t="s">
        <v>32</v>
      </c>
      <c r="S11" s="24" t="s">
        <v>216</v>
      </c>
      <c r="X11" s="84">
        <f>MONTH(Tabla1[[#This Row],[fecha
de
pedido]])</f>
        <v>2</v>
      </c>
      <c r="Y11" s="84">
        <f>YEAR(Tabla1[[#This Row],[fecha
de
pedido]])</f>
        <v>2016</v>
      </c>
    </row>
    <row r="12" spans="1:25" ht="12.75" customHeight="1" x14ac:dyDescent="0.2">
      <c r="A12" s="150">
        <v>42425</v>
      </c>
      <c r="B12" s="118" t="s">
        <v>487</v>
      </c>
      <c r="C12" s="118" t="s">
        <v>921</v>
      </c>
      <c r="D12" s="15" t="s">
        <v>33</v>
      </c>
      <c r="E12" s="24" t="s">
        <v>29</v>
      </c>
      <c r="F12" s="22" t="s">
        <v>921</v>
      </c>
      <c r="G12" s="24" t="s">
        <v>226</v>
      </c>
      <c r="H12" s="15">
        <v>1</v>
      </c>
      <c r="I12" s="15" t="s">
        <v>911</v>
      </c>
      <c r="J12" s="24" t="s">
        <v>225</v>
      </c>
      <c r="K12" s="15">
        <v>85</v>
      </c>
      <c r="L12" s="15">
        <v>85</v>
      </c>
      <c r="M12" s="22">
        <v>42429</v>
      </c>
      <c r="N12" s="22">
        <v>42429</v>
      </c>
      <c r="O12" s="22" t="str">
        <f>IF( Tabla1[[#This Row],[Fecha de entrega real]]="","NO CONCRETADO",IF(N12&lt;=M12,"CUMPLIÓ","NO CUMPLIÓ"))</f>
        <v>CUMPLIÓ</v>
      </c>
      <c r="P12" s="138">
        <f>IF(N12="","NO CONCRETADO",N12-M12)</f>
        <v>0</v>
      </c>
      <c r="Q12" s="24"/>
      <c r="R12" s="117" t="s">
        <v>33</v>
      </c>
      <c r="S12" s="24" t="s">
        <v>216</v>
      </c>
      <c r="X12" s="84">
        <f>MONTH(Tabla1[[#This Row],[fecha
de
pedido]])</f>
        <v>2</v>
      </c>
      <c r="Y12" s="84">
        <f>YEAR(Tabla1[[#This Row],[fecha
de
pedido]])</f>
        <v>2016</v>
      </c>
    </row>
    <row r="13" spans="1:25" ht="12.75" customHeight="1" x14ac:dyDescent="0.2">
      <c r="A13" s="150">
        <v>42430</v>
      </c>
      <c r="B13" s="118" t="s">
        <v>487</v>
      </c>
      <c r="C13" s="118" t="s">
        <v>921</v>
      </c>
      <c r="D13" s="15" t="s">
        <v>232</v>
      </c>
      <c r="E13" s="24" t="s">
        <v>29</v>
      </c>
      <c r="F13" s="22" t="s">
        <v>921</v>
      </c>
      <c r="G13" s="24" t="s">
        <v>177</v>
      </c>
      <c r="H13" s="15">
        <v>6</v>
      </c>
      <c r="I13" s="15" t="s">
        <v>784</v>
      </c>
      <c r="J13" s="24" t="s">
        <v>225</v>
      </c>
      <c r="K13" s="15">
        <v>180.29</v>
      </c>
      <c r="L13" s="15">
        <f>K13*H13</f>
        <v>1081.74</v>
      </c>
      <c r="M13" s="22">
        <v>42446</v>
      </c>
      <c r="N13" s="22">
        <v>42445</v>
      </c>
      <c r="O13" s="22" t="str">
        <f>IF( Tabla1[[#This Row],[Fecha de entrega real]]="","NO CONCRETADO",IF(N13&lt;=M13,"CUMPLIÓ","NO CUMPLIÓ"))</f>
        <v>CUMPLIÓ</v>
      </c>
      <c r="P13" s="138">
        <f t="shared" si="0"/>
        <v>-1</v>
      </c>
      <c r="Q13" s="24"/>
      <c r="R13" s="24" t="s">
        <v>232</v>
      </c>
      <c r="S13" s="24" t="s">
        <v>216</v>
      </c>
      <c r="T13" s="19"/>
      <c r="U13" s="120"/>
      <c r="V13" s="19"/>
      <c r="W13" s="19"/>
      <c r="X13" s="84">
        <f>MONTH(Tabla1[[#This Row],[fecha
de
pedido]])</f>
        <v>3</v>
      </c>
      <c r="Y13" s="84">
        <f>YEAR(Tabla1[[#This Row],[fecha
de
pedido]])</f>
        <v>2016</v>
      </c>
    </row>
    <row r="14" spans="1:25" ht="12.75" customHeight="1" x14ac:dyDescent="0.2">
      <c r="A14" s="151">
        <v>42432</v>
      </c>
      <c r="B14" s="118" t="s">
        <v>487</v>
      </c>
      <c r="C14" s="118" t="s">
        <v>921</v>
      </c>
      <c r="D14" s="15" t="s">
        <v>33</v>
      </c>
      <c r="E14" s="24" t="s">
        <v>29</v>
      </c>
      <c r="F14" s="22" t="s">
        <v>921</v>
      </c>
      <c r="G14" s="24" t="s">
        <v>229</v>
      </c>
      <c r="H14" s="15">
        <v>1</v>
      </c>
      <c r="I14" s="15" t="s">
        <v>926</v>
      </c>
      <c r="J14" s="24" t="s">
        <v>228</v>
      </c>
      <c r="K14" s="15"/>
      <c r="L14" s="15"/>
      <c r="M14" s="22">
        <v>42432</v>
      </c>
      <c r="N14" s="22">
        <v>42432</v>
      </c>
      <c r="O14" s="22" t="str">
        <f>IF( Tabla1[[#This Row],[Fecha de entrega real]]="","NO CONCRETADO",IF(N14&lt;=M14,"CUMPLIÓ","NO CUMPLIÓ"))</f>
        <v>CUMPLIÓ</v>
      </c>
      <c r="P14" s="138">
        <f t="shared" si="0"/>
        <v>0</v>
      </c>
      <c r="Q14" s="24"/>
      <c r="R14" s="117" t="s">
        <v>33</v>
      </c>
      <c r="S14" s="24" t="s">
        <v>216</v>
      </c>
      <c r="T14" s="19"/>
      <c r="U14" s="120" t="s">
        <v>230</v>
      </c>
      <c r="V14" s="19"/>
      <c r="W14" s="19"/>
      <c r="X14" s="84">
        <f>MONTH(Tabla1[[#This Row],[fecha
de
pedido]])</f>
        <v>3</v>
      </c>
      <c r="Y14" s="84">
        <f>YEAR(Tabla1[[#This Row],[fecha
de
pedido]])</f>
        <v>2016</v>
      </c>
    </row>
    <row r="15" spans="1:25" ht="12.75" customHeight="1" x14ac:dyDescent="0.2">
      <c r="A15" s="151">
        <v>42433</v>
      </c>
      <c r="B15" s="118" t="s">
        <v>487</v>
      </c>
      <c r="C15" s="118" t="s">
        <v>921</v>
      </c>
      <c r="D15" s="15" t="s">
        <v>33</v>
      </c>
      <c r="E15" s="24" t="s">
        <v>29</v>
      </c>
      <c r="F15" s="22" t="s">
        <v>921</v>
      </c>
      <c r="G15" s="24" t="s">
        <v>204</v>
      </c>
      <c r="H15" s="15">
        <v>180</v>
      </c>
      <c r="I15" s="15" t="s">
        <v>779</v>
      </c>
      <c r="J15" s="24" t="s">
        <v>12</v>
      </c>
      <c r="K15" s="15">
        <v>3.91</v>
      </c>
      <c r="L15" s="15">
        <f>K15*180</f>
        <v>703.80000000000007</v>
      </c>
      <c r="M15" s="22">
        <v>42436</v>
      </c>
      <c r="N15" s="22">
        <v>42437</v>
      </c>
      <c r="O15" s="22" t="str">
        <f>IF( Tabla1[[#This Row],[Fecha de entrega real]]="","NO CONCRETADO",IF(N15&lt;=M15,"CUMPLIÓ","NO CUMPLIÓ"))</f>
        <v>NO CUMPLIÓ</v>
      </c>
      <c r="P15" s="138">
        <f t="shared" si="0"/>
        <v>1</v>
      </c>
      <c r="Q15" s="24"/>
      <c r="R15" s="117" t="s">
        <v>33</v>
      </c>
      <c r="S15" s="24" t="s">
        <v>231</v>
      </c>
      <c r="T15" s="19"/>
      <c r="U15" s="120"/>
      <c r="V15" s="19"/>
      <c r="W15" s="19"/>
      <c r="X15" s="84">
        <f>MONTH(Tabla1[[#This Row],[fecha
de
pedido]])</f>
        <v>3</v>
      </c>
      <c r="Y15" s="84">
        <f>YEAR(Tabla1[[#This Row],[fecha
de
pedido]])</f>
        <v>2016</v>
      </c>
    </row>
    <row r="16" spans="1:25" x14ac:dyDescent="0.2">
      <c r="A16" s="151">
        <v>42439</v>
      </c>
      <c r="B16" s="118" t="s">
        <v>487</v>
      </c>
      <c r="C16" s="118" t="s">
        <v>921</v>
      </c>
      <c r="D16" s="15" t="s">
        <v>232</v>
      </c>
      <c r="E16" s="24" t="s">
        <v>11</v>
      </c>
      <c r="F16" s="22" t="s">
        <v>921</v>
      </c>
      <c r="G16" s="24" t="s">
        <v>239</v>
      </c>
      <c r="H16" s="15">
        <v>1</v>
      </c>
      <c r="I16" s="15" t="s">
        <v>488</v>
      </c>
      <c r="J16" s="24" t="s">
        <v>79</v>
      </c>
      <c r="K16" s="15">
        <v>1500</v>
      </c>
      <c r="L16" s="15">
        <v>1500</v>
      </c>
      <c r="M16" s="22">
        <v>42457</v>
      </c>
      <c r="N16" s="22">
        <v>42457</v>
      </c>
      <c r="O16" s="22" t="str">
        <f>IF( Tabla1[[#This Row],[Fecha de entrega real]]="","NO CONCRETADO",IF(N16&lt;=M16,"CUMPLIÓ","NO CUMPLIÓ"))</f>
        <v>CUMPLIÓ</v>
      </c>
      <c r="P16" s="138">
        <f t="shared" si="0"/>
        <v>0</v>
      </c>
      <c r="Q16" s="24" t="s">
        <v>242</v>
      </c>
      <c r="R16" s="24" t="s">
        <v>232</v>
      </c>
      <c r="S16" s="24" t="s">
        <v>241</v>
      </c>
      <c r="T16" s="19"/>
      <c r="U16" s="120"/>
      <c r="V16" s="19"/>
      <c r="W16" s="19"/>
      <c r="X16" s="84">
        <f>MONTH(Tabla1[[#This Row],[fecha
de
pedido]])</f>
        <v>3</v>
      </c>
      <c r="Y16" s="84">
        <f>YEAR(Tabla1[[#This Row],[fecha
de
pedido]])</f>
        <v>2016</v>
      </c>
    </row>
    <row r="17" spans="1:25" ht="14.25" customHeight="1" x14ac:dyDescent="0.2">
      <c r="A17" s="151">
        <v>42439</v>
      </c>
      <c r="B17" s="118" t="s">
        <v>487</v>
      </c>
      <c r="C17" s="118" t="s">
        <v>921</v>
      </c>
      <c r="D17" s="15" t="s">
        <v>232</v>
      </c>
      <c r="E17" s="24" t="s">
        <v>11</v>
      </c>
      <c r="F17" s="22" t="s">
        <v>921</v>
      </c>
      <c r="G17" s="24" t="s">
        <v>237</v>
      </c>
      <c r="H17" s="15">
        <v>1</v>
      </c>
      <c r="I17" s="15"/>
      <c r="J17" s="24" t="s">
        <v>238</v>
      </c>
      <c r="K17" s="15">
        <v>2117.5</v>
      </c>
      <c r="L17" s="15">
        <v>2117.5</v>
      </c>
      <c r="M17" s="22">
        <v>42485</v>
      </c>
      <c r="N17" s="22">
        <v>42485</v>
      </c>
      <c r="O17" s="22" t="str">
        <f>IF( Tabla1[[#This Row],[Fecha de entrega real]]="","NO CONCRETADO",IF(N17&lt;=M17,"CUMPLIÓ","NO CUMPLIÓ"))</f>
        <v>CUMPLIÓ</v>
      </c>
      <c r="P17" s="138">
        <f t="shared" si="0"/>
        <v>0</v>
      </c>
      <c r="Q17" s="24" t="s">
        <v>259</v>
      </c>
      <c r="R17" s="24" t="s">
        <v>232</v>
      </c>
      <c r="S17" s="24" t="s">
        <v>258</v>
      </c>
      <c r="T17" s="19"/>
      <c r="U17" s="120"/>
      <c r="V17" s="19"/>
      <c r="W17" s="19"/>
      <c r="X17" s="84">
        <f>MONTH(Tabla1[[#This Row],[fecha
de
pedido]])</f>
        <v>3</v>
      </c>
      <c r="Y17" s="84">
        <f>YEAR(Tabla1[[#This Row],[fecha
de
pedido]])</f>
        <v>2016</v>
      </c>
    </row>
    <row r="18" spans="1:25" ht="12.75" customHeight="1" x14ac:dyDescent="0.2">
      <c r="A18" s="150"/>
      <c r="B18" s="118" t="s">
        <v>487</v>
      </c>
      <c r="C18" s="118" t="s">
        <v>921</v>
      </c>
      <c r="D18" s="15" t="s">
        <v>232</v>
      </c>
      <c r="E18" s="24" t="s">
        <v>29</v>
      </c>
      <c r="F18" s="22" t="s">
        <v>921</v>
      </c>
      <c r="G18" s="24" t="s">
        <v>146</v>
      </c>
      <c r="H18" s="15">
        <v>2</v>
      </c>
      <c r="I18" s="15" t="s">
        <v>925</v>
      </c>
      <c r="J18" s="24" t="s">
        <v>77</v>
      </c>
      <c r="K18" s="15">
        <v>163.35</v>
      </c>
      <c r="L18" s="15">
        <f>K18*2</f>
        <v>326.7</v>
      </c>
      <c r="M18" s="22">
        <v>42446</v>
      </c>
      <c r="N18" s="22">
        <v>42445</v>
      </c>
      <c r="O18" s="22" t="str">
        <f>IF( Tabla1[[#This Row],[Fecha de entrega real]]="","NO CONCRETADO",IF(N18&lt;=M18,"CUMPLIÓ","NO CUMPLIÓ"))</f>
        <v>CUMPLIÓ</v>
      </c>
      <c r="P18" s="138">
        <f>IF(N18="","NO CONCRETADO",N18-M18)</f>
        <v>-1</v>
      </c>
      <c r="Q18" s="24" t="s">
        <v>245</v>
      </c>
      <c r="R18" s="117" t="s">
        <v>33</v>
      </c>
      <c r="S18" s="24" t="s">
        <v>216</v>
      </c>
      <c r="X18" s="84">
        <f>MONTH(Tabla1[[#This Row],[fecha
de
pedido]])</f>
        <v>1</v>
      </c>
      <c r="Y18" s="84">
        <f>YEAR(Tabla1[[#This Row],[fecha
de
pedido]])</f>
        <v>1900</v>
      </c>
    </row>
    <row r="19" spans="1:25" ht="12.75" customHeight="1" x14ac:dyDescent="0.2">
      <c r="A19" s="151">
        <v>42459</v>
      </c>
      <c r="B19" s="118" t="s">
        <v>487</v>
      </c>
      <c r="C19" s="118" t="s">
        <v>921</v>
      </c>
      <c r="D19" s="15" t="s">
        <v>33</v>
      </c>
      <c r="E19" s="24" t="s">
        <v>31</v>
      </c>
      <c r="F19" s="22" t="s">
        <v>921</v>
      </c>
      <c r="G19" s="24" t="s">
        <v>243</v>
      </c>
      <c r="H19" s="15">
        <v>1</v>
      </c>
      <c r="I19" s="15" t="s">
        <v>912</v>
      </c>
      <c r="J19" s="24" t="s">
        <v>77</v>
      </c>
      <c r="K19" s="15">
        <v>151.9</v>
      </c>
      <c r="L19" s="15">
        <v>303.8</v>
      </c>
      <c r="M19" s="22">
        <v>42460</v>
      </c>
      <c r="N19" s="22">
        <v>42464</v>
      </c>
      <c r="O19" s="22" t="str">
        <f>IF( Tabla1[[#This Row],[Fecha de entrega real]]="","NO CONCRETADO",IF(N19&lt;=M19,"CUMPLIÓ","NO CUMPLIÓ"))</f>
        <v>NO CUMPLIÓ</v>
      </c>
      <c r="P19" s="138">
        <f t="shared" si="0"/>
        <v>4</v>
      </c>
      <c r="Q19" s="24" t="s">
        <v>245</v>
      </c>
      <c r="R19" s="117" t="s">
        <v>32</v>
      </c>
      <c r="S19" s="24" t="s">
        <v>244</v>
      </c>
      <c r="T19" s="19"/>
      <c r="U19" s="120"/>
      <c r="V19" s="19"/>
      <c r="W19" s="19"/>
      <c r="X19" s="84">
        <f>MONTH(Tabla1[[#This Row],[fecha
de
pedido]])</f>
        <v>3</v>
      </c>
      <c r="Y19" s="84">
        <f>YEAR(Tabla1[[#This Row],[fecha
de
pedido]])</f>
        <v>2016</v>
      </c>
    </row>
    <row r="20" spans="1:25" ht="25.5" customHeight="1" x14ac:dyDescent="0.2">
      <c r="A20" s="151">
        <v>42459</v>
      </c>
      <c r="B20" s="118" t="s">
        <v>487</v>
      </c>
      <c r="C20" s="118" t="s">
        <v>921</v>
      </c>
      <c r="D20" s="15" t="s">
        <v>33</v>
      </c>
      <c r="E20" s="24" t="s">
        <v>31</v>
      </c>
      <c r="F20" s="22" t="s">
        <v>921</v>
      </c>
      <c r="G20" s="24" t="s">
        <v>85</v>
      </c>
      <c r="H20" s="15">
        <v>2</v>
      </c>
      <c r="I20" s="15" t="s">
        <v>897</v>
      </c>
      <c r="J20" s="24" t="s">
        <v>225</v>
      </c>
      <c r="K20" s="15">
        <v>540</v>
      </c>
      <c r="L20" s="15">
        <v>1080</v>
      </c>
      <c r="M20" s="22">
        <v>42460</v>
      </c>
      <c r="N20" s="22">
        <v>42465</v>
      </c>
      <c r="O20" s="22" t="str">
        <f>IF( Tabla1[[#This Row],[Fecha de entrega real]]="","NO CONCRETADO",IF(N20&lt;=M20,"CUMPLIÓ","NO CUMPLIÓ"))</f>
        <v>NO CUMPLIÓ</v>
      </c>
      <c r="P20" s="138">
        <f t="shared" si="0"/>
        <v>5</v>
      </c>
      <c r="Q20" s="24" t="s">
        <v>13</v>
      </c>
      <c r="R20" s="117" t="s">
        <v>33</v>
      </c>
      <c r="S20" s="24" t="s">
        <v>250</v>
      </c>
      <c r="T20" s="19"/>
      <c r="U20" s="120"/>
      <c r="V20" s="19"/>
      <c r="W20" s="19"/>
      <c r="X20" s="84">
        <f>MONTH(Tabla1[[#This Row],[fecha
de
pedido]])</f>
        <v>3</v>
      </c>
      <c r="Y20" s="84">
        <f>YEAR(Tabla1[[#This Row],[fecha
de
pedido]])</f>
        <v>2016</v>
      </c>
    </row>
    <row r="21" spans="1:25" ht="12.75" customHeight="1" x14ac:dyDescent="0.2">
      <c r="A21" s="151">
        <v>42464</v>
      </c>
      <c r="B21" s="118" t="s">
        <v>487</v>
      </c>
      <c r="C21" s="118" t="s">
        <v>921</v>
      </c>
      <c r="D21" s="15" t="s">
        <v>33</v>
      </c>
      <c r="E21" s="24" t="s">
        <v>29</v>
      </c>
      <c r="F21" s="22" t="s">
        <v>921</v>
      </c>
      <c r="G21" s="24" t="s">
        <v>204</v>
      </c>
      <c r="H21" s="15">
        <v>220</v>
      </c>
      <c r="I21" s="15" t="s">
        <v>779</v>
      </c>
      <c r="J21" s="24" t="s">
        <v>12</v>
      </c>
      <c r="K21" s="15">
        <v>3.91</v>
      </c>
      <c r="L21" s="15">
        <v>821.1</v>
      </c>
      <c r="M21" s="22">
        <v>42467</v>
      </c>
      <c r="N21" s="22">
        <v>42467</v>
      </c>
      <c r="O21" s="22" t="str">
        <f>IF( Tabla1[[#This Row],[Fecha de entrega real]]="","NO CONCRETADO",IF(N21&lt;=M21,"CUMPLIÓ","NO CUMPLIÓ"))</f>
        <v>CUMPLIÓ</v>
      </c>
      <c r="P21" s="138">
        <f t="shared" si="0"/>
        <v>0</v>
      </c>
      <c r="Q21" s="24"/>
      <c r="R21" s="117" t="s">
        <v>248</v>
      </c>
      <c r="S21" s="24" t="s">
        <v>246</v>
      </c>
      <c r="T21" s="19"/>
      <c r="U21" s="120">
        <v>1281</v>
      </c>
      <c r="V21" s="19"/>
      <c r="W21" s="19" t="s">
        <v>249</v>
      </c>
      <c r="X21" s="84">
        <f>MONTH(Tabla1[[#This Row],[fecha
de
pedido]])</f>
        <v>4</v>
      </c>
      <c r="Y21" s="84">
        <f>YEAR(Tabla1[[#This Row],[fecha
de
pedido]])</f>
        <v>2016</v>
      </c>
    </row>
    <row r="22" spans="1:25" ht="12.75" customHeight="1" x14ac:dyDescent="0.2">
      <c r="A22" s="151">
        <v>42471</v>
      </c>
      <c r="B22" s="118" t="s">
        <v>487</v>
      </c>
      <c r="C22" s="118" t="s">
        <v>921</v>
      </c>
      <c r="D22" s="15" t="s">
        <v>33</v>
      </c>
      <c r="E22" s="24" t="s">
        <v>29</v>
      </c>
      <c r="F22" s="22" t="s">
        <v>921</v>
      </c>
      <c r="G22" s="24" t="s">
        <v>24</v>
      </c>
      <c r="H22" s="15">
        <v>3</v>
      </c>
      <c r="I22" s="15" t="s">
        <v>781</v>
      </c>
      <c r="J22" s="24" t="s">
        <v>27</v>
      </c>
      <c r="K22" s="15">
        <v>450</v>
      </c>
      <c r="L22" s="15">
        <v>1350</v>
      </c>
      <c r="M22" s="22">
        <v>42474</v>
      </c>
      <c r="N22" s="22">
        <v>42474</v>
      </c>
      <c r="O22" s="22" t="str">
        <f>IF( Tabla1[[#This Row],[Fecha de entrega real]]="","NO CONCRETADO",IF(N22&lt;=M22,"CUMPLIÓ","NO CUMPLIÓ"))</f>
        <v>CUMPLIÓ</v>
      </c>
      <c r="P22" s="138">
        <f t="shared" si="0"/>
        <v>0</v>
      </c>
      <c r="Q22" s="24"/>
      <c r="R22" s="117" t="s">
        <v>33</v>
      </c>
      <c r="S22" s="24"/>
      <c r="T22" s="19"/>
      <c r="U22" s="120"/>
      <c r="V22" s="19"/>
      <c r="W22" s="19"/>
      <c r="X22" s="84">
        <f>MONTH(Tabla1[[#This Row],[fecha
de
pedido]])</f>
        <v>4</v>
      </c>
      <c r="Y22" s="84">
        <f>YEAR(Tabla1[[#This Row],[fecha
de
pedido]])</f>
        <v>2016</v>
      </c>
    </row>
    <row r="23" spans="1:25" ht="12.75" customHeight="1" x14ac:dyDescent="0.2">
      <c r="A23" s="151">
        <v>42480</v>
      </c>
      <c r="B23" s="118" t="s">
        <v>487</v>
      </c>
      <c r="C23" s="118" t="s">
        <v>921</v>
      </c>
      <c r="D23" s="15" t="s">
        <v>33</v>
      </c>
      <c r="E23" s="24" t="s">
        <v>29</v>
      </c>
      <c r="F23" s="22" t="s">
        <v>921</v>
      </c>
      <c r="G23" s="24" t="s">
        <v>204</v>
      </c>
      <c r="H23" s="15">
        <v>200</v>
      </c>
      <c r="I23" s="15" t="s">
        <v>779</v>
      </c>
      <c r="J23" s="24" t="s">
        <v>12</v>
      </c>
      <c r="K23" s="15"/>
      <c r="L23" s="15"/>
      <c r="M23" s="22">
        <v>42481</v>
      </c>
      <c r="N23" s="22">
        <v>42481</v>
      </c>
      <c r="O23" s="22" t="str">
        <f>IF( Tabla1[[#This Row],[Fecha de entrega real]]="","NO CONCRETADO",IF(N23&lt;=M23,"CUMPLIÓ","NO CUMPLIÓ"))</f>
        <v>CUMPLIÓ</v>
      </c>
      <c r="P23" s="138">
        <f t="shared" si="0"/>
        <v>0</v>
      </c>
      <c r="Q23" s="24"/>
      <c r="R23" s="117" t="s">
        <v>33</v>
      </c>
      <c r="S23" s="24"/>
      <c r="T23" s="19"/>
      <c r="U23" s="120"/>
      <c r="V23" s="19"/>
      <c r="W23" s="19"/>
      <c r="X23" s="84">
        <f>MONTH(Tabla1[[#This Row],[fecha
de
pedido]])</f>
        <v>4</v>
      </c>
      <c r="Y23" s="84">
        <f>YEAR(Tabla1[[#This Row],[fecha
de
pedido]])</f>
        <v>2016</v>
      </c>
    </row>
    <row r="24" spans="1:25" ht="12.75" customHeight="1" x14ac:dyDescent="0.2">
      <c r="A24" s="151">
        <v>42494</v>
      </c>
      <c r="B24" s="118" t="s">
        <v>487</v>
      </c>
      <c r="C24" s="118" t="s">
        <v>921</v>
      </c>
      <c r="D24" s="15" t="s">
        <v>33</v>
      </c>
      <c r="E24" s="24" t="s">
        <v>29</v>
      </c>
      <c r="F24" s="22" t="s">
        <v>921</v>
      </c>
      <c r="G24" s="24" t="s">
        <v>204</v>
      </c>
      <c r="H24" s="15">
        <v>240</v>
      </c>
      <c r="I24" s="15" t="s">
        <v>779</v>
      </c>
      <c r="J24" s="24" t="s">
        <v>12</v>
      </c>
      <c r="K24" s="15">
        <v>3.91</v>
      </c>
      <c r="L24" s="15">
        <v>938.4</v>
      </c>
      <c r="M24" s="22">
        <v>42495</v>
      </c>
      <c r="N24" s="22">
        <v>42495</v>
      </c>
      <c r="O24" s="22" t="str">
        <f>IF( Tabla1[[#This Row],[Fecha de entrega real]]="","NO CONCRETADO",IF(N24&lt;=M24,"CUMPLIÓ","NO CUMPLIÓ"))</f>
        <v>CUMPLIÓ</v>
      </c>
      <c r="P24" s="138">
        <f t="shared" si="0"/>
        <v>0</v>
      </c>
      <c r="Q24" s="24"/>
      <c r="R24" s="117" t="s">
        <v>33</v>
      </c>
      <c r="S24" s="24"/>
      <c r="T24" s="19"/>
      <c r="U24" s="120"/>
      <c r="V24" s="19"/>
      <c r="W24" s="19"/>
      <c r="X24" s="84">
        <f>MONTH(Tabla1[[#This Row],[fecha
de
pedido]])</f>
        <v>5</v>
      </c>
      <c r="Y24" s="84">
        <f>YEAR(Tabla1[[#This Row],[fecha
de
pedido]])</f>
        <v>2016</v>
      </c>
    </row>
    <row r="25" spans="1:25" ht="12.75" customHeight="1" x14ac:dyDescent="0.2">
      <c r="A25" s="151">
        <v>42494</v>
      </c>
      <c r="B25" s="118" t="s">
        <v>487</v>
      </c>
      <c r="C25" s="118" t="s">
        <v>921</v>
      </c>
      <c r="D25" s="15" t="s">
        <v>34</v>
      </c>
      <c r="E25" s="24" t="s">
        <v>11</v>
      </c>
      <c r="F25" s="22" t="s">
        <v>921</v>
      </c>
      <c r="G25" s="24" t="s">
        <v>252</v>
      </c>
      <c r="H25" s="15">
        <v>1</v>
      </c>
      <c r="I25" s="15" t="s">
        <v>781</v>
      </c>
      <c r="J25" s="24" t="s">
        <v>15</v>
      </c>
      <c r="K25" s="15">
        <v>7070</v>
      </c>
      <c r="L25" s="15">
        <v>7070</v>
      </c>
      <c r="M25" s="22">
        <v>42501</v>
      </c>
      <c r="N25" s="22">
        <v>42503</v>
      </c>
      <c r="O25" s="22" t="str">
        <f>IF( Tabla1[[#This Row],[Fecha de entrega real]]="","NO CONCRETADO",IF(N25&lt;=M25,"CUMPLIÓ","NO CUMPLIÓ"))</f>
        <v>NO CUMPLIÓ</v>
      </c>
      <c r="P25" s="138">
        <f t="shared" si="0"/>
        <v>2</v>
      </c>
      <c r="Q25" s="24"/>
      <c r="R25" s="117" t="s">
        <v>35</v>
      </c>
      <c r="S25" s="24" t="s">
        <v>260</v>
      </c>
      <c r="T25" s="19"/>
      <c r="U25" s="120"/>
      <c r="V25" s="19"/>
      <c r="W25" s="19"/>
      <c r="X25" s="84">
        <f>MONTH(Tabla1[[#This Row],[fecha
de
pedido]])</f>
        <v>5</v>
      </c>
      <c r="Y25" s="84">
        <f>YEAR(Tabla1[[#This Row],[fecha
de
pedido]])</f>
        <v>2016</v>
      </c>
    </row>
    <row r="26" spans="1:25" ht="12.75" customHeight="1" x14ac:dyDescent="0.2">
      <c r="A26" s="151">
        <v>42494</v>
      </c>
      <c r="B26" s="118" t="s">
        <v>487</v>
      </c>
      <c r="C26" s="118" t="s">
        <v>921</v>
      </c>
      <c r="D26" s="15" t="s">
        <v>34</v>
      </c>
      <c r="E26" s="24" t="s">
        <v>11</v>
      </c>
      <c r="F26" s="22" t="s">
        <v>921</v>
      </c>
      <c r="G26" s="24" t="s">
        <v>251</v>
      </c>
      <c r="H26" s="15">
        <v>1</v>
      </c>
      <c r="I26" s="15" t="s">
        <v>781</v>
      </c>
      <c r="J26" s="24" t="s">
        <v>82</v>
      </c>
      <c r="K26" s="15" t="s">
        <v>253</v>
      </c>
      <c r="L26" s="15" t="s">
        <v>253</v>
      </c>
      <c r="M26" s="22">
        <v>42507</v>
      </c>
      <c r="N26" s="22">
        <v>42507</v>
      </c>
      <c r="O26" s="22" t="str">
        <f>IF( Tabla1[[#This Row],[Fecha de entrega real]]="","NO CONCRETADO",IF(N26&lt;=M26,"CUMPLIÓ","NO CUMPLIÓ"))</f>
        <v>CUMPLIÓ</v>
      </c>
      <c r="P26" s="138">
        <f t="shared" si="0"/>
        <v>0</v>
      </c>
      <c r="Q26" s="24"/>
      <c r="R26" s="117" t="s">
        <v>35</v>
      </c>
      <c r="S26" s="24" t="s">
        <v>260</v>
      </c>
      <c r="T26" s="19"/>
      <c r="U26" s="120"/>
      <c r="V26" s="19"/>
      <c r="W26" s="19"/>
      <c r="X26" s="84">
        <f>MONTH(Tabla1[[#This Row],[fecha
de
pedido]])</f>
        <v>5</v>
      </c>
      <c r="Y26" s="84">
        <f>YEAR(Tabla1[[#This Row],[fecha
de
pedido]])</f>
        <v>2016</v>
      </c>
    </row>
    <row r="27" spans="1:25" ht="14.25" customHeight="1" x14ac:dyDescent="0.2">
      <c r="A27" s="151">
        <v>42507</v>
      </c>
      <c r="B27" s="118" t="s">
        <v>487</v>
      </c>
      <c r="C27" s="118" t="s">
        <v>921</v>
      </c>
      <c r="D27" s="15" t="s">
        <v>33</v>
      </c>
      <c r="E27" s="24" t="s">
        <v>29</v>
      </c>
      <c r="F27" s="22" t="s">
        <v>921</v>
      </c>
      <c r="G27" s="24" t="s">
        <v>204</v>
      </c>
      <c r="H27" s="15">
        <v>220</v>
      </c>
      <c r="I27" s="15" t="s">
        <v>779</v>
      </c>
      <c r="J27" s="24" t="s">
        <v>12</v>
      </c>
      <c r="K27" s="15">
        <v>3.91</v>
      </c>
      <c r="L27" s="15">
        <v>860.2</v>
      </c>
      <c r="M27" s="22">
        <v>42509</v>
      </c>
      <c r="N27" s="22">
        <v>42509</v>
      </c>
      <c r="O27" s="22" t="str">
        <f>IF( Tabla1[[#This Row],[Fecha de entrega real]]="","NO CONCRETADO",IF(N27&lt;=M27,"CUMPLIÓ","NO CUMPLIÓ"))</f>
        <v>CUMPLIÓ</v>
      </c>
      <c r="P27" s="138">
        <f t="shared" si="0"/>
        <v>0</v>
      </c>
      <c r="Q27" s="24" t="s">
        <v>13</v>
      </c>
      <c r="R27" s="117" t="s">
        <v>33</v>
      </c>
      <c r="S27" s="24" t="s">
        <v>256</v>
      </c>
      <c r="T27" s="19"/>
      <c r="U27" s="120">
        <v>571</v>
      </c>
      <c r="V27" s="19"/>
      <c r="W27" s="19"/>
      <c r="X27" s="84">
        <f>MONTH(Tabla1[[#This Row],[fecha
de
pedido]])</f>
        <v>5</v>
      </c>
      <c r="Y27" s="84">
        <f>YEAR(Tabla1[[#This Row],[fecha
de
pedido]])</f>
        <v>2016</v>
      </c>
    </row>
    <row r="28" spans="1:25" ht="25.5" customHeight="1" x14ac:dyDescent="0.2">
      <c r="A28" s="150">
        <v>42510</v>
      </c>
      <c r="B28" s="118" t="s">
        <v>487</v>
      </c>
      <c r="C28" s="118" t="s">
        <v>921</v>
      </c>
      <c r="D28" s="15" t="s">
        <v>33</v>
      </c>
      <c r="E28" s="24" t="s">
        <v>29</v>
      </c>
      <c r="F28" s="22" t="s">
        <v>921</v>
      </c>
      <c r="G28" s="24" t="s">
        <v>24</v>
      </c>
      <c r="H28" s="15">
        <v>4</v>
      </c>
      <c r="I28" s="15" t="s">
        <v>781</v>
      </c>
      <c r="J28" s="24" t="s">
        <v>27</v>
      </c>
      <c r="K28" s="15">
        <v>280</v>
      </c>
      <c r="L28" s="15">
        <v>2240</v>
      </c>
      <c r="M28" s="22">
        <v>42513</v>
      </c>
      <c r="N28" s="22">
        <v>42516</v>
      </c>
      <c r="O28" s="22" t="str">
        <f>IF( Tabla1[[#This Row],[Fecha de entrega real]]="","NO CONCRETADO",IF(N28&lt;=M28,"CUMPLIÓ","NO CUMPLIÓ"))</f>
        <v>NO CUMPLIÓ</v>
      </c>
      <c r="P28" s="138">
        <f t="shared" si="0"/>
        <v>3</v>
      </c>
      <c r="Q28" s="24" t="s">
        <v>13</v>
      </c>
      <c r="R28" s="117" t="s">
        <v>33</v>
      </c>
      <c r="S28" s="24" t="s">
        <v>257</v>
      </c>
      <c r="T28" s="19"/>
      <c r="U28" s="120"/>
      <c r="V28" s="19"/>
      <c r="W28" s="19"/>
      <c r="X28" s="84">
        <f>MONTH(Tabla1[[#This Row],[fecha
de
pedido]])</f>
        <v>5</v>
      </c>
      <c r="Y28" s="84">
        <f>YEAR(Tabla1[[#This Row],[fecha
de
pedido]])</f>
        <v>2016</v>
      </c>
    </row>
    <row r="29" spans="1:25" ht="12.75" customHeight="1" x14ac:dyDescent="0.2">
      <c r="A29" s="150">
        <v>42516</v>
      </c>
      <c r="B29" s="118" t="s">
        <v>487</v>
      </c>
      <c r="C29" s="118" t="s">
        <v>921</v>
      </c>
      <c r="D29" s="15" t="s">
        <v>232</v>
      </c>
      <c r="E29" s="24" t="s">
        <v>29</v>
      </c>
      <c r="F29" s="22" t="s">
        <v>921</v>
      </c>
      <c r="G29" s="24" t="s">
        <v>19</v>
      </c>
      <c r="H29" s="15">
        <v>20</v>
      </c>
      <c r="I29" s="15" t="s">
        <v>784</v>
      </c>
      <c r="J29" s="24" t="s">
        <v>77</v>
      </c>
      <c r="K29" s="15"/>
      <c r="L29" s="15"/>
      <c r="M29" s="22">
        <v>42523</v>
      </c>
      <c r="N29" s="22">
        <v>42523</v>
      </c>
      <c r="O29" s="22" t="str">
        <f>IF( Tabla1[[#This Row],[Fecha de entrega real]]="","NO CONCRETADO",IF(N29&lt;=M29,"CUMPLIÓ","NO CUMPLIÓ"))</f>
        <v>CUMPLIÓ</v>
      </c>
      <c r="P29" s="138">
        <f t="shared" si="0"/>
        <v>0</v>
      </c>
      <c r="Q29" s="24"/>
      <c r="R29" s="117"/>
      <c r="S29" s="24" t="s">
        <v>261</v>
      </c>
      <c r="T29" s="19"/>
      <c r="U29" s="120"/>
      <c r="V29" s="19"/>
      <c r="W29" s="19"/>
      <c r="X29" s="84">
        <f>MONTH(Tabla1[[#This Row],[fecha
de
pedido]])</f>
        <v>5</v>
      </c>
      <c r="Y29" s="84">
        <f>YEAR(Tabla1[[#This Row],[fecha
de
pedido]])</f>
        <v>2016</v>
      </c>
    </row>
    <row r="30" spans="1:25" ht="12.75" customHeight="1" x14ac:dyDescent="0.2">
      <c r="A30" s="150">
        <v>42522</v>
      </c>
      <c r="B30" s="118" t="s">
        <v>487</v>
      </c>
      <c r="C30" s="118" t="s">
        <v>921</v>
      </c>
      <c r="D30" s="15" t="s">
        <v>33</v>
      </c>
      <c r="E30" s="24" t="s">
        <v>29</v>
      </c>
      <c r="F30" s="22" t="s">
        <v>921</v>
      </c>
      <c r="G30" s="24" t="s">
        <v>204</v>
      </c>
      <c r="H30" s="15">
        <v>200</v>
      </c>
      <c r="I30" s="15" t="s">
        <v>779</v>
      </c>
      <c r="J30" s="24" t="s">
        <v>12</v>
      </c>
      <c r="K30" s="15">
        <v>3.91</v>
      </c>
      <c r="L30" s="15">
        <v>782</v>
      </c>
      <c r="M30" s="22">
        <v>42523</v>
      </c>
      <c r="N30" s="22">
        <v>42523</v>
      </c>
      <c r="O30" s="22" t="str">
        <f>IF( Tabla1[[#This Row],[Fecha de entrega real]]="","NO CONCRETADO",IF(N30&lt;=M30,"CUMPLIÓ","NO CUMPLIÓ"))</f>
        <v>CUMPLIÓ</v>
      </c>
      <c r="P30" s="138">
        <f t="shared" si="0"/>
        <v>0</v>
      </c>
      <c r="Q30" s="24" t="s">
        <v>13</v>
      </c>
      <c r="R30" s="117" t="s">
        <v>33</v>
      </c>
      <c r="S30" s="24" t="s">
        <v>262</v>
      </c>
      <c r="T30" s="19"/>
      <c r="U30" s="120">
        <v>586</v>
      </c>
      <c r="V30" s="19"/>
      <c r="W30" s="19"/>
      <c r="X30" s="84">
        <f>MONTH(Tabla1[[#This Row],[fecha
de
pedido]])</f>
        <v>6</v>
      </c>
      <c r="Y30" s="84">
        <f>YEAR(Tabla1[[#This Row],[fecha
de
pedido]])</f>
        <v>2016</v>
      </c>
    </row>
    <row r="31" spans="1:25" ht="12.75" customHeight="1" x14ac:dyDescent="0.2">
      <c r="A31" s="150">
        <v>42534</v>
      </c>
      <c r="B31" s="118" t="s">
        <v>487</v>
      </c>
      <c r="C31" s="118" t="s">
        <v>921</v>
      </c>
      <c r="D31" s="15" t="s">
        <v>232</v>
      </c>
      <c r="E31" s="24" t="s">
        <v>29</v>
      </c>
      <c r="F31" s="22" t="s">
        <v>921</v>
      </c>
      <c r="G31" s="24" t="s">
        <v>166</v>
      </c>
      <c r="H31" s="15">
        <v>200</v>
      </c>
      <c r="I31" s="15" t="s">
        <v>927</v>
      </c>
      <c r="J31" s="24" t="s">
        <v>75</v>
      </c>
      <c r="K31" s="15"/>
      <c r="L31" s="15"/>
      <c r="M31" s="22">
        <v>42906</v>
      </c>
      <c r="N31" s="22">
        <v>42906</v>
      </c>
      <c r="O31" s="22" t="str">
        <f>IF( Tabla1[[#This Row],[Fecha de entrega real]]="","NO CONCRETADO",IF(N31&lt;=M31,"CUMPLIÓ","NO CUMPLIÓ"))</f>
        <v>CUMPLIÓ</v>
      </c>
      <c r="P31" s="138">
        <f t="shared" si="0"/>
        <v>0</v>
      </c>
      <c r="Q31" s="24"/>
      <c r="R31" s="117"/>
      <c r="S31" s="24" t="s">
        <v>263</v>
      </c>
      <c r="T31" s="19"/>
      <c r="U31" s="120"/>
      <c r="V31" s="19"/>
      <c r="W31" s="19"/>
      <c r="X31" s="84">
        <f>MONTH(Tabla1[[#This Row],[fecha
de
pedido]])</f>
        <v>6</v>
      </c>
      <c r="Y31" s="84">
        <f>YEAR(Tabla1[[#This Row],[fecha
de
pedido]])</f>
        <v>2016</v>
      </c>
    </row>
    <row r="32" spans="1:25" ht="12.75" customHeight="1" x14ac:dyDescent="0.2">
      <c r="A32" s="150">
        <v>42536</v>
      </c>
      <c r="B32" s="118" t="s">
        <v>487</v>
      </c>
      <c r="C32" s="118" t="s">
        <v>921</v>
      </c>
      <c r="D32" s="15" t="s">
        <v>33</v>
      </c>
      <c r="E32" s="24" t="s">
        <v>29</v>
      </c>
      <c r="F32" s="22" t="s">
        <v>921</v>
      </c>
      <c r="G32" s="24" t="s">
        <v>204</v>
      </c>
      <c r="H32" s="15">
        <v>200</v>
      </c>
      <c r="I32" s="15" t="s">
        <v>779</v>
      </c>
      <c r="J32" s="24" t="s">
        <v>12</v>
      </c>
      <c r="K32" s="15">
        <v>3.91</v>
      </c>
      <c r="L32" s="15">
        <v>782</v>
      </c>
      <c r="M32" s="22">
        <v>42537</v>
      </c>
      <c r="N32" s="22">
        <v>42537</v>
      </c>
      <c r="O32" s="22" t="str">
        <f>IF( Tabla1[[#This Row],[Fecha de entrega real]]="","NO CONCRETADO",IF(N32&lt;=M32,"CUMPLIÓ","NO CUMPLIÓ"))</f>
        <v>CUMPLIÓ</v>
      </c>
      <c r="P32" s="138">
        <f t="shared" si="0"/>
        <v>0</v>
      </c>
      <c r="Q32" s="24"/>
      <c r="R32" s="117"/>
      <c r="S32" s="24"/>
      <c r="T32" s="19"/>
      <c r="U32" s="120"/>
      <c r="V32" s="19"/>
      <c r="W32" s="19"/>
      <c r="X32" s="84">
        <f>MONTH(Tabla1[[#This Row],[fecha
de
pedido]])</f>
        <v>6</v>
      </c>
      <c r="Y32" s="84">
        <f>YEAR(Tabla1[[#This Row],[fecha
de
pedido]])</f>
        <v>2016</v>
      </c>
    </row>
    <row r="33" spans="1:25" ht="12.75" customHeight="1" x14ac:dyDescent="0.2">
      <c r="A33" s="150">
        <v>42545</v>
      </c>
      <c r="B33" s="118" t="s">
        <v>487</v>
      </c>
      <c r="C33" s="118" t="s">
        <v>921</v>
      </c>
      <c r="D33" s="15" t="s">
        <v>33</v>
      </c>
      <c r="E33" s="24" t="s">
        <v>31</v>
      </c>
      <c r="F33" s="22" t="s">
        <v>921</v>
      </c>
      <c r="G33" s="24" t="s">
        <v>264</v>
      </c>
      <c r="H33" s="15">
        <v>10</v>
      </c>
      <c r="I33" s="15" t="s">
        <v>800</v>
      </c>
      <c r="J33" s="24" t="s">
        <v>77</v>
      </c>
      <c r="K33" s="15">
        <v>19.36</v>
      </c>
      <c r="L33" s="15">
        <v>193.6</v>
      </c>
      <c r="M33" s="22">
        <v>42549</v>
      </c>
      <c r="N33" s="22">
        <v>42549</v>
      </c>
      <c r="O33" s="22" t="str">
        <f>IF( Tabla1[[#This Row],[Fecha de entrega real]]="","NO CONCRETADO",IF(N33&lt;=M33,"CUMPLIÓ","NO CUMPLIÓ"))</f>
        <v>CUMPLIÓ</v>
      </c>
      <c r="P33" s="138">
        <f t="shared" si="0"/>
        <v>0</v>
      </c>
      <c r="Q33" s="24" t="s">
        <v>13</v>
      </c>
      <c r="R33" s="117" t="s">
        <v>33</v>
      </c>
      <c r="S33" s="24" t="s">
        <v>244</v>
      </c>
      <c r="T33" s="19"/>
      <c r="U33" s="120">
        <v>5485</v>
      </c>
      <c r="V33" s="19"/>
      <c r="W33" s="19"/>
      <c r="X33" s="84">
        <f>MONTH(Tabla1[[#This Row],[fecha
de
pedido]])</f>
        <v>6</v>
      </c>
      <c r="Y33" s="84">
        <f>YEAR(Tabla1[[#This Row],[fecha
de
pedido]])</f>
        <v>2016</v>
      </c>
    </row>
    <row r="34" spans="1:25" ht="12.75" customHeight="1" x14ac:dyDescent="0.2">
      <c r="A34" s="150">
        <v>42545</v>
      </c>
      <c r="B34" s="118" t="s">
        <v>487</v>
      </c>
      <c r="C34" s="118" t="s">
        <v>921</v>
      </c>
      <c r="D34" s="15" t="s">
        <v>33</v>
      </c>
      <c r="E34" s="24" t="s">
        <v>31</v>
      </c>
      <c r="F34" s="22" t="s">
        <v>921</v>
      </c>
      <c r="G34" s="24" t="s">
        <v>177</v>
      </c>
      <c r="H34" s="15">
        <v>5</v>
      </c>
      <c r="I34" s="15" t="s">
        <v>800</v>
      </c>
      <c r="J34" s="24" t="s">
        <v>77</v>
      </c>
      <c r="K34" s="15">
        <v>228.69</v>
      </c>
      <c r="L34" s="15">
        <v>1143.45</v>
      </c>
      <c r="M34" s="22">
        <v>42549</v>
      </c>
      <c r="N34" s="22">
        <v>42549</v>
      </c>
      <c r="O34" s="22" t="str">
        <f>IF( Tabla1[[#This Row],[Fecha de entrega real]]="","NO CONCRETADO",IF(N34&lt;=M34,"CUMPLIÓ","NO CUMPLIÓ"))</f>
        <v>CUMPLIÓ</v>
      </c>
      <c r="P34" s="138">
        <f t="shared" si="0"/>
        <v>0</v>
      </c>
      <c r="Q34" s="24" t="s">
        <v>13</v>
      </c>
      <c r="R34" s="117" t="s">
        <v>33</v>
      </c>
      <c r="S34" s="24" t="s">
        <v>244</v>
      </c>
      <c r="T34" s="19"/>
      <c r="U34" s="120">
        <v>5485</v>
      </c>
      <c r="V34" s="19"/>
      <c r="W34" s="19"/>
      <c r="X34" s="84">
        <f>MONTH(Tabla1[[#This Row],[fecha
de
pedido]])</f>
        <v>6</v>
      </c>
      <c r="Y34" s="84">
        <f>YEAR(Tabla1[[#This Row],[fecha
de
pedido]])</f>
        <v>2016</v>
      </c>
    </row>
    <row r="35" spans="1:25" ht="12.75" customHeight="1" x14ac:dyDescent="0.2">
      <c r="A35" s="150">
        <v>42545</v>
      </c>
      <c r="B35" s="118" t="s">
        <v>487</v>
      </c>
      <c r="C35" s="118" t="s">
        <v>921</v>
      </c>
      <c r="D35" s="15" t="s">
        <v>33</v>
      </c>
      <c r="E35" s="24" t="s">
        <v>31</v>
      </c>
      <c r="F35" s="22" t="s">
        <v>921</v>
      </c>
      <c r="G35" s="24" t="s">
        <v>265</v>
      </c>
      <c r="H35" s="15">
        <v>9</v>
      </c>
      <c r="I35" s="15" t="s">
        <v>800</v>
      </c>
      <c r="J35" s="24" t="s">
        <v>77</v>
      </c>
      <c r="K35" s="15">
        <v>87.12</v>
      </c>
      <c r="L35" s="15">
        <v>784.08</v>
      </c>
      <c r="M35" s="22">
        <v>42549</v>
      </c>
      <c r="N35" s="22">
        <v>42549</v>
      </c>
      <c r="O35" s="22" t="str">
        <f>IF( Tabla1[[#This Row],[Fecha de entrega real]]="","NO CONCRETADO",IF(N35&lt;=M35,"CUMPLIÓ","NO CUMPLIÓ"))</f>
        <v>CUMPLIÓ</v>
      </c>
      <c r="P35" s="138">
        <f t="shared" si="0"/>
        <v>0</v>
      </c>
      <c r="Q35" s="24" t="s">
        <v>13</v>
      </c>
      <c r="R35" s="117" t="s">
        <v>33</v>
      </c>
      <c r="S35" s="24" t="s">
        <v>244</v>
      </c>
      <c r="T35" s="19"/>
      <c r="U35" s="120">
        <v>5485</v>
      </c>
      <c r="V35" s="19"/>
      <c r="W35" s="19"/>
      <c r="X35" s="84">
        <f>MONTH(Tabla1[[#This Row],[fecha
de
pedido]])</f>
        <v>6</v>
      </c>
      <c r="Y35" s="84">
        <f>YEAR(Tabla1[[#This Row],[fecha
de
pedido]])</f>
        <v>2016</v>
      </c>
    </row>
    <row r="36" spans="1:25" ht="25.5" customHeight="1" x14ac:dyDescent="0.2">
      <c r="A36" s="150">
        <v>42552</v>
      </c>
      <c r="B36" s="118" t="s">
        <v>487</v>
      </c>
      <c r="C36" s="118" t="s">
        <v>921</v>
      </c>
      <c r="D36" s="15" t="s">
        <v>227</v>
      </c>
      <c r="E36" s="24" t="s">
        <v>31</v>
      </c>
      <c r="F36" s="22" t="s">
        <v>921</v>
      </c>
      <c r="G36" s="24" t="s">
        <v>16</v>
      </c>
      <c r="H36" s="15">
        <v>12</v>
      </c>
      <c r="I36" s="15" t="s">
        <v>779</v>
      </c>
      <c r="J36" s="24" t="s">
        <v>77</v>
      </c>
      <c r="K36" s="15">
        <v>28</v>
      </c>
      <c r="L36" s="15">
        <f>Tabla1[[#This Row],[Costo Unitario]]*Tabla1[[#This Row],[cantidad]]</f>
        <v>336</v>
      </c>
      <c r="M36" s="22">
        <v>42556</v>
      </c>
      <c r="N36" s="22"/>
      <c r="O36" s="22" t="str">
        <f>IF( Tabla1[[#This Row],[Fecha de entrega real]]="","NO CONCRETADO",IF(N36&lt;=M36,"CUMPLIÓ","NO CUMPLIÓ"))</f>
        <v>NO CONCRETADO</v>
      </c>
      <c r="P36" s="138" t="str">
        <f t="shared" si="0"/>
        <v>NO CONCRETADO</v>
      </c>
      <c r="Q36" s="24"/>
      <c r="R36" s="117"/>
      <c r="S36" s="24" t="s">
        <v>933</v>
      </c>
      <c r="T36" s="19"/>
      <c r="U36" s="120"/>
      <c r="V36" s="19"/>
      <c r="W36" s="19"/>
      <c r="X36" s="84">
        <f>MONTH(Tabla1[[#This Row],[fecha
de
pedido]])</f>
        <v>7</v>
      </c>
      <c r="Y36" s="84">
        <f>YEAR(Tabla1[[#This Row],[fecha
de
pedido]])</f>
        <v>2016</v>
      </c>
    </row>
    <row r="37" spans="1:25" ht="12.75" customHeight="1" x14ac:dyDescent="0.2">
      <c r="A37" s="150">
        <v>42557</v>
      </c>
      <c r="B37" s="118" t="s">
        <v>487</v>
      </c>
      <c r="C37" s="118" t="s">
        <v>921</v>
      </c>
      <c r="D37" s="15" t="s">
        <v>33</v>
      </c>
      <c r="E37" s="24" t="s">
        <v>29</v>
      </c>
      <c r="F37" s="22" t="s">
        <v>921</v>
      </c>
      <c r="G37" s="24" t="s">
        <v>204</v>
      </c>
      <c r="H37" s="15">
        <v>200</v>
      </c>
      <c r="I37" s="15" t="s">
        <v>779</v>
      </c>
      <c r="J37" s="24" t="s">
        <v>12</v>
      </c>
      <c r="K37" s="15">
        <v>4.5</v>
      </c>
      <c r="L37" s="15">
        <v>900</v>
      </c>
      <c r="M37" s="22">
        <v>42558</v>
      </c>
      <c r="N37" s="22">
        <v>42569</v>
      </c>
      <c r="O37" s="22" t="str">
        <f>IF( Tabla1[[#This Row],[Fecha de entrega real]]="","NO CONCRETADO",IF(N37&lt;=M37,"CUMPLIÓ","NO CUMPLIÓ"))</f>
        <v>NO CUMPLIÓ</v>
      </c>
      <c r="P37" s="138">
        <f t="shared" si="0"/>
        <v>11</v>
      </c>
      <c r="Q37" s="24" t="s">
        <v>145</v>
      </c>
      <c r="R37" s="117" t="s">
        <v>33</v>
      </c>
      <c r="S37" s="24" t="s">
        <v>275</v>
      </c>
      <c r="T37" s="19"/>
      <c r="U37" s="120">
        <v>37</v>
      </c>
      <c r="V37" s="19"/>
      <c r="W37" s="19"/>
      <c r="X37" s="84">
        <f>MONTH(Tabla1[[#This Row],[fecha
de
pedido]])</f>
        <v>7</v>
      </c>
      <c r="Y37" s="84">
        <f>YEAR(Tabla1[[#This Row],[fecha
de
pedido]])</f>
        <v>2016</v>
      </c>
    </row>
    <row r="38" spans="1:25" ht="12.75" customHeight="1" x14ac:dyDescent="0.2">
      <c r="A38" s="150">
        <v>42570</v>
      </c>
      <c r="B38" s="118" t="s">
        <v>487</v>
      </c>
      <c r="C38" s="118" t="s">
        <v>921</v>
      </c>
      <c r="D38" s="15" t="s">
        <v>33</v>
      </c>
      <c r="E38" s="24" t="s">
        <v>29</v>
      </c>
      <c r="F38" s="22" t="s">
        <v>921</v>
      </c>
      <c r="G38" s="24" t="s">
        <v>24</v>
      </c>
      <c r="H38" s="15">
        <v>3</v>
      </c>
      <c r="I38" s="15" t="s">
        <v>781</v>
      </c>
      <c r="J38" s="24" t="s">
        <v>27</v>
      </c>
      <c r="K38" s="15">
        <v>315</v>
      </c>
      <c r="L38" s="15">
        <v>1890</v>
      </c>
      <c r="M38" s="22">
        <v>42578</v>
      </c>
      <c r="N38" s="25">
        <v>42579</v>
      </c>
      <c r="O38" s="22" t="str">
        <f>IF( Tabla1[[#This Row],[Fecha de entrega real]]="","NO CONCRETADO",IF(N38&lt;=M38,"CUMPLIÓ","NO CUMPLIÓ"))</f>
        <v>NO CUMPLIÓ</v>
      </c>
      <c r="P38" s="138">
        <f t="shared" si="0"/>
        <v>1</v>
      </c>
      <c r="Q38" s="24" t="s">
        <v>13</v>
      </c>
      <c r="R38" s="117" t="s">
        <v>33</v>
      </c>
      <c r="S38" s="24" t="s">
        <v>244</v>
      </c>
      <c r="T38" s="19"/>
      <c r="U38" s="120"/>
      <c r="V38" s="19"/>
      <c r="W38" s="19"/>
      <c r="X38" s="84">
        <f>MONTH(Tabla1[[#This Row],[fecha
de
pedido]])</f>
        <v>7</v>
      </c>
      <c r="Y38" s="84">
        <f>YEAR(Tabla1[[#This Row],[fecha
de
pedido]])</f>
        <v>2016</v>
      </c>
    </row>
    <row r="39" spans="1:25" ht="12.75" customHeight="1" x14ac:dyDescent="0.2">
      <c r="A39" s="150">
        <v>42584</v>
      </c>
      <c r="B39" s="118" t="s">
        <v>487</v>
      </c>
      <c r="C39" s="118" t="s">
        <v>921</v>
      </c>
      <c r="D39" s="15" t="s">
        <v>33</v>
      </c>
      <c r="E39" s="24" t="s">
        <v>29</v>
      </c>
      <c r="F39" s="22" t="s">
        <v>921</v>
      </c>
      <c r="G39" s="24" t="s">
        <v>204</v>
      </c>
      <c r="H39" s="15">
        <v>230</v>
      </c>
      <c r="I39" s="15" t="s">
        <v>779</v>
      </c>
      <c r="J39" s="24" t="s">
        <v>12</v>
      </c>
      <c r="K39" s="15">
        <v>4.5</v>
      </c>
      <c r="L39" s="15">
        <v>1035</v>
      </c>
      <c r="M39" s="22">
        <v>42586</v>
      </c>
      <c r="N39" s="22">
        <v>42586</v>
      </c>
      <c r="O39" s="22" t="str">
        <f>IF( Tabla1[[#This Row],[Fecha de entrega real]]="","NO CONCRETADO",IF(N39&lt;=M39,"CUMPLIÓ","NO CUMPLIÓ"))</f>
        <v>CUMPLIÓ</v>
      </c>
      <c r="P39" s="138">
        <f t="shared" si="0"/>
        <v>0</v>
      </c>
      <c r="Q39" s="24" t="s">
        <v>13</v>
      </c>
      <c r="R39" s="117" t="s">
        <v>33</v>
      </c>
      <c r="S39" s="24" t="s">
        <v>268</v>
      </c>
      <c r="T39" s="19"/>
      <c r="U39" s="120">
        <v>73</v>
      </c>
      <c r="V39" s="19"/>
      <c r="W39" s="19"/>
      <c r="X39" s="84">
        <f>MONTH(Tabla1[[#This Row],[fecha
de
pedido]])</f>
        <v>8</v>
      </c>
      <c r="Y39" s="84">
        <f>YEAR(Tabla1[[#This Row],[fecha
de
pedido]])</f>
        <v>2016</v>
      </c>
    </row>
    <row r="40" spans="1:25" ht="12.75" customHeight="1" x14ac:dyDescent="0.2">
      <c r="A40" s="150">
        <v>42585</v>
      </c>
      <c r="B40" s="118" t="s">
        <v>487</v>
      </c>
      <c r="C40" s="118" t="s">
        <v>921</v>
      </c>
      <c r="D40" s="15" t="s">
        <v>33</v>
      </c>
      <c r="E40" s="24" t="s">
        <v>31</v>
      </c>
      <c r="F40" s="22" t="s">
        <v>921</v>
      </c>
      <c r="G40" s="24" t="s">
        <v>85</v>
      </c>
      <c r="H40" s="15">
        <v>2</v>
      </c>
      <c r="I40" s="15" t="s">
        <v>911</v>
      </c>
      <c r="J40" s="24" t="s">
        <v>225</v>
      </c>
      <c r="K40" s="15">
        <v>460</v>
      </c>
      <c r="L40" s="15">
        <v>920</v>
      </c>
      <c r="M40" s="22">
        <v>42592</v>
      </c>
      <c r="N40" s="25">
        <v>42592</v>
      </c>
      <c r="O40" s="22" t="str">
        <f>IF( Tabla1[[#This Row],[Fecha de entrega real]]="","NO CONCRETADO",IF(N40&lt;=M40,"CUMPLIÓ","NO CUMPLIÓ"))</f>
        <v>CUMPLIÓ</v>
      </c>
      <c r="P40" s="138">
        <f t="shared" ref="P40:P71" si="1">IF(N40="","NO CONCRETADO",N40-M40)</f>
        <v>0</v>
      </c>
      <c r="Q40" s="24" t="s">
        <v>13</v>
      </c>
      <c r="R40" s="117" t="s">
        <v>33</v>
      </c>
      <c r="S40" s="24" t="s">
        <v>244</v>
      </c>
      <c r="T40" s="19" t="s">
        <v>269</v>
      </c>
      <c r="U40" s="120"/>
      <c r="V40" s="19"/>
      <c r="W40" s="19"/>
      <c r="X40" s="84">
        <f>MONTH(Tabla1[[#This Row],[fecha
de
pedido]])</f>
        <v>8</v>
      </c>
      <c r="Y40" s="84">
        <f>YEAR(Tabla1[[#This Row],[fecha
de
pedido]])</f>
        <v>2016</v>
      </c>
    </row>
    <row r="41" spans="1:25" ht="12.75" customHeight="1" x14ac:dyDescent="0.2">
      <c r="A41" s="150">
        <v>42585</v>
      </c>
      <c r="B41" s="118" t="s">
        <v>487</v>
      </c>
      <c r="C41" s="118" t="s">
        <v>921</v>
      </c>
      <c r="D41" s="15" t="s">
        <v>33</v>
      </c>
      <c r="E41" s="24" t="s">
        <v>31</v>
      </c>
      <c r="F41" s="22" t="s">
        <v>921</v>
      </c>
      <c r="G41" s="24" t="s">
        <v>142</v>
      </c>
      <c r="H41" s="15">
        <v>12</v>
      </c>
      <c r="I41" s="15" t="s">
        <v>904</v>
      </c>
      <c r="J41" s="24" t="s">
        <v>225</v>
      </c>
      <c r="K41" s="15">
        <v>121</v>
      </c>
      <c r="L41" s="15">
        <v>1597</v>
      </c>
      <c r="M41" s="22">
        <v>42607</v>
      </c>
      <c r="N41" s="22">
        <v>42600</v>
      </c>
      <c r="O41" s="22" t="str">
        <f>IF( Tabla1[[#This Row],[Fecha de entrega real]]="","NO CONCRETADO",IF(N41&lt;=M41,"CUMPLIÓ","NO CUMPLIÓ"))</f>
        <v>CUMPLIÓ</v>
      </c>
      <c r="P41" s="138">
        <f t="shared" si="1"/>
        <v>-7</v>
      </c>
      <c r="Q41" s="24" t="s">
        <v>13</v>
      </c>
      <c r="R41" s="117" t="s">
        <v>33</v>
      </c>
      <c r="S41" s="24" t="s">
        <v>14</v>
      </c>
      <c r="T41" s="19" t="s">
        <v>270</v>
      </c>
      <c r="U41" s="120"/>
      <c r="V41" s="19"/>
      <c r="W41" s="19"/>
      <c r="X41" s="84">
        <f>MONTH(Tabla1[[#This Row],[fecha
de
pedido]])</f>
        <v>8</v>
      </c>
      <c r="Y41" s="84">
        <f>YEAR(Tabla1[[#This Row],[fecha
de
pedido]])</f>
        <v>2016</v>
      </c>
    </row>
    <row r="42" spans="1:25" ht="12.75" customHeight="1" x14ac:dyDescent="0.2">
      <c r="A42" s="150">
        <v>42585</v>
      </c>
      <c r="B42" s="118" t="s">
        <v>487</v>
      </c>
      <c r="C42" s="118" t="s">
        <v>921</v>
      </c>
      <c r="D42" s="15" t="s">
        <v>33</v>
      </c>
      <c r="E42" s="24" t="s">
        <v>31</v>
      </c>
      <c r="F42" s="22" t="s">
        <v>921</v>
      </c>
      <c r="G42" s="24" t="s">
        <v>140</v>
      </c>
      <c r="H42" s="15">
        <v>7</v>
      </c>
      <c r="I42" s="15" t="s">
        <v>904</v>
      </c>
      <c r="J42" s="24" t="s">
        <v>225</v>
      </c>
      <c r="K42" s="15">
        <v>121</v>
      </c>
      <c r="L42" s="15">
        <v>847</v>
      </c>
      <c r="M42" s="22">
        <v>42592</v>
      </c>
      <c r="N42" s="22">
        <v>42592</v>
      </c>
      <c r="O42" s="22" t="str">
        <f>IF( Tabla1[[#This Row],[Fecha de entrega real]]="","NO CONCRETADO",IF(N42&lt;=M42,"CUMPLIÓ","NO CUMPLIÓ"))</f>
        <v>CUMPLIÓ</v>
      </c>
      <c r="P42" s="138">
        <f t="shared" si="1"/>
        <v>0</v>
      </c>
      <c r="Q42" s="24" t="s">
        <v>13</v>
      </c>
      <c r="R42" s="117" t="s">
        <v>33</v>
      </c>
      <c r="S42" s="24" t="s">
        <v>244</v>
      </c>
      <c r="T42" s="19" t="s">
        <v>269</v>
      </c>
      <c r="U42" s="120"/>
      <c r="V42" s="19"/>
      <c r="W42" s="19"/>
      <c r="X42" s="84">
        <f>MONTH(Tabla1[[#This Row],[fecha
de
pedido]])</f>
        <v>8</v>
      </c>
      <c r="Y42" s="84">
        <f>YEAR(Tabla1[[#This Row],[fecha
de
pedido]])</f>
        <v>2016</v>
      </c>
    </row>
    <row r="43" spans="1:25" ht="12.75" customHeight="1" x14ac:dyDescent="0.2">
      <c r="A43" s="150">
        <v>42585</v>
      </c>
      <c r="B43" s="118" t="s">
        <v>487</v>
      </c>
      <c r="C43" s="118" t="s">
        <v>921</v>
      </c>
      <c r="D43" s="15" t="s">
        <v>33</v>
      </c>
      <c r="E43" s="24" t="s">
        <v>31</v>
      </c>
      <c r="F43" s="22" t="s">
        <v>921</v>
      </c>
      <c r="G43" s="24" t="s">
        <v>139</v>
      </c>
      <c r="H43" s="15">
        <v>6</v>
      </c>
      <c r="I43" s="15" t="s">
        <v>904</v>
      </c>
      <c r="J43" s="24" t="s">
        <v>267</v>
      </c>
      <c r="K43" s="15">
        <v>121</v>
      </c>
      <c r="L43" s="15">
        <v>726</v>
      </c>
      <c r="M43" s="22">
        <v>42592</v>
      </c>
      <c r="N43" s="22">
        <v>42592</v>
      </c>
      <c r="O43" s="22" t="str">
        <f>IF( Tabla1[[#This Row],[Fecha de entrega real]]="","NO CONCRETADO",IF(N43&lt;=M43,"CUMPLIÓ","NO CUMPLIÓ"))</f>
        <v>CUMPLIÓ</v>
      </c>
      <c r="P43" s="138">
        <f t="shared" si="1"/>
        <v>0</v>
      </c>
      <c r="Q43" s="24" t="s">
        <v>13</v>
      </c>
      <c r="R43" s="117" t="s">
        <v>33</v>
      </c>
      <c r="S43" s="24" t="s">
        <v>244</v>
      </c>
      <c r="T43" s="19" t="s">
        <v>269</v>
      </c>
      <c r="U43" s="120"/>
      <c r="V43" s="19"/>
      <c r="W43" s="19"/>
      <c r="X43" s="84">
        <f>MONTH(Tabla1[[#This Row],[fecha
de
pedido]])</f>
        <v>8</v>
      </c>
      <c r="Y43" s="84">
        <f>YEAR(Tabla1[[#This Row],[fecha
de
pedido]])</f>
        <v>2016</v>
      </c>
    </row>
    <row r="44" spans="1:25" ht="12.75" customHeight="1" x14ac:dyDescent="0.2">
      <c r="A44" s="150">
        <v>42599</v>
      </c>
      <c r="B44" s="118" t="s">
        <v>487</v>
      </c>
      <c r="C44" s="118" t="s">
        <v>921</v>
      </c>
      <c r="D44" s="15" t="s">
        <v>33</v>
      </c>
      <c r="E44" s="24" t="s">
        <v>29</v>
      </c>
      <c r="F44" s="22" t="s">
        <v>921</v>
      </c>
      <c r="G44" s="24" t="s">
        <v>204</v>
      </c>
      <c r="H44" s="15">
        <v>200</v>
      </c>
      <c r="I44" s="15" t="s">
        <v>928</v>
      </c>
      <c r="J44" s="24" t="s">
        <v>12</v>
      </c>
      <c r="K44" s="15">
        <v>4.5</v>
      </c>
      <c r="L44" s="15">
        <v>900</v>
      </c>
      <c r="M44" s="22">
        <v>42600</v>
      </c>
      <c r="N44" s="22">
        <v>42600</v>
      </c>
      <c r="O44" s="22" t="str">
        <f>IF( Tabla1[[#This Row],[Fecha de entrega real]]="","NO CONCRETADO",IF(N44&lt;=M44,"CUMPLIÓ","NO CUMPLIÓ"))</f>
        <v>CUMPLIÓ</v>
      </c>
      <c r="P44" s="138">
        <f t="shared" si="1"/>
        <v>0</v>
      </c>
      <c r="Q44" s="24" t="s">
        <v>13</v>
      </c>
      <c r="R44" s="117" t="s">
        <v>33</v>
      </c>
      <c r="S44" s="24" t="s">
        <v>271</v>
      </c>
      <c r="T44" s="19"/>
      <c r="U44" s="120"/>
      <c r="V44" s="19"/>
      <c r="W44" s="19"/>
      <c r="X44" s="84">
        <f>MONTH(Tabla1[[#This Row],[fecha
de
pedido]])</f>
        <v>8</v>
      </c>
      <c r="Y44" s="84">
        <f>YEAR(Tabla1[[#This Row],[fecha
de
pedido]])</f>
        <v>2016</v>
      </c>
    </row>
    <row r="45" spans="1:25" ht="12.75" customHeight="1" x14ac:dyDescent="0.2">
      <c r="A45" s="150">
        <v>42614</v>
      </c>
      <c r="B45" s="118" t="s">
        <v>487</v>
      </c>
      <c r="C45" s="118" t="s">
        <v>921</v>
      </c>
      <c r="D45" s="15" t="s">
        <v>33</v>
      </c>
      <c r="E45" s="24" t="s">
        <v>29</v>
      </c>
      <c r="F45" s="22" t="s">
        <v>921</v>
      </c>
      <c r="G45" s="24" t="s">
        <v>204</v>
      </c>
      <c r="H45" s="15">
        <v>220</v>
      </c>
      <c r="I45" s="15" t="s">
        <v>928</v>
      </c>
      <c r="J45" s="24" t="s">
        <v>12</v>
      </c>
      <c r="K45" s="15">
        <v>4.5</v>
      </c>
      <c r="L45" s="15">
        <v>990</v>
      </c>
      <c r="M45" s="22">
        <v>42614</v>
      </c>
      <c r="N45" s="22">
        <v>42615</v>
      </c>
      <c r="O45" s="22" t="str">
        <f>IF( Tabla1[[#This Row],[Fecha de entrega real]]="","NO CONCRETADO",IF(N45&lt;=M45,"CUMPLIÓ","NO CUMPLIÓ"))</f>
        <v>NO CUMPLIÓ</v>
      </c>
      <c r="P45" s="138">
        <f t="shared" si="1"/>
        <v>1</v>
      </c>
      <c r="Q45" s="24" t="s">
        <v>13</v>
      </c>
      <c r="R45" s="117" t="s">
        <v>33</v>
      </c>
      <c r="S45" s="24" t="s">
        <v>244</v>
      </c>
      <c r="T45" s="19"/>
      <c r="U45" s="120"/>
      <c r="V45" s="19"/>
      <c r="W45" s="19"/>
      <c r="X45" s="84">
        <f>MONTH(Tabla1[[#This Row],[fecha
de
pedido]])</f>
        <v>9</v>
      </c>
      <c r="Y45" s="84">
        <f>YEAR(Tabla1[[#This Row],[fecha
de
pedido]])</f>
        <v>2016</v>
      </c>
    </row>
    <row r="46" spans="1:25" ht="12.75" customHeight="1" x14ac:dyDescent="0.2">
      <c r="A46" s="150">
        <v>42615</v>
      </c>
      <c r="B46" s="118" t="s">
        <v>487</v>
      </c>
      <c r="C46" s="118" t="s">
        <v>921</v>
      </c>
      <c r="D46" s="15" t="s">
        <v>33</v>
      </c>
      <c r="E46" s="24" t="s">
        <v>31</v>
      </c>
      <c r="F46" s="22" t="s">
        <v>921</v>
      </c>
      <c r="G46" s="24" t="s">
        <v>24</v>
      </c>
      <c r="H46" s="15">
        <v>2</v>
      </c>
      <c r="I46" s="15" t="s">
        <v>781</v>
      </c>
      <c r="J46" s="24" t="s">
        <v>272</v>
      </c>
      <c r="K46" s="15">
        <v>160</v>
      </c>
      <c r="L46" s="15">
        <v>540</v>
      </c>
      <c r="M46" s="22">
        <v>42618</v>
      </c>
      <c r="N46" s="22">
        <v>42619</v>
      </c>
      <c r="O46" s="22" t="str">
        <f>IF( Tabla1[[#This Row],[Fecha de entrega real]]="","NO CONCRETADO",IF(N46&lt;=M46,"CUMPLIÓ","NO CUMPLIÓ"))</f>
        <v>NO CUMPLIÓ</v>
      </c>
      <c r="P46" s="138">
        <f t="shared" si="1"/>
        <v>1</v>
      </c>
      <c r="Q46" s="24" t="s">
        <v>13</v>
      </c>
      <c r="R46" s="117" t="s">
        <v>33</v>
      </c>
      <c r="S46" s="24" t="s">
        <v>244</v>
      </c>
      <c r="T46" s="19"/>
      <c r="U46" s="120">
        <v>238</v>
      </c>
      <c r="V46" s="19"/>
      <c r="W46" s="19"/>
      <c r="X46" s="84">
        <f>MONTH(Tabla1[[#This Row],[fecha
de
pedido]])</f>
        <v>9</v>
      </c>
      <c r="Y46" s="84">
        <f>YEAR(Tabla1[[#This Row],[fecha
de
pedido]])</f>
        <v>2016</v>
      </c>
    </row>
    <row r="47" spans="1:25" ht="12.75" customHeight="1" x14ac:dyDescent="0.2">
      <c r="A47" s="118">
        <v>42621</v>
      </c>
      <c r="B47" s="118" t="s">
        <v>487</v>
      </c>
      <c r="C47" s="118" t="s">
        <v>921</v>
      </c>
      <c r="D47" s="15" t="s">
        <v>33</v>
      </c>
      <c r="E47" s="24" t="s">
        <v>277</v>
      </c>
      <c r="F47" s="22" t="s">
        <v>921</v>
      </c>
      <c r="G47" s="24" t="s">
        <v>85</v>
      </c>
      <c r="H47" s="15">
        <v>1</v>
      </c>
      <c r="I47" s="15" t="s">
        <v>911</v>
      </c>
      <c r="J47" s="24" t="s">
        <v>225</v>
      </c>
      <c r="K47" s="15">
        <v>430</v>
      </c>
      <c r="L47" s="15">
        <v>430</v>
      </c>
      <c r="M47" s="22">
        <v>42626</v>
      </c>
      <c r="N47" s="22">
        <v>42626</v>
      </c>
      <c r="O47" s="22" t="str">
        <f>IF( Tabla1[[#This Row],[Fecha de entrega real]]="","NO CONCRETADO",IF(N47&lt;=M47,"CUMPLIÓ","NO CUMPLIÓ"))</f>
        <v>CUMPLIÓ</v>
      </c>
      <c r="P47" s="138">
        <f t="shared" si="1"/>
        <v>0</v>
      </c>
      <c r="Q47" s="24" t="s">
        <v>13</v>
      </c>
      <c r="R47" s="117" t="s">
        <v>33</v>
      </c>
      <c r="S47" s="24" t="s">
        <v>244</v>
      </c>
      <c r="T47" s="19" t="s">
        <v>278</v>
      </c>
      <c r="U47" s="120"/>
      <c r="V47" s="19"/>
      <c r="W47" s="19"/>
      <c r="X47" s="84">
        <f>MONTH(Tabla1[[#This Row],[fecha
de
pedido]])</f>
        <v>9</v>
      </c>
      <c r="Y47" s="84">
        <f>YEAR(Tabla1[[#This Row],[fecha
de
pedido]])</f>
        <v>2016</v>
      </c>
    </row>
    <row r="48" spans="1:25" ht="12.75" customHeight="1" x14ac:dyDescent="0.2">
      <c r="A48" s="118">
        <v>42621</v>
      </c>
      <c r="B48" s="118" t="s">
        <v>487</v>
      </c>
      <c r="C48" s="118" t="s">
        <v>921</v>
      </c>
      <c r="D48" s="15" t="s">
        <v>33</v>
      </c>
      <c r="E48" s="24" t="s">
        <v>277</v>
      </c>
      <c r="F48" s="22" t="s">
        <v>921</v>
      </c>
      <c r="G48" s="24" t="s">
        <v>85</v>
      </c>
      <c r="H48" s="15">
        <v>1</v>
      </c>
      <c r="I48" s="15" t="s">
        <v>911</v>
      </c>
      <c r="J48" s="24" t="s">
        <v>225</v>
      </c>
      <c r="K48" s="15">
        <v>430</v>
      </c>
      <c r="L48" s="15">
        <v>430</v>
      </c>
      <c r="M48" s="22">
        <v>42635</v>
      </c>
      <c r="N48" s="22">
        <v>42634</v>
      </c>
      <c r="O48" s="22" t="str">
        <f>IF( Tabla1[[#This Row],[Fecha de entrega real]]="","NO CONCRETADO",IF(N48&lt;=M48,"CUMPLIÓ","NO CUMPLIÓ"))</f>
        <v>CUMPLIÓ</v>
      </c>
      <c r="P48" s="138">
        <f t="shared" si="1"/>
        <v>-1</v>
      </c>
      <c r="Q48" s="24" t="s">
        <v>13</v>
      </c>
      <c r="R48" s="117" t="s">
        <v>33</v>
      </c>
      <c r="S48" s="24" t="s">
        <v>244</v>
      </c>
      <c r="T48" s="19" t="s">
        <v>290</v>
      </c>
      <c r="U48" s="120">
        <v>4461</v>
      </c>
      <c r="V48" s="19"/>
      <c r="W48" s="19"/>
      <c r="X48" s="84">
        <f>MONTH(Tabla1[[#This Row],[fecha
de
pedido]])</f>
        <v>9</v>
      </c>
      <c r="Y48" s="84">
        <f>YEAR(Tabla1[[#This Row],[fecha
de
pedido]])</f>
        <v>2016</v>
      </c>
    </row>
    <row r="49" spans="1:25" ht="12.75" customHeight="1" x14ac:dyDescent="0.2">
      <c r="A49" s="118">
        <v>42621</v>
      </c>
      <c r="B49" s="118" t="s">
        <v>487</v>
      </c>
      <c r="C49" s="118" t="s">
        <v>921</v>
      </c>
      <c r="D49" s="15" t="s">
        <v>33</v>
      </c>
      <c r="E49" s="24" t="s">
        <v>277</v>
      </c>
      <c r="F49" s="22" t="s">
        <v>921</v>
      </c>
      <c r="G49" s="24" t="s">
        <v>87</v>
      </c>
      <c r="H49" s="15">
        <v>2</v>
      </c>
      <c r="I49" s="15" t="s">
        <v>904</v>
      </c>
      <c r="J49" s="24" t="s">
        <v>225</v>
      </c>
      <c r="K49" s="15">
        <v>385</v>
      </c>
      <c r="L49" s="15">
        <v>770</v>
      </c>
      <c r="M49" s="22">
        <v>42626</v>
      </c>
      <c r="N49" s="22">
        <v>42626</v>
      </c>
      <c r="O49" s="22" t="str">
        <f>IF( Tabla1[[#This Row],[Fecha de entrega real]]="","NO CONCRETADO",IF(N49&lt;=M49,"CUMPLIÓ","NO CUMPLIÓ"))</f>
        <v>CUMPLIÓ</v>
      </c>
      <c r="P49" s="138">
        <f t="shared" si="1"/>
        <v>0</v>
      </c>
      <c r="Q49" s="24" t="s">
        <v>13</v>
      </c>
      <c r="R49" s="117" t="s">
        <v>33</v>
      </c>
      <c r="S49" s="24" t="s">
        <v>244</v>
      </c>
      <c r="T49" s="19" t="s">
        <v>278</v>
      </c>
      <c r="U49" s="120"/>
      <c r="V49" s="19"/>
      <c r="W49" s="19"/>
      <c r="X49" s="84">
        <f>MONTH(Tabla1[[#This Row],[fecha
de
pedido]])</f>
        <v>9</v>
      </c>
      <c r="Y49" s="84">
        <f>YEAR(Tabla1[[#This Row],[fecha
de
pedido]])</f>
        <v>2016</v>
      </c>
    </row>
    <row r="50" spans="1:25" ht="12.75" customHeight="1" x14ac:dyDescent="0.2">
      <c r="A50" s="118">
        <v>42621</v>
      </c>
      <c r="B50" s="118" t="s">
        <v>487</v>
      </c>
      <c r="C50" s="118" t="s">
        <v>921</v>
      </c>
      <c r="D50" s="15" t="s">
        <v>33</v>
      </c>
      <c r="E50" s="24" t="s">
        <v>277</v>
      </c>
      <c r="F50" s="22" t="s">
        <v>921</v>
      </c>
      <c r="G50" s="24" t="s">
        <v>86</v>
      </c>
      <c r="H50" s="15">
        <v>2</v>
      </c>
      <c r="I50" s="15" t="s">
        <v>904</v>
      </c>
      <c r="J50" s="24" t="s">
        <v>225</v>
      </c>
      <c r="K50" s="15">
        <v>385</v>
      </c>
      <c r="L50" s="15">
        <v>770</v>
      </c>
      <c r="M50" s="22">
        <v>42626</v>
      </c>
      <c r="N50" s="22">
        <v>42626</v>
      </c>
      <c r="O50" s="22" t="str">
        <f>IF( Tabla1[[#This Row],[Fecha de entrega real]]="","NO CONCRETADO",IF(N50&lt;=M50,"CUMPLIÓ","NO CUMPLIÓ"))</f>
        <v>CUMPLIÓ</v>
      </c>
      <c r="P50" s="138">
        <f t="shared" si="1"/>
        <v>0</v>
      </c>
      <c r="Q50" s="24" t="s">
        <v>13</v>
      </c>
      <c r="R50" s="117" t="s">
        <v>33</v>
      </c>
      <c r="S50" s="24" t="s">
        <v>244</v>
      </c>
      <c r="T50" s="19" t="s">
        <v>278</v>
      </c>
      <c r="U50" s="120"/>
      <c r="V50" s="19"/>
      <c r="W50" s="19"/>
      <c r="X50" s="84">
        <f>MONTH(Tabla1[[#This Row],[fecha
de
pedido]])</f>
        <v>9</v>
      </c>
      <c r="Y50" s="84">
        <f>YEAR(Tabla1[[#This Row],[fecha
de
pedido]])</f>
        <v>2016</v>
      </c>
    </row>
    <row r="51" spans="1:25" ht="12.75" customHeight="1" x14ac:dyDescent="0.2">
      <c r="A51" s="118">
        <v>42621</v>
      </c>
      <c r="B51" s="118" t="s">
        <v>487</v>
      </c>
      <c r="C51" s="118" t="s">
        <v>921</v>
      </c>
      <c r="D51" s="15" t="s">
        <v>33</v>
      </c>
      <c r="E51" s="24" t="s">
        <v>11</v>
      </c>
      <c r="F51" s="22" t="s">
        <v>921</v>
      </c>
      <c r="G51" s="24" t="s">
        <v>276</v>
      </c>
      <c r="H51" s="15">
        <v>3</v>
      </c>
      <c r="I51" s="15" t="s">
        <v>800</v>
      </c>
      <c r="J51" s="24" t="s">
        <v>225</v>
      </c>
      <c r="K51" s="15">
        <v>810</v>
      </c>
      <c r="L51" s="15">
        <v>2430</v>
      </c>
      <c r="M51" s="22">
        <v>42637</v>
      </c>
      <c r="N51" s="22">
        <v>42634</v>
      </c>
      <c r="O51" s="22" t="str">
        <f>IF( Tabla1[[#This Row],[Fecha de entrega real]]="","NO CONCRETADO",IF(N51&lt;=M51,"CUMPLIÓ","NO CUMPLIÓ"))</f>
        <v>CUMPLIÓ</v>
      </c>
      <c r="P51" s="138">
        <f t="shared" si="1"/>
        <v>-3</v>
      </c>
      <c r="Q51" s="24" t="s">
        <v>13</v>
      </c>
      <c r="R51" s="117" t="s">
        <v>33</v>
      </c>
      <c r="S51" s="24" t="s">
        <v>244</v>
      </c>
      <c r="T51" s="1" t="s">
        <v>291</v>
      </c>
      <c r="U51" s="107">
        <v>4461</v>
      </c>
      <c r="X51" s="84">
        <f>MONTH(Tabla1[[#This Row],[fecha
de
pedido]])</f>
        <v>9</v>
      </c>
      <c r="Y51" s="84">
        <f>YEAR(Tabla1[[#This Row],[fecha
de
pedido]])</f>
        <v>2016</v>
      </c>
    </row>
    <row r="52" spans="1:25" ht="12.75" customHeight="1" x14ac:dyDescent="0.2">
      <c r="A52" s="118">
        <v>42625</v>
      </c>
      <c r="B52" s="118" t="s">
        <v>487</v>
      </c>
      <c r="C52" s="118" t="s">
        <v>921</v>
      </c>
      <c r="D52" s="15" t="s">
        <v>33</v>
      </c>
      <c r="E52" s="24" t="s">
        <v>277</v>
      </c>
      <c r="F52" s="22" t="s">
        <v>921</v>
      </c>
      <c r="G52" s="24" t="s">
        <v>279</v>
      </c>
      <c r="H52" s="15">
        <v>5</v>
      </c>
      <c r="I52" s="15" t="s">
        <v>929</v>
      </c>
      <c r="J52" s="24" t="s">
        <v>225</v>
      </c>
      <c r="K52" s="15">
        <v>39</v>
      </c>
      <c r="L52" s="15">
        <v>195</v>
      </c>
      <c r="M52" s="22">
        <v>42626</v>
      </c>
      <c r="N52" s="22">
        <v>42626</v>
      </c>
      <c r="O52" s="22" t="str">
        <f>IF( Tabla1[[#This Row],[Fecha de entrega real]]="","NO CONCRETADO",IF(N52&lt;=M52,"CUMPLIÓ","NO CUMPLIÓ"))</f>
        <v>CUMPLIÓ</v>
      </c>
      <c r="P52" s="138">
        <f t="shared" si="1"/>
        <v>0</v>
      </c>
      <c r="Q52" s="24" t="s">
        <v>13</v>
      </c>
      <c r="R52" s="117" t="s">
        <v>33</v>
      </c>
      <c r="S52" s="24" t="s">
        <v>244</v>
      </c>
      <c r="T52" s="1" t="s">
        <v>280</v>
      </c>
      <c r="U52" s="107" t="s">
        <v>281</v>
      </c>
      <c r="X52" s="84">
        <f>MONTH(Tabla1[[#This Row],[fecha
de
pedido]])</f>
        <v>9</v>
      </c>
      <c r="Y52" s="84">
        <f>YEAR(Tabla1[[#This Row],[fecha
de
pedido]])</f>
        <v>2016</v>
      </c>
    </row>
    <row r="53" spans="1:25" ht="12.75" customHeight="1" x14ac:dyDescent="0.2">
      <c r="A53" s="118">
        <v>42625</v>
      </c>
      <c r="B53" s="118" t="s">
        <v>487</v>
      </c>
      <c r="C53" s="118" t="s">
        <v>921</v>
      </c>
      <c r="D53" s="15" t="s">
        <v>33</v>
      </c>
      <c r="E53" s="24" t="s">
        <v>11</v>
      </c>
      <c r="F53" s="22" t="s">
        <v>921</v>
      </c>
      <c r="G53" s="24" t="s">
        <v>282</v>
      </c>
      <c r="H53" s="15">
        <v>3</v>
      </c>
      <c r="I53" s="15" t="s">
        <v>800</v>
      </c>
      <c r="J53" s="24" t="s">
        <v>225</v>
      </c>
      <c r="K53" s="15">
        <v>325</v>
      </c>
      <c r="L53" s="15">
        <v>975</v>
      </c>
      <c r="M53" s="22">
        <v>42634</v>
      </c>
      <c r="N53" s="22">
        <v>42634</v>
      </c>
      <c r="O53" s="22" t="str">
        <f>IF( Tabla1[[#This Row],[Fecha de entrega real]]="","NO CONCRETADO",IF(N53&lt;=M53,"CUMPLIÓ","NO CUMPLIÓ"))</f>
        <v>CUMPLIÓ</v>
      </c>
      <c r="P53" s="138">
        <f t="shared" si="1"/>
        <v>0</v>
      </c>
      <c r="Q53" s="24" t="s">
        <v>13</v>
      </c>
      <c r="R53" s="117" t="s">
        <v>33</v>
      </c>
      <c r="S53" s="24" t="s">
        <v>244</v>
      </c>
      <c r="T53" s="1" t="s">
        <v>291</v>
      </c>
      <c r="U53" s="107">
        <v>4461</v>
      </c>
      <c r="X53" s="84">
        <f>MONTH(Tabla1[[#This Row],[fecha
de
pedido]])</f>
        <v>9</v>
      </c>
      <c r="Y53" s="84">
        <f>YEAR(Tabla1[[#This Row],[fecha
de
pedido]])</f>
        <v>2016</v>
      </c>
    </row>
    <row r="54" spans="1:25" ht="12.75" customHeight="1" x14ac:dyDescent="0.2">
      <c r="A54" s="118">
        <v>42625</v>
      </c>
      <c r="B54" s="118" t="s">
        <v>487</v>
      </c>
      <c r="C54" s="118" t="s">
        <v>921</v>
      </c>
      <c r="D54" s="15" t="s">
        <v>33</v>
      </c>
      <c r="E54" s="24" t="s">
        <v>11</v>
      </c>
      <c r="F54" s="22" t="s">
        <v>921</v>
      </c>
      <c r="G54" s="24" t="s">
        <v>283</v>
      </c>
      <c r="H54" s="15">
        <v>3</v>
      </c>
      <c r="I54" s="15" t="s">
        <v>800</v>
      </c>
      <c r="J54" s="24" t="s">
        <v>225</v>
      </c>
      <c r="K54" s="15">
        <v>495</v>
      </c>
      <c r="L54" s="15">
        <v>1485</v>
      </c>
      <c r="M54" s="22">
        <v>42634</v>
      </c>
      <c r="N54" s="22">
        <v>42628</v>
      </c>
      <c r="O54" s="22" t="str">
        <f>IF( Tabla1[[#This Row],[Fecha de entrega real]]="","NO CONCRETADO",IF(N54&lt;=M54,"CUMPLIÓ","NO CUMPLIÓ"))</f>
        <v>CUMPLIÓ</v>
      </c>
      <c r="P54" s="138">
        <f t="shared" si="1"/>
        <v>-6</v>
      </c>
      <c r="Q54" s="24" t="s">
        <v>13</v>
      </c>
      <c r="R54" s="117" t="s">
        <v>33</v>
      </c>
      <c r="S54" s="24" t="s">
        <v>244</v>
      </c>
      <c r="T54" s="1" t="s">
        <v>289</v>
      </c>
      <c r="U54" s="107">
        <v>4448</v>
      </c>
      <c r="X54" s="84">
        <f>MONTH(Tabla1[[#This Row],[fecha
de
pedido]])</f>
        <v>9</v>
      </c>
      <c r="Y54" s="84">
        <f>YEAR(Tabla1[[#This Row],[fecha
de
pedido]])</f>
        <v>2016</v>
      </c>
    </row>
    <row r="55" spans="1:25" ht="25.5" customHeight="1" x14ac:dyDescent="0.2">
      <c r="A55" s="118">
        <v>42626</v>
      </c>
      <c r="B55" s="118" t="s">
        <v>487</v>
      </c>
      <c r="C55" s="118" t="s">
        <v>921</v>
      </c>
      <c r="D55" s="15" t="s">
        <v>33</v>
      </c>
      <c r="E55" s="24" t="s">
        <v>11</v>
      </c>
      <c r="F55" s="22" t="s">
        <v>921</v>
      </c>
      <c r="G55" s="24" t="s">
        <v>284</v>
      </c>
      <c r="H55" s="15">
        <v>6</v>
      </c>
      <c r="I55" s="15" t="s">
        <v>800</v>
      </c>
      <c r="J55" s="24" t="s">
        <v>225</v>
      </c>
      <c r="K55" s="15">
        <v>250</v>
      </c>
      <c r="L55" s="15">
        <v>1500</v>
      </c>
      <c r="M55" s="22">
        <v>42632</v>
      </c>
      <c r="N55" s="22">
        <v>42641</v>
      </c>
      <c r="O55" s="22" t="str">
        <f>IF( Tabla1[[#This Row],[Fecha de entrega real]]="","NO CONCRETADO",IF(N55&lt;=M55,"CUMPLIÓ","NO CUMPLIÓ"))</f>
        <v>NO CUMPLIÓ</v>
      </c>
      <c r="P55" s="138">
        <f t="shared" si="1"/>
        <v>9</v>
      </c>
      <c r="Q55" s="24" t="s">
        <v>13</v>
      </c>
      <c r="R55" s="117" t="s">
        <v>33</v>
      </c>
      <c r="S55" s="24" t="s">
        <v>297</v>
      </c>
      <c r="T55" s="1" t="s">
        <v>298</v>
      </c>
      <c r="U55" s="107">
        <v>4482</v>
      </c>
      <c r="X55" s="84">
        <f>MONTH(Tabla1[[#This Row],[fecha
de
pedido]])</f>
        <v>9</v>
      </c>
      <c r="Y55" s="84">
        <f>YEAR(Tabla1[[#This Row],[fecha
de
pedido]])</f>
        <v>2016</v>
      </c>
    </row>
    <row r="56" spans="1:25" ht="12.75" customHeight="1" x14ac:dyDescent="0.2">
      <c r="A56" s="118">
        <v>42627</v>
      </c>
      <c r="B56" s="118" t="s">
        <v>487</v>
      </c>
      <c r="C56" s="118" t="s">
        <v>921</v>
      </c>
      <c r="D56" s="15" t="s">
        <v>33</v>
      </c>
      <c r="E56" s="24" t="s">
        <v>285</v>
      </c>
      <c r="F56" s="22" t="s">
        <v>921</v>
      </c>
      <c r="G56" s="24" t="s">
        <v>287</v>
      </c>
      <c r="H56" s="15">
        <v>5</v>
      </c>
      <c r="I56" s="15" t="s">
        <v>800</v>
      </c>
      <c r="J56" s="24" t="s">
        <v>225</v>
      </c>
      <c r="K56" s="15">
        <v>55.7</v>
      </c>
      <c r="L56" s="15">
        <v>278.5</v>
      </c>
      <c r="M56" s="22">
        <v>42629</v>
      </c>
      <c r="N56" s="22">
        <v>42628</v>
      </c>
      <c r="O56" s="22" t="str">
        <f>IF( Tabla1[[#This Row],[Fecha de entrega real]]="","NO CONCRETADO",IF(N56&lt;=M56,"CUMPLIÓ","NO CUMPLIÓ"))</f>
        <v>CUMPLIÓ</v>
      </c>
      <c r="P56" s="138">
        <f t="shared" si="1"/>
        <v>-1</v>
      </c>
      <c r="Q56" s="24" t="s">
        <v>13</v>
      </c>
      <c r="R56" s="24" t="s">
        <v>33</v>
      </c>
      <c r="S56" s="24" t="s">
        <v>244</v>
      </c>
      <c r="T56" s="1" t="s">
        <v>289</v>
      </c>
      <c r="U56" s="107">
        <v>4448</v>
      </c>
      <c r="X56" s="84">
        <f>MONTH(Tabla1[[#This Row],[fecha
de
pedido]])</f>
        <v>9</v>
      </c>
      <c r="Y56" s="84">
        <f>YEAR(Tabla1[[#This Row],[fecha
de
pedido]])</f>
        <v>2016</v>
      </c>
    </row>
    <row r="57" spans="1:25" ht="12.75" customHeight="1" x14ac:dyDescent="0.2">
      <c r="A57" s="118">
        <v>42627</v>
      </c>
      <c r="B57" s="118" t="s">
        <v>487</v>
      </c>
      <c r="C57" s="118" t="s">
        <v>921</v>
      </c>
      <c r="D57" s="15" t="s">
        <v>33</v>
      </c>
      <c r="E57" s="24" t="s">
        <v>285</v>
      </c>
      <c r="F57" s="22" t="s">
        <v>921</v>
      </c>
      <c r="G57" s="24" t="s">
        <v>286</v>
      </c>
      <c r="H57" s="15">
        <v>1</v>
      </c>
      <c r="I57" s="15" t="s">
        <v>800</v>
      </c>
      <c r="J57" s="24" t="s">
        <v>225</v>
      </c>
      <c r="K57" s="15">
        <v>58</v>
      </c>
      <c r="L57" s="15">
        <v>58</v>
      </c>
      <c r="M57" s="22">
        <v>42629</v>
      </c>
      <c r="N57" s="22">
        <v>42628</v>
      </c>
      <c r="O57" s="22" t="str">
        <f>IF( Tabla1[[#This Row],[Fecha de entrega real]]="","NO CONCRETADO",IF(N57&lt;=M57,"CUMPLIÓ","NO CUMPLIÓ"))</f>
        <v>CUMPLIÓ</v>
      </c>
      <c r="P57" s="138">
        <f t="shared" si="1"/>
        <v>-1</v>
      </c>
      <c r="Q57" s="24" t="s">
        <v>13</v>
      </c>
      <c r="R57" s="117" t="s">
        <v>33</v>
      </c>
      <c r="S57" s="24" t="s">
        <v>244</v>
      </c>
      <c r="T57" s="1" t="s">
        <v>289</v>
      </c>
      <c r="U57" s="107">
        <v>4448</v>
      </c>
      <c r="X57" s="84">
        <f>MONTH(Tabla1[[#This Row],[fecha
de
pedido]])</f>
        <v>9</v>
      </c>
      <c r="Y57" s="84">
        <f>YEAR(Tabla1[[#This Row],[fecha
de
pedido]])</f>
        <v>2016</v>
      </c>
    </row>
    <row r="58" spans="1:25" ht="12.75" customHeight="1" x14ac:dyDescent="0.2">
      <c r="A58" s="118">
        <v>42627</v>
      </c>
      <c r="B58" s="118" t="s">
        <v>487</v>
      </c>
      <c r="C58" s="118" t="s">
        <v>921</v>
      </c>
      <c r="D58" s="15" t="s">
        <v>33</v>
      </c>
      <c r="E58" s="24" t="s">
        <v>285</v>
      </c>
      <c r="F58" s="22" t="s">
        <v>921</v>
      </c>
      <c r="G58" s="24" t="s">
        <v>288</v>
      </c>
      <c r="H58" s="15">
        <v>4</v>
      </c>
      <c r="I58" s="15" t="s">
        <v>800</v>
      </c>
      <c r="J58" s="24" t="s">
        <v>225</v>
      </c>
      <c r="K58" s="15">
        <v>58</v>
      </c>
      <c r="L58" s="15">
        <v>232</v>
      </c>
      <c r="M58" s="22">
        <v>42634</v>
      </c>
      <c r="N58" s="22">
        <v>42628</v>
      </c>
      <c r="O58" s="22" t="str">
        <f>IF( Tabla1[[#This Row],[Fecha de entrega real]]="","NO CONCRETADO",IF(N58&lt;=M58,"CUMPLIÓ","NO CUMPLIÓ"))</f>
        <v>CUMPLIÓ</v>
      </c>
      <c r="P58" s="138">
        <f t="shared" si="1"/>
        <v>-6</v>
      </c>
      <c r="Q58" s="24" t="s">
        <v>13</v>
      </c>
      <c r="R58" s="24" t="s">
        <v>33</v>
      </c>
      <c r="S58" s="24" t="s">
        <v>244</v>
      </c>
      <c r="T58" s="1" t="s">
        <v>289</v>
      </c>
      <c r="U58" s="107">
        <v>4448</v>
      </c>
      <c r="X58" s="84">
        <f>MONTH(Tabla1[[#This Row],[fecha
de
pedido]])</f>
        <v>9</v>
      </c>
      <c r="Y58" s="84">
        <f>YEAR(Tabla1[[#This Row],[fecha
de
pedido]])</f>
        <v>2016</v>
      </c>
    </row>
    <row r="59" spans="1:25" ht="12.75" customHeight="1" x14ac:dyDescent="0.2">
      <c r="A59" s="118">
        <v>42629</v>
      </c>
      <c r="B59" s="118" t="s">
        <v>487</v>
      </c>
      <c r="C59" s="118" t="s">
        <v>921</v>
      </c>
      <c r="D59" s="15" t="s">
        <v>33</v>
      </c>
      <c r="E59" s="24" t="s">
        <v>285</v>
      </c>
      <c r="F59" s="22" t="s">
        <v>921</v>
      </c>
      <c r="G59" s="24" t="s">
        <v>204</v>
      </c>
      <c r="H59" s="15">
        <v>230</v>
      </c>
      <c r="I59" s="15" t="s">
        <v>779</v>
      </c>
      <c r="J59" s="24" t="s">
        <v>12</v>
      </c>
      <c r="K59" s="15">
        <v>4.5</v>
      </c>
      <c r="L59" s="15">
        <v>1035</v>
      </c>
      <c r="M59" s="22">
        <v>42633</v>
      </c>
      <c r="N59" s="22">
        <v>42633</v>
      </c>
      <c r="O59" s="22" t="str">
        <f>IF( Tabla1[[#This Row],[Fecha de entrega real]]="","NO CONCRETADO",IF(N59&lt;=M59,"CUMPLIÓ","NO CUMPLIÓ"))</f>
        <v>CUMPLIÓ</v>
      </c>
      <c r="P59" s="138">
        <f t="shared" si="1"/>
        <v>0</v>
      </c>
      <c r="Q59" s="24" t="s">
        <v>13</v>
      </c>
      <c r="R59" s="24" t="s">
        <v>32</v>
      </c>
      <c r="S59" s="24" t="s">
        <v>244</v>
      </c>
      <c r="X59" s="84">
        <f>MONTH(Tabla1[[#This Row],[fecha
de
pedido]])</f>
        <v>9</v>
      </c>
      <c r="Y59" s="84">
        <f>YEAR(Tabla1[[#This Row],[fecha
de
pedido]])</f>
        <v>2016</v>
      </c>
    </row>
    <row r="60" spans="1:25" ht="25.5" customHeight="1" x14ac:dyDescent="0.2">
      <c r="A60" s="118">
        <v>42633</v>
      </c>
      <c r="B60" s="118" t="s">
        <v>487</v>
      </c>
      <c r="C60" s="118" t="s">
        <v>921</v>
      </c>
      <c r="D60" s="15" t="s">
        <v>33</v>
      </c>
      <c r="E60" s="24" t="s">
        <v>11</v>
      </c>
      <c r="F60" s="22" t="s">
        <v>921</v>
      </c>
      <c r="G60" s="24" t="s">
        <v>294</v>
      </c>
      <c r="H60" s="15">
        <v>10</v>
      </c>
      <c r="I60" s="15" t="s">
        <v>784</v>
      </c>
      <c r="J60" s="24" t="s">
        <v>82</v>
      </c>
      <c r="K60" s="15">
        <v>66.599999999999994</v>
      </c>
      <c r="L60" s="15">
        <v>666</v>
      </c>
      <c r="M60" s="22">
        <v>42636</v>
      </c>
      <c r="N60" s="22">
        <v>42635</v>
      </c>
      <c r="O60" s="22" t="str">
        <f>IF( Tabla1[[#This Row],[Fecha de entrega real]]="","NO CONCRETADO",IF(N60&lt;=M60,"CUMPLIÓ","NO CUMPLIÓ"))</f>
        <v>CUMPLIÓ</v>
      </c>
      <c r="P60" s="138">
        <f t="shared" si="1"/>
        <v>-1</v>
      </c>
      <c r="Q60" s="24" t="s">
        <v>13</v>
      </c>
      <c r="R60" s="24" t="s">
        <v>227</v>
      </c>
      <c r="S60" s="24" t="s">
        <v>293</v>
      </c>
      <c r="X60" s="84">
        <f>MONTH(Tabla1[[#This Row],[fecha
de
pedido]])</f>
        <v>9</v>
      </c>
      <c r="Y60" s="84">
        <f>YEAR(Tabla1[[#This Row],[fecha
de
pedido]])</f>
        <v>2016</v>
      </c>
    </row>
    <row r="61" spans="1:25" ht="25.5" customHeight="1" x14ac:dyDescent="0.2">
      <c r="A61" s="118">
        <v>42633</v>
      </c>
      <c r="B61" s="118" t="s">
        <v>487</v>
      </c>
      <c r="C61" s="118" t="s">
        <v>921</v>
      </c>
      <c r="D61" s="15" t="s">
        <v>33</v>
      </c>
      <c r="E61" s="24" t="s">
        <v>11</v>
      </c>
      <c r="F61" s="22" t="s">
        <v>921</v>
      </c>
      <c r="G61" s="24" t="s">
        <v>292</v>
      </c>
      <c r="H61" s="15">
        <v>10</v>
      </c>
      <c r="I61" s="15" t="s">
        <v>784</v>
      </c>
      <c r="J61" s="24" t="s">
        <v>82</v>
      </c>
      <c r="K61" s="15">
        <v>60.4</v>
      </c>
      <c r="L61" s="15">
        <v>604</v>
      </c>
      <c r="M61" s="22">
        <v>42636</v>
      </c>
      <c r="N61" s="22">
        <v>42635</v>
      </c>
      <c r="O61" s="22" t="str">
        <f>IF( Tabla1[[#This Row],[Fecha de entrega real]]="","NO CONCRETADO",IF(N61&lt;=M61,"CUMPLIÓ","NO CUMPLIÓ"))</f>
        <v>CUMPLIÓ</v>
      </c>
      <c r="P61" s="124">
        <f t="shared" si="1"/>
        <v>-1</v>
      </c>
      <c r="Q61" s="24" t="s">
        <v>13</v>
      </c>
      <c r="R61" s="24" t="s">
        <v>227</v>
      </c>
      <c r="S61" s="24" t="s">
        <v>293</v>
      </c>
      <c r="X61" s="84">
        <f>MONTH(Tabla1[[#This Row],[fecha
de
pedido]])</f>
        <v>9</v>
      </c>
      <c r="Y61" s="84">
        <f>YEAR(Tabla1[[#This Row],[fecha
de
pedido]])</f>
        <v>2016</v>
      </c>
    </row>
    <row r="62" spans="1:25" ht="12.75" customHeight="1" x14ac:dyDescent="0.2">
      <c r="A62" s="118">
        <v>42633</v>
      </c>
      <c r="B62" s="118" t="s">
        <v>487</v>
      </c>
      <c r="C62" s="118" t="s">
        <v>921</v>
      </c>
      <c r="D62" s="15" t="s">
        <v>33</v>
      </c>
      <c r="E62" s="24" t="s">
        <v>11</v>
      </c>
      <c r="F62" s="22" t="s">
        <v>921</v>
      </c>
      <c r="G62" s="24" t="s">
        <v>295</v>
      </c>
      <c r="H62" s="15">
        <v>1</v>
      </c>
      <c r="I62" s="15" t="s">
        <v>912</v>
      </c>
      <c r="J62" s="24" t="s">
        <v>225</v>
      </c>
      <c r="K62" s="15">
        <v>630</v>
      </c>
      <c r="L62" s="15">
        <v>630</v>
      </c>
      <c r="M62" s="22">
        <v>42641</v>
      </c>
      <c r="N62" s="22">
        <v>42639</v>
      </c>
      <c r="O62" s="22" t="str">
        <f>IF( Tabla1[[#This Row],[Fecha de entrega real]]="","NO CONCRETADO",IF(N62&lt;=M62,"CUMPLIÓ","NO CUMPLIÓ"))</f>
        <v>CUMPLIÓ</v>
      </c>
      <c r="P62" s="124">
        <f t="shared" si="1"/>
        <v>-2</v>
      </c>
      <c r="Q62" s="24" t="s">
        <v>13</v>
      </c>
      <c r="R62" s="24" t="s">
        <v>33</v>
      </c>
      <c r="S62" s="24" t="s">
        <v>244</v>
      </c>
      <c r="T62" s="1" t="s">
        <v>296</v>
      </c>
      <c r="U62" s="107">
        <v>4479</v>
      </c>
      <c r="X62" s="84">
        <f>MONTH(Tabla1[[#This Row],[fecha
de
pedido]])</f>
        <v>9</v>
      </c>
      <c r="Y62" s="84">
        <f>YEAR(Tabla1[[#This Row],[fecha
de
pedido]])</f>
        <v>2016</v>
      </c>
    </row>
    <row r="63" spans="1:25" ht="12.75" customHeight="1" x14ac:dyDescent="0.2">
      <c r="A63" s="118">
        <v>42641</v>
      </c>
      <c r="B63" s="118" t="s">
        <v>487</v>
      </c>
      <c r="C63" s="118" t="s">
        <v>921</v>
      </c>
      <c r="D63" s="15" t="s">
        <v>33</v>
      </c>
      <c r="E63" s="24" t="s">
        <v>277</v>
      </c>
      <c r="F63" s="22" t="s">
        <v>921</v>
      </c>
      <c r="G63" s="24" t="s">
        <v>24</v>
      </c>
      <c r="H63" s="15">
        <v>6</v>
      </c>
      <c r="I63" s="15"/>
      <c r="J63" s="24" t="s">
        <v>299</v>
      </c>
      <c r="K63" s="15">
        <v>225</v>
      </c>
      <c r="L63" s="15">
        <v>1350</v>
      </c>
      <c r="M63" s="22">
        <v>42642</v>
      </c>
      <c r="N63" s="22">
        <v>42643</v>
      </c>
      <c r="O63" s="22" t="str">
        <f>IF( Tabla1[[#This Row],[Fecha de entrega real]]="","NO CONCRETADO",IF(N63&lt;=M63,"CUMPLIÓ","NO CUMPLIÓ"))</f>
        <v>NO CUMPLIÓ</v>
      </c>
      <c r="P63" s="124">
        <f t="shared" si="1"/>
        <v>1</v>
      </c>
      <c r="Q63" s="24" t="s">
        <v>13</v>
      </c>
      <c r="R63" s="24" t="s">
        <v>33</v>
      </c>
      <c r="S63" s="24" t="s">
        <v>244</v>
      </c>
      <c r="U63" s="107" t="s">
        <v>300</v>
      </c>
      <c r="X63" s="84">
        <f>MONTH(Tabla1[[#This Row],[fecha
de
pedido]])</f>
        <v>9</v>
      </c>
      <c r="Y63" s="84">
        <f>YEAR(Tabla1[[#This Row],[fecha
de
pedido]])</f>
        <v>2016</v>
      </c>
    </row>
    <row r="64" spans="1:25" ht="12.75" customHeight="1" x14ac:dyDescent="0.2">
      <c r="A64" s="118">
        <v>42646</v>
      </c>
      <c r="B64" s="118" t="s">
        <v>487</v>
      </c>
      <c r="C64" s="118" t="s">
        <v>921</v>
      </c>
      <c r="D64" s="15" t="s">
        <v>33</v>
      </c>
      <c r="E64" s="24" t="s">
        <v>285</v>
      </c>
      <c r="F64" s="22" t="s">
        <v>921</v>
      </c>
      <c r="G64" s="24" t="s">
        <v>204</v>
      </c>
      <c r="H64" s="15">
        <v>210</v>
      </c>
      <c r="I64" s="15" t="s">
        <v>779</v>
      </c>
      <c r="J64" s="24" t="s">
        <v>12</v>
      </c>
      <c r="K64" s="15">
        <v>4.5</v>
      </c>
      <c r="L64" s="15">
        <v>945</v>
      </c>
      <c r="M64" s="22">
        <v>42647</v>
      </c>
      <c r="N64" s="22">
        <v>42646</v>
      </c>
      <c r="O64" s="22" t="str">
        <f>IF( Tabla1[[#This Row],[Fecha de entrega real]]="","NO CONCRETADO",IF(N64&lt;=M64,"CUMPLIÓ","NO CUMPLIÓ"))</f>
        <v>CUMPLIÓ</v>
      </c>
      <c r="P64" s="138">
        <f t="shared" si="1"/>
        <v>-1</v>
      </c>
      <c r="Q64" s="24" t="s">
        <v>13</v>
      </c>
      <c r="R64" s="24" t="s">
        <v>33</v>
      </c>
      <c r="S64" s="24" t="s">
        <v>302</v>
      </c>
      <c r="U64" s="107" t="s">
        <v>301</v>
      </c>
      <c r="X64" s="84">
        <f>MONTH(Tabla1[[#This Row],[fecha
de
pedido]])</f>
        <v>10</v>
      </c>
      <c r="Y64" s="84">
        <f>YEAR(Tabla1[[#This Row],[fecha
de
pedido]])</f>
        <v>2016</v>
      </c>
    </row>
    <row r="65" spans="1:25" ht="12.75" customHeight="1" x14ac:dyDescent="0.2">
      <c r="A65" s="118">
        <v>42647</v>
      </c>
      <c r="B65" s="118" t="s">
        <v>487</v>
      </c>
      <c r="C65" s="118" t="s">
        <v>921</v>
      </c>
      <c r="D65" s="15" t="s">
        <v>33</v>
      </c>
      <c r="E65" s="24" t="s">
        <v>277</v>
      </c>
      <c r="F65" s="22" t="s">
        <v>921</v>
      </c>
      <c r="G65" s="24" t="s">
        <v>279</v>
      </c>
      <c r="H65" s="15">
        <v>100</v>
      </c>
      <c r="I65" s="15" t="s">
        <v>929</v>
      </c>
      <c r="J65" s="24" t="s">
        <v>267</v>
      </c>
      <c r="K65" s="15">
        <v>39</v>
      </c>
      <c r="L65" s="15">
        <v>3900</v>
      </c>
      <c r="M65" s="22">
        <v>42655</v>
      </c>
      <c r="N65" s="22">
        <v>42655</v>
      </c>
      <c r="O65" s="22" t="str">
        <f>IF( Tabla1[[#This Row],[Fecha de entrega real]]="","NO CONCRETADO",IF(N65&lt;=M65,"CUMPLIÓ","NO CUMPLIÓ"))</f>
        <v>CUMPLIÓ</v>
      </c>
      <c r="P65" s="124">
        <f t="shared" si="1"/>
        <v>0</v>
      </c>
      <c r="Q65" s="24" t="s">
        <v>13</v>
      </c>
      <c r="R65" s="24" t="s">
        <v>33</v>
      </c>
      <c r="S65" s="24" t="s">
        <v>244</v>
      </c>
      <c r="U65" s="107" t="s">
        <v>306</v>
      </c>
      <c r="X65" s="84">
        <f>MONTH(Tabla1[[#This Row],[fecha
de
pedido]])</f>
        <v>10</v>
      </c>
      <c r="Y65" s="84">
        <f>YEAR(Tabla1[[#This Row],[fecha
de
pedido]])</f>
        <v>2016</v>
      </c>
    </row>
    <row r="66" spans="1:25" ht="38.25" customHeight="1" x14ac:dyDescent="0.2">
      <c r="A66" s="118">
        <v>42654</v>
      </c>
      <c r="B66" s="118" t="s">
        <v>487</v>
      </c>
      <c r="C66" s="118" t="s">
        <v>921</v>
      </c>
      <c r="D66" s="15" t="s">
        <v>33</v>
      </c>
      <c r="E66" s="24" t="s">
        <v>11</v>
      </c>
      <c r="F66" s="22" t="s">
        <v>921</v>
      </c>
      <c r="G66" s="24" t="s">
        <v>303</v>
      </c>
      <c r="H66" s="15">
        <v>40</v>
      </c>
      <c r="I66" s="15" t="s">
        <v>784</v>
      </c>
      <c r="J66" s="24" t="s">
        <v>267</v>
      </c>
      <c r="K66" s="15">
        <v>106</v>
      </c>
      <c r="L66" s="15">
        <v>4240</v>
      </c>
      <c r="M66" s="22">
        <v>42661</v>
      </c>
      <c r="N66" s="22">
        <v>42675</v>
      </c>
      <c r="O66" s="22" t="str">
        <f>IF( Tabla1[[#This Row],[Fecha de entrega real]]="","NO CONCRETADO",IF(N66&lt;=M66,"CUMPLIÓ","NO CUMPLIÓ"))</f>
        <v>NO CUMPLIÓ</v>
      </c>
      <c r="P66" s="138">
        <f t="shared" si="1"/>
        <v>14</v>
      </c>
      <c r="Q66" s="24" t="s">
        <v>13</v>
      </c>
      <c r="R66" s="24" t="s">
        <v>33</v>
      </c>
      <c r="S66" s="24" t="s">
        <v>321</v>
      </c>
      <c r="T66" s="1" t="s">
        <v>322</v>
      </c>
      <c r="U66" s="107" t="s">
        <v>323</v>
      </c>
      <c r="W66" s="1" t="s">
        <v>350</v>
      </c>
      <c r="X66" s="84">
        <f>MONTH(Tabla1[[#This Row],[fecha
de
pedido]])</f>
        <v>10</v>
      </c>
      <c r="Y66" s="84">
        <f>YEAR(Tabla1[[#This Row],[fecha
de
pedido]])</f>
        <v>2016</v>
      </c>
    </row>
    <row r="67" spans="1:25" ht="12.75" customHeight="1" x14ac:dyDescent="0.2">
      <c r="A67" s="118">
        <v>42654</v>
      </c>
      <c r="B67" s="118" t="s">
        <v>487</v>
      </c>
      <c r="C67" s="118" t="s">
        <v>921</v>
      </c>
      <c r="D67" s="15" t="s">
        <v>33</v>
      </c>
      <c r="E67" s="24" t="s">
        <v>11</v>
      </c>
      <c r="F67" s="22" t="s">
        <v>921</v>
      </c>
      <c r="G67" s="24" t="s">
        <v>295</v>
      </c>
      <c r="H67" s="15">
        <v>1</v>
      </c>
      <c r="I67" s="15" t="s">
        <v>912</v>
      </c>
      <c r="J67" s="24" t="s">
        <v>267</v>
      </c>
      <c r="K67" s="15">
        <v>630</v>
      </c>
      <c r="L67" s="15">
        <v>630</v>
      </c>
      <c r="M67" s="22">
        <v>42661</v>
      </c>
      <c r="N67" s="22">
        <v>42660</v>
      </c>
      <c r="O67" s="22" t="str">
        <f>IF( Tabla1[[#This Row],[Fecha de entrega real]]="","NO CONCRETADO",IF(N67&lt;=M67,"CUMPLIÓ","NO CUMPLIÓ"))</f>
        <v>CUMPLIÓ</v>
      </c>
      <c r="P67" s="124">
        <f t="shared" si="1"/>
        <v>-1</v>
      </c>
      <c r="Q67" s="24" t="s">
        <v>13</v>
      </c>
      <c r="R67" s="24" t="s">
        <v>33</v>
      </c>
      <c r="S67" s="24" t="s">
        <v>304</v>
      </c>
      <c r="T67" s="1" t="s">
        <v>305</v>
      </c>
      <c r="X67" s="84">
        <f>MONTH(Tabla1[[#This Row],[fecha
de
pedido]])</f>
        <v>10</v>
      </c>
      <c r="Y67" s="84">
        <f>YEAR(Tabla1[[#This Row],[fecha
de
pedido]])</f>
        <v>2016</v>
      </c>
    </row>
    <row r="68" spans="1:25" ht="12.75" customHeight="1" x14ac:dyDescent="0.2">
      <c r="A68" s="118">
        <v>42660</v>
      </c>
      <c r="B68" s="118" t="s">
        <v>487</v>
      </c>
      <c r="C68" s="118" t="s">
        <v>921</v>
      </c>
      <c r="D68" s="15" t="s">
        <v>33</v>
      </c>
      <c r="E68" s="24" t="s">
        <v>285</v>
      </c>
      <c r="F68" s="22" t="s">
        <v>921</v>
      </c>
      <c r="G68" s="24" t="s">
        <v>204</v>
      </c>
      <c r="H68" s="15">
        <v>200</v>
      </c>
      <c r="I68" s="15" t="s">
        <v>779</v>
      </c>
      <c r="J68" s="24" t="s">
        <v>12</v>
      </c>
      <c r="K68" s="15">
        <v>4.5</v>
      </c>
      <c r="L68" s="15">
        <v>900</v>
      </c>
      <c r="M68" s="22">
        <v>42661</v>
      </c>
      <c r="N68" s="22">
        <v>42663</v>
      </c>
      <c r="O68" s="22" t="str">
        <f>IF( Tabla1[[#This Row],[Fecha de entrega real]]="","NO CONCRETADO",IF(N68&lt;=M68,"CUMPLIÓ","NO CUMPLIÓ"))</f>
        <v>NO CUMPLIÓ</v>
      </c>
      <c r="P68" s="124">
        <f t="shared" si="1"/>
        <v>2</v>
      </c>
      <c r="Q68" s="24" t="s">
        <v>13</v>
      </c>
      <c r="R68" s="24" t="s">
        <v>33</v>
      </c>
      <c r="S68" s="24" t="s">
        <v>307</v>
      </c>
      <c r="U68" s="107" t="s">
        <v>308</v>
      </c>
      <c r="X68" s="84">
        <f>MONTH(Tabla1[[#This Row],[fecha
de
pedido]])</f>
        <v>10</v>
      </c>
      <c r="Y68" s="84">
        <f>YEAR(Tabla1[[#This Row],[fecha
de
pedido]])</f>
        <v>2016</v>
      </c>
    </row>
    <row r="69" spans="1:25" ht="12.75" customHeight="1" x14ac:dyDescent="0.2">
      <c r="A69" s="118">
        <v>42663</v>
      </c>
      <c r="B69" s="118" t="s">
        <v>487</v>
      </c>
      <c r="C69" s="118" t="s">
        <v>921</v>
      </c>
      <c r="D69" s="15" t="s">
        <v>33</v>
      </c>
      <c r="E69" s="24" t="s">
        <v>285</v>
      </c>
      <c r="F69" s="22" t="s">
        <v>921</v>
      </c>
      <c r="G69" s="24" t="s">
        <v>310</v>
      </c>
      <c r="H69" s="15">
        <v>10</v>
      </c>
      <c r="I69" s="15" t="s">
        <v>898</v>
      </c>
      <c r="J69" s="24" t="s">
        <v>299</v>
      </c>
      <c r="K69" s="15">
        <v>38</v>
      </c>
      <c r="L69" s="15">
        <v>380</v>
      </c>
      <c r="M69" s="22">
        <v>42664</v>
      </c>
      <c r="N69" s="22">
        <v>42664</v>
      </c>
      <c r="O69" s="22" t="str">
        <f>IF( Tabla1[[#This Row],[Fecha de entrega real]]="","NO CONCRETADO",IF(N69&lt;=M69,"CUMPLIÓ","NO CUMPLIÓ"))</f>
        <v>CUMPLIÓ</v>
      </c>
      <c r="P69" s="138">
        <f t="shared" si="1"/>
        <v>0</v>
      </c>
      <c r="Q69" s="24" t="s">
        <v>13</v>
      </c>
      <c r="R69" s="24" t="s">
        <v>33</v>
      </c>
      <c r="S69" s="24" t="s">
        <v>244</v>
      </c>
      <c r="U69" s="107" t="s">
        <v>312</v>
      </c>
      <c r="X69" s="84">
        <f>MONTH(Tabla1[[#This Row],[fecha
de
pedido]])</f>
        <v>10</v>
      </c>
      <c r="Y69" s="84">
        <f>YEAR(Tabla1[[#This Row],[fecha
de
pedido]])</f>
        <v>2016</v>
      </c>
    </row>
    <row r="70" spans="1:25" ht="12.75" customHeight="1" x14ac:dyDescent="0.2">
      <c r="A70" s="118">
        <v>42663</v>
      </c>
      <c r="B70" s="118" t="s">
        <v>487</v>
      </c>
      <c r="C70" s="118" t="s">
        <v>921</v>
      </c>
      <c r="D70" s="15" t="s">
        <v>33</v>
      </c>
      <c r="E70" s="24" t="s">
        <v>285</v>
      </c>
      <c r="F70" s="22" t="s">
        <v>921</v>
      </c>
      <c r="G70" s="24" t="s">
        <v>309</v>
      </c>
      <c r="H70" s="15">
        <v>15</v>
      </c>
      <c r="I70" s="15" t="s">
        <v>898</v>
      </c>
      <c r="J70" s="24" t="s">
        <v>299</v>
      </c>
      <c r="K70" s="15">
        <v>20</v>
      </c>
      <c r="L70" s="15">
        <v>350</v>
      </c>
      <c r="M70" s="22">
        <v>42664</v>
      </c>
      <c r="N70" s="22">
        <v>42664</v>
      </c>
      <c r="O70" s="22" t="str">
        <f>IF( Tabla1[[#This Row],[Fecha de entrega real]]="","NO CONCRETADO",IF(N70&lt;=M70,"CUMPLIÓ","NO CUMPLIÓ"))</f>
        <v>CUMPLIÓ</v>
      </c>
      <c r="P70" s="138">
        <f t="shared" si="1"/>
        <v>0</v>
      </c>
      <c r="Q70" s="24" t="s">
        <v>13</v>
      </c>
      <c r="R70" s="24" t="s">
        <v>33</v>
      </c>
      <c r="S70" s="24" t="s">
        <v>244</v>
      </c>
      <c r="U70" s="107" t="s">
        <v>312</v>
      </c>
      <c r="X70" s="84">
        <f>MONTH(Tabla1[[#This Row],[fecha
de
pedido]])</f>
        <v>10</v>
      </c>
      <c r="Y70" s="84">
        <f>YEAR(Tabla1[[#This Row],[fecha
de
pedido]])</f>
        <v>2016</v>
      </c>
    </row>
    <row r="71" spans="1:25" ht="25.5" customHeight="1" x14ac:dyDescent="0.2">
      <c r="A71" s="118">
        <v>42663</v>
      </c>
      <c r="B71" s="118" t="s">
        <v>487</v>
      </c>
      <c r="C71" s="118" t="s">
        <v>921</v>
      </c>
      <c r="D71" s="15" t="s">
        <v>11</v>
      </c>
      <c r="E71" s="24" t="s">
        <v>11</v>
      </c>
      <c r="F71" s="22" t="s">
        <v>921</v>
      </c>
      <c r="G71" s="24" t="s">
        <v>320</v>
      </c>
      <c r="H71" s="15">
        <v>2</v>
      </c>
      <c r="I71" s="15" t="s">
        <v>784</v>
      </c>
      <c r="J71" s="24" t="s">
        <v>15</v>
      </c>
      <c r="K71" s="15">
        <v>3687</v>
      </c>
      <c r="L71" s="15">
        <v>7374</v>
      </c>
      <c r="M71" s="22">
        <v>42695</v>
      </c>
      <c r="N71" s="22">
        <v>42690</v>
      </c>
      <c r="O71" s="22" t="str">
        <f>IF( Tabla1[[#This Row],[Fecha de entrega real]]="","NO CONCRETADO",IF(N71&lt;=M71,"CUMPLIÓ","NO CUMPLIÓ"))</f>
        <v>CUMPLIÓ</v>
      </c>
      <c r="P71" s="138">
        <f t="shared" si="1"/>
        <v>-5</v>
      </c>
      <c r="Q71" s="24" t="s">
        <v>13</v>
      </c>
      <c r="R71" s="24" t="s">
        <v>33</v>
      </c>
      <c r="S71" s="24" t="s">
        <v>334</v>
      </c>
      <c r="U71" s="107" t="s">
        <v>338</v>
      </c>
      <c r="X71" s="84">
        <f>MONTH(Tabla1[[#This Row],[fecha
de
pedido]])</f>
        <v>10</v>
      </c>
      <c r="Y71" s="84">
        <f>YEAR(Tabla1[[#This Row],[fecha
de
pedido]])</f>
        <v>2016</v>
      </c>
    </row>
    <row r="72" spans="1:25" ht="12.75" customHeight="1" x14ac:dyDescent="0.2">
      <c r="A72" s="118">
        <v>42663</v>
      </c>
      <c r="B72" s="118" t="s">
        <v>487</v>
      </c>
      <c r="C72" s="118" t="s">
        <v>921</v>
      </c>
      <c r="D72" s="15" t="s">
        <v>33</v>
      </c>
      <c r="E72" s="24" t="s">
        <v>285</v>
      </c>
      <c r="F72" s="22" t="s">
        <v>921</v>
      </c>
      <c r="G72" s="24" t="s">
        <v>311</v>
      </c>
      <c r="H72" s="15">
        <v>2</v>
      </c>
      <c r="I72" s="15" t="s">
        <v>898</v>
      </c>
      <c r="J72" s="24" t="s">
        <v>299</v>
      </c>
      <c r="K72" s="15">
        <v>189</v>
      </c>
      <c r="L72" s="15">
        <v>378</v>
      </c>
      <c r="M72" s="22">
        <v>42664</v>
      </c>
      <c r="N72" s="22">
        <v>42664</v>
      </c>
      <c r="O72" s="22" t="str">
        <f>IF( Tabla1[[#This Row],[Fecha de entrega real]]="","NO CONCRETADO",IF(N72&lt;=M72,"CUMPLIÓ","NO CUMPLIÓ"))</f>
        <v>CUMPLIÓ</v>
      </c>
      <c r="P72" s="138">
        <f t="shared" ref="P72:P103" si="2">IF(N72="","NO CONCRETADO",N72-M72)</f>
        <v>0</v>
      </c>
      <c r="Q72" s="24" t="s">
        <v>13</v>
      </c>
      <c r="R72" s="24" t="s">
        <v>33</v>
      </c>
      <c r="S72" s="24" t="s">
        <v>244</v>
      </c>
      <c r="U72" s="107" t="s">
        <v>312</v>
      </c>
      <c r="X72" s="84">
        <f>MONTH(Tabla1[[#This Row],[fecha
de
pedido]])</f>
        <v>10</v>
      </c>
      <c r="Y72" s="84">
        <f>YEAR(Tabla1[[#This Row],[fecha
de
pedido]])</f>
        <v>2016</v>
      </c>
    </row>
    <row r="73" spans="1:25" ht="25.5" customHeight="1" x14ac:dyDescent="0.2">
      <c r="A73" s="118">
        <v>42664</v>
      </c>
      <c r="B73" s="118" t="s">
        <v>487</v>
      </c>
      <c r="C73" s="118" t="s">
        <v>921</v>
      </c>
      <c r="D73" s="15" t="s">
        <v>33</v>
      </c>
      <c r="E73" s="24" t="s">
        <v>285</v>
      </c>
      <c r="F73" s="22" t="s">
        <v>921</v>
      </c>
      <c r="G73" s="24" t="s">
        <v>318</v>
      </c>
      <c r="H73" s="15">
        <v>4</v>
      </c>
      <c r="I73" s="15" t="s">
        <v>898</v>
      </c>
      <c r="J73" s="24" t="s">
        <v>313</v>
      </c>
      <c r="K73" s="15">
        <v>124.29</v>
      </c>
      <c r="L73" s="15">
        <v>497.19</v>
      </c>
      <c r="M73" s="22">
        <v>42668</v>
      </c>
      <c r="N73" s="22">
        <v>42670</v>
      </c>
      <c r="O73" s="22" t="str">
        <f>IF( Tabla1[[#This Row],[Fecha de entrega real]]="","NO CONCRETADO",IF(N73&lt;=M73,"CUMPLIÓ","NO CUMPLIÓ"))</f>
        <v>NO CUMPLIÓ</v>
      </c>
      <c r="P73" s="124">
        <f t="shared" si="2"/>
        <v>2</v>
      </c>
      <c r="Q73" s="24" t="s">
        <v>13</v>
      </c>
      <c r="R73" s="24" t="s">
        <v>33</v>
      </c>
      <c r="S73" s="24" t="s">
        <v>244</v>
      </c>
      <c r="T73" s="1" t="s">
        <v>316</v>
      </c>
      <c r="U73" s="107" t="s">
        <v>317</v>
      </c>
      <c r="X73" s="84">
        <f>MONTH(Tabla1[[#This Row],[fecha
de
pedido]])</f>
        <v>10</v>
      </c>
      <c r="Y73" s="84">
        <f>YEAR(Tabla1[[#This Row],[fecha
de
pedido]])</f>
        <v>2016</v>
      </c>
    </row>
    <row r="74" spans="1:25" ht="25.5" customHeight="1" x14ac:dyDescent="0.2">
      <c r="A74" s="118">
        <v>42664</v>
      </c>
      <c r="B74" s="118" t="s">
        <v>487</v>
      </c>
      <c r="C74" s="118" t="s">
        <v>921</v>
      </c>
      <c r="D74" s="15" t="s">
        <v>33</v>
      </c>
      <c r="E74" s="24" t="s">
        <v>285</v>
      </c>
      <c r="F74" s="22" t="s">
        <v>921</v>
      </c>
      <c r="G74" s="24" t="s">
        <v>314</v>
      </c>
      <c r="H74" s="15">
        <v>3</v>
      </c>
      <c r="I74" s="15" t="s">
        <v>898</v>
      </c>
      <c r="J74" s="24" t="s">
        <v>313</v>
      </c>
      <c r="K74" s="15">
        <v>406.93</v>
      </c>
      <c r="L74" s="15">
        <v>1220.79</v>
      </c>
      <c r="M74" s="22">
        <v>42668</v>
      </c>
      <c r="N74" s="22">
        <v>42670</v>
      </c>
      <c r="O74" s="22" t="str">
        <f>IF( Tabla1[[#This Row],[Fecha de entrega real]]="","NO CONCRETADO",IF(N74&lt;=M74,"CUMPLIÓ","NO CUMPLIÓ"))</f>
        <v>NO CUMPLIÓ</v>
      </c>
      <c r="P74" s="138">
        <f t="shared" si="2"/>
        <v>2</v>
      </c>
      <c r="Q74" s="24" t="s">
        <v>13</v>
      </c>
      <c r="R74" s="24" t="s">
        <v>33</v>
      </c>
      <c r="S74" s="24" t="s">
        <v>315</v>
      </c>
      <c r="T74" s="1" t="s">
        <v>316</v>
      </c>
      <c r="U74" s="107" t="s">
        <v>317</v>
      </c>
      <c r="X74" s="84">
        <f>MONTH(Tabla1[[#This Row],[fecha
de
pedido]])</f>
        <v>10</v>
      </c>
      <c r="Y74" s="84">
        <f>YEAR(Tabla1[[#This Row],[fecha
de
pedido]])</f>
        <v>2016</v>
      </c>
    </row>
    <row r="75" spans="1:25" ht="12.75" customHeight="1" x14ac:dyDescent="0.2">
      <c r="A75" s="118">
        <v>42668</v>
      </c>
      <c r="B75" s="118" t="s">
        <v>487</v>
      </c>
      <c r="C75" s="118" t="s">
        <v>921</v>
      </c>
      <c r="D75" s="15" t="s">
        <v>33</v>
      </c>
      <c r="E75" s="24" t="s">
        <v>11</v>
      </c>
      <c r="F75" s="22" t="s">
        <v>921</v>
      </c>
      <c r="G75" s="24" t="s">
        <v>319</v>
      </c>
      <c r="H75" s="15">
        <v>2</v>
      </c>
      <c r="I75" s="15" t="s">
        <v>784</v>
      </c>
      <c r="J75" s="24" t="s">
        <v>225</v>
      </c>
      <c r="K75" s="15">
        <v>519</v>
      </c>
      <c r="L75" s="15">
        <v>1038</v>
      </c>
      <c r="M75" s="22">
        <v>42703</v>
      </c>
      <c r="N75" s="22">
        <v>42683</v>
      </c>
      <c r="O75" s="22" t="str">
        <f>IF( Tabla1[[#This Row],[Fecha de entrega real]]="","NO CONCRETADO",IF(N75&lt;=M75,"CUMPLIÓ","NO CUMPLIÓ"))</f>
        <v>CUMPLIÓ</v>
      </c>
      <c r="P75" s="124">
        <f t="shared" si="2"/>
        <v>-20</v>
      </c>
      <c r="Q75" s="24" t="s">
        <v>13</v>
      </c>
      <c r="R75" s="24" t="s">
        <v>33</v>
      </c>
      <c r="S75" s="24" t="s">
        <v>244</v>
      </c>
      <c r="T75" s="1" t="s">
        <v>331</v>
      </c>
      <c r="U75" s="107" t="s">
        <v>332</v>
      </c>
      <c r="X75" s="84">
        <f>MONTH(Tabla1[[#This Row],[fecha
de
pedido]])</f>
        <v>10</v>
      </c>
      <c r="Y75" s="84">
        <f>YEAR(Tabla1[[#This Row],[fecha
de
pedido]])</f>
        <v>2016</v>
      </c>
    </row>
    <row r="76" spans="1:25" ht="12.75" customHeight="1" x14ac:dyDescent="0.2">
      <c r="A76" s="118">
        <v>42671</v>
      </c>
      <c r="B76" s="118" t="s">
        <v>487</v>
      </c>
      <c r="C76" s="118" t="s">
        <v>921</v>
      </c>
      <c r="D76" s="15" t="s">
        <v>33</v>
      </c>
      <c r="E76" s="24" t="s">
        <v>285</v>
      </c>
      <c r="F76" s="22" t="s">
        <v>921</v>
      </c>
      <c r="G76" s="24" t="s">
        <v>204</v>
      </c>
      <c r="H76" s="15">
        <v>200</v>
      </c>
      <c r="I76" s="15" t="s">
        <v>779</v>
      </c>
      <c r="J76" s="24" t="s">
        <v>12</v>
      </c>
      <c r="K76" s="15">
        <v>4.5</v>
      </c>
      <c r="L76" s="15">
        <v>900</v>
      </c>
      <c r="M76" s="22">
        <v>42674</v>
      </c>
      <c r="N76" s="22">
        <v>42674</v>
      </c>
      <c r="O76" s="22" t="str">
        <f>IF( Tabla1[[#This Row],[Fecha de entrega real]]="","NO CONCRETADO",IF(N76&lt;=M76,"CUMPLIÓ","NO CUMPLIÓ"))</f>
        <v>CUMPLIÓ</v>
      </c>
      <c r="P76" s="124">
        <f t="shared" si="2"/>
        <v>0</v>
      </c>
      <c r="Q76" s="24" t="s">
        <v>13</v>
      </c>
      <c r="R76" s="24" t="s">
        <v>32</v>
      </c>
      <c r="S76" s="24" t="s">
        <v>324</v>
      </c>
      <c r="X76" s="84">
        <f>MONTH(Tabla1[[#This Row],[fecha
de
pedido]])</f>
        <v>10</v>
      </c>
      <c r="Y76" s="84">
        <f>YEAR(Tabla1[[#This Row],[fecha
de
pedido]])</f>
        <v>2016</v>
      </c>
    </row>
    <row r="77" spans="1:25" ht="12.75" customHeight="1" x14ac:dyDescent="0.2">
      <c r="A77" s="118">
        <v>42675</v>
      </c>
      <c r="B77" s="118" t="s">
        <v>487</v>
      </c>
      <c r="C77" s="118" t="s">
        <v>921</v>
      </c>
      <c r="D77" s="15" t="s">
        <v>33</v>
      </c>
      <c r="E77" s="24" t="s">
        <v>11</v>
      </c>
      <c r="F77" s="22" t="s">
        <v>921</v>
      </c>
      <c r="G77" s="24" t="s">
        <v>325</v>
      </c>
      <c r="H77" s="15">
        <v>1</v>
      </c>
      <c r="I77" s="15" t="s">
        <v>930</v>
      </c>
      <c r="J77" s="24" t="s">
        <v>77</v>
      </c>
      <c r="K77" s="15">
        <v>2613</v>
      </c>
      <c r="L77" s="15">
        <v>2613</v>
      </c>
      <c r="M77" s="22">
        <v>42678</v>
      </c>
      <c r="N77" s="22">
        <v>42683</v>
      </c>
      <c r="O77" s="22" t="str">
        <f>IF( Tabla1[[#This Row],[Fecha de entrega real]]="","NO CONCRETADO",IF(N77&lt;=M77,"CUMPLIÓ","NO CUMPLIÓ"))</f>
        <v>NO CUMPLIÓ</v>
      </c>
      <c r="P77" s="124">
        <f t="shared" si="2"/>
        <v>5</v>
      </c>
      <c r="Q77" s="24" t="s">
        <v>13</v>
      </c>
      <c r="R77" s="24" t="s">
        <v>33</v>
      </c>
      <c r="S77" s="24" t="s">
        <v>244</v>
      </c>
      <c r="T77" s="1" t="s">
        <v>329</v>
      </c>
      <c r="U77" s="107" t="s">
        <v>330</v>
      </c>
      <c r="X77" s="84">
        <f>MONTH(Tabla1[[#This Row],[fecha
de
pedido]])</f>
        <v>11</v>
      </c>
      <c r="Y77" s="84">
        <f>YEAR(Tabla1[[#This Row],[fecha
de
pedido]])</f>
        <v>2016</v>
      </c>
    </row>
    <row r="78" spans="1:25" ht="12.75" customHeight="1" x14ac:dyDescent="0.2">
      <c r="A78" s="118">
        <v>42675</v>
      </c>
      <c r="B78" s="118" t="s">
        <v>487</v>
      </c>
      <c r="C78" s="118" t="s">
        <v>921</v>
      </c>
      <c r="D78" s="15" t="s">
        <v>33</v>
      </c>
      <c r="E78" s="24" t="s">
        <v>11</v>
      </c>
      <c r="F78" s="22" t="s">
        <v>921</v>
      </c>
      <c r="G78" s="24" t="s">
        <v>326</v>
      </c>
      <c r="H78" s="15">
        <v>1</v>
      </c>
      <c r="I78" s="15" t="s">
        <v>930</v>
      </c>
      <c r="J78" s="24" t="s">
        <v>77</v>
      </c>
      <c r="K78" s="15">
        <v>398.09</v>
      </c>
      <c r="L78" s="15">
        <v>398.09</v>
      </c>
      <c r="M78" s="22">
        <v>42678</v>
      </c>
      <c r="N78" s="22">
        <v>42676</v>
      </c>
      <c r="O78" s="22" t="str">
        <f>IF( Tabla1[[#This Row],[Fecha de entrega real]]="","NO CONCRETADO",IF(N78&lt;=M78,"CUMPLIÓ","NO CUMPLIÓ"))</f>
        <v>CUMPLIÓ</v>
      </c>
      <c r="P78" s="138">
        <f t="shared" si="2"/>
        <v>-2</v>
      </c>
      <c r="Q78" s="24" t="s">
        <v>13</v>
      </c>
      <c r="R78" s="24" t="s">
        <v>33</v>
      </c>
      <c r="S78" s="24" t="s">
        <v>244</v>
      </c>
      <c r="T78" s="1" t="s">
        <v>327</v>
      </c>
      <c r="U78" s="107" t="s">
        <v>328</v>
      </c>
      <c r="X78" s="84">
        <f>MONTH(Tabla1[[#This Row],[fecha
de
pedido]])</f>
        <v>11</v>
      </c>
      <c r="Y78" s="84">
        <f>YEAR(Tabla1[[#This Row],[fecha
de
pedido]])</f>
        <v>2016</v>
      </c>
    </row>
    <row r="79" spans="1:25" ht="12.75" customHeight="1" x14ac:dyDescent="0.2">
      <c r="A79" s="118">
        <v>42685</v>
      </c>
      <c r="B79" s="118" t="s">
        <v>487</v>
      </c>
      <c r="C79" s="118" t="s">
        <v>921</v>
      </c>
      <c r="D79" s="15" t="s">
        <v>33</v>
      </c>
      <c r="E79" s="24" t="s">
        <v>285</v>
      </c>
      <c r="F79" s="22" t="s">
        <v>921</v>
      </c>
      <c r="G79" s="24" t="s">
        <v>204</v>
      </c>
      <c r="H79" s="15">
        <v>230</v>
      </c>
      <c r="I79" s="15" t="s">
        <v>779</v>
      </c>
      <c r="J79" s="24" t="s">
        <v>12</v>
      </c>
      <c r="K79" s="15">
        <v>4.5</v>
      </c>
      <c r="L79" s="15">
        <v>1035</v>
      </c>
      <c r="M79" s="22">
        <v>42689</v>
      </c>
      <c r="N79" s="22">
        <v>42688</v>
      </c>
      <c r="O79" s="22" t="str">
        <f>IF( Tabla1[[#This Row],[Fecha de entrega real]]="","NO CONCRETADO",IF(N79&lt;=M79,"CUMPLIÓ","NO CUMPLIÓ"))</f>
        <v>CUMPLIÓ</v>
      </c>
      <c r="P79" s="124">
        <f t="shared" si="2"/>
        <v>-1</v>
      </c>
      <c r="Q79" s="24" t="s">
        <v>13</v>
      </c>
      <c r="R79" s="24" t="s">
        <v>33</v>
      </c>
      <c r="S79" s="24" t="s">
        <v>324</v>
      </c>
      <c r="U79" s="107" t="s">
        <v>337</v>
      </c>
      <c r="X79" s="84">
        <f>MONTH(Tabla1[[#This Row],[fecha
de
pedido]])</f>
        <v>11</v>
      </c>
      <c r="Y79" s="84">
        <f>YEAR(Tabla1[[#This Row],[fecha
de
pedido]])</f>
        <v>2016</v>
      </c>
    </row>
    <row r="80" spans="1:25" ht="12.75" customHeight="1" x14ac:dyDescent="0.2">
      <c r="A80" s="118">
        <v>42689</v>
      </c>
      <c r="B80" s="118" t="s">
        <v>487</v>
      </c>
      <c r="C80" s="118" t="s">
        <v>921</v>
      </c>
      <c r="D80" s="15" t="s">
        <v>33</v>
      </c>
      <c r="E80" s="24" t="s">
        <v>285</v>
      </c>
      <c r="F80" s="22" t="s">
        <v>921</v>
      </c>
      <c r="G80" s="24" t="s">
        <v>177</v>
      </c>
      <c r="H80" s="15">
        <v>3</v>
      </c>
      <c r="I80" s="15" t="s">
        <v>784</v>
      </c>
      <c r="J80" s="24" t="s">
        <v>77</v>
      </c>
      <c r="K80" s="15">
        <v>239.58</v>
      </c>
      <c r="L80" s="15">
        <v>718.74</v>
      </c>
      <c r="M80" s="22">
        <v>42697</v>
      </c>
      <c r="N80" s="22">
        <v>42705</v>
      </c>
      <c r="O80" s="22" t="str">
        <f>IF( Tabla1[[#This Row],[Fecha de entrega real]]="","NO CONCRETADO",IF(N80&lt;=M80,"CUMPLIÓ","NO CUMPLIÓ"))</f>
        <v>NO CUMPLIÓ</v>
      </c>
      <c r="P80" s="124">
        <f t="shared" si="2"/>
        <v>8</v>
      </c>
      <c r="Q80" s="24" t="s">
        <v>13</v>
      </c>
      <c r="R80" s="24" t="s">
        <v>32</v>
      </c>
      <c r="S80" s="24" t="s">
        <v>345</v>
      </c>
      <c r="T80" s="1" t="s">
        <v>348</v>
      </c>
      <c r="U80" s="107" t="s">
        <v>347</v>
      </c>
      <c r="X80" s="84">
        <f>MONTH(Tabla1[[#This Row],[fecha
de
pedido]])</f>
        <v>11</v>
      </c>
      <c r="Y80" s="84">
        <f>YEAR(Tabla1[[#This Row],[fecha
de
pedido]])</f>
        <v>2016</v>
      </c>
    </row>
    <row r="81" spans="1:25" ht="12.75" customHeight="1" x14ac:dyDescent="0.2">
      <c r="A81" s="118">
        <v>42689</v>
      </c>
      <c r="B81" s="118" t="s">
        <v>487</v>
      </c>
      <c r="C81" s="118" t="s">
        <v>921</v>
      </c>
      <c r="D81" s="15" t="s">
        <v>33</v>
      </c>
      <c r="E81" s="24" t="s">
        <v>277</v>
      </c>
      <c r="F81" s="22" t="s">
        <v>921</v>
      </c>
      <c r="G81" s="24" t="s">
        <v>142</v>
      </c>
      <c r="H81" s="15">
        <v>13</v>
      </c>
      <c r="I81" s="15" t="s">
        <v>897</v>
      </c>
      <c r="J81" s="24" t="s">
        <v>225</v>
      </c>
      <c r="K81" s="15">
        <v>129</v>
      </c>
      <c r="L81" s="15">
        <v>1677</v>
      </c>
      <c r="M81" s="22">
        <v>42697</v>
      </c>
      <c r="N81" s="22">
        <v>42698</v>
      </c>
      <c r="O81" s="22" t="str">
        <f>IF( Tabla1[[#This Row],[Fecha de entrega real]]="","NO CONCRETADO",IF(N81&lt;=M81,"CUMPLIÓ","NO CUMPLIÓ"))</f>
        <v>NO CUMPLIÓ</v>
      </c>
      <c r="P81" s="124">
        <f t="shared" si="2"/>
        <v>1</v>
      </c>
      <c r="Q81" s="24" t="s">
        <v>13</v>
      </c>
      <c r="R81" s="24" t="s">
        <v>33</v>
      </c>
      <c r="S81" s="24" t="s">
        <v>339</v>
      </c>
      <c r="T81" s="1" t="s">
        <v>341</v>
      </c>
      <c r="U81" s="107" t="s">
        <v>342</v>
      </c>
      <c r="X81" s="84">
        <f>MONTH(Tabla1[[#This Row],[fecha
de
pedido]])</f>
        <v>11</v>
      </c>
      <c r="Y81" s="84">
        <f>YEAR(Tabla1[[#This Row],[fecha
de
pedido]])</f>
        <v>2016</v>
      </c>
    </row>
    <row r="82" spans="1:25" ht="25.5" customHeight="1" x14ac:dyDescent="0.2">
      <c r="A82" s="118">
        <v>42689</v>
      </c>
      <c r="B82" s="118" t="s">
        <v>487</v>
      </c>
      <c r="C82" s="118" t="s">
        <v>921</v>
      </c>
      <c r="D82" s="15" t="s">
        <v>33</v>
      </c>
      <c r="E82" s="24" t="s">
        <v>277</v>
      </c>
      <c r="F82" s="22" t="s">
        <v>921</v>
      </c>
      <c r="G82" s="24" t="s">
        <v>140</v>
      </c>
      <c r="H82" s="15">
        <v>8</v>
      </c>
      <c r="I82" s="15" t="s">
        <v>897</v>
      </c>
      <c r="J82" s="24" t="s">
        <v>225</v>
      </c>
      <c r="K82" s="15">
        <v>129</v>
      </c>
      <c r="L82" s="15">
        <v>1032</v>
      </c>
      <c r="M82" s="22">
        <v>42697</v>
      </c>
      <c r="N82" s="22">
        <v>42726</v>
      </c>
      <c r="O82" s="22" t="str">
        <f>IF( Tabla1[[#This Row],[Fecha de entrega real]]="","NO CONCRETADO",IF(N82&lt;=M82,"CUMPLIÓ","NO CUMPLIÓ"))</f>
        <v>NO CUMPLIÓ</v>
      </c>
      <c r="P82" s="124">
        <f t="shared" si="2"/>
        <v>29</v>
      </c>
      <c r="Q82" s="24" t="s">
        <v>13</v>
      </c>
      <c r="R82" s="118" t="s">
        <v>33</v>
      </c>
      <c r="S82" s="24" t="s">
        <v>349</v>
      </c>
      <c r="T82" s="1" t="s">
        <v>341</v>
      </c>
      <c r="U82" s="107" t="s">
        <v>342</v>
      </c>
      <c r="X82" s="84">
        <f>MONTH(Tabla1[[#This Row],[fecha
de
pedido]])</f>
        <v>11</v>
      </c>
      <c r="Y82" s="84">
        <f>YEAR(Tabla1[[#This Row],[fecha
de
pedido]])</f>
        <v>2016</v>
      </c>
    </row>
    <row r="83" spans="1:25" ht="12.75" customHeight="1" x14ac:dyDescent="0.2">
      <c r="A83" s="118">
        <v>42689</v>
      </c>
      <c r="B83" s="118" t="s">
        <v>487</v>
      </c>
      <c r="C83" s="118" t="s">
        <v>921</v>
      </c>
      <c r="D83" s="15" t="s">
        <v>33</v>
      </c>
      <c r="E83" s="24" t="s">
        <v>277</v>
      </c>
      <c r="F83" s="22" t="s">
        <v>921</v>
      </c>
      <c r="G83" s="24" t="s">
        <v>139</v>
      </c>
      <c r="H83" s="15">
        <v>7</v>
      </c>
      <c r="I83" s="15" t="s">
        <v>897</v>
      </c>
      <c r="J83" s="24" t="s">
        <v>225</v>
      </c>
      <c r="K83" s="15">
        <v>129</v>
      </c>
      <c r="L83" s="15">
        <v>903</v>
      </c>
      <c r="M83" s="22">
        <v>42697</v>
      </c>
      <c r="N83" s="22">
        <v>42690</v>
      </c>
      <c r="O83" s="22" t="str">
        <f>IF( Tabla1[[#This Row],[Fecha de entrega real]]="","NO CONCRETADO",IF(N83&lt;=M83,"CUMPLIÓ","NO CUMPLIÓ"))</f>
        <v>CUMPLIÓ</v>
      </c>
      <c r="P83" s="138">
        <f t="shared" si="2"/>
        <v>-7</v>
      </c>
      <c r="Q83" s="24" t="s">
        <v>13</v>
      </c>
      <c r="R83" s="24" t="s">
        <v>33</v>
      </c>
      <c r="S83" s="24" t="s">
        <v>340</v>
      </c>
      <c r="X83" s="84">
        <f>MONTH(Tabla1[[#This Row],[fecha
de
pedido]])</f>
        <v>11</v>
      </c>
      <c r="Y83" s="84">
        <f>YEAR(Tabla1[[#This Row],[fecha
de
pedido]])</f>
        <v>2016</v>
      </c>
    </row>
    <row r="84" spans="1:25" ht="12.75" customHeight="1" x14ac:dyDescent="0.2">
      <c r="A84" s="118">
        <v>42689</v>
      </c>
      <c r="B84" s="118" t="s">
        <v>487</v>
      </c>
      <c r="C84" s="118" t="s">
        <v>921</v>
      </c>
      <c r="D84" s="15" t="s">
        <v>33</v>
      </c>
      <c r="E84" s="24" t="s">
        <v>285</v>
      </c>
      <c r="F84" s="22" t="s">
        <v>921</v>
      </c>
      <c r="G84" s="24" t="s">
        <v>19</v>
      </c>
      <c r="H84" s="15">
        <v>5</v>
      </c>
      <c r="I84" s="15" t="s">
        <v>784</v>
      </c>
      <c r="J84" s="24" t="s">
        <v>225</v>
      </c>
      <c r="K84" s="15">
        <v>19</v>
      </c>
      <c r="L84" s="15">
        <v>95</v>
      </c>
      <c r="M84" s="22">
        <v>42697</v>
      </c>
      <c r="N84" s="22">
        <v>42698</v>
      </c>
      <c r="O84" s="22" t="str">
        <f>IF( Tabla1[[#This Row],[Fecha de entrega real]]="","NO CONCRETADO",IF(N84&lt;=M84,"CUMPLIÓ","NO CUMPLIÓ"))</f>
        <v>NO CUMPLIÓ</v>
      </c>
      <c r="P84" s="124">
        <f t="shared" si="2"/>
        <v>1</v>
      </c>
      <c r="Q84" s="24" t="s">
        <v>13</v>
      </c>
      <c r="R84" s="24" t="s">
        <v>33</v>
      </c>
      <c r="S84" s="24" t="s">
        <v>345</v>
      </c>
      <c r="T84" s="1" t="s">
        <v>341</v>
      </c>
      <c r="U84" s="107" t="s">
        <v>342</v>
      </c>
      <c r="X84" s="84">
        <f>MONTH(Tabla1[[#This Row],[fecha
de
pedido]])</f>
        <v>11</v>
      </c>
      <c r="Y84" s="84">
        <f>YEAR(Tabla1[[#This Row],[fecha
de
pedido]])</f>
        <v>2016</v>
      </c>
    </row>
    <row r="85" spans="1:25" ht="12.75" customHeight="1" x14ac:dyDescent="0.2">
      <c r="A85" s="118">
        <v>42689</v>
      </c>
      <c r="B85" s="118" t="s">
        <v>487</v>
      </c>
      <c r="C85" s="118" t="s">
        <v>921</v>
      </c>
      <c r="D85" s="15" t="s">
        <v>33</v>
      </c>
      <c r="E85" s="24" t="s">
        <v>285</v>
      </c>
      <c r="F85" s="22" t="s">
        <v>921</v>
      </c>
      <c r="G85" s="24" t="s">
        <v>335</v>
      </c>
      <c r="H85" s="15">
        <v>100</v>
      </c>
      <c r="I85" s="15" t="s">
        <v>784</v>
      </c>
      <c r="J85" s="24" t="s">
        <v>299</v>
      </c>
      <c r="K85" s="15">
        <v>2</v>
      </c>
      <c r="L85" s="15">
        <v>200</v>
      </c>
      <c r="M85" s="22">
        <v>42690</v>
      </c>
      <c r="N85" s="22">
        <v>42689</v>
      </c>
      <c r="O85" s="22" t="str">
        <f>IF( Tabla1[[#This Row],[Fecha de entrega real]]="","NO CONCRETADO",IF(N85&lt;=M85,"CUMPLIÓ","NO CUMPLIÓ"))</f>
        <v>CUMPLIÓ</v>
      </c>
      <c r="P85" s="124">
        <f t="shared" si="2"/>
        <v>-1</v>
      </c>
      <c r="Q85" s="24" t="s">
        <v>13</v>
      </c>
      <c r="R85" s="24" t="s">
        <v>33</v>
      </c>
      <c r="S85" s="24" t="s">
        <v>334</v>
      </c>
      <c r="U85" s="107" t="s">
        <v>336</v>
      </c>
      <c r="X85" s="84">
        <f>MONTH(Tabla1[[#This Row],[fecha
de
pedido]])</f>
        <v>11</v>
      </c>
      <c r="Y85" s="84">
        <f>YEAR(Tabla1[[#This Row],[fecha
de
pedido]])</f>
        <v>2016</v>
      </c>
    </row>
    <row r="86" spans="1:25" ht="12.75" customHeight="1" x14ac:dyDescent="0.2">
      <c r="A86" s="118">
        <v>42689</v>
      </c>
      <c r="B86" s="118" t="s">
        <v>487</v>
      </c>
      <c r="C86" s="118" t="s">
        <v>921</v>
      </c>
      <c r="D86" s="15" t="s">
        <v>33</v>
      </c>
      <c r="E86" s="24" t="s">
        <v>285</v>
      </c>
      <c r="F86" s="22" t="s">
        <v>921</v>
      </c>
      <c r="G86" s="24" t="s">
        <v>333</v>
      </c>
      <c r="H86" s="15">
        <v>4</v>
      </c>
      <c r="I86" s="15" t="s">
        <v>898</v>
      </c>
      <c r="J86" s="24" t="s">
        <v>299</v>
      </c>
      <c r="K86" s="15">
        <v>430</v>
      </c>
      <c r="L86" s="15">
        <v>1720</v>
      </c>
      <c r="M86" s="22">
        <v>42690</v>
      </c>
      <c r="N86" s="22">
        <v>42689</v>
      </c>
      <c r="O86" s="22" t="str">
        <f>IF( Tabla1[[#This Row],[Fecha de entrega real]]="","NO CONCRETADO",IF(N86&lt;=M86,"CUMPLIÓ","NO CUMPLIÓ"))</f>
        <v>CUMPLIÓ</v>
      </c>
      <c r="P86" s="138">
        <f t="shared" si="2"/>
        <v>-1</v>
      </c>
      <c r="Q86" s="24" t="s">
        <v>13</v>
      </c>
      <c r="R86" s="24" t="s">
        <v>33</v>
      </c>
      <c r="S86" s="24" t="s">
        <v>334</v>
      </c>
      <c r="U86" s="107" t="s">
        <v>336</v>
      </c>
      <c r="X86" s="84">
        <f>MONTH(Tabla1[[#This Row],[fecha
de
pedido]])</f>
        <v>11</v>
      </c>
      <c r="Y86" s="84">
        <f>YEAR(Tabla1[[#This Row],[fecha
de
pedido]])</f>
        <v>2016</v>
      </c>
    </row>
    <row r="87" spans="1:25" ht="12.75" customHeight="1" x14ac:dyDescent="0.2">
      <c r="A87" s="118">
        <v>42691</v>
      </c>
      <c r="B87" s="118" t="s">
        <v>487</v>
      </c>
      <c r="C87" s="118" t="s">
        <v>921</v>
      </c>
      <c r="D87" s="15" t="s">
        <v>33</v>
      </c>
      <c r="E87" s="24" t="s">
        <v>277</v>
      </c>
      <c r="F87" s="22" t="s">
        <v>921</v>
      </c>
      <c r="G87" s="24" t="s">
        <v>343</v>
      </c>
      <c r="H87" s="15">
        <v>1</v>
      </c>
      <c r="I87" s="15" t="s">
        <v>488</v>
      </c>
      <c r="J87" s="24" t="s">
        <v>299</v>
      </c>
      <c r="K87" s="15">
        <v>30</v>
      </c>
      <c r="L87" s="15">
        <v>30</v>
      </c>
      <c r="M87" s="22">
        <v>42692</v>
      </c>
      <c r="N87" s="22">
        <v>42692</v>
      </c>
      <c r="O87" s="22" t="str">
        <f>IF( Tabla1[[#This Row],[Fecha de entrega real]]="","NO CONCRETADO",IF(N87&lt;=M87,"CUMPLIÓ","NO CUMPLIÓ"))</f>
        <v>CUMPLIÓ</v>
      </c>
      <c r="P87" s="124">
        <f t="shared" si="2"/>
        <v>0</v>
      </c>
      <c r="Q87" s="24" t="s">
        <v>13</v>
      </c>
      <c r="R87" s="24" t="s">
        <v>33</v>
      </c>
      <c r="S87" s="24" t="s">
        <v>334</v>
      </c>
      <c r="U87" s="107" t="s">
        <v>344</v>
      </c>
      <c r="X87" s="84">
        <f>MONTH(Tabla1[[#This Row],[fecha
de
pedido]])</f>
        <v>11</v>
      </c>
      <c r="Y87" s="84">
        <f>YEAR(Tabla1[[#This Row],[fecha
de
pedido]])</f>
        <v>2016</v>
      </c>
    </row>
    <row r="88" spans="1:25" ht="12.75" customHeight="1" x14ac:dyDescent="0.2">
      <c r="A88" s="118">
        <v>42691</v>
      </c>
      <c r="B88" s="118" t="s">
        <v>487</v>
      </c>
      <c r="C88" s="118" t="s">
        <v>921</v>
      </c>
      <c r="D88" s="15" t="s">
        <v>33</v>
      </c>
      <c r="E88" s="24" t="s">
        <v>277</v>
      </c>
      <c r="F88" s="22" t="s">
        <v>921</v>
      </c>
      <c r="G88" s="24" t="s">
        <v>311</v>
      </c>
      <c r="H88" s="15">
        <v>4</v>
      </c>
      <c r="I88" s="15" t="s">
        <v>898</v>
      </c>
      <c r="J88" s="24" t="s">
        <v>299</v>
      </c>
      <c r="K88" s="15">
        <v>189</v>
      </c>
      <c r="L88" s="15">
        <v>756</v>
      </c>
      <c r="M88" s="22">
        <v>42692</v>
      </c>
      <c r="N88" s="22">
        <v>42692</v>
      </c>
      <c r="O88" s="22" t="str">
        <f>IF( Tabla1[[#This Row],[Fecha de entrega real]]="","NO CONCRETADO",IF(N88&lt;=M88,"CUMPLIÓ","NO CUMPLIÓ"))</f>
        <v>CUMPLIÓ</v>
      </c>
      <c r="P88" s="124">
        <f t="shared" si="2"/>
        <v>0</v>
      </c>
      <c r="Q88" s="24" t="s">
        <v>13</v>
      </c>
      <c r="R88" s="24" t="s">
        <v>33</v>
      </c>
      <c r="S88" s="24" t="s">
        <v>334</v>
      </c>
      <c r="U88" s="107" t="s">
        <v>344</v>
      </c>
      <c r="X88" s="84">
        <f>MONTH(Tabla1[[#This Row],[fecha
de
pedido]])</f>
        <v>11</v>
      </c>
      <c r="Y88" s="84">
        <f>YEAR(Tabla1[[#This Row],[fecha
de
pedido]])</f>
        <v>2016</v>
      </c>
    </row>
    <row r="89" spans="1:25" ht="38.25" customHeight="1" x14ac:dyDescent="0.2">
      <c r="A89" s="118">
        <v>42705</v>
      </c>
      <c r="B89" s="118" t="s">
        <v>487</v>
      </c>
      <c r="C89" s="118" t="s">
        <v>921</v>
      </c>
      <c r="D89" s="15" t="s">
        <v>11</v>
      </c>
      <c r="E89" s="24" t="s">
        <v>11</v>
      </c>
      <c r="F89" s="22" t="s">
        <v>921</v>
      </c>
      <c r="G89" s="4" t="s">
        <v>876</v>
      </c>
      <c r="H89" s="15">
        <v>1</v>
      </c>
      <c r="I89" s="15" t="s">
        <v>488</v>
      </c>
      <c r="J89" s="24" t="s">
        <v>787</v>
      </c>
      <c r="K89" s="15" t="s">
        <v>877</v>
      </c>
      <c r="L89" s="15" t="s">
        <v>877</v>
      </c>
      <c r="M89" s="22" t="s">
        <v>923</v>
      </c>
      <c r="N89" s="22">
        <v>42898</v>
      </c>
      <c r="O89" s="22" t="str">
        <f>IF( Tabla1[[#This Row],[Fecha de entrega real]]="","NO CONCRETADO",IF(N89&lt;=M89,"CUMPLIÓ","NO CUMPLIÓ"))</f>
        <v>CUMPLIÓ</v>
      </c>
      <c r="P89" s="124" t="e">
        <f t="shared" si="2"/>
        <v>#VALUE!</v>
      </c>
      <c r="Q89" s="124" t="s">
        <v>831</v>
      </c>
      <c r="R89" s="24" t="s">
        <v>33</v>
      </c>
      <c r="S89" s="24" t="s">
        <v>924</v>
      </c>
      <c r="X89" s="1">
        <f>MONTH(Tabla1[[#This Row],[fecha
de
pedido]])</f>
        <v>12</v>
      </c>
      <c r="Y89" s="1">
        <f>YEAR(Tabla1[[#This Row],[fecha
de
pedido]])</f>
        <v>2016</v>
      </c>
    </row>
    <row r="90" spans="1:25" ht="12.75" customHeight="1" x14ac:dyDescent="0.2">
      <c r="A90" s="118">
        <v>42705</v>
      </c>
      <c r="B90" s="118" t="s">
        <v>487</v>
      </c>
      <c r="C90" s="118" t="s">
        <v>921</v>
      </c>
      <c r="D90" s="15" t="s">
        <v>247</v>
      </c>
      <c r="E90" s="24" t="s">
        <v>277</v>
      </c>
      <c r="F90" s="22" t="s">
        <v>921</v>
      </c>
      <c r="G90" s="24" t="s">
        <v>204</v>
      </c>
      <c r="H90" s="15">
        <v>220</v>
      </c>
      <c r="I90" s="15" t="s">
        <v>779</v>
      </c>
      <c r="J90" s="24" t="s">
        <v>12</v>
      </c>
      <c r="K90" s="15">
        <v>4.5</v>
      </c>
      <c r="L90" s="15">
        <v>990</v>
      </c>
      <c r="M90" s="22">
        <v>42706</v>
      </c>
      <c r="N90" s="22">
        <v>42706</v>
      </c>
      <c r="O90" s="22" t="str">
        <f>IF( Tabla1[[#This Row],[Fecha de entrega real]]="","NO CONCRETADO",IF(N90&lt;=M90,"CUMPLIÓ","NO CUMPLIÓ"))</f>
        <v>CUMPLIÓ</v>
      </c>
      <c r="P90" s="124">
        <f t="shared" si="2"/>
        <v>0</v>
      </c>
      <c r="Q90" s="24" t="s">
        <v>13</v>
      </c>
      <c r="R90" s="24" t="s">
        <v>32</v>
      </c>
      <c r="S90" s="24" t="s">
        <v>334</v>
      </c>
      <c r="X90" s="84">
        <f>MONTH(Tabla1[[#This Row],[fecha
de
pedido]])</f>
        <v>12</v>
      </c>
      <c r="Y90" s="84">
        <f>YEAR(Tabla1[[#This Row],[fecha
de
pedido]])</f>
        <v>2016</v>
      </c>
    </row>
    <row r="91" spans="1:25" ht="12.75" customHeight="1" x14ac:dyDescent="0.2">
      <c r="A91" s="118">
        <v>42712</v>
      </c>
      <c r="B91" s="118" t="s">
        <v>487</v>
      </c>
      <c r="C91" s="118" t="s">
        <v>921</v>
      </c>
      <c r="D91" s="15" t="s">
        <v>33</v>
      </c>
      <c r="E91" s="24" t="s">
        <v>277</v>
      </c>
      <c r="F91" s="22" t="s">
        <v>921</v>
      </c>
      <c r="G91" s="24" t="s">
        <v>309</v>
      </c>
      <c r="H91" s="15">
        <v>8</v>
      </c>
      <c r="I91" s="15" t="s">
        <v>770</v>
      </c>
      <c r="J91" s="24" t="s">
        <v>299</v>
      </c>
      <c r="K91" s="15">
        <v>20</v>
      </c>
      <c r="L91" s="15">
        <v>160</v>
      </c>
      <c r="M91" s="22">
        <v>42712</v>
      </c>
      <c r="N91" s="22">
        <v>42712</v>
      </c>
      <c r="O91" s="22" t="str">
        <f>IF( Tabla1[[#This Row],[Fecha de entrega real]]="","NO CONCRETADO",IF(N91&lt;=M91,"CUMPLIÓ","NO CUMPLIÓ"))</f>
        <v>CUMPLIÓ</v>
      </c>
      <c r="P91" s="124">
        <f t="shared" si="2"/>
        <v>0</v>
      </c>
      <c r="Q91" s="24" t="s">
        <v>13</v>
      </c>
      <c r="R91" s="24" t="s">
        <v>33</v>
      </c>
      <c r="S91" s="24" t="s">
        <v>334</v>
      </c>
      <c r="U91" s="107" t="s">
        <v>346</v>
      </c>
      <c r="X91" s="84">
        <f>MONTH(Tabla1[[#This Row],[fecha
de
pedido]])</f>
        <v>12</v>
      </c>
      <c r="Y91" s="84">
        <f>YEAR(Tabla1[[#This Row],[fecha
de
pedido]])</f>
        <v>2016</v>
      </c>
    </row>
    <row r="92" spans="1:25" ht="12.75" customHeight="1" x14ac:dyDescent="0.2">
      <c r="A92" s="118">
        <v>42712</v>
      </c>
      <c r="B92" s="118" t="s">
        <v>487</v>
      </c>
      <c r="C92" s="118" t="s">
        <v>921</v>
      </c>
      <c r="D92" s="15" t="s">
        <v>33</v>
      </c>
      <c r="E92" s="24" t="s">
        <v>277</v>
      </c>
      <c r="F92" s="22" t="s">
        <v>921</v>
      </c>
      <c r="G92" s="24" t="s">
        <v>24</v>
      </c>
      <c r="H92" s="15">
        <v>2</v>
      </c>
      <c r="I92" s="15" t="s">
        <v>898</v>
      </c>
      <c r="J92" s="24" t="s">
        <v>299</v>
      </c>
      <c r="K92" s="15">
        <v>225</v>
      </c>
      <c r="L92" s="15">
        <v>450</v>
      </c>
      <c r="M92" s="22">
        <v>42712</v>
      </c>
      <c r="N92" s="22">
        <v>42712</v>
      </c>
      <c r="O92" s="22" t="str">
        <f>IF( Tabla1[[#This Row],[Fecha de entrega real]]="","NO CONCRETADO",IF(N92&lt;=M92,"CUMPLIÓ","NO CUMPLIÓ"))</f>
        <v>CUMPLIÓ</v>
      </c>
      <c r="P92" s="124">
        <f t="shared" si="2"/>
        <v>0</v>
      </c>
      <c r="Q92" s="24" t="s">
        <v>13</v>
      </c>
      <c r="R92" s="24" t="s">
        <v>33</v>
      </c>
      <c r="S92" s="24" t="s">
        <v>334</v>
      </c>
      <c r="U92" s="107" t="s">
        <v>346</v>
      </c>
      <c r="X92" s="84">
        <f>MONTH(Tabla1[[#This Row],[fecha
de
pedido]])</f>
        <v>12</v>
      </c>
      <c r="Y92" s="84">
        <f>YEAR(Tabla1[[#This Row],[fecha
de
pedido]])</f>
        <v>2016</v>
      </c>
    </row>
    <row r="93" spans="1:25" ht="25.5" customHeight="1" x14ac:dyDescent="0.2">
      <c r="A93" s="118">
        <v>42718</v>
      </c>
      <c r="B93" s="118" t="s">
        <v>487</v>
      </c>
      <c r="C93" s="118" t="s">
        <v>921</v>
      </c>
      <c r="D93" s="15" t="s">
        <v>33</v>
      </c>
      <c r="E93" s="24" t="s">
        <v>11</v>
      </c>
      <c r="F93" s="15" t="s">
        <v>921</v>
      </c>
      <c r="G93" s="24" t="s">
        <v>204</v>
      </c>
      <c r="H93" s="15">
        <v>200</v>
      </c>
      <c r="I93" s="15" t="s">
        <v>779</v>
      </c>
      <c r="J93" s="24" t="s">
        <v>12</v>
      </c>
      <c r="K93" s="15">
        <v>4.5</v>
      </c>
      <c r="L93" s="15">
        <v>900</v>
      </c>
      <c r="M93" s="22">
        <v>42719</v>
      </c>
      <c r="N93" s="22">
        <v>42740</v>
      </c>
      <c r="O93" s="22" t="str">
        <f>IF( Tabla1[[#This Row],[Fecha de entrega real]]="","NO CONCRETADO",IF(N93&lt;=M93,"CUMPLIÓ","NO CUMPLIÓ"))</f>
        <v>NO CUMPLIÓ</v>
      </c>
      <c r="P93" s="138">
        <f t="shared" si="2"/>
        <v>21</v>
      </c>
      <c r="Q93" s="24" t="s">
        <v>13</v>
      </c>
      <c r="R93" s="24" t="s">
        <v>33</v>
      </c>
      <c r="S93" s="24" t="s">
        <v>425</v>
      </c>
      <c r="X93" s="84">
        <f>MONTH(Tabla1[[#This Row],[fecha
de
pedido]])</f>
        <v>12</v>
      </c>
      <c r="Y93" s="84">
        <f>YEAR(Tabla1[[#This Row],[fecha
de
pedido]])</f>
        <v>2016</v>
      </c>
    </row>
    <row r="94" spans="1:25" ht="25.5" customHeight="1" x14ac:dyDescent="0.2">
      <c r="A94" s="118">
        <v>42733</v>
      </c>
      <c r="B94" s="118" t="s">
        <v>487</v>
      </c>
      <c r="C94" s="118" t="s">
        <v>921</v>
      </c>
      <c r="D94" s="15" t="s">
        <v>33</v>
      </c>
      <c r="E94" s="24" t="s">
        <v>11</v>
      </c>
      <c r="F94" s="15" t="s">
        <v>921</v>
      </c>
      <c r="G94" s="24" t="s">
        <v>352</v>
      </c>
      <c r="H94" s="15">
        <v>8</v>
      </c>
      <c r="I94" s="15" t="s">
        <v>784</v>
      </c>
      <c r="J94" s="24" t="s">
        <v>225</v>
      </c>
      <c r="K94" s="15">
        <v>395</v>
      </c>
      <c r="L94" s="15">
        <v>3160</v>
      </c>
      <c r="M94" s="22">
        <v>42774</v>
      </c>
      <c r="N94" s="22">
        <v>42782</v>
      </c>
      <c r="O94" s="22" t="str">
        <f>IF( Tabla1[[#This Row],[Fecha de entrega real]]="","NO CONCRETADO",IF(N94&lt;=M94,"CUMPLIÓ","NO CUMPLIÓ"))</f>
        <v>NO CUMPLIÓ</v>
      </c>
      <c r="P94" s="124">
        <f t="shared" si="2"/>
        <v>8</v>
      </c>
      <c r="Q94" s="24" t="s">
        <v>13</v>
      </c>
      <c r="R94" s="24" t="s">
        <v>32</v>
      </c>
      <c r="S94" s="24" t="s">
        <v>375</v>
      </c>
      <c r="T94" s="1" t="s">
        <v>377</v>
      </c>
      <c r="U94" s="107" t="s">
        <v>378</v>
      </c>
      <c r="X94" s="84">
        <f>MONTH(Tabla1[[#This Row],[fecha
de
pedido]])</f>
        <v>12</v>
      </c>
      <c r="Y94" s="84">
        <f>YEAR(Tabla1[[#This Row],[fecha
de
pedido]])</f>
        <v>2016</v>
      </c>
    </row>
    <row r="95" spans="1:25" ht="25.5" customHeight="1" x14ac:dyDescent="0.2">
      <c r="A95" s="118">
        <v>42733</v>
      </c>
      <c r="B95" s="118" t="s">
        <v>487</v>
      </c>
      <c r="C95" s="118" t="s">
        <v>921</v>
      </c>
      <c r="D95" s="15" t="s">
        <v>33</v>
      </c>
      <c r="E95" s="24" t="s">
        <v>11</v>
      </c>
      <c r="F95" s="15" t="s">
        <v>921</v>
      </c>
      <c r="G95" s="24" t="s">
        <v>353</v>
      </c>
      <c r="H95" s="15">
        <v>2</v>
      </c>
      <c r="I95" s="15" t="s">
        <v>800</v>
      </c>
      <c r="J95" s="24" t="s">
        <v>225</v>
      </c>
      <c r="K95" s="15">
        <v>2150</v>
      </c>
      <c r="L95" s="15">
        <v>4300</v>
      </c>
      <c r="M95" s="22">
        <v>42774</v>
      </c>
      <c r="N95" s="22">
        <v>42782</v>
      </c>
      <c r="O95" s="22" t="str">
        <f>IF( Tabla1[[#This Row],[Fecha de entrega real]]="","NO CONCRETADO",IF(N95&lt;=M95,"CUMPLIÓ","NO CUMPLIÓ"))</f>
        <v>NO CUMPLIÓ</v>
      </c>
      <c r="P95" s="124">
        <f t="shared" si="2"/>
        <v>8</v>
      </c>
      <c r="Q95" s="24" t="s">
        <v>13</v>
      </c>
      <c r="R95" s="24" t="s">
        <v>32</v>
      </c>
      <c r="S95" s="24" t="s">
        <v>376</v>
      </c>
      <c r="T95" s="1" t="s">
        <v>380</v>
      </c>
      <c r="U95" s="107" t="s">
        <v>379</v>
      </c>
      <c r="X95" s="84">
        <f>MONTH(Tabla1[[#This Row],[fecha
de
pedido]])</f>
        <v>12</v>
      </c>
      <c r="Y95" s="84">
        <f>YEAR(Tabla1[[#This Row],[fecha
de
pedido]])</f>
        <v>2016</v>
      </c>
    </row>
    <row r="96" spans="1:25" ht="12.75" customHeight="1" x14ac:dyDescent="0.2">
      <c r="A96" s="118">
        <v>42733</v>
      </c>
      <c r="B96" s="118" t="s">
        <v>487</v>
      </c>
      <c r="C96" s="118" t="s">
        <v>921</v>
      </c>
      <c r="D96" s="15" t="s">
        <v>33</v>
      </c>
      <c r="E96" s="24" t="s">
        <v>11</v>
      </c>
      <c r="F96" s="15" t="s">
        <v>921</v>
      </c>
      <c r="G96" s="24" t="s">
        <v>279</v>
      </c>
      <c r="H96" s="15">
        <v>100</v>
      </c>
      <c r="I96" s="15" t="s">
        <v>929</v>
      </c>
      <c r="J96" s="24" t="s">
        <v>267</v>
      </c>
      <c r="K96" s="15">
        <v>15</v>
      </c>
      <c r="L96" s="15">
        <v>1500</v>
      </c>
      <c r="M96" s="22">
        <v>42741</v>
      </c>
      <c r="N96" s="22">
        <v>42740</v>
      </c>
      <c r="O96" s="22" t="str">
        <f>IF( Tabla1[[#This Row],[Fecha de entrega real]]="","NO CONCRETADO",IF(N96&lt;=M96,"CUMPLIÓ","NO CUMPLIÓ"))</f>
        <v>CUMPLIÓ</v>
      </c>
      <c r="P96" s="124">
        <f t="shared" si="2"/>
        <v>-1</v>
      </c>
      <c r="Q96" s="24" t="s">
        <v>13</v>
      </c>
      <c r="R96" s="24" t="s">
        <v>33</v>
      </c>
      <c r="S96" s="24" t="s">
        <v>334</v>
      </c>
      <c r="T96" s="1" t="s">
        <v>354</v>
      </c>
      <c r="U96" s="107" t="s">
        <v>355</v>
      </c>
      <c r="X96" s="84">
        <f>MONTH(Tabla1[[#This Row],[fecha
de
pedido]])</f>
        <v>12</v>
      </c>
      <c r="Y96" s="84">
        <f>YEAR(Tabla1[[#This Row],[fecha
de
pedido]])</f>
        <v>2016</v>
      </c>
    </row>
    <row r="97" spans="1:25" ht="12.75" customHeight="1" x14ac:dyDescent="0.2">
      <c r="A97" s="118">
        <v>42733</v>
      </c>
      <c r="B97" s="118" t="s">
        <v>487</v>
      </c>
      <c r="C97" s="118" t="s">
        <v>921</v>
      </c>
      <c r="D97" s="15" t="s">
        <v>33</v>
      </c>
      <c r="E97" s="24" t="s">
        <v>11</v>
      </c>
      <c r="F97" s="15" t="s">
        <v>921</v>
      </c>
      <c r="G97" s="24" t="s">
        <v>351</v>
      </c>
      <c r="H97" s="15">
        <v>1</v>
      </c>
      <c r="I97" s="15" t="s">
        <v>821</v>
      </c>
      <c r="J97" s="24" t="s">
        <v>225</v>
      </c>
      <c r="K97" s="15">
        <v>590</v>
      </c>
      <c r="L97" s="15">
        <v>590</v>
      </c>
      <c r="M97" s="22">
        <v>42774</v>
      </c>
      <c r="N97" s="22">
        <v>42772</v>
      </c>
      <c r="O97" s="22" t="str">
        <f>IF( Tabla1[[#This Row],[Fecha de entrega real]]="","NO CONCRETADO",IF(N97&lt;=M97,"CUMPLIÓ","NO CUMPLIÓ"))</f>
        <v>CUMPLIÓ</v>
      </c>
      <c r="P97" s="124">
        <f t="shared" si="2"/>
        <v>-2</v>
      </c>
      <c r="Q97" s="24" t="s">
        <v>13</v>
      </c>
      <c r="R97" s="24" t="s">
        <v>32</v>
      </c>
      <c r="S97" s="24" t="s">
        <v>334</v>
      </c>
      <c r="T97" s="1" t="s">
        <v>359</v>
      </c>
      <c r="U97" s="107" t="s">
        <v>360</v>
      </c>
      <c r="X97" s="84">
        <f>MONTH(Tabla1[[#This Row],[fecha
de
pedido]])</f>
        <v>12</v>
      </c>
      <c r="Y97" s="84">
        <f>YEAR(Tabla1[[#This Row],[fecha
de
pedido]])</f>
        <v>2016</v>
      </c>
    </row>
    <row r="98" spans="1:25" ht="12.75" customHeight="1" x14ac:dyDescent="0.2">
      <c r="A98" s="118">
        <v>42741</v>
      </c>
      <c r="B98" s="118" t="s">
        <v>487</v>
      </c>
      <c r="C98" s="118" t="s">
        <v>921</v>
      </c>
      <c r="D98" s="15" t="s">
        <v>33</v>
      </c>
      <c r="E98" s="24" t="s">
        <v>11</v>
      </c>
      <c r="F98" s="15" t="s">
        <v>921</v>
      </c>
      <c r="G98" s="24" t="s">
        <v>356</v>
      </c>
      <c r="H98" s="15">
        <v>1</v>
      </c>
      <c r="I98" s="15" t="s">
        <v>916</v>
      </c>
      <c r="J98" s="24" t="s">
        <v>225</v>
      </c>
      <c r="K98" s="15">
        <v>928.24</v>
      </c>
      <c r="L98" s="15">
        <v>928.24</v>
      </c>
      <c r="M98" s="22">
        <v>42774</v>
      </c>
      <c r="N98" s="22">
        <v>42772</v>
      </c>
      <c r="O98" s="22" t="str">
        <f>IF( Tabla1[[#This Row],[Fecha de entrega real]]="","NO CONCRETADO",IF(N98&lt;=M98,"CUMPLIÓ","NO CUMPLIÓ"))</f>
        <v>CUMPLIÓ</v>
      </c>
      <c r="P98" s="124">
        <f t="shared" si="2"/>
        <v>-2</v>
      </c>
      <c r="Q98" s="24" t="s">
        <v>13</v>
      </c>
      <c r="R98" s="24" t="s">
        <v>32</v>
      </c>
      <c r="S98" s="24" t="s">
        <v>334</v>
      </c>
      <c r="T98" s="1" t="s">
        <v>357</v>
      </c>
      <c r="U98" s="107" t="s">
        <v>358</v>
      </c>
      <c r="X98" s="84">
        <f>MONTH(Tabla1[[#This Row],[fecha
de
pedido]])</f>
        <v>1</v>
      </c>
      <c r="Y98" s="84">
        <f>YEAR(Tabla1[[#This Row],[fecha
de
pedido]])</f>
        <v>2017</v>
      </c>
    </row>
    <row r="99" spans="1:25" ht="25.5" customHeight="1" x14ac:dyDescent="0.2">
      <c r="A99" s="118">
        <v>42779</v>
      </c>
      <c r="B99" s="118" t="s">
        <v>487</v>
      </c>
      <c r="C99" s="118" t="s">
        <v>921</v>
      </c>
      <c r="D99" s="15" t="s">
        <v>33</v>
      </c>
      <c r="E99" s="24" t="s">
        <v>277</v>
      </c>
      <c r="F99" s="15" t="s">
        <v>921</v>
      </c>
      <c r="G99" s="24" t="s">
        <v>24</v>
      </c>
      <c r="H99" s="15">
        <v>4</v>
      </c>
      <c r="I99" s="15" t="s">
        <v>781</v>
      </c>
      <c r="J99" s="24" t="s">
        <v>299</v>
      </c>
      <c r="K99" s="15" t="s">
        <v>368</v>
      </c>
      <c r="L99" s="15">
        <v>1880</v>
      </c>
      <c r="M99" s="22">
        <v>42780</v>
      </c>
      <c r="N99" s="22">
        <v>42780</v>
      </c>
      <c r="O99" s="22" t="str">
        <f>IF( Tabla1[[#This Row],[Fecha de entrega real]]="","NO CONCRETADO",IF(N99&lt;=M99,"CUMPLIÓ","NO CUMPLIÓ"))</f>
        <v>CUMPLIÓ</v>
      </c>
      <c r="P99" s="124">
        <f t="shared" si="2"/>
        <v>0</v>
      </c>
      <c r="Q99" s="24" t="s">
        <v>13</v>
      </c>
      <c r="R99" s="24" t="s">
        <v>33</v>
      </c>
      <c r="S99" s="24" t="s">
        <v>365</v>
      </c>
      <c r="U99" s="107" t="s">
        <v>366</v>
      </c>
      <c r="X99" s="84">
        <f>MONTH(Tabla1[[#This Row],[fecha
de
pedido]])</f>
        <v>2</v>
      </c>
      <c r="Y99" s="84">
        <f>YEAR(Tabla1[[#This Row],[fecha
de
pedido]])</f>
        <v>2017</v>
      </c>
    </row>
    <row r="100" spans="1:25" ht="12.75" customHeight="1" x14ac:dyDescent="0.2">
      <c r="A100" s="118">
        <v>42779</v>
      </c>
      <c r="B100" s="118" t="s">
        <v>487</v>
      </c>
      <c r="C100" s="118" t="s">
        <v>921</v>
      </c>
      <c r="D100" s="15" t="s">
        <v>33</v>
      </c>
      <c r="E100" s="24" t="s">
        <v>277</v>
      </c>
      <c r="F100" s="15" t="s">
        <v>921</v>
      </c>
      <c r="G100" s="24" t="s">
        <v>371</v>
      </c>
      <c r="H100" s="15">
        <v>2</v>
      </c>
      <c r="I100" s="15" t="s">
        <v>784</v>
      </c>
      <c r="J100" s="24" t="s">
        <v>299</v>
      </c>
      <c r="K100" s="15">
        <v>25</v>
      </c>
      <c r="L100" s="15">
        <v>50</v>
      </c>
      <c r="M100" s="22">
        <v>42780</v>
      </c>
      <c r="N100" s="22">
        <v>42780</v>
      </c>
      <c r="O100" s="22" t="str">
        <f>IF( Tabla1[[#This Row],[Fecha de entrega real]]="","NO CONCRETADO",IF(N100&lt;=M100,"CUMPLIÓ","NO CUMPLIÓ"))</f>
        <v>CUMPLIÓ</v>
      </c>
      <c r="P100" s="124">
        <f t="shared" si="2"/>
        <v>0</v>
      </c>
      <c r="Q100" s="24" t="s">
        <v>13</v>
      </c>
      <c r="R100" s="24" t="s">
        <v>33</v>
      </c>
      <c r="S100" s="24" t="s">
        <v>334</v>
      </c>
      <c r="U100" s="107" t="s">
        <v>369</v>
      </c>
      <c r="X100" s="84">
        <f>MONTH(Tabla1[[#This Row],[fecha
de
pedido]])</f>
        <v>2</v>
      </c>
      <c r="Y100" s="84">
        <f>YEAR(Tabla1[[#This Row],[fecha
de
pedido]])</f>
        <v>2017</v>
      </c>
    </row>
    <row r="101" spans="1:25" ht="12.75" customHeight="1" x14ac:dyDescent="0.2">
      <c r="A101" s="118">
        <v>42779</v>
      </c>
      <c r="B101" s="118" t="s">
        <v>487</v>
      </c>
      <c r="C101" s="118" t="s">
        <v>921</v>
      </c>
      <c r="D101" s="15" t="s">
        <v>33</v>
      </c>
      <c r="E101" s="24" t="s">
        <v>277</v>
      </c>
      <c r="F101" s="15" t="s">
        <v>921</v>
      </c>
      <c r="G101" s="24" t="s">
        <v>364</v>
      </c>
      <c r="H101" s="15">
        <v>1</v>
      </c>
      <c r="I101" s="15" t="s">
        <v>821</v>
      </c>
      <c r="J101" s="24" t="s">
        <v>225</v>
      </c>
      <c r="K101" s="15">
        <v>2990</v>
      </c>
      <c r="L101" s="15">
        <v>2990</v>
      </c>
      <c r="M101" s="22">
        <v>42801</v>
      </c>
      <c r="N101" s="22">
        <v>42811</v>
      </c>
      <c r="O101" s="22" t="str">
        <f>IF( Tabla1[[#This Row],[Fecha de entrega real]]="","NO CONCRETADO",IF(N101&lt;=M101,"CUMPLIÓ","NO CUMPLIÓ"))</f>
        <v>NO CUMPLIÓ</v>
      </c>
      <c r="P101" s="124">
        <f t="shared" si="2"/>
        <v>10</v>
      </c>
      <c r="Q101" s="24" t="s">
        <v>13</v>
      </c>
      <c r="R101" s="24" t="s">
        <v>32</v>
      </c>
      <c r="S101" s="24" t="s">
        <v>345</v>
      </c>
      <c r="T101" s="1" t="s">
        <v>382</v>
      </c>
      <c r="U101" s="107" t="s">
        <v>383</v>
      </c>
      <c r="X101" s="84">
        <f>MONTH(Tabla1[[#This Row],[fecha
de
pedido]])</f>
        <v>2</v>
      </c>
      <c r="Y101" s="84">
        <f>YEAR(Tabla1[[#This Row],[fecha
de
pedido]])</f>
        <v>2017</v>
      </c>
    </row>
    <row r="102" spans="1:25" ht="12.75" customHeight="1" x14ac:dyDescent="0.2">
      <c r="A102" s="118">
        <v>42779</v>
      </c>
      <c r="B102" s="118" t="s">
        <v>487</v>
      </c>
      <c r="C102" s="118" t="s">
        <v>921</v>
      </c>
      <c r="D102" s="15" t="s">
        <v>33</v>
      </c>
      <c r="E102" s="24" t="s">
        <v>277</v>
      </c>
      <c r="F102" s="15" t="s">
        <v>921</v>
      </c>
      <c r="G102" s="24" t="s">
        <v>372</v>
      </c>
      <c r="H102" s="15">
        <v>1</v>
      </c>
      <c r="I102" s="15" t="s">
        <v>821</v>
      </c>
      <c r="J102" s="24" t="s">
        <v>299</v>
      </c>
      <c r="K102" s="15" t="s">
        <v>374</v>
      </c>
      <c r="L102" s="15">
        <v>60</v>
      </c>
      <c r="M102" s="22">
        <v>42780</v>
      </c>
      <c r="N102" s="22">
        <v>42780</v>
      </c>
      <c r="O102" s="22" t="str">
        <f>IF( Tabla1[[#This Row],[Fecha de entrega real]]="","NO CONCRETADO",IF(N102&lt;=M102,"CUMPLIÓ","NO CUMPLIÓ"))</f>
        <v>CUMPLIÓ</v>
      </c>
      <c r="P102" s="124">
        <f t="shared" si="2"/>
        <v>0</v>
      </c>
      <c r="Q102" s="24" t="s">
        <v>13</v>
      </c>
      <c r="R102" s="24" t="s">
        <v>33</v>
      </c>
      <c r="S102" s="24" t="s">
        <v>334</v>
      </c>
      <c r="U102" s="107" t="s">
        <v>369</v>
      </c>
      <c r="X102" s="84">
        <f>MONTH(Tabla1[[#This Row],[fecha
de
pedido]])</f>
        <v>2</v>
      </c>
      <c r="Y102" s="84">
        <f>YEAR(Tabla1[[#This Row],[fecha
de
pedido]])</f>
        <v>2017</v>
      </c>
    </row>
    <row r="103" spans="1:25" ht="12.75" customHeight="1" x14ac:dyDescent="0.2">
      <c r="A103" s="118">
        <v>42779</v>
      </c>
      <c r="B103" s="118" t="s">
        <v>487</v>
      </c>
      <c r="C103" s="118" t="s">
        <v>921</v>
      </c>
      <c r="D103" s="15" t="s">
        <v>33</v>
      </c>
      <c r="E103" s="24" t="s">
        <v>277</v>
      </c>
      <c r="F103" s="15" t="s">
        <v>921</v>
      </c>
      <c r="G103" s="24" t="s">
        <v>370</v>
      </c>
      <c r="H103" s="15">
        <v>2</v>
      </c>
      <c r="I103" s="15" t="s">
        <v>784</v>
      </c>
      <c r="J103" s="24" t="s">
        <v>299</v>
      </c>
      <c r="K103" s="15">
        <v>15</v>
      </c>
      <c r="L103" s="15">
        <v>30</v>
      </c>
      <c r="M103" s="22">
        <v>42780</v>
      </c>
      <c r="N103" s="22">
        <v>42780</v>
      </c>
      <c r="O103" s="22" t="str">
        <f>IF( Tabla1[[#This Row],[Fecha de entrega real]]="","NO CONCRETADO",IF(N103&lt;=M103,"CUMPLIÓ","NO CUMPLIÓ"))</f>
        <v>CUMPLIÓ</v>
      </c>
      <c r="P103" s="124">
        <f t="shared" si="2"/>
        <v>0</v>
      </c>
      <c r="Q103" s="24" t="s">
        <v>13</v>
      </c>
      <c r="R103" s="24" t="s">
        <v>33</v>
      </c>
      <c r="S103" s="24" t="s">
        <v>334</v>
      </c>
      <c r="U103" s="107" t="s">
        <v>369</v>
      </c>
      <c r="X103" s="84">
        <f>MONTH(Tabla1[[#This Row],[fecha
de
pedido]])</f>
        <v>2</v>
      </c>
      <c r="Y103" s="84">
        <f>YEAR(Tabla1[[#This Row],[fecha
de
pedido]])</f>
        <v>2017</v>
      </c>
    </row>
    <row r="104" spans="1:25" ht="12.75" customHeight="1" x14ac:dyDescent="0.2">
      <c r="A104" s="118">
        <v>42779</v>
      </c>
      <c r="B104" s="118" t="s">
        <v>487</v>
      </c>
      <c r="C104" s="118" t="s">
        <v>921</v>
      </c>
      <c r="D104" s="15" t="s">
        <v>33</v>
      </c>
      <c r="E104" s="24" t="s">
        <v>277</v>
      </c>
      <c r="F104" s="15" t="s">
        <v>921</v>
      </c>
      <c r="G104" s="24" t="s">
        <v>373</v>
      </c>
      <c r="H104" s="15">
        <v>1</v>
      </c>
      <c r="I104" s="15" t="s">
        <v>821</v>
      </c>
      <c r="J104" s="24" t="s">
        <v>299</v>
      </c>
      <c r="K104" s="15">
        <v>200</v>
      </c>
      <c r="L104" s="15">
        <v>200</v>
      </c>
      <c r="M104" s="22">
        <v>42780</v>
      </c>
      <c r="N104" s="22">
        <v>42780</v>
      </c>
      <c r="O104" s="22" t="str">
        <f>IF( Tabla1[[#This Row],[Fecha de entrega real]]="","NO CONCRETADO",IF(N104&lt;=M104,"CUMPLIÓ","NO CUMPLIÓ"))</f>
        <v>CUMPLIÓ</v>
      </c>
      <c r="P104" s="124">
        <f t="shared" ref="P104:P147" si="3">IF(N104="","NO CONCRETADO",N104-M104)</f>
        <v>0</v>
      </c>
      <c r="Q104" s="24" t="s">
        <v>13</v>
      </c>
      <c r="R104" s="24" t="s">
        <v>33</v>
      </c>
      <c r="S104" s="24" t="s">
        <v>334</v>
      </c>
      <c r="T104" s="1" t="s">
        <v>385</v>
      </c>
      <c r="U104" s="107" t="s">
        <v>384</v>
      </c>
      <c r="X104" s="84">
        <f>MONTH(Tabla1[[#This Row],[fecha
de
pedido]])</f>
        <v>2</v>
      </c>
      <c r="Y104" s="84">
        <f>YEAR(Tabla1[[#This Row],[fecha
de
pedido]])</f>
        <v>2017</v>
      </c>
    </row>
    <row r="105" spans="1:25" ht="12.75" customHeight="1" x14ac:dyDescent="0.2">
      <c r="A105" s="118">
        <v>42779</v>
      </c>
      <c r="B105" s="118" t="s">
        <v>487</v>
      </c>
      <c r="C105" s="118" t="s">
        <v>921</v>
      </c>
      <c r="D105" s="15" t="s">
        <v>33</v>
      </c>
      <c r="E105" s="24" t="s">
        <v>277</v>
      </c>
      <c r="F105" s="15" t="s">
        <v>921</v>
      </c>
      <c r="G105" s="24" t="s">
        <v>367</v>
      </c>
      <c r="H105" s="15">
        <v>2</v>
      </c>
      <c r="I105" s="15" t="s">
        <v>784</v>
      </c>
      <c r="J105" s="24" t="s">
        <v>299</v>
      </c>
      <c r="K105" s="15">
        <v>95</v>
      </c>
      <c r="L105" s="15">
        <v>190</v>
      </c>
      <c r="M105" s="22">
        <v>42780</v>
      </c>
      <c r="N105" s="22">
        <v>42780</v>
      </c>
      <c r="O105" s="22" t="str">
        <f>IF( Tabla1[[#This Row],[Fecha de entrega real]]="","NO CONCRETADO",IF(N105&lt;=M105,"CUMPLIÓ","NO CUMPLIÓ"))</f>
        <v>CUMPLIÓ</v>
      </c>
      <c r="P105" s="124">
        <f t="shared" si="3"/>
        <v>0</v>
      </c>
      <c r="Q105" s="24" t="s">
        <v>13</v>
      </c>
      <c r="R105" s="24" t="s">
        <v>33</v>
      </c>
      <c r="S105" s="24" t="s">
        <v>334</v>
      </c>
      <c r="U105" s="107" t="s">
        <v>369</v>
      </c>
      <c r="X105" s="84">
        <f>MONTH(Tabla1[[#This Row],[fecha
de
pedido]])</f>
        <v>2</v>
      </c>
      <c r="Y105" s="84">
        <f>YEAR(Tabla1[[#This Row],[fecha
de
pedido]])</f>
        <v>2017</v>
      </c>
    </row>
    <row r="106" spans="1:25" ht="12.75" customHeight="1" x14ac:dyDescent="0.2">
      <c r="A106" s="118">
        <v>42779</v>
      </c>
      <c r="B106" s="118" t="s">
        <v>487</v>
      </c>
      <c r="C106" s="118" t="s">
        <v>921</v>
      </c>
      <c r="D106" s="15" t="s">
        <v>33</v>
      </c>
      <c r="E106" s="24" t="s">
        <v>361</v>
      </c>
      <c r="F106" s="15" t="s">
        <v>921</v>
      </c>
      <c r="G106" s="24" t="s">
        <v>204</v>
      </c>
      <c r="H106" s="15">
        <v>200</v>
      </c>
      <c r="I106" s="15" t="s">
        <v>779</v>
      </c>
      <c r="J106" s="24" t="s">
        <v>12</v>
      </c>
      <c r="K106" s="15">
        <v>4.5</v>
      </c>
      <c r="L106" s="15">
        <v>900</v>
      </c>
      <c r="M106" s="22">
        <v>42780</v>
      </c>
      <c r="N106" s="22">
        <v>42780</v>
      </c>
      <c r="O106" s="22" t="str">
        <f>IF( Tabla1[[#This Row],[Fecha de entrega real]]="","NO CONCRETADO",IF(N106&lt;=M106,"CUMPLIÓ","NO CUMPLIÓ"))</f>
        <v>CUMPLIÓ</v>
      </c>
      <c r="P106" s="124">
        <f t="shared" si="3"/>
        <v>0</v>
      </c>
      <c r="Q106" s="24" t="s">
        <v>13</v>
      </c>
      <c r="R106" s="24" t="s">
        <v>33</v>
      </c>
      <c r="S106" s="24" t="s">
        <v>362</v>
      </c>
      <c r="U106" s="107" t="s">
        <v>363</v>
      </c>
      <c r="X106" s="84">
        <f>MONTH(Tabla1[[#This Row],[fecha
de
pedido]])</f>
        <v>2</v>
      </c>
      <c r="Y106" s="84">
        <f>YEAR(Tabla1[[#This Row],[fecha
de
pedido]])</f>
        <v>2017</v>
      </c>
    </row>
    <row r="107" spans="1:25" ht="12.75" customHeight="1" x14ac:dyDescent="0.2">
      <c r="A107" s="118">
        <v>42788</v>
      </c>
      <c r="B107" s="118" t="s">
        <v>487</v>
      </c>
      <c r="C107" s="118" t="s">
        <v>921</v>
      </c>
      <c r="D107" s="15" t="s">
        <v>33</v>
      </c>
      <c r="E107" s="24" t="s">
        <v>285</v>
      </c>
      <c r="F107" s="15" t="s">
        <v>921</v>
      </c>
      <c r="G107" s="24" t="s">
        <v>381</v>
      </c>
      <c r="H107" s="15">
        <v>1</v>
      </c>
      <c r="I107" s="15" t="s">
        <v>821</v>
      </c>
      <c r="J107" s="24" t="s">
        <v>77</v>
      </c>
      <c r="K107" s="15">
        <v>4622.2</v>
      </c>
      <c r="L107" s="15">
        <v>4622.2</v>
      </c>
      <c r="M107" s="22">
        <v>42804</v>
      </c>
      <c r="N107" s="22">
        <v>42803</v>
      </c>
      <c r="O107" s="22" t="str">
        <f>IF( Tabla1[[#This Row],[Fecha de entrega real]]="","NO CONCRETADO",IF(N107&lt;=M107,"CUMPLIÓ","NO CUMPLIÓ"))</f>
        <v>CUMPLIÓ</v>
      </c>
      <c r="P107" s="124">
        <f t="shared" si="3"/>
        <v>-1</v>
      </c>
      <c r="Q107" s="24" t="s">
        <v>13</v>
      </c>
      <c r="R107" s="24" t="s">
        <v>33</v>
      </c>
      <c r="S107" s="24" t="s">
        <v>334</v>
      </c>
      <c r="X107" s="84">
        <f>MONTH(Tabla1[[#This Row],[fecha
de
pedido]])</f>
        <v>2</v>
      </c>
      <c r="Y107" s="84">
        <f>YEAR(Tabla1[[#This Row],[fecha
de
pedido]])</f>
        <v>2017</v>
      </c>
    </row>
    <row r="108" spans="1:25" ht="12.75" customHeight="1" x14ac:dyDescent="0.2">
      <c r="A108" s="118">
        <v>42795</v>
      </c>
      <c r="B108" s="118" t="s">
        <v>487</v>
      </c>
      <c r="C108" s="118" t="s">
        <v>921</v>
      </c>
      <c r="D108" s="15" t="s">
        <v>247</v>
      </c>
      <c r="E108" s="24" t="s">
        <v>277</v>
      </c>
      <c r="F108" s="15" t="s">
        <v>921</v>
      </c>
      <c r="G108" s="24" t="s">
        <v>204</v>
      </c>
      <c r="H108" s="15">
        <v>170</v>
      </c>
      <c r="I108" s="15" t="s">
        <v>779</v>
      </c>
      <c r="J108" s="24" t="s">
        <v>12</v>
      </c>
      <c r="K108" s="15">
        <v>4.5</v>
      </c>
      <c r="L108" s="15">
        <v>765</v>
      </c>
      <c r="M108" s="22">
        <v>42796</v>
      </c>
      <c r="N108" s="22">
        <v>42797</v>
      </c>
      <c r="O108" s="22" t="str">
        <f>IF( Tabla1[[#This Row],[Fecha de entrega real]]="","NO CONCRETADO",IF(N108&lt;=M108,"CUMPLIÓ","NO CUMPLIÓ"))</f>
        <v>NO CUMPLIÓ</v>
      </c>
      <c r="P108" s="124">
        <f t="shared" si="3"/>
        <v>1</v>
      </c>
      <c r="Q108" s="24" t="s">
        <v>13</v>
      </c>
      <c r="R108" s="24" t="s">
        <v>461</v>
      </c>
      <c r="S108" s="24" t="s">
        <v>244</v>
      </c>
      <c r="U108" s="107">
        <v>396</v>
      </c>
      <c r="X108" s="84">
        <f>MONTH(Tabla1[[#This Row],[fecha
de
pedido]])</f>
        <v>3</v>
      </c>
      <c r="Y108" s="84">
        <f>YEAR(Tabla1[[#This Row],[fecha
de
pedido]])</f>
        <v>2017</v>
      </c>
    </row>
    <row r="109" spans="1:25" ht="25.5" customHeight="1" x14ac:dyDescent="0.2">
      <c r="A109" s="118">
        <v>42804</v>
      </c>
      <c r="B109" s="118" t="s">
        <v>487</v>
      </c>
      <c r="C109" s="118" t="s">
        <v>921</v>
      </c>
      <c r="D109" s="15" t="s">
        <v>11</v>
      </c>
      <c r="E109" s="24" t="s">
        <v>11</v>
      </c>
      <c r="F109" s="15" t="s">
        <v>921</v>
      </c>
      <c r="G109" s="24" t="s">
        <v>392</v>
      </c>
      <c r="H109" s="15">
        <v>4</v>
      </c>
      <c r="I109" s="15" t="s">
        <v>932</v>
      </c>
      <c r="J109" s="24" t="s">
        <v>82</v>
      </c>
      <c r="K109" s="15">
        <v>211.75</v>
      </c>
      <c r="L109" s="15">
        <v>847</v>
      </c>
      <c r="M109" s="22">
        <v>42811</v>
      </c>
      <c r="N109" s="22">
        <v>42809</v>
      </c>
      <c r="O109" s="22" t="str">
        <f>IF( Tabla1[[#This Row],[Fecha de entrega real]]="","NO CONCRETADO",IF(N109&lt;=M109,"CUMPLIÓ","NO CUMPLIÓ"))</f>
        <v>CUMPLIÓ</v>
      </c>
      <c r="P109" s="124">
        <f t="shared" si="3"/>
        <v>-2</v>
      </c>
      <c r="Q109" s="24" t="s">
        <v>13</v>
      </c>
      <c r="R109" s="24" t="s">
        <v>390</v>
      </c>
      <c r="S109" s="24" t="s">
        <v>391</v>
      </c>
      <c r="T109" s="1" t="s">
        <v>393</v>
      </c>
      <c r="U109" s="107" t="s">
        <v>394</v>
      </c>
      <c r="X109" s="84">
        <f>MONTH(Tabla1[[#This Row],[fecha
de
pedido]])</f>
        <v>3</v>
      </c>
      <c r="Y109" s="84">
        <f>YEAR(Tabla1[[#This Row],[fecha
de
pedido]])</f>
        <v>2017</v>
      </c>
    </row>
    <row r="110" spans="1:25" ht="25.5" customHeight="1" x14ac:dyDescent="0.2">
      <c r="A110" s="118">
        <v>42804</v>
      </c>
      <c r="B110" s="118" t="s">
        <v>487</v>
      </c>
      <c r="C110" s="118" t="s">
        <v>921</v>
      </c>
      <c r="D110" s="15" t="s">
        <v>11</v>
      </c>
      <c r="E110" s="24" t="s">
        <v>11</v>
      </c>
      <c r="F110" s="15" t="s">
        <v>921</v>
      </c>
      <c r="G110" s="24" t="s">
        <v>389</v>
      </c>
      <c r="H110" s="15">
        <v>1</v>
      </c>
      <c r="I110" s="15" t="s">
        <v>912</v>
      </c>
      <c r="J110" s="24" t="s">
        <v>82</v>
      </c>
      <c r="K110" s="15">
        <v>1573.79</v>
      </c>
      <c r="L110" s="15">
        <v>1573.79</v>
      </c>
      <c r="M110" s="22">
        <v>42814</v>
      </c>
      <c r="N110" s="22">
        <v>42812</v>
      </c>
      <c r="O110" s="22" t="str">
        <f>IF( Tabla1[[#This Row],[Fecha de entrega real]]="","NO CONCRETADO",IF(N110&lt;=M110,"CUMPLIÓ","NO CUMPLIÓ"))</f>
        <v>CUMPLIÓ</v>
      </c>
      <c r="P110" s="124">
        <f t="shared" si="3"/>
        <v>-2</v>
      </c>
      <c r="Q110" s="24" t="s">
        <v>13</v>
      </c>
      <c r="R110" s="24" t="s">
        <v>390</v>
      </c>
      <c r="S110" s="24" t="s">
        <v>244</v>
      </c>
      <c r="T110" s="1" t="s">
        <v>393</v>
      </c>
      <c r="U110" s="107" t="s">
        <v>394</v>
      </c>
      <c r="X110" s="84">
        <f>MONTH(Tabla1[[#This Row],[fecha
de
pedido]])</f>
        <v>3</v>
      </c>
      <c r="Y110" s="84">
        <f>YEAR(Tabla1[[#This Row],[fecha
de
pedido]])</f>
        <v>2017</v>
      </c>
    </row>
    <row r="111" spans="1:25" ht="25.5" customHeight="1" x14ac:dyDescent="0.2">
      <c r="A111" s="118">
        <v>42804</v>
      </c>
      <c r="B111" s="118" t="s">
        <v>487</v>
      </c>
      <c r="C111" s="118" t="s">
        <v>921</v>
      </c>
      <c r="D111" s="15" t="s">
        <v>11</v>
      </c>
      <c r="E111" s="24" t="s">
        <v>11</v>
      </c>
      <c r="F111" s="15" t="s">
        <v>921</v>
      </c>
      <c r="G111" s="24" t="s">
        <v>395</v>
      </c>
      <c r="H111" s="15">
        <v>2</v>
      </c>
      <c r="I111" s="15" t="s">
        <v>488</v>
      </c>
      <c r="J111" s="24" t="s">
        <v>82</v>
      </c>
      <c r="K111" s="15">
        <v>1934.79</v>
      </c>
      <c r="L111" s="15">
        <v>3869.58</v>
      </c>
      <c r="M111" s="22">
        <v>42818</v>
      </c>
      <c r="N111" s="22">
        <v>42836</v>
      </c>
      <c r="O111" s="22" t="str">
        <f>IF( Tabla1[[#This Row],[Fecha de entrega real]]="","NO CONCRETADO",IF(N111&lt;=M111,"CUMPLIÓ","NO CUMPLIÓ"))</f>
        <v>NO CUMPLIÓ</v>
      </c>
      <c r="P111" s="124">
        <f t="shared" si="3"/>
        <v>18</v>
      </c>
      <c r="Q111" s="24" t="s">
        <v>13</v>
      </c>
      <c r="R111" s="24" t="s">
        <v>432</v>
      </c>
      <c r="S111" s="24" t="s">
        <v>433</v>
      </c>
      <c r="T111" s="1" t="s">
        <v>434</v>
      </c>
      <c r="U111" s="107" t="s">
        <v>416</v>
      </c>
      <c r="X111" s="84">
        <f>MONTH(Tabla1[[#This Row],[fecha
de
pedido]])</f>
        <v>3</v>
      </c>
      <c r="Y111" s="84">
        <f>YEAR(Tabla1[[#This Row],[fecha
de
pedido]])</f>
        <v>2017</v>
      </c>
    </row>
    <row r="112" spans="1:25" ht="25.5" customHeight="1" x14ac:dyDescent="0.2">
      <c r="A112" s="118">
        <v>42804</v>
      </c>
      <c r="B112" s="118" t="s">
        <v>487</v>
      </c>
      <c r="C112" s="118" t="s">
        <v>921</v>
      </c>
      <c r="D112" s="15" t="s">
        <v>11</v>
      </c>
      <c r="E112" s="24" t="s">
        <v>11</v>
      </c>
      <c r="F112" s="15" t="s">
        <v>921</v>
      </c>
      <c r="G112" s="24" t="s">
        <v>388</v>
      </c>
      <c r="H112" s="15">
        <v>3</v>
      </c>
      <c r="I112" s="15" t="s">
        <v>897</v>
      </c>
      <c r="J112" s="24" t="s">
        <v>82</v>
      </c>
      <c r="K112" s="15">
        <v>107.69</v>
      </c>
      <c r="L112" s="15">
        <v>215.38</v>
      </c>
      <c r="M112" s="22">
        <v>42813</v>
      </c>
      <c r="N112" s="22">
        <v>42811</v>
      </c>
      <c r="O112" s="22" t="str">
        <f>IF( Tabla1[[#This Row],[Fecha de entrega real]]="","NO CONCRETADO",IF(N112&lt;=M112,"CUMPLIÓ","NO CUMPLIÓ"))</f>
        <v>CUMPLIÓ</v>
      </c>
      <c r="P112" s="124">
        <f t="shared" si="3"/>
        <v>-2</v>
      </c>
      <c r="Q112" s="24" t="s">
        <v>13</v>
      </c>
      <c r="R112" s="24" t="s">
        <v>390</v>
      </c>
      <c r="S112" s="24" t="s">
        <v>391</v>
      </c>
      <c r="T112" s="1" t="s">
        <v>393</v>
      </c>
      <c r="U112" s="107" t="s">
        <v>394</v>
      </c>
      <c r="X112" s="84">
        <f>MONTH(Tabla1[[#This Row],[fecha
de
pedido]])</f>
        <v>3</v>
      </c>
      <c r="Y112" s="84">
        <f>YEAR(Tabla1[[#This Row],[fecha
de
pedido]])</f>
        <v>2017</v>
      </c>
    </row>
    <row r="113" spans="1:25" ht="25.5" customHeight="1" x14ac:dyDescent="0.2">
      <c r="A113" s="118">
        <v>42804</v>
      </c>
      <c r="B113" s="118" t="s">
        <v>487</v>
      </c>
      <c r="C113" s="118" t="s">
        <v>921</v>
      </c>
      <c r="D113" s="15" t="s">
        <v>11</v>
      </c>
      <c r="E113" s="24" t="s">
        <v>11</v>
      </c>
      <c r="F113" s="15" t="s">
        <v>921</v>
      </c>
      <c r="G113" s="24" t="s">
        <v>387</v>
      </c>
      <c r="H113" s="15">
        <v>2</v>
      </c>
      <c r="I113" s="15" t="s">
        <v>897</v>
      </c>
      <c r="J113" s="24" t="s">
        <v>82</v>
      </c>
      <c r="K113" s="15">
        <v>107.69</v>
      </c>
      <c r="L113" s="15">
        <v>215.38</v>
      </c>
      <c r="M113" s="22">
        <v>42812</v>
      </c>
      <c r="N113" s="22">
        <v>42810</v>
      </c>
      <c r="O113" s="22" t="str">
        <f>IF( Tabla1[[#This Row],[Fecha de entrega real]]="","NO CONCRETADO",IF(N113&lt;=M113,"CUMPLIÓ","NO CUMPLIÓ"))</f>
        <v>CUMPLIÓ</v>
      </c>
      <c r="P113" s="124">
        <f t="shared" si="3"/>
        <v>-2</v>
      </c>
      <c r="Q113" s="24" t="s">
        <v>13</v>
      </c>
      <c r="R113" s="24" t="s">
        <v>390</v>
      </c>
      <c r="S113" s="24" t="s">
        <v>391</v>
      </c>
      <c r="T113" s="1" t="s">
        <v>393</v>
      </c>
      <c r="U113" s="107" t="s">
        <v>394</v>
      </c>
      <c r="X113" s="84">
        <f>MONTH(Tabla1[[#This Row],[fecha
de
pedido]])</f>
        <v>3</v>
      </c>
      <c r="Y113" s="84">
        <f>YEAR(Tabla1[[#This Row],[fecha
de
pedido]])</f>
        <v>2017</v>
      </c>
    </row>
    <row r="114" spans="1:25" ht="25.5" customHeight="1" x14ac:dyDescent="0.2">
      <c r="A114" s="118">
        <v>42804</v>
      </c>
      <c r="B114" s="118" t="s">
        <v>487</v>
      </c>
      <c r="C114" s="118" t="s">
        <v>921</v>
      </c>
      <c r="D114" s="15" t="s">
        <v>11</v>
      </c>
      <c r="E114" s="24" t="s">
        <v>11</v>
      </c>
      <c r="F114" s="15" t="s">
        <v>921</v>
      </c>
      <c r="G114" s="24" t="s">
        <v>386</v>
      </c>
      <c r="H114" s="15">
        <v>1</v>
      </c>
      <c r="I114" s="15" t="s">
        <v>931</v>
      </c>
      <c r="J114" s="24" t="s">
        <v>82</v>
      </c>
      <c r="K114" s="15">
        <v>2655</v>
      </c>
      <c r="L114" s="15">
        <v>2655</v>
      </c>
      <c r="M114" s="22">
        <v>42811</v>
      </c>
      <c r="N114" s="22">
        <v>42808</v>
      </c>
      <c r="O114" s="22" t="str">
        <f>IF( Tabla1[[#This Row],[Fecha de entrega real]]="","NO CONCRETADO",IF(N114&lt;=M114,"CUMPLIÓ","NO CUMPLIÓ"))</f>
        <v>CUMPLIÓ</v>
      </c>
      <c r="P114" s="124">
        <f t="shared" si="3"/>
        <v>-3</v>
      </c>
      <c r="Q114" s="24" t="s">
        <v>13</v>
      </c>
      <c r="R114" s="24" t="s">
        <v>390</v>
      </c>
      <c r="S114" s="24" t="s">
        <v>244</v>
      </c>
      <c r="T114" s="1" t="s">
        <v>393</v>
      </c>
      <c r="U114" s="107" t="s">
        <v>394</v>
      </c>
      <c r="X114" s="84">
        <f>MONTH(Tabla1[[#This Row],[fecha
de
pedido]])</f>
        <v>3</v>
      </c>
      <c r="Y114" s="84">
        <f>YEAR(Tabla1[[#This Row],[fecha
de
pedido]])</f>
        <v>2017</v>
      </c>
    </row>
    <row r="115" spans="1:25" ht="25.5" customHeight="1" x14ac:dyDescent="0.2">
      <c r="A115" s="118">
        <v>42810</v>
      </c>
      <c r="B115" s="118" t="s">
        <v>487</v>
      </c>
      <c r="C115" s="118" t="s">
        <v>921</v>
      </c>
      <c r="D115" s="15" t="s">
        <v>33</v>
      </c>
      <c r="E115" s="24" t="s">
        <v>11</v>
      </c>
      <c r="F115" s="15" t="s">
        <v>921</v>
      </c>
      <c r="G115" s="24" t="s">
        <v>177</v>
      </c>
      <c r="H115" s="15">
        <v>4</v>
      </c>
      <c r="I115" s="15" t="s">
        <v>488</v>
      </c>
      <c r="J115" s="24" t="s">
        <v>77</v>
      </c>
      <c r="K115" s="15">
        <v>239.58</v>
      </c>
      <c r="L115" s="15">
        <v>958.32</v>
      </c>
      <c r="M115" s="22">
        <v>42817</v>
      </c>
      <c r="N115" s="26"/>
      <c r="O115" s="22" t="str">
        <f>IF( Tabla1[[#This Row],[Fecha de entrega real]]="","NO CONCRETADO",IF(N115&lt;=M115,"CUMPLIÓ","NO CUMPLIÓ"))</f>
        <v>NO CONCRETADO</v>
      </c>
      <c r="P115" s="124" t="str">
        <f t="shared" si="3"/>
        <v>NO CONCRETADO</v>
      </c>
      <c r="Q115" s="117"/>
      <c r="R115" s="24" t="s">
        <v>33</v>
      </c>
      <c r="S115" s="24" t="s">
        <v>423</v>
      </c>
      <c r="X115" s="84">
        <f>MONTH(Tabla1[[#This Row],[fecha
de
pedido]])</f>
        <v>3</v>
      </c>
      <c r="Y115" s="84">
        <f>YEAR(Tabla1[[#This Row],[fecha
de
pedido]])</f>
        <v>2017</v>
      </c>
    </row>
    <row r="116" spans="1:25" ht="25.5" customHeight="1" x14ac:dyDescent="0.2">
      <c r="A116" s="118">
        <v>42810</v>
      </c>
      <c r="B116" s="118" t="s">
        <v>487</v>
      </c>
      <c r="C116" s="118" t="s">
        <v>921</v>
      </c>
      <c r="D116" s="15" t="s">
        <v>33</v>
      </c>
      <c r="E116" s="24" t="s">
        <v>11</v>
      </c>
      <c r="F116" s="15" t="s">
        <v>921</v>
      </c>
      <c r="G116" s="24" t="s">
        <v>405</v>
      </c>
      <c r="H116" s="15">
        <v>6</v>
      </c>
      <c r="I116" s="15" t="s">
        <v>488</v>
      </c>
      <c r="J116" s="24" t="s">
        <v>77</v>
      </c>
      <c r="K116" s="15">
        <v>35.090000000000003</v>
      </c>
      <c r="L116" s="15">
        <v>210.54</v>
      </c>
      <c r="M116" s="22">
        <v>42817</v>
      </c>
      <c r="N116" s="26"/>
      <c r="O116" s="22" t="str">
        <f>IF( Tabla1[[#This Row],[Fecha de entrega real]]="","NO CONCRETADO",IF(N116&lt;=M116,"CUMPLIÓ","NO CUMPLIÓ"))</f>
        <v>NO CONCRETADO</v>
      </c>
      <c r="P116" s="124" t="str">
        <f t="shared" si="3"/>
        <v>NO CONCRETADO</v>
      </c>
      <c r="Q116" s="117"/>
      <c r="R116" s="24" t="s">
        <v>33</v>
      </c>
      <c r="S116" s="24" t="s">
        <v>423</v>
      </c>
      <c r="X116" s="84">
        <f>MONTH(Tabla1[[#This Row],[fecha
de
pedido]])</f>
        <v>3</v>
      </c>
      <c r="Y116" s="84">
        <f>YEAR(Tabla1[[#This Row],[fecha
de
pedido]])</f>
        <v>2017</v>
      </c>
    </row>
    <row r="117" spans="1:25" ht="25.5" customHeight="1" x14ac:dyDescent="0.2">
      <c r="A117" s="118">
        <v>42810</v>
      </c>
      <c r="B117" s="118" t="s">
        <v>487</v>
      </c>
      <c r="C117" s="118" t="s">
        <v>921</v>
      </c>
      <c r="D117" s="15" t="s">
        <v>33</v>
      </c>
      <c r="E117" s="24" t="s">
        <v>11</v>
      </c>
      <c r="F117" s="15" t="s">
        <v>921</v>
      </c>
      <c r="G117" s="24" t="s">
        <v>406</v>
      </c>
      <c r="H117" s="15">
        <v>6</v>
      </c>
      <c r="I117" s="15" t="s">
        <v>488</v>
      </c>
      <c r="J117" s="24" t="s">
        <v>77</v>
      </c>
      <c r="K117" s="15">
        <v>42.35</v>
      </c>
      <c r="L117" s="15">
        <v>254.1</v>
      </c>
      <c r="M117" s="22">
        <v>42817</v>
      </c>
      <c r="N117" s="26"/>
      <c r="O117" s="22" t="str">
        <f>IF( Tabla1[[#This Row],[Fecha de entrega real]]="","NO CONCRETADO",IF(N117&lt;=M117,"CUMPLIÓ","NO CUMPLIÓ"))</f>
        <v>NO CONCRETADO</v>
      </c>
      <c r="P117" s="124" t="str">
        <f t="shared" si="3"/>
        <v>NO CONCRETADO</v>
      </c>
      <c r="Q117" s="117"/>
      <c r="R117" s="24" t="s">
        <v>33</v>
      </c>
      <c r="S117" s="24" t="s">
        <v>423</v>
      </c>
      <c r="X117" s="84">
        <f>MONTH(Tabla1[[#This Row],[fecha
de
pedido]])</f>
        <v>3</v>
      </c>
      <c r="Y117" s="84">
        <f>YEAR(Tabla1[[#This Row],[fecha
de
pedido]])</f>
        <v>2017</v>
      </c>
    </row>
    <row r="118" spans="1:25" ht="25.5" customHeight="1" x14ac:dyDescent="0.2">
      <c r="A118" s="118">
        <v>42810</v>
      </c>
      <c r="B118" s="118" t="s">
        <v>487</v>
      </c>
      <c r="C118" s="118" t="s">
        <v>921</v>
      </c>
      <c r="D118" s="15" t="s">
        <v>33</v>
      </c>
      <c r="E118" s="24" t="s">
        <v>11</v>
      </c>
      <c r="F118" s="15" t="s">
        <v>921</v>
      </c>
      <c r="G118" s="24" t="s">
        <v>404</v>
      </c>
      <c r="H118" s="15">
        <v>6</v>
      </c>
      <c r="I118" s="15" t="s">
        <v>488</v>
      </c>
      <c r="J118" s="24" t="s">
        <v>77</v>
      </c>
      <c r="K118" s="15">
        <v>30.25</v>
      </c>
      <c r="L118" s="15">
        <v>181.5</v>
      </c>
      <c r="M118" s="22">
        <v>42817</v>
      </c>
      <c r="N118" s="22"/>
      <c r="O118" s="22" t="str">
        <f>IF( Tabla1[[#This Row],[Fecha de entrega real]]="","NO CONCRETADO",IF(N118&lt;=M118,"CUMPLIÓ","NO CUMPLIÓ"))</f>
        <v>NO CONCRETADO</v>
      </c>
      <c r="P118" s="124" t="str">
        <f t="shared" si="3"/>
        <v>NO CONCRETADO</v>
      </c>
      <c r="Q118" s="24"/>
      <c r="R118" s="24" t="s">
        <v>33</v>
      </c>
      <c r="S118" s="24" t="s">
        <v>423</v>
      </c>
      <c r="U118" s="107" t="s">
        <v>422</v>
      </c>
      <c r="X118" s="84">
        <f>MONTH(Tabla1[[#This Row],[fecha
de
pedido]])</f>
        <v>3</v>
      </c>
      <c r="Y118" s="84">
        <f>YEAR(Tabla1[[#This Row],[fecha
de
pedido]])</f>
        <v>2017</v>
      </c>
    </row>
    <row r="119" spans="1:25" ht="12.75" customHeight="1" x14ac:dyDescent="0.2">
      <c r="A119" s="118">
        <v>42811</v>
      </c>
      <c r="B119" s="118" t="s">
        <v>487</v>
      </c>
      <c r="C119" s="118" t="s">
        <v>921</v>
      </c>
      <c r="D119" s="15" t="s">
        <v>33</v>
      </c>
      <c r="E119" s="24" t="s">
        <v>11</v>
      </c>
      <c r="F119" s="15" t="s">
        <v>921</v>
      </c>
      <c r="G119" s="24" t="s">
        <v>403</v>
      </c>
      <c r="H119" s="15">
        <v>1</v>
      </c>
      <c r="I119" s="15" t="s">
        <v>821</v>
      </c>
      <c r="J119" s="24" t="s">
        <v>15</v>
      </c>
      <c r="K119" s="15">
        <v>490</v>
      </c>
      <c r="L119" s="15">
        <v>490</v>
      </c>
      <c r="M119" s="22">
        <v>42835</v>
      </c>
      <c r="N119" s="22">
        <v>42830</v>
      </c>
      <c r="O119" s="22" t="str">
        <f>IF( Tabla1[[#This Row],[Fecha de entrega real]]="","NO CONCRETADO",IF(N119&lt;=M119,"CUMPLIÓ","NO CUMPLIÓ"))</f>
        <v>CUMPLIÓ</v>
      </c>
      <c r="P119" s="124">
        <f t="shared" si="3"/>
        <v>-5</v>
      </c>
      <c r="Q119" s="24" t="s">
        <v>13</v>
      </c>
      <c r="R119" s="24" t="s">
        <v>32</v>
      </c>
      <c r="S119" s="24" t="s">
        <v>334</v>
      </c>
      <c r="T119" s="1" t="s">
        <v>417</v>
      </c>
      <c r="U119" s="107" t="s">
        <v>418</v>
      </c>
      <c r="X119" s="84">
        <f>MONTH(Tabla1[[#This Row],[fecha
de
pedido]])</f>
        <v>3</v>
      </c>
      <c r="Y119" s="84">
        <f>YEAR(Tabla1[[#This Row],[fecha
de
pedido]])</f>
        <v>2017</v>
      </c>
    </row>
    <row r="120" spans="1:25" ht="12.75" customHeight="1" x14ac:dyDescent="0.2">
      <c r="A120" s="118">
        <v>42811</v>
      </c>
      <c r="B120" s="118" t="s">
        <v>487</v>
      </c>
      <c r="C120" s="118" t="s">
        <v>921</v>
      </c>
      <c r="D120" s="15" t="s">
        <v>33</v>
      </c>
      <c r="E120" s="24" t="s">
        <v>11</v>
      </c>
      <c r="F120" s="15" t="s">
        <v>921</v>
      </c>
      <c r="G120" s="24" t="s">
        <v>284</v>
      </c>
      <c r="H120" s="15">
        <v>8</v>
      </c>
      <c r="I120" s="15" t="s">
        <v>488</v>
      </c>
      <c r="J120" s="24" t="s">
        <v>15</v>
      </c>
      <c r="K120" s="15">
        <v>280</v>
      </c>
      <c r="L120" s="15">
        <v>2240</v>
      </c>
      <c r="M120" s="22">
        <v>42828</v>
      </c>
      <c r="N120" s="22">
        <v>42830</v>
      </c>
      <c r="O120" s="22" t="str">
        <f>IF( Tabla1[[#This Row],[Fecha de entrega real]]="","NO CONCRETADO",IF(N120&lt;=M120,"CUMPLIÓ","NO CUMPLIÓ"))</f>
        <v>NO CUMPLIÓ</v>
      </c>
      <c r="P120" s="124">
        <f t="shared" si="3"/>
        <v>2</v>
      </c>
      <c r="Q120" s="24" t="s">
        <v>13</v>
      </c>
      <c r="R120" s="24" t="s">
        <v>33</v>
      </c>
      <c r="S120" s="24" t="s">
        <v>419</v>
      </c>
      <c r="T120" s="1" t="s">
        <v>420</v>
      </c>
      <c r="U120" s="107" t="s">
        <v>421</v>
      </c>
      <c r="X120" s="84">
        <f>MONTH(Tabla1[[#This Row],[fecha
de
pedido]])</f>
        <v>3</v>
      </c>
      <c r="Y120" s="84">
        <f>YEAR(Tabla1[[#This Row],[fecha
de
pedido]])</f>
        <v>2017</v>
      </c>
    </row>
    <row r="121" spans="1:25" ht="25.5" customHeight="1" x14ac:dyDescent="0.2">
      <c r="A121" s="118">
        <v>42811</v>
      </c>
      <c r="B121" s="118" t="s">
        <v>487</v>
      </c>
      <c r="C121" s="118" t="s">
        <v>921</v>
      </c>
      <c r="D121" s="15" t="s">
        <v>33</v>
      </c>
      <c r="E121" s="24" t="s">
        <v>11</v>
      </c>
      <c r="F121" s="15" t="s">
        <v>921</v>
      </c>
      <c r="G121" s="24" t="s">
        <v>402</v>
      </c>
      <c r="H121" s="15">
        <v>2</v>
      </c>
      <c r="I121" s="15" t="s">
        <v>912</v>
      </c>
      <c r="J121" s="24" t="s">
        <v>15</v>
      </c>
      <c r="K121" s="15">
        <v>450</v>
      </c>
      <c r="L121" s="15">
        <v>900</v>
      </c>
      <c r="M121" s="22">
        <v>42821</v>
      </c>
      <c r="N121" s="22">
        <v>42816</v>
      </c>
      <c r="O121" s="22" t="str">
        <f>IF( Tabla1[[#This Row],[Fecha de entrega real]]="","NO CONCRETADO",IF(N121&lt;=M121,"CUMPLIÓ","NO CUMPLIÓ"))</f>
        <v>CUMPLIÓ</v>
      </c>
      <c r="P121" s="124">
        <f t="shared" si="3"/>
        <v>-5</v>
      </c>
      <c r="Q121" s="24" t="s">
        <v>13</v>
      </c>
      <c r="R121" s="24" t="s">
        <v>33</v>
      </c>
      <c r="S121" s="24" t="s">
        <v>244</v>
      </c>
      <c r="T121" s="1" t="s">
        <v>408</v>
      </c>
      <c r="U121" s="107" t="s">
        <v>409</v>
      </c>
      <c r="X121" s="84">
        <f>MONTH(Tabla1[[#This Row],[fecha
de
pedido]])</f>
        <v>3</v>
      </c>
      <c r="Y121" s="84">
        <f>YEAR(Tabla1[[#This Row],[fecha
de
pedido]])</f>
        <v>2017</v>
      </c>
    </row>
    <row r="122" spans="1:25" ht="25.5" customHeight="1" x14ac:dyDescent="0.2">
      <c r="A122" s="118">
        <v>42811</v>
      </c>
      <c r="B122" s="118" t="s">
        <v>487</v>
      </c>
      <c r="C122" s="118" t="s">
        <v>921</v>
      </c>
      <c r="D122" s="15" t="s">
        <v>33</v>
      </c>
      <c r="E122" s="24" t="s">
        <v>11</v>
      </c>
      <c r="F122" s="15" t="s">
        <v>921</v>
      </c>
      <c r="G122" s="24" t="s">
        <v>400</v>
      </c>
      <c r="H122" s="15">
        <v>2</v>
      </c>
      <c r="I122" s="15" t="s">
        <v>912</v>
      </c>
      <c r="J122" s="24" t="s">
        <v>15</v>
      </c>
      <c r="K122" s="15">
        <v>410</v>
      </c>
      <c r="L122" s="15">
        <v>820</v>
      </c>
      <c r="M122" s="22">
        <v>42821</v>
      </c>
      <c r="N122" s="22">
        <v>42816</v>
      </c>
      <c r="O122" s="22" t="str">
        <f>IF( Tabla1[[#This Row],[Fecha de entrega real]]="","NO CONCRETADO",IF(N122&lt;=M122,"CUMPLIÓ","NO CUMPLIÓ"))</f>
        <v>CUMPLIÓ</v>
      </c>
      <c r="P122" s="124">
        <f t="shared" si="3"/>
        <v>-5</v>
      </c>
      <c r="Q122" s="24" t="s">
        <v>13</v>
      </c>
      <c r="R122" s="24" t="s">
        <v>33</v>
      </c>
      <c r="S122" s="24" t="s">
        <v>244</v>
      </c>
      <c r="T122" s="1" t="s">
        <v>408</v>
      </c>
      <c r="U122" s="107" t="s">
        <v>409</v>
      </c>
      <c r="X122" s="84">
        <f>MONTH(Tabla1[[#This Row],[fecha
de
pedido]])</f>
        <v>3</v>
      </c>
      <c r="Y122" s="84">
        <f>YEAR(Tabla1[[#This Row],[fecha
de
pedido]])</f>
        <v>2017</v>
      </c>
    </row>
    <row r="123" spans="1:25" ht="25.5" customHeight="1" x14ac:dyDescent="0.2">
      <c r="A123" s="118">
        <v>42811</v>
      </c>
      <c r="B123" s="118" t="s">
        <v>487</v>
      </c>
      <c r="C123" s="118" t="s">
        <v>921</v>
      </c>
      <c r="D123" s="15" t="s">
        <v>33</v>
      </c>
      <c r="E123" s="24" t="s">
        <v>11</v>
      </c>
      <c r="F123" s="15" t="s">
        <v>921</v>
      </c>
      <c r="G123" s="24" t="s">
        <v>401</v>
      </c>
      <c r="H123" s="15">
        <v>1</v>
      </c>
      <c r="I123" s="15" t="s">
        <v>912</v>
      </c>
      <c r="J123" s="24" t="s">
        <v>15</v>
      </c>
      <c r="K123" s="15">
        <v>410</v>
      </c>
      <c r="L123" s="15">
        <v>410</v>
      </c>
      <c r="M123" s="22">
        <v>42821</v>
      </c>
      <c r="N123" s="22">
        <v>42822</v>
      </c>
      <c r="O123" s="22" t="str">
        <f>IF( Tabla1[[#This Row],[Fecha de entrega real]]="","NO CONCRETADO",IF(N123&lt;=M123,"CUMPLIÓ","NO CUMPLIÓ"))</f>
        <v>NO CUMPLIÓ</v>
      </c>
      <c r="P123" s="124">
        <f t="shared" si="3"/>
        <v>1</v>
      </c>
      <c r="Q123" s="24" t="s">
        <v>13</v>
      </c>
      <c r="R123" s="24" t="s">
        <v>32</v>
      </c>
      <c r="S123" s="24" t="s">
        <v>334</v>
      </c>
      <c r="T123" s="1" t="s">
        <v>429</v>
      </c>
      <c r="U123" s="107" t="s">
        <v>431</v>
      </c>
      <c r="X123" s="84">
        <f>MONTH(Tabla1[[#This Row],[fecha
de
pedido]])</f>
        <v>3</v>
      </c>
      <c r="Y123" s="84">
        <f>YEAR(Tabla1[[#This Row],[fecha
de
pedido]])</f>
        <v>2017</v>
      </c>
    </row>
    <row r="124" spans="1:25" ht="25.5" customHeight="1" x14ac:dyDescent="0.2">
      <c r="A124" s="118">
        <v>42811</v>
      </c>
      <c r="B124" s="118" t="s">
        <v>487</v>
      </c>
      <c r="C124" s="118" t="s">
        <v>921</v>
      </c>
      <c r="D124" s="15" t="s">
        <v>33</v>
      </c>
      <c r="E124" s="24" t="s">
        <v>11</v>
      </c>
      <c r="F124" s="15" t="s">
        <v>921</v>
      </c>
      <c r="G124" s="24" t="s">
        <v>398</v>
      </c>
      <c r="H124" s="15">
        <v>10</v>
      </c>
      <c r="I124" s="15" t="s">
        <v>912</v>
      </c>
      <c r="J124" s="24" t="s">
        <v>15</v>
      </c>
      <c r="K124" s="15">
        <v>129</v>
      </c>
      <c r="L124" s="15">
        <v>1290</v>
      </c>
      <c r="M124" s="22">
        <v>42817</v>
      </c>
      <c r="N124" s="22">
        <v>42822</v>
      </c>
      <c r="O124" s="22" t="str">
        <f>IF( Tabla1[[#This Row],[Fecha de entrega real]]="","NO CONCRETADO",IF(N124&lt;=M124,"CUMPLIÓ","NO CUMPLIÓ"))</f>
        <v>NO CUMPLIÓ</v>
      </c>
      <c r="P124" s="124">
        <f t="shared" si="3"/>
        <v>5</v>
      </c>
      <c r="Q124" s="24" t="s">
        <v>13</v>
      </c>
      <c r="R124" s="24" t="s">
        <v>33</v>
      </c>
      <c r="S124" s="24" t="s">
        <v>427</v>
      </c>
      <c r="T124" s="1" t="s">
        <v>428</v>
      </c>
      <c r="U124" s="107" t="s">
        <v>430</v>
      </c>
      <c r="X124" s="84">
        <f>MONTH(Tabla1[[#This Row],[fecha
de
pedido]])</f>
        <v>3</v>
      </c>
      <c r="Y124" s="84">
        <f>YEAR(Tabla1[[#This Row],[fecha
de
pedido]])</f>
        <v>2017</v>
      </c>
    </row>
    <row r="125" spans="1:25" ht="12.75" customHeight="1" x14ac:dyDescent="0.2">
      <c r="A125" s="118">
        <v>42811</v>
      </c>
      <c r="B125" s="118" t="s">
        <v>487</v>
      </c>
      <c r="C125" s="118" t="s">
        <v>921</v>
      </c>
      <c r="D125" s="15" t="s">
        <v>33</v>
      </c>
      <c r="E125" s="24" t="s">
        <v>11</v>
      </c>
      <c r="F125" s="15" t="s">
        <v>921</v>
      </c>
      <c r="G125" s="24" t="s">
        <v>399</v>
      </c>
      <c r="H125" s="15">
        <v>8</v>
      </c>
      <c r="I125" s="15" t="s">
        <v>912</v>
      </c>
      <c r="J125" s="24" t="s">
        <v>15</v>
      </c>
      <c r="K125" s="15">
        <v>129</v>
      </c>
      <c r="L125" s="15">
        <v>1032</v>
      </c>
      <c r="M125" s="22">
        <v>42817</v>
      </c>
      <c r="N125" s="22">
        <v>42816</v>
      </c>
      <c r="O125" s="22" t="str">
        <f>IF( Tabla1[[#This Row],[Fecha de entrega real]]="","NO CONCRETADO",IF(N125&lt;=M125,"CUMPLIÓ","NO CUMPLIÓ"))</f>
        <v>CUMPLIÓ</v>
      </c>
      <c r="P125" s="124">
        <f t="shared" si="3"/>
        <v>-1</v>
      </c>
      <c r="Q125" s="24" t="s">
        <v>13</v>
      </c>
      <c r="R125" s="24" t="s">
        <v>33</v>
      </c>
      <c r="S125" s="24" t="s">
        <v>244</v>
      </c>
      <c r="T125" s="1" t="s">
        <v>408</v>
      </c>
      <c r="U125" s="107" t="s">
        <v>409</v>
      </c>
      <c r="X125" s="84">
        <f>MONTH(Tabla1[[#This Row],[fecha
de
pedido]])</f>
        <v>3</v>
      </c>
      <c r="Y125" s="84">
        <f>YEAR(Tabla1[[#This Row],[fecha
de
pedido]])</f>
        <v>2017</v>
      </c>
    </row>
    <row r="126" spans="1:25" ht="25.5" customHeight="1" x14ac:dyDescent="0.2">
      <c r="A126" s="118">
        <v>42811</v>
      </c>
      <c r="B126" s="118" t="s">
        <v>487</v>
      </c>
      <c r="C126" s="118" t="s">
        <v>921</v>
      </c>
      <c r="D126" s="15" t="s">
        <v>33</v>
      </c>
      <c r="E126" s="24" t="s">
        <v>11</v>
      </c>
      <c r="F126" s="15" t="s">
        <v>921</v>
      </c>
      <c r="G126" s="24" t="s">
        <v>397</v>
      </c>
      <c r="H126" s="15">
        <v>4</v>
      </c>
      <c r="I126" s="15" t="s">
        <v>912</v>
      </c>
      <c r="J126" s="24" t="s">
        <v>15</v>
      </c>
      <c r="K126" s="15">
        <v>129</v>
      </c>
      <c r="L126" s="15">
        <v>516</v>
      </c>
      <c r="M126" s="22">
        <v>42817</v>
      </c>
      <c r="N126" s="22">
        <v>42822</v>
      </c>
      <c r="O126" s="22" t="str">
        <f>IF( Tabla1[[#This Row],[Fecha de entrega real]]="","NO CONCRETADO",IF(N126&lt;=M126,"CUMPLIÓ","NO CUMPLIÓ"))</f>
        <v>NO CUMPLIÓ</v>
      </c>
      <c r="P126" s="124">
        <f t="shared" si="3"/>
        <v>5</v>
      </c>
      <c r="Q126" s="24" t="s">
        <v>13</v>
      </c>
      <c r="R126" s="24" t="s">
        <v>33</v>
      </c>
      <c r="S126" s="24" t="s">
        <v>426</v>
      </c>
      <c r="T126" s="1" t="s">
        <v>428</v>
      </c>
      <c r="U126" s="107" t="s">
        <v>430</v>
      </c>
      <c r="X126" s="84">
        <f>MONTH(Tabla1[[#This Row],[fecha
de
pedido]])</f>
        <v>3</v>
      </c>
      <c r="Y126" s="84">
        <f>YEAR(Tabla1[[#This Row],[fecha
de
pedido]])</f>
        <v>2017</v>
      </c>
    </row>
    <row r="127" spans="1:25" ht="12.75" customHeight="1" x14ac:dyDescent="0.2">
      <c r="A127" s="118">
        <v>42811</v>
      </c>
      <c r="B127" s="118" t="s">
        <v>487</v>
      </c>
      <c r="C127" s="118" t="s">
        <v>921</v>
      </c>
      <c r="D127" s="15" t="s">
        <v>33</v>
      </c>
      <c r="E127" s="24" t="s">
        <v>11</v>
      </c>
      <c r="F127" s="15" t="s">
        <v>921</v>
      </c>
      <c r="G127" s="24" t="s">
        <v>396</v>
      </c>
      <c r="H127" s="15">
        <v>1</v>
      </c>
      <c r="I127" s="15" t="s">
        <v>821</v>
      </c>
      <c r="J127" s="24" t="s">
        <v>15</v>
      </c>
      <c r="K127" s="15">
        <v>401</v>
      </c>
      <c r="L127" s="15">
        <v>401</v>
      </c>
      <c r="M127" s="22">
        <v>42839</v>
      </c>
      <c r="N127" s="22">
        <v>42830</v>
      </c>
      <c r="O127" s="22" t="str">
        <f>IF( Tabla1[[#This Row],[Fecha de entrega real]]="","NO CONCRETADO",IF(N127&lt;=M127,"CUMPLIÓ","NO CUMPLIÓ"))</f>
        <v>CUMPLIÓ</v>
      </c>
      <c r="P127" s="124">
        <f t="shared" si="3"/>
        <v>-9</v>
      </c>
      <c r="Q127" s="24" t="s">
        <v>13</v>
      </c>
      <c r="R127" s="24" t="s">
        <v>32</v>
      </c>
      <c r="S127" s="24" t="s">
        <v>334</v>
      </c>
      <c r="T127" s="1" t="s">
        <v>417</v>
      </c>
      <c r="U127" s="107" t="s">
        <v>418</v>
      </c>
      <c r="X127" s="84">
        <f>MONTH(Tabla1[[#This Row],[fecha
de
pedido]])</f>
        <v>3</v>
      </c>
      <c r="Y127" s="84">
        <f>YEAR(Tabla1[[#This Row],[fecha
de
pedido]])</f>
        <v>2017</v>
      </c>
    </row>
    <row r="128" spans="1:25" ht="25.5" customHeight="1" x14ac:dyDescent="0.2">
      <c r="A128" s="118">
        <v>42811</v>
      </c>
      <c r="B128" s="118" t="s">
        <v>487</v>
      </c>
      <c r="C128" s="118" t="s">
        <v>921</v>
      </c>
      <c r="D128" s="15" t="s">
        <v>33</v>
      </c>
      <c r="E128" s="24" t="s">
        <v>285</v>
      </c>
      <c r="F128" s="15" t="s">
        <v>921</v>
      </c>
      <c r="G128" s="24" t="s">
        <v>204</v>
      </c>
      <c r="H128" s="15">
        <v>200</v>
      </c>
      <c r="I128" s="15" t="s">
        <v>779</v>
      </c>
      <c r="J128" s="24" t="s">
        <v>407</v>
      </c>
      <c r="K128" s="15">
        <v>4.5</v>
      </c>
      <c r="L128" s="15">
        <v>900</v>
      </c>
      <c r="M128" s="22">
        <v>42815</v>
      </c>
      <c r="N128" s="22">
        <v>42822</v>
      </c>
      <c r="O128" s="22" t="str">
        <f>IF( Tabla1[[#This Row],[Fecha de entrega real]]="","NO CONCRETADO",IF(N128&lt;=M128,"CUMPLIÓ","NO CUMPLIÓ"))</f>
        <v>NO CUMPLIÓ</v>
      </c>
      <c r="P128" s="124">
        <f t="shared" si="3"/>
        <v>7</v>
      </c>
      <c r="Q128" s="24" t="s">
        <v>13</v>
      </c>
      <c r="R128" s="24" t="s">
        <v>227</v>
      </c>
      <c r="S128" s="24" t="s">
        <v>410</v>
      </c>
      <c r="U128" s="107" t="s">
        <v>411</v>
      </c>
      <c r="X128" s="84">
        <f>MONTH(Tabla1[[#This Row],[fecha
de
pedido]])</f>
        <v>3</v>
      </c>
      <c r="Y128" s="84">
        <f>YEAR(Tabla1[[#This Row],[fecha
de
pedido]])</f>
        <v>2017</v>
      </c>
    </row>
    <row r="129" spans="1:25" ht="12.75" customHeight="1" x14ac:dyDescent="0.2">
      <c r="A129" s="118">
        <v>42820</v>
      </c>
      <c r="B129" s="118" t="s">
        <v>487</v>
      </c>
      <c r="C129" s="118" t="s">
        <v>921</v>
      </c>
      <c r="D129" s="15" t="s">
        <v>232</v>
      </c>
      <c r="E129" s="24" t="s">
        <v>11</v>
      </c>
      <c r="F129" s="15" t="s">
        <v>921</v>
      </c>
      <c r="G129" s="24" t="s">
        <v>456</v>
      </c>
      <c r="H129" s="15">
        <v>2</v>
      </c>
      <c r="I129" s="15" t="s">
        <v>830</v>
      </c>
      <c r="J129" s="24" t="s">
        <v>452</v>
      </c>
      <c r="K129" s="15">
        <v>1210</v>
      </c>
      <c r="L129" s="15">
        <v>2420</v>
      </c>
      <c r="M129" s="22">
        <v>42835</v>
      </c>
      <c r="N129" s="25">
        <v>42835</v>
      </c>
      <c r="O129" s="22" t="str">
        <f>IF( Tabla1[[#This Row],[Fecha de entrega real]]="","NO CONCRETADO",IF(N129&lt;=M129,"CUMPLIÓ","NO CUMPLIÓ"))</f>
        <v>CUMPLIÓ</v>
      </c>
      <c r="P129" s="124">
        <f t="shared" si="3"/>
        <v>0</v>
      </c>
      <c r="Q129" s="115" t="s">
        <v>451</v>
      </c>
      <c r="R129" s="24" t="s">
        <v>33</v>
      </c>
      <c r="S129" s="24"/>
      <c r="X129" s="84">
        <f>MONTH(Tabla1[[#This Row],[fecha
de
pedido]])</f>
        <v>3</v>
      </c>
      <c r="Y129" s="84">
        <f>YEAR(Tabla1[[#This Row],[fecha
de
pedido]])</f>
        <v>2017</v>
      </c>
    </row>
    <row r="130" spans="1:25" ht="12.75" customHeight="1" x14ac:dyDescent="0.2">
      <c r="A130" s="118">
        <v>42820</v>
      </c>
      <c r="B130" s="118" t="s">
        <v>487</v>
      </c>
      <c r="C130" s="118" t="s">
        <v>921</v>
      </c>
      <c r="D130" s="15" t="s">
        <v>232</v>
      </c>
      <c r="E130" s="24" t="s">
        <v>11</v>
      </c>
      <c r="F130" s="15" t="s">
        <v>921</v>
      </c>
      <c r="G130" s="24" t="s">
        <v>454</v>
      </c>
      <c r="H130" s="15">
        <v>1</v>
      </c>
      <c r="I130" s="15" t="s">
        <v>830</v>
      </c>
      <c r="J130" s="24" t="s">
        <v>452</v>
      </c>
      <c r="K130" s="15">
        <v>1142</v>
      </c>
      <c r="L130" s="15">
        <v>1142</v>
      </c>
      <c r="M130" s="22">
        <v>42832</v>
      </c>
      <c r="N130" s="25">
        <v>42832</v>
      </c>
      <c r="O130" s="22" t="str">
        <f>IF( Tabla1[[#This Row],[Fecha de entrega real]]="","NO CONCRETADO",IF(N130&lt;=M130,"CUMPLIÓ","NO CUMPLIÓ"))</f>
        <v>CUMPLIÓ</v>
      </c>
      <c r="P130" s="124">
        <f t="shared" si="3"/>
        <v>0</v>
      </c>
      <c r="Q130" s="115" t="s">
        <v>451</v>
      </c>
      <c r="R130" s="24" t="s">
        <v>33</v>
      </c>
      <c r="S130" s="24"/>
      <c r="X130" s="84">
        <f>MONTH(Tabla1[[#This Row],[fecha
de
pedido]])</f>
        <v>3</v>
      </c>
      <c r="Y130" s="84">
        <f>YEAR(Tabla1[[#This Row],[fecha
de
pedido]])</f>
        <v>2017</v>
      </c>
    </row>
    <row r="131" spans="1:25" ht="12.75" customHeight="1" x14ac:dyDescent="0.2">
      <c r="A131" s="118">
        <v>42820</v>
      </c>
      <c r="B131" s="118" t="s">
        <v>487</v>
      </c>
      <c r="C131" s="118" t="s">
        <v>921</v>
      </c>
      <c r="D131" s="15" t="s">
        <v>232</v>
      </c>
      <c r="E131" s="24" t="s">
        <v>11</v>
      </c>
      <c r="F131" s="15" t="s">
        <v>921</v>
      </c>
      <c r="G131" s="24" t="s">
        <v>455</v>
      </c>
      <c r="H131" s="15">
        <v>2</v>
      </c>
      <c r="I131" s="15" t="s">
        <v>830</v>
      </c>
      <c r="J131" s="24" t="s">
        <v>452</v>
      </c>
      <c r="K131" s="15">
        <v>1182</v>
      </c>
      <c r="L131" s="15">
        <v>2364</v>
      </c>
      <c r="M131" s="22">
        <v>42835</v>
      </c>
      <c r="N131" s="25">
        <v>42835</v>
      </c>
      <c r="O131" s="22" t="str">
        <f>IF( Tabla1[[#This Row],[Fecha de entrega real]]="","NO CONCRETADO",IF(N131&lt;=M131,"CUMPLIÓ","NO CUMPLIÓ"))</f>
        <v>CUMPLIÓ</v>
      </c>
      <c r="P131" s="124">
        <f t="shared" si="3"/>
        <v>0</v>
      </c>
      <c r="Q131" s="115" t="s">
        <v>451</v>
      </c>
      <c r="R131" s="24" t="s">
        <v>33</v>
      </c>
      <c r="S131" s="24"/>
      <c r="X131" s="84">
        <f>MONTH(Tabla1[[#This Row],[fecha
de
pedido]])</f>
        <v>3</v>
      </c>
      <c r="Y131" s="84">
        <f>YEAR(Tabla1[[#This Row],[fecha
de
pedido]])</f>
        <v>2017</v>
      </c>
    </row>
    <row r="132" spans="1:25" ht="12.75" customHeight="1" x14ac:dyDescent="0.2">
      <c r="A132" s="118">
        <v>42820</v>
      </c>
      <c r="B132" s="118" t="s">
        <v>487</v>
      </c>
      <c r="C132" s="118" t="s">
        <v>921</v>
      </c>
      <c r="D132" s="15" t="s">
        <v>232</v>
      </c>
      <c r="E132" s="24" t="s">
        <v>11</v>
      </c>
      <c r="F132" s="15" t="s">
        <v>921</v>
      </c>
      <c r="G132" s="24" t="s">
        <v>453</v>
      </c>
      <c r="H132" s="15">
        <v>2</v>
      </c>
      <c r="I132" s="15" t="s">
        <v>830</v>
      </c>
      <c r="J132" s="24" t="s">
        <v>452</v>
      </c>
      <c r="K132" s="15">
        <v>1218</v>
      </c>
      <c r="L132" s="15">
        <v>2436</v>
      </c>
      <c r="M132" s="22">
        <v>42832</v>
      </c>
      <c r="N132" s="25">
        <v>42832</v>
      </c>
      <c r="O132" s="22" t="str">
        <f>IF( Tabla1[[#This Row],[Fecha de entrega real]]="","NO CONCRETADO",IF(N132&lt;=M132,"CUMPLIÓ","NO CUMPLIÓ"))</f>
        <v>CUMPLIÓ</v>
      </c>
      <c r="P132" s="124">
        <f t="shared" si="3"/>
        <v>0</v>
      </c>
      <c r="Q132" s="115" t="s">
        <v>451</v>
      </c>
      <c r="R132" s="24" t="s">
        <v>33</v>
      </c>
      <c r="S132" s="24"/>
      <c r="X132" s="84">
        <f>MONTH(Tabla1[[#This Row],[fecha
de
pedido]])</f>
        <v>3</v>
      </c>
      <c r="Y132" s="84">
        <f>YEAR(Tabla1[[#This Row],[fecha
de
pedido]])</f>
        <v>2017</v>
      </c>
    </row>
    <row r="133" spans="1:25" ht="12.75" customHeight="1" x14ac:dyDescent="0.2">
      <c r="A133" s="118">
        <v>42823</v>
      </c>
      <c r="B133" s="118" t="s">
        <v>487</v>
      </c>
      <c r="C133" s="118" t="s">
        <v>921</v>
      </c>
      <c r="D133" s="15" t="s">
        <v>33</v>
      </c>
      <c r="E133" s="24" t="s">
        <v>11</v>
      </c>
      <c r="F133" s="15" t="s">
        <v>921</v>
      </c>
      <c r="G133" s="24" t="s">
        <v>413</v>
      </c>
      <c r="H133" s="15">
        <v>2</v>
      </c>
      <c r="I133" s="15" t="s">
        <v>781</v>
      </c>
      <c r="J133" s="24" t="s">
        <v>299</v>
      </c>
      <c r="K133" s="15">
        <v>135</v>
      </c>
      <c r="L133" s="15">
        <v>270</v>
      </c>
      <c r="M133" s="22">
        <v>42824</v>
      </c>
      <c r="N133" s="22">
        <v>42824</v>
      </c>
      <c r="O133" s="22" t="str">
        <f>IF( Tabla1[[#This Row],[Fecha de entrega real]]="","NO CONCRETADO",IF(N133&lt;=M133,"CUMPLIÓ","NO CUMPLIÓ"))</f>
        <v>CUMPLIÓ</v>
      </c>
      <c r="P133" s="124">
        <f t="shared" si="3"/>
        <v>0</v>
      </c>
      <c r="Q133" s="24" t="s">
        <v>13</v>
      </c>
      <c r="R133" s="24" t="s">
        <v>33</v>
      </c>
      <c r="S133" s="24" t="s">
        <v>244</v>
      </c>
      <c r="U133" s="107" t="s">
        <v>415</v>
      </c>
      <c r="X133" s="84">
        <f>MONTH(Tabla1[[#This Row],[fecha
de
pedido]])</f>
        <v>3</v>
      </c>
      <c r="Y133" s="84">
        <f>YEAR(Tabla1[[#This Row],[fecha
de
pedido]])</f>
        <v>2017</v>
      </c>
    </row>
    <row r="134" spans="1:25" ht="12.75" customHeight="1" x14ac:dyDescent="0.2">
      <c r="A134" s="118">
        <v>42823</v>
      </c>
      <c r="B134" s="118" t="s">
        <v>487</v>
      </c>
      <c r="C134" s="118" t="s">
        <v>921</v>
      </c>
      <c r="D134" s="15" t="s">
        <v>33</v>
      </c>
      <c r="E134" s="24" t="s">
        <v>11</v>
      </c>
      <c r="F134" s="15" t="s">
        <v>921</v>
      </c>
      <c r="G134" s="24" t="s">
        <v>412</v>
      </c>
      <c r="H134" s="15">
        <v>8</v>
      </c>
      <c r="I134" s="15" t="s">
        <v>781</v>
      </c>
      <c r="J134" s="24" t="s">
        <v>299</v>
      </c>
      <c r="K134" s="15">
        <v>215</v>
      </c>
      <c r="L134" s="15">
        <v>1720</v>
      </c>
      <c r="M134" s="22">
        <v>42824</v>
      </c>
      <c r="N134" s="22">
        <v>42824</v>
      </c>
      <c r="O134" s="22" t="str">
        <f>IF( Tabla1[[#This Row],[Fecha de entrega real]]="","NO CONCRETADO",IF(N134&lt;=M134,"CUMPLIÓ","NO CUMPLIÓ"))</f>
        <v>CUMPLIÓ</v>
      </c>
      <c r="P134" s="124">
        <f t="shared" si="3"/>
        <v>0</v>
      </c>
      <c r="Q134" s="24" t="s">
        <v>13</v>
      </c>
      <c r="R134" s="24" t="s">
        <v>33</v>
      </c>
      <c r="S134" s="24" t="s">
        <v>244</v>
      </c>
      <c r="U134" s="107" t="s">
        <v>415</v>
      </c>
      <c r="X134" s="84">
        <f>MONTH(Tabla1[[#This Row],[fecha
de
pedido]])</f>
        <v>3</v>
      </c>
      <c r="Y134" s="84">
        <f>YEAR(Tabla1[[#This Row],[fecha
de
pedido]])</f>
        <v>2017</v>
      </c>
    </row>
    <row r="135" spans="1:25" ht="12.75" customHeight="1" x14ac:dyDescent="0.2">
      <c r="A135" s="118">
        <v>42823</v>
      </c>
      <c r="B135" s="118" t="s">
        <v>487</v>
      </c>
      <c r="C135" s="118" t="s">
        <v>921</v>
      </c>
      <c r="D135" s="15" t="s">
        <v>33</v>
      </c>
      <c r="E135" s="24" t="s">
        <v>11</v>
      </c>
      <c r="F135" s="15" t="s">
        <v>921</v>
      </c>
      <c r="G135" s="24" t="s">
        <v>414</v>
      </c>
      <c r="H135" s="15">
        <v>2</v>
      </c>
      <c r="I135" s="15" t="s">
        <v>488</v>
      </c>
      <c r="J135" s="24" t="s">
        <v>299</v>
      </c>
      <c r="K135" s="15">
        <v>310</v>
      </c>
      <c r="L135" s="15">
        <v>620</v>
      </c>
      <c r="M135" s="22">
        <v>42824</v>
      </c>
      <c r="N135" s="22">
        <v>42824</v>
      </c>
      <c r="O135" s="22" t="str">
        <f>IF( Tabla1[[#This Row],[Fecha de entrega real]]="","NO CONCRETADO",IF(N135&lt;=M135,"CUMPLIÓ","NO CUMPLIÓ"))</f>
        <v>CUMPLIÓ</v>
      </c>
      <c r="P135" s="124">
        <f t="shared" si="3"/>
        <v>0</v>
      </c>
      <c r="Q135" s="24" t="s">
        <v>13</v>
      </c>
      <c r="R135" s="24" t="s">
        <v>33</v>
      </c>
      <c r="S135" s="24" t="s">
        <v>244</v>
      </c>
      <c r="U135" s="107" t="s">
        <v>415</v>
      </c>
      <c r="X135" s="84">
        <f>MONTH(Tabla1[[#This Row],[fecha
de
pedido]])</f>
        <v>3</v>
      </c>
      <c r="Y135" s="84">
        <f>YEAR(Tabla1[[#This Row],[fecha
de
pedido]])</f>
        <v>2017</v>
      </c>
    </row>
    <row r="136" spans="1:25" ht="38.25" customHeight="1" x14ac:dyDescent="0.2">
      <c r="A136" s="172">
        <v>42829</v>
      </c>
      <c r="B136" s="118" t="s">
        <v>487</v>
      </c>
      <c r="C136" s="172" t="s">
        <v>1020</v>
      </c>
      <c r="D136" s="173" t="s">
        <v>11</v>
      </c>
      <c r="E136" s="174" t="s">
        <v>11</v>
      </c>
      <c r="F136" s="173" t="s">
        <v>1021</v>
      </c>
      <c r="G136" s="162" t="s">
        <v>1022</v>
      </c>
      <c r="H136" s="173">
        <v>1</v>
      </c>
      <c r="I136" s="15" t="s">
        <v>488</v>
      </c>
      <c r="J136" s="174" t="s">
        <v>1023</v>
      </c>
      <c r="K136" s="173" t="s">
        <v>1040</v>
      </c>
      <c r="L136" s="173" t="s">
        <v>1040</v>
      </c>
      <c r="M136" s="175">
        <v>42919</v>
      </c>
      <c r="N136" s="175">
        <v>42919</v>
      </c>
      <c r="O136" s="175" t="str">
        <f>IF( Tabla1[[#This Row],[Fecha de entrega real]]="","NO CONCRETADO",IF(N136&lt;=M136,"CUMPLIÓ","NO CUMPLIÓ"))</f>
        <v>CUMPLIÓ</v>
      </c>
      <c r="P136" s="124">
        <f t="shared" si="3"/>
        <v>0</v>
      </c>
      <c r="Q136" s="174" t="s">
        <v>1034</v>
      </c>
      <c r="R136" s="174" t="s">
        <v>1035</v>
      </c>
      <c r="S136" s="174" t="s">
        <v>1038</v>
      </c>
      <c r="T136" s="163" t="s">
        <v>1036</v>
      </c>
      <c r="U136" s="166" t="s">
        <v>1037</v>
      </c>
      <c r="V136" s="163"/>
      <c r="W136" s="163"/>
      <c r="X136" s="163">
        <f>MONTH(Tabla1[[#This Row],[fecha
de
pedido]])</f>
        <v>4</v>
      </c>
      <c r="Y136" s="163">
        <f>YEAR(Tabla1[[#This Row],[fecha
de
pedido]])</f>
        <v>2017</v>
      </c>
    </row>
    <row r="137" spans="1:25" ht="38.25" customHeight="1" x14ac:dyDescent="0.2">
      <c r="A137" s="172">
        <v>42829</v>
      </c>
      <c r="B137" s="118" t="s">
        <v>487</v>
      </c>
      <c r="C137" s="172" t="s">
        <v>1020</v>
      </c>
      <c r="D137" s="173" t="s">
        <v>11</v>
      </c>
      <c r="E137" s="174" t="s">
        <v>11</v>
      </c>
      <c r="F137" s="173" t="s">
        <v>1021</v>
      </c>
      <c r="G137" s="162" t="s">
        <v>1024</v>
      </c>
      <c r="H137" s="173">
        <v>1</v>
      </c>
      <c r="I137" s="15" t="s">
        <v>488</v>
      </c>
      <c r="J137" s="174" t="s">
        <v>1023</v>
      </c>
      <c r="K137" s="173" t="s">
        <v>1040</v>
      </c>
      <c r="L137" s="173" t="s">
        <v>1040</v>
      </c>
      <c r="M137" s="175">
        <v>42919</v>
      </c>
      <c r="N137" s="175">
        <v>42919</v>
      </c>
      <c r="O137" s="175" t="str">
        <f>IF( Tabla1[[#This Row],[Fecha de entrega real]]="","NO CONCRETADO",IF(N137&lt;=M137,"CUMPLIÓ","NO CUMPLIÓ"))</f>
        <v>CUMPLIÓ</v>
      </c>
      <c r="P137" s="124">
        <f t="shared" si="3"/>
        <v>0</v>
      </c>
      <c r="Q137" s="174" t="s">
        <v>1034</v>
      </c>
      <c r="R137" s="174" t="s">
        <v>1035</v>
      </c>
      <c r="S137" s="174" t="s">
        <v>1038</v>
      </c>
      <c r="T137" s="163" t="s">
        <v>1036</v>
      </c>
      <c r="U137" s="166" t="s">
        <v>1037</v>
      </c>
      <c r="V137" s="163"/>
      <c r="W137" s="163"/>
      <c r="X137" s="163">
        <f>MONTH(Tabla1[[#This Row],[fecha
de
pedido]])</f>
        <v>4</v>
      </c>
      <c r="Y137" s="163">
        <f>YEAR(Tabla1[[#This Row],[fecha
de
pedido]])</f>
        <v>2017</v>
      </c>
    </row>
    <row r="138" spans="1:25" ht="38.25" customHeight="1" x14ac:dyDescent="0.2">
      <c r="A138" s="172">
        <v>42829</v>
      </c>
      <c r="B138" s="118" t="s">
        <v>487</v>
      </c>
      <c r="C138" s="172" t="s">
        <v>1020</v>
      </c>
      <c r="D138" s="173" t="s">
        <v>11</v>
      </c>
      <c r="E138" s="174" t="s">
        <v>11</v>
      </c>
      <c r="F138" s="173" t="s">
        <v>1021</v>
      </c>
      <c r="G138" s="162" t="s">
        <v>1025</v>
      </c>
      <c r="H138" s="173">
        <v>1</v>
      </c>
      <c r="I138" s="15" t="s">
        <v>488</v>
      </c>
      <c r="J138" s="174" t="s">
        <v>1023</v>
      </c>
      <c r="K138" s="173" t="s">
        <v>1040</v>
      </c>
      <c r="L138" s="173" t="s">
        <v>1040</v>
      </c>
      <c r="M138" s="175">
        <v>42919</v>
      </c>
      <c r="N138" s="175">
        <v>42919</v>
      </c>
      <c r="O138" s="175" t="str">
        <f>IF( Tabla1[[#This Row],[Fecha de entrega real]]="","NO CONCRETADO",IF(N138&lt;=M138,"CUMPLIÓ","NO CUMPLIÓ"))</f>
        <v>CUMPLIÓ</v>
      </c>
      <c r="P138" s="124">
        <f t="shared" si="3"/>
        <v>0</v>
      </c>
      <c r="Q138" s="174" t="s">
        <v>1034</v>
      </c>
      <c r="R138" s="174" t="s">
        <v>1035</v>
      </c>
      <c r="S138" s="174" t="s">
        <v>1038</v>
      </c>
      <c r="T138" s="163" t="s">
        <v>1036</v>
      </c>
      <c r="U138" s="166" t="s">
        <v>1037</v>
      </c>
      <c r="V138" s="163"/>
      <c r="W138" s="163"/>
      <c r="X138" s="163">
        <f>MONTH(Tabla1[[#This Row],[fecha
de
pedido]])</f>
        <v>4</v>
      </c>
      <c r="Y138" s="163">
        <f>YEAR(Tabla1[[#This Row],[fecha
de
pedido]])</f>
        <v>2017</v>
      </c>
    </row>
    <row r="139" spans="1:25" ht="38.25" customHeight="1" x14ac:dyDescent="0.2">
      <c r="A139" s="172">
        <v>42829</v>
      </c>
      <c r="B139" s="118" t="s">
        <v>487</v>
      </c>
      <c r="C139" s="172" t="s">
        <v>1020</v>
      </c>
      <c r="D139" s="173" t="s">
        <v>11</v>
      </c>
      <c r="E139" s="174" t="s">
        <v>11</v>
      </c>
      <c r="F139" s="173" t="s">
        <v>1021</v>
      </c>
      <c r="G139" s="162" t="s">
        <v>1026</v>
      </c>
      <c r="H139" s="173">
        <v>1</v>
      </c>
      <c r="I139" s="15" t="s">
        <v>488</v>
      </c>
      <c r="J139" s="174" t="s">
        <v>1023</v>
      </c>
      <c r="K139" s="173" t="s">
        <v>1040</v>
      </c>
      <c r="L139" s="173" t="s">
        <v>1040</v>
      </c>
      <c r="M139" s="175">
        <v>42919</v>
      </c>
      <c r="N139" s="175">
        <v>42919</v>
      </c>
      <c r="O139" s="175" t="str">
        <f>IF( Tabla1[[#This Row],[Fecha de entrega real]]="","NO CONCRETADO",IF(N139&lt;=M139,"CUMPLIÓ","NO CUMPLIÓ"))</f>
        <v>CUMPLIÓ</v>
      </c>
      <c r="P139" s="124">
        <f t="shared" si="3"/>
        <v>0</v>
      </c>
      <c r="Q139" s="174" t="s">
        <v>1034</v>
      </c>
      <c r="R139" s="174" t="s">
        <v>1035</v>
      </c>
      <c r="S139" s="174" t="s">
        <v>1039</v>
      </c>
      <c r="T139" s="163" t="s">
        <v>1036</v>
      </c>
      <c r="U139" s="166" t="s">
        <v>1037</v>
      </c>
      <c r="V139" s="163"/>
      <c r="W139" s="163"/>
      <c r="X139" s="163">
        <f>MONTH(Tabla1[[#This Row],[fecha
de
pedido]])</f>
        <v>4</v>
      </c>
      <c r="Y139" s="163">
        <f>YEAR(Tabla1[[#This Row],[fecha
de
pedido]])</f>
        <v>2017</v>
      </c>
    </row>
    <row r="140" spans="1:25" ht="38.25" customHeight="1" x14ac:dyDescent="0.2">
      <c r="A140" s="172">
        <v>42829</v>
      </c>
      <c r="B140" s="118" t="s">
        <v>487</v>
      </c>
      <c r="C140" s="172" t="s">
        <v>1020</v>
      </c>
      <c r="D140" s="173" t="s">
        <v>11</v>
      </c>
      <c r="E140" s="174" t="s">
        <v>11</v>
      </c>
      <c r="F140" s="173" t="s">
        <v>1021</v>
      </c>
      <c r="G140" s="162" t="s">
        <v>1027</v>
      </c>
      <c r="H140" s="173">
        <v>1</v>
      </c>
      <c r="I140" s="15" t="s">
        <v>488</v>
      </c>
      <c r="J140" s="174" t="s">
        <v>1023</v>
      </c>
      <c r="K140" s="173" t="s">
        <v>1040</v>
      </c>
      <c r="L140" s="173" t="s">
        <v>1040</v>
      </c>
      <c r="M140" s="175">
        <v>42919</v>
      </c>
      <c r="N140" s="175">
        <v>42919</v>
      </c>
      <c r="O140" s="175" t="str">
        <f>IF( Tabla1[[#This Row],[Fecha de entrega real]]="","NO CONCRETADO",IF(N140&lt;=M140,"CUMPLIÓ","NO CUMPLIÓ"))</f>
        <v>CUMPLIÓ</v>
      </c>
      <c r="P140" s="124">
        <f t="shared" si="3"/>
        <v>0</v>
      </c>
      <c r="Q140" s="174" t="s">
        <v>1034</v>
      </c>
      <c r="R140" s="174" t="s">
        <v>1035</v>
      </c>
      <c r="S140" s="174" t="s">
        <v>1039</v>
      </c>
      <c r="T140" s="163" t="s">
        <v>1036</v>
      </c>
      <c r="U140" s="166" t="s">
        <v>1037</v>
      </c>
      <c r="V140" s="163"/>
      <c r="W140" s="163"/>
      <c r="X140" s="163">
        <f>MONTH(Tabla1[[#This Row],[fecha
de
pedido]])</f>
        <v>4</v>
      </c>
      <c r="Y140" s="163">
        <f>YEAR(Tabla1[[#This Row],[fecha
de
pedido]])</f>
        <v>2017</v>
      </c>
    </row>
    <row r="141" spans="1:25" ht="38.25" customHeight="1" x14ac:dyDescent="0.2">
      <c r="A141" s="172">
        <v>42829</v>
      </c>
      <c r="B141" s="118" t="s">
        <v>487</v>
      </c>
      <c r="C141" s="172" t="s">
        <v>1020</v>
      </c>
      <c r="D141" s="173" t="s">
        <v>11</v>
      </c>
      <c r="E141" s="174" t="s">
        <v>11</v>
      </c>
      <c r="F141" s="173" t="s">
        <v>1021</v>
      </c>
      <c r="G141" s="162" t="s">
        <v>1028</v>
      </c>
      <c r="H141" s="173">
        <v>1</v>
      </c>
      <c r="I141" s="15" t="s">
        <v>488</v>
      </c>
      <c r="J141" s="174" t="s">
        <v>1023</v>
      </c>
      <c r="K141" s="173" t="s">
        <v>1040</v>
      </c>
      <c r="L141" s="173" t="s">
        <v>1040</v>
      </c>
      <c r="M141" s="175">
        <v>42919</v>
      </c>
      <c r="N141" s="175">
        <v>42919</v>
      </c>
      <c r="O141" s="175" t="str">
        <f>IF( Tabla1[[#This Row],[Fecha de entrega real]]="","NO CONCRETADO",IF(N141&lt;=M141,"CUMPLIÓ","NO CUMPLIÓ"))</f>
        <v>CUMPLIÓ</v>
      </c>
      <c r="P141" s="124">
        <f t="shared" si="3"/>
        <v>0</v>
      </c>
      <c r="Q141" s="174" t="s">
        <v>1034</v>
      </c>
      <c r="R141" s="174" t="s">
        <v>1035</v>
      </c>
      <c r="S141" s="174" t="s">
        <v>1039</v>
      </c>
      <c r="T141" s="163" t="s">
        <v>1036</v>
      </c>
      <c r="U141" s="166" t="s">
        <v>1037</v>
      </c>
      <c r="V141" s="163"/>
      <c r="W141" s="163"/>
      <c r="X141" s="163">
        <f>MONTH(Tabla1[[#This Row],[fecha
de
pedido]])</f>
        <v>4</v>
      </c>
      <c r="Y141" s="163">
        <f>YEAR(Tabla1[[#This Row],[fecha
de
pedido]])</f>
        <v>2017</v>
      </c>
    </row>
    <row r="142" spans="1:25" ht="38.25" customHeight="1" x14ac:dyDescent="0.2">
      <c r="A142" s="172">
        <v>42829</v>
      </c>
      <c r="B142" s="118" t="s">
        <v>487</v>
      </c>
      <c r="C142" s="172" t="s">
        <v>1020</v>
      </c>
      <c r="D142" s="173" t="s">
        <v>11</v>
      </c>
      <c r="E142" s="174" t="s">
        <v>11</v>
      </c>
      <c r="F142" s="173" t="s">
        <v>1021</v>
      </c>
      <c r="G142" s="162" t="s">
        <v>1029</v>
      </c>
      <c r="H142" s="173">
        <v>1</v>
      </c>
      <c r="I142" s="15" t="s">
        <v>488</v>
      </c>
      <c r="J142" s="174" t="s">
        <v>1023</v>
      </c>
      <c r="K142" s="173" t="s">
        <v>1040</v>
      </c>
      <c r="L142" s="173" t="s">
        <v>1040</v>
      </c>
      <c r="M142" s="175">
        <v>42919</v>
      </c>
      <c r="N142" s="175">
        <v>42919</v>
      </c>
      <c r="O142" s="175" t="str">
        <f>IF( Tabla1[[#This Row],[Fecha de entrega real]]="","NO CONCRETADO",IF(N142&lt;=M142,"CUMPLIÓ","NO CUMPLIÓ"))</f>
        <v>CUMPLIÓ</v>
      </c>
      <c r="P142" s="124">
        <f t="shared" si="3"/>
        <v>0</v>
      </c>
      <c r="Q142" s="174" t="s">
        <v>1034</v>
      </c>
      <c r="R142" s="174" t="s">
        <v>1035</v>
      </c>
      <c r="S142" s="174" t="s">
        <v>1039</v>
      </c>
      <c r="T142" s="163" t="s">
        <v>1036</v>
      </c>
      <c r="U142" s="166" t="s">
        <v>1037</v>
      </c>
      <c r="V142" s="163"/>
      <c r="W142" s="163"/>
      <c r="X142" s="163">
        <f>MONTH(Tabla1[[#This Row],[fecha
de
pedido]])</f>
        <v>4</v>
      </c>
      <c r="Y142" s="163">
        <f>YEAR(Tabla1[[#This Row],[fecha
de
pedido]])</f>
        <v>2017</v>
      </c>
    </row>
    <row r="143" spans="1:25" ht="38.25" customHeight="1" x14ac:dyDescent="0.2">
      <c r="A143" s="172">
        <v>42829</v>
      </c>
      <c r="B143" s="118" t="s">
        <v>487</v>
      </c>
      <c r="C143" s="172" t="s">
        <v>1020</v>
      </c>
      <c r="D143" s="173" t="s">
        <v>11</v>
      </c>
      <c r="E143" s="174" t="s">
        <v>11</v>
      </c>
      <c r="F143" s="173" t="s">
        <v>1021</v>
      </c>
      <c r="G143" s="162" t="s">
        <v>1030</v>
      </c>
      <c r="H143" s="173">
        <v>1</v>
      </c>
      <c r="I143" s="15" t="s">
        <v>488</v>
      </c>
      <c r="J143" s="174" t="s">
        <v>1023</v>
      </c>
      <c r="K143" s="173" t="s">
        <v>1040</v>
      </c>
      <c r="L143" s="173" t="s">
        <v>1040</v>
      </c>
      <c r="M143" s="175">
        <v>42919</v>
      </c>
      <c r="N143" s="175">
        <v>42919</v>
      </c>
      <c r="O143" s="175" t="str">
        <f>IF( Tabla1[[#This Row],[Fecha de entrega real]]="","NO CONCRETADO",IF(N143&lt;=M143,"CUMPLIÓ","NO CUMPLIÓ"))</f>
        <v>CUMPLIÓ</v>
      </c>
      <c r="P143" s="124">
        <f t="shared" si="3"/>
        <v>0</v>
      </c>
      <c r="Q143" s="174" t="s">
        <v>1034</v>
      </c>
      <c r="R143" s="174" t="s">
        <v>1035</v>
      </c>
      <c r="S143" s="174" t="s">
        <v>1039</v>
      </c>
      <c r="T143" s="163" t="s">
        <v>1036</v>
      </c>
      <c r="U143" s="166" t="s">
        <v>1037</v>
      </c>
      <c r="V143" s="163"/>
      <c r="W143" s="163"/>
      <c r="X143" s="163">
        <f>MONTH(Tabla1[[#This Row],[fecha
de
pedido]])</f>
        <v>4</v>
      </c>
      <c r="Y143" s="163">
        <f>YEAR(Tabla1[[#This Row],[fecha
de
pedido]])</f>
        <v>2017</v>
      </c>
    </row>
    <row r="144" spans="1:25" ht="38.25" customHeight="1" x14ac:dyDescent="0.2">
      <c r="A144" s="172">
        <v>42829</v>
      </c>
      <c r="B144" s="118" t="s">
        <v>487</v>
      </c>
      <c r="C144" s="172" t="s">
        <v>1020</v>
      </c>
      <c r="D144" s="173" t="s">
        <v>11</v>
      </c>
      <c r="E144" s="174" t="s">
        <v>11</v>
      </c>
      <c r="F144" s="173" t="s">
        <v>1021</v>
      </c>
      <c r="G144" s="162" t="s">
        <v>1031</v>
      </c>
      <c r="H144" s="173">
        <v>1</v>
      </c>
      <c r="I144" s="15" t="s">
        <v>488</v>
      </c>
      <c r="J144" s="174" t="s">
        <v>1023</v>
      </c>
      <c r="K144" s="173" t="s">
        <v>1040</v>
      </c>
      <c r="L144" s="173" t="s">
        <v>1040</v>
      </c>
      <c r="M144" s="175">
        <v>42919</v>
      </c>
      <c r="N144" s="175">
        <v>42919</v>
      </c>
      <c r="O144" s="175" t="str">
        <f>IF( Tabla1[[#This Row],[Fecha de entrega real]]="","NO CONCRETADO",IF(N144&lt;=M144,"CUMPLIÓ","NO CUMPLIÓ"))</f>
        <v>CUMPLIÓ</v>
      </c>
      <c r="P144" s="124">
        <f t="shared" si="3"/>
        <v>0</v>
      </c>
      <c r="Q144" s="174" t="s">
        <v>1034</v>
      </c>
      <c r="R144" s="174" t="s">
        <v>1035</v>
      </c>
      <c r="S144" s="174" t="s">
        <v>1039</v>
      </c>
      <c r="T144" s="163" t="s">
        <v>1036</v>
      </c>
      <c r="U144" s="166" t="s">
        <v>1037</v>
      </c>
      <c r="V144" s="163"/>
      <c r="W144" s="163"/>
      <c r="X144" s="163">
        <f>MONTH(Tabla1[[#This Row],[fecha
de
pedido]])</f>
        <v>4</v>
      </c>
      <c r="Y144" s="163">
        <f>YEAR(Tabla1[[#This Row],[fecha
de
pedido]])</f>
        <v>2017</v>
      </c>
    </row>
    <row r="145" spans="1:25" ht="38.25" customHeight="1" x14ac:dyDescent="0.2">
      <c r="A145" s="172">
        <v>42829</v>
      </c>
      <c r="B145" s="118" t="s">
        <v>487</v>
      </c>
      <c r="C145" s="172" t="s">
        <v>1020</v>
      </c>
      <c r="D145" s="173" t="s">
        <v>11</v>
      </c>
      <c r="E145" s="174" t="s">
        <v>11</v>
      </c>
      <c r="F145" s="173" t="s">
        <v>1021</v>
      </c>
      <c r="G145" s="162" t="s">
        <v>1032</v>
      </c>
      <c r="H145" s="173">
        <v>1</v>
      </c>
      <c r="I145" s="15" t="s">
        <v>488</v>
      </c>
      <c r="J145" s="174" t="s">
        <v>1023</v>
      </c>
      <c r="K145" s="173" t="s">
        <v>1040</v>
      </c>
      <c r="L145" s="173" t="s">
        <v>1040</v>
      </c>
      <c r="M145" s="175">
        <v>42919</v>
      </c>
      <c r="N145" s="175">
        <v>42919</v>
      </c>
      <c r="O145" s="175" t="str">
        <f>IF( Tabla1[[#This Row],[Fecha de entrega real]]="","NO CONCRETADO",IF(N145&lt;=M145,"CUMPLIÓ","NO CUMPLIÓ"))</f>
        <v>CUMPLIÓ</v>
      </c>
      <c r="P145" s="124">
        <f t="shared" si="3"/>
        <v>0</v>
      </c>
      <c r="Q145" s="174" t="s">
        <v>1034</v>
      </c>
      <c r="R145" s="174" t="s">
        <v>1035</v>
      </c>
      <c r="S145" s="174" t="s">
        <v>1039</v>
      </c>
      <c r="T145" s="163" t="s">
        <v>1036</v>
      </c>
      <c r="U145" s="166" t="s">
        <v>1037</v>
      </c>
      <c r="V145" s="163"/>
      <c r="W145" s="163"/>
      <c r="X145" s="163">
        <f>MONTH(Tabla1[[#This Row],[fecha
de
pedido]])</f>
        <v>4</v>
      </c>
      <c r="Y145" s="163">
        <f>YEAR(Tabla1[[#This Row],[fecha
de
pedido]])</f>
        <v>2017</v>
      </c>
    </row>
    <row r="146" spans="1:25" ht="38.25" customHeight="1" x14ac:dyDescent="0.2">
      <c r="A146" s="172">
        <v>42829</v>
      </c>
      <c r="B146" s="118" t="s">
        <v>487</v>
      </c>
      <c r="C146" s="172" t="s">
        <v>1020</v>
      </c>
      <c r="D146" s="173" t="s">
        <v>11</v>
      </c>
      <c r="E146" s="174" t="s">
        <v>11</v>
      </c>
      <c r="F146" s="173" t="s">
        <v>1021</v>
      </c>
      <c r="G146" s="162" t="s">
        <v>1033</v>
      </c>
      <c r="H146" s="173">
        <v>1</v>
      </c>
      <c r="I146" s="15" t="s">
        <v>488</v>
      </c>
      <c r="J146" s="174" t="s">
        <v>1023</v>
      </c>
      <c r="K146" s="173" t="s">
        <v>1040</v>
      </c>
      <c r="L146" s="173" t="s">
        <v>1040</v>
      </c>
      <c r="M146" s="175">
        <v>42919</v>
      </c>
      <c r="N146" s="175">
        <v>42919</v>
      </c>
      <c r="O146" s="175" t="str">
        <f>IF( Tabla1[[#This Row],[Fecha de entrega real]]="","NO CONCRETADO",IF(N146&lt;=M146,"CUMPLIÓ","NO CUMPLIÓ"))</f>
        <v>CUMPLIÓ</v>
      </c>
      <c r="P146" s="124">
        <f t="shared" si="3"/>
        <v>0</v>
      </c>
      <c r="Q146" s="174" t="s">
        <v>1034</v>
      </c>
      <c r="R146" s="174" t="s">
        <v>1035</v>
      </c>
      <c r="S146" s="174" t="s">
        <v>1039</v>
      </c>
      <c r="T146" s="163" t="s">
        <v>1036</v>
      </c>
      <c r="U146" s="166" t="s">
        <v>1037</v>
      </c>
      <c r="V146" s="163"/>
      <c r="W146" s="163"/>
      <c r="X146" s="163">
        <f>MONTH(Tabla1[[#This Row],[fecha
de
pedido]])</f>
        <v>4</v>
      </c>
      <c r="Y146" s="163">
        <f>YEAR(Tabla1[[#This Row],[fecha
de
pedido]])</f>
        <v>2017</v>
      </c>
    </row>
    <row r="147" spans="1:25" ht="38.25" customHeight="1" x14ac:dyDescent="0.2">
      <c r="A147" s="172">
        <v>42829</v>
      </c>
      <c r="B147" s="118" t="s">
        <v>487</v>
      </c>
      <c r="C147" s="172" t="s">
        <v>921</v>
      </c>
      <c r="D147" s="173" t="s">
        <v>1023</v>
      </c>
      <c r="E147" s="174" t="s">
        <v>487</v>
      </c>
      <c r="F147" s="173" t="s">
        <v>1041</v>
      </c>
      <c r="G147" s="162" t="s">
        <v>1042</v>
      </c>
      <c r="H147" s="173">
        <v>1</v>
      </c>
      <c r="I147" s="173" t="s">
        <v>830</v>
      </c>
      <c r="J147" s="174" t="s">
        <v>1004</v>
      </c>
      <c r="K147" s="173">
        <v>302.63</v>
      </c>
      <c r="L147" s="173">
        <f>Tabla1[[#This Row],[Costo Unitario]]*Tabla1[[#This Row],[cantidad]]</f>
        <v>302.63</v>
      </c>
      <c r="M147" s="175">
        <v>42919</v>
      </c>
      <c r="N147" s="175">
        <v>42919</v>
      </c>
      <c r="O147" s="175" t="str">
        <f>IF( Tabla1[[#This Row],[Fecha de entrega real]]="","NO CONCRETADO",IF(N147&lt;=M147,"CUMPLIÓ","NO CUMPLIÓ"))</f>
        <v>CUMPLIÓ</v>
      </c>
      <c r="P147" s="124">
        <f t="shared" si="3"/>
        <v>0</v>
      </c>
      <c r="Q147" s="174" t="s">
        <v>1034</v>
      </c>
      <c r="R147" s="174" t="s">
        <v>33</v>
      </c>
      <c r="S147" s="174" t="s">
        <v>334</v>
      </c>
      <c r="T147" s="163" t="s">
        <v>1043</v>
      </c>
      <c r="U147" s="166"/>
      <c r="V147" s="163"/>
      <c r="W147" s="163"/>
      <c r="X147" s="163">
        <f>MONTH(Tabla1[[#This Row],[fecha
de
pedido]])</f>
        <v>4</v>
      </c>
      <c r="Y147" s="163">
        <f>YEAR(Tabla1[[#This Row],[fecha
de
pedido]])</f>
        <v>2017</v>
      </c>
    </row>
    <row r="148" spans="1:25" ht="25.5" customHeight="1" x14ac:dyDescent="0.2">
      <c r="A148" s="118">
        <v>42843</v>
      </c>
      <c r="B148" s="118" t="s">
        <v>487</v>
      </c>
      <c r="C148" s="118" t="s">
        <v>921</v>
      </c>
      <c r="D148" s="15" t="s">
        <v>33</v>
      </c>
      <c r="E148" s="24" t="s">
        <v>424</v>
      </c>
      <c r="F148" s="15" t="s">
        <v>921</v>
      </c>
      <c r="G148" s="24" t="s">
        <v>177</v>
      </c>
      <c r="H148" s="15">
        <v>6</v>
      </c>
      <c r="I148" s="15" t="s">
        <v>488</v>
      </c>
      <c r="J148" s="24" t="s">
        <v>77</v>
      </c>
      <c r="K148" s="15">
        <v>239.58</v>
      </c>
      <c r="L148" s="15">
        <v>1437.48</v>
      </c>
      <c r="M148" s="22">
        <v>42844</v>
      </c>
      <c r="N148" s="15"/>
      <c r="O148" s="22" t="str">
        <f>IF( Tabla1[[#This Row],[Fecha de entrega real]]="","NO CONCRETADO",IF(N148&lt;=M148,"CUMPLIÓ","NO CUMPLIÓ"))</f>
        <v>NO CONCRETADO</v>
      </c>
      <c r="P148" s="124" t="str">
        <f t="shared" ref="P148:P193" si="4">IF(N148="","NO CONCRETADO",N148-M148)</f>
        <v>NO CONCRETADO</v>
      </c>
      <c r="Q148" s="24"/>
      <c r="R148" s="24"/>
      <c r="S148" s="24"/>
      <c r="X148" s="84">
        <f>MONTH(Tabla1[[#This Row],[fecha
de
pedido]])</f>
        <v>4</v>
      </c>
      <c r="Y148" s="84">
        <f>YEAR(Tabla1[[#This Row],[fecha
de
pedido]])</f>
        <v>2017</v>
      </c>
    </row>
    <row r="149" spans="1:25" ht="25.5" customHeight="1" x14ac:dyDescent="0.2">
      <c r="A149" s="118">
        <v>42843</v>
      </c>
      <c r="B149" s="118" t="s">
        <v>487</v>
      </c>
      <c r="C149" s="118" t="s">
        <v>921</v>
      </c>
      <c r="D149" s="15" t="s">
        <v>33</v>
      </c>
      <c r="E149" s="24" t="s">
        <v>424</v>
      </c>
      <c r="F149" s="15" t="s">
        <v>921</v>
      </c>
      <c r="G149" s="24" t="s">
        <v>405</v>
      </c>
      <c r="H149" s="15">
        <v>6</v>
      </c>
      <c r="I149" s="15" t="s">
        <v>488</v>
      </c>
      <c r="J149" s="24" t="s">
        <v>77</v>
      </c>
      <c r="K149" s="15">
        <v>35.090000000000003</v>
      </c>
      <c r="L149" s="15">
        <v>210.54</v>
      </c>
      <c r="M149" s="22">
        <v>42844</v>
      </c>
      <c r="N149" s="22">
        <v>42844</v>
      </c>
      <c r="O149" s="22" t="str">
        <f>IF( Tabla1[[#This Row],[Fecha de entrega real]]="","NO CONCRETADO",IF(N149&lt;=M149,"CUMPLIÓ","NO CUMPLIÓ"))</f>
        <v>CUMPLIÓ</v>
      </c>
      <c r="P149" s="124">
        <f t="shared" si="4"/>
        <v>0</v>
      </c>
      <c r="Q149" s="24" t="s">
        <v>13</v>
      </c>
      <c r="R149" s="24" t="s">
        <v>390</v>
      </c>
      <c r="S149" s="24" t="s">
        <v>244</v>
      </c>
      <c r="T149" s="1" t="s">
        <v>435</v>
      </c>
      <c r="U149" s="107" t="s">
        <v>436</v>
      </c>
      <c r="X149" s="84">
        <f>MONTH(Tabla1[[#This Row],[fecha
de
pedido]])</f>
        <v>4</v>
      </c>
      <c r="Y149" s="84">
        <f>YEAR(Tabla1[[#This Row],[fecha
de
pedido]])</f>
        <v>2017</v>
      </c>
    </row>
    <row r="150" spans="1:25" ht="25.5" customHeight="1" x14ac:dyDescent="0.2">
      <c r="A150" s="118">
        <v>42843</v>
      </c>
      <c r="B150" s="118" t="s">
        <v>487</v>
      </c>
      <c r="C150" s="118" t="s">
        <v>921</v>
      </c>
      <c r="D150" s="15" t="s">
        <v>33</v>
      </c>
      <c r="E150" s="24" t="s">
        <v>424</v>
      </c>
      <c r="F150" s="15" t="s">
        <v>921</v>
      </c>
      <c r="G150" s="24" t="s">
        <v>406</v>
      </c>
      <c r="H150" s="15">
        <v>6</v>
      </c>
      <c r="I150" s="15" t="s">
        <v>488</v>
      </c>
      <c r="J150" s="24" t="s">
        <v>77</v>
      </c>
      <c r="K150" s="15">
        <v>42.35</v>
      </c>
      <c r="L150" s="15">
        <f>(K150*6)</f>
        <v>254.10000000000002</v>
      </c>
      <c r="M150" s="22">
        <v>42844</v>
      </c>
      <c r="N150" s="22">
        <v>42844</v>
      </c>
      <c r="O150" s="22" t="str">
        <f>IF( Tabla1[[#This Row],[Fecha de entrega real]]="","NO CONCRETADO",IF(N150&lt;=M150,"CUMPLIÓ","NO CUMPLIÓ"))</f>
        <v>CUMPLIÓ</v>
      </c>
      <c r="P150" s="124">
        <f t="shared" si="4"/>
        <v>0</v>
      </c>
      <c r="Q150" s="24" t="s">
        <v>13</v>
      </c>
      <c r="R150" s="24" t="s">
        <v>390</v>
      </c>
      <c r="S150" s="24" t="s">
        <v>437</v>
      </c>
      <c r="T150" s="1" t="s">
        <v>435</v>
      </c>
      <c r="U150" s="107" t="s">
        <v>436</v>
      </c>
      <c r="X150" s="84">
        <f>MONTH(Tabla1[[#This Row],[fecha
de
pedido]])</f>
        <v>4</v>
      </c>
      <c r="Y150" s="84">
        <f>YEAR(Tabla1[[#This Row],[fecha
de
pedido]])</f>
        <v>2017</v>
      </c>
    </row>
    <row r="151" spans="1:25" ht="25.5" customHeight="1" x14ac:dyDescent="0.2">
      <c r="A151" s="118">
        <v>42843</v>
      </c>
      <c r="B151" s="118" t="s">
        <v>487</v>
      </c>
      <c r="C151" s="118" t="s">
        <v>921</v>
      </c>
      <c r="D151" s="15" t="s">
        <v>33</v>
      </c>
      <c r="E151" s="24" t="s">
        <v>424</v>
      </c>
      <c r="F151" s="15" t="s">
        <v>921</v>
      </c>
      <c r="G151" s="24" t="s">
        <v>404</v>
      </c>
      <c r="H151" s="15">
        <v>6</v>
      </c>
      <c r="I151" s="15" t="s">
        <v>488</v>
      </c>
      <c r="J151" s="24" t="s">
        <v>77</v>
      </c>
      <c r="K151" s="15">
        <v>30.25</v>
      </c>
      <c r="L151" s="15">
        <f>(K151*6)</f>
        <v>181.5</v>
      </c>
      <c r="M151" s="22">
        <v>42844</v>
      </c>
      <c r="N151" s="22">
        <v>42844</v>
      </c>
      <c r="O151" s="22" t="str">
        <f>IF( Tabla1[[#This Row],[Fecha de entrega real]]="","NO CONCRETADO",IF(N151&lt;=M151,"CUMPLIÓ","NO CUMPLIÓ"))</f>
        <v>CUMPLIÓ</v>
      </c>
      <c r="P151" s="124">
        <f t="shared" si="4"/>
        <v>0</v>
      </c>
      <c r="Q151" s="24" t="s">
        <v>13</v>
      </c>
      <c r="R151" s="24" t="s">
        <v>390</v>
      </c>
      <c r="S151" s="24" t="s">
        <v>244</v>
      </c>
      <c r="T151" s="1" t="s">
        <v>435</v>
      </c>
      <c r="U151" s="107" t="s">
        <v>436</v>
      </c>
      <c r="X151" s="84">
        <f>MONTH(Tabla1[[#This Row],[fecha
de
pedido]])</f>
        <v>4</v>
      </c>
      <c r="Y151" s="84">
        <f>YEAR(Tabla1[[#This Row],[fecha
de
pedido]])</f>
        <v>2017</v>
      </c>
    </row>
    <row r="152" spans="1:25" ht="25.5" customHeight="1" x14ac:dyDescent="0.2">
      <c r="A152" s="118">
        <v>42844</v>
      </c>
      <c r="B152" s="118" t="s">
        <v>487</v>
      </c>
      <c r="C152" s="118" t="s">
        <v>921</v>
      </c>
      <c r="D152" s="15" t="s">
        <v>33</v>
      </c>
      <c r="E152" s="24" t="s">
        <v>444</v>
      </c>
      <c r="F152" s="15" t="s">
        <v>921</v>
      </c>
      <c r="G152" s="24" t="s">
        <v>445</v>
      </c>
      <c r="H152" s="15">
        <v>2</v>
      </c>
      <c r="I152" s="15" t="s">
        <v>488</v>
      </c>
      <c r="J152" s="24" t="s">
        <v>77</v>
      </c>
      <c r="K152" s="15">
        <v>239.58</v>
      </c>
      <c r="L152" s="15">
        <f>K152*2</f>
        <v>479.16</v>
      </c>
      <c r="M152" s="22">
        <v>42846</v>
      </c>
      <c r="N152" s="22">
        <v>42850</v>
      </c>
      <c r="O152" s="22" t="str">
        <f>IF( Tabla1[[#This Row],[Fecha de entrega real]]="","NO CONCRETADO",IF(N152&lt;=M152,"CUMPLIÓ","NO CUMPLIÓ"))</f>
        <v>NO CUMPLIÓ</v>
      </c>
      <c r="P152" s="124">
        <f t="shared" si="4"/>
        <v>4</v>
      </c>
      <c r="Q152" s="24" t="s">
        <v>13</v>
      </c>
      <c r="R152" s="24" t="s">
        <v>390</v>
      </c>
      <c r="S152" s="24" t="s">
        <v>334</v>
      </c>
      <c r="T152" s="1" t="s">
        <v>446</v>
      </c>
      <c r="U152" s="107" t="s">
        <v>447</v>
      </c>
      <c r="X152" s="84">
        <f>MONTH(Tabla1[[#This Row],[fecha
de
pedido]])</f>
        <v>4</v>
      </c>
      <c r="Y152" s="84">
        <f>YEAR(Tabla1[[#This Row],[fecha
de
pedido]])</f>
        <v>2017</v>
      </c>
    </row>
    <row r="153" spans="1:25" ht="25.5" customHeight="1" x14ac:dyDescent="0.2">
      <c r="A153" s="118">
        <v>42844</v>
      </c>
      <c r="B153" s="118" t="s">
        <v>487</v>
      </c>
      <c r="C153" s="118" t="s">
        <v>921</v>
      </c>
      <c r="D153" s="15" t="s">
        <v>33</v>
      </c>
      <c r="E153" s="24" t="s">
        <v>285</v>
      </c>
      <c r="F153" s="15" t="s">
        <v>921</v>
      </c>
      <c r="G153" s="24" t="s">
        <v>204</v>
      </c>
      <c r="H153" s="15">
        <v>200</v>
      </c>
      <c r="I153" s="15" t="s">
        <v>779</v>
      </c>
      <c r="J153" s="24" t="s">
        <v>12</v>
      </c>
      <c r="K153" s="15">
        <v>4.5</v>
      </c>
      <c r="L153" s="15">
        <v>900</v>
      </c>
      <c r="M153" s="22">
        <v>42845</v>
      </c>
      <c r="N153" s="22">
        <v>42850</v>
      </c>
      <c r="O153" s="22" t="str">
        <f>IF( Tabla1[[#This Row],[Fecha de entrega real]]="","NO CONCRETADO",IF(N153&lt;=M153,"CUMPLIÓ","NO CUMPLIÓ"))</f>
        <v>NO CUMPLIÓ</v>
      </c>
      <c r="P153" s="124">
        <f t="shared" si="4"/>
        <v>5</v>
      </c>
      <c r="Q153" s="24" t="s">
        <v>13</v>
      </c>
      <c r="R153" s="24" t="s">
        <v>33</v>
      </c>
      <c r="S153" s="24" t="s">
        <v>442</v>
      </c>
      <c r="U153" s="107" t="s">
        <v>443</v>
      </c>
      <c r="X153" s="84">
        <f>MONTH(Tabla1[[#This Row],[fecha
de
pedido]])</f>
        <v>4</v>
      </c>
      <c r="Y153" s="84">
        <f>YEAR(Tabla1[[#This Row],[fecha
de
pedido]])</f>
        <v>2017</v>
      </c>
    </row>
    <row r="154" spans="1:25" ht="12.75" customHeight="1" x14ac:dyDescent="0.2">
      <c r="A154" s="118">
        <v>42844</v>
      </c>
      <c r="B154" s="118" t="s">
        <v>487</v>
      </c>
      <c r="C154" s="118" t="s">
        <v>921</v>
      </c>
      <c r="D154" s="15" t="s">
        <v>33</v>
      </c>
      <c r="E154" s="24" t="s">
        <v>31</v>
      </c>
      <c r="F154" s="15" t="s">
        <v>921</v>
      </c>
      <c r="G154" s="24" t="s">
        <v>439</v>
      </c>
      <c r="H154" s="15">
        <v>2</v>
      </c>
      <c r="I154" s="15" t="s">
        <v>779</v>
      </c>
      <c r="J154" s="24" t="s">
        <v>267</v>
      </c>
      <c r="K154" s="15">
        <v>505</v>
      </c>
      <c r="L154" s="15">
        <v>1010</v>
      </c>
      <c r="M154" s="22">
        <v>42853</v>
      </c>
      <c r="N154" s="22">
        <v>42881</v>
      </c>
      <c r="O154" s="22" t="str">
        <f>IF( Tabla1[[#This Row],[Fecha de entrega real]]="","NO CONCRETADO",IF(N154&lt;=M154,"CUMPLIÓ","NO CUMPLIÓ"))</f>
        <v>NO CUMPLIÓ</v>
      </c>
      <c r="P154" s="124">
        <f t="shared" si="4"/>
        <v>28</v>
      </c>
      <c r="Q154" s="24" t="s">
        <v>13</v>
      </c>
      <c r="R154" s="24" t="s">
        <v>32</v>
      </c>
      <c r="S154" s="24" t="s">
        <v>483</v>
      </c>
      <c r="T154" s="1" t="s">
        <v>484</v>
      </c>
      <c r="U154" s="107" t="s">
        <v>485</v>
      </c>
      <c r="X154" s="84">
        <f>MONTH(Tabla1[[#This Row],[fecha
de
pedido]])</f>
        <v>4</v>
      </c>
      <c r="Y154" s="84">
        <f>YEAR(Tabla1[[#This Row],[fecha
de
pedido]])</f>
        <v>2017</v>
      </c>
    </row>
    <row r="155" spans="1:25" ht="25.5" customHeight="1" x14ac:dyDescent="0.2">
      <c r="A155" s="118">
        <v>42844</v>
      </c>
      <c r="B155" s="118" t="s">
        <v>487</v>
      </c>
      <c r="C155" s="118" t="s">
        <v>921</v>
      </c>
      <c r="D155" s="15" t="s">
        <v>33</v>
      </c>
      <c r="E155" s="24" t="s">
        <v>277</v>
      </c>
      <c r="F155" s="15" t="s">
        <v>921</v>
      </c>
      <c r="G155" s="24" t="s">
        <v>438</v>
      </c>
      <c r="H155" s="15">
        <v>10</v>
      </c>
      <c r="I155" s="15" t="s">
        <v>779</v>
      </c>
      <c r="J155" s="24" t="s">
        <v>267</v>
      </c>
      <c r="K155" s="15">
        <v>350</v>
      </c>
      <c r="L155" s="15">
        <v>3500</v>
      </c>
      <c r="M155" s="22">
        <v>42874</v>
      </c>
      <c r="N155" s="22">
        <v>42893</v>
      </c>
      <c r="O155" s="22" t="str">
        <f>IF( Tabla1[[#This Row],[Fecha de entrega real]]="","NO CONCRETADO",IF(N155&lt;=M155,"CUMPLIÓ","NO CUMPLIÓ"))</f>
        <v>NO CUMPLIÓ</v>
      </c>
      <c r="P155" s="124">
        <f t="shared" si="4"/>
        <v>19</v>
      </c>
      <c r="Q155" s="24" t="s">
        <v>831</v>
      </c>
      <c r="R155" s="24" t="s">
        <v>33</v>
      </c>
      <c r="S155" s="24" t="s">
        <v>832</v>
      </c>
      <c r="T155" s="1" t="s">
        <v>833</v>
      </c>
      <c r="U155" t="s">
        <v>994</v>
      </c>
      <c r="X155" s="84">
        <f>MONTH(Tabla1[[#This Row],[fecha
de
pedido]])</f>
        <v>4</v>
      </c>
      <c r="Y155" s="84">
        <f>YEAR(Tabla1[[#This Row],[fecha
de
pedido]])</f>
        <v>2017</v>
      </c>
    </row>
    <row r="156" spans="1:25" ht="25.5" customHeight="1" x14ac:dyDescent="0.2">
      <c r="A156" s="118" t="s">
        <v>1084</v>
      </c>
      <c r="B156" s="118" t="s">
        <v>487</v>
      </c>
      <c r="C156" s="118" t="s">
        <v>921</v>
      </c>
      <c r="D156" s="109" t="s">
        <v>487</v>
      </c>
      <c r="E156" s="114" t="s">
        <v>487</v>
      </c>
      <c r="F156" s="109" t="s">
        <v>834</v>
      </c>
      <c r="G156" s="110" t="s">
        <v>835</v>
      </c>
      <c r="H156" s="109" t="s">
        <v>487</v>
      </c>
      <c r="I156" s="109" t="s">
        <v>487</v>
      </c>
      <c r="J156" s="114" t="s">
        <v>837</v>
      </c>
      <c r="K156" s="109">
        <v>205.31</v>
      </c>
      <c r="L156" s="109">
        <v>205.31</v>
      </c>
      <c r="M156" s="108" t="s">
        <v>487</v>
      </c>
      <c r="N156" s="108">
        <v>42893</v>
      </c>
      <c r="O156" s="108" t="str">
        <f>IF( Tabla1[[#This Row],[Fecha de entrega real]]="","NO CONCRETADO",IF(N156&lt;=M156,"CUMPLIÓ","NO CUMPLIÓ"))</f>
        <v>CUMPLIÓ</v>
      </c>
      <c r="P156" s="139"/>
      <c r="Q156" s="114" t="s">
        <v>838</v>
      </c>
      <c r="R156" s="114" t="s">
        <v>33</v>
      </c>
      <c r="S156" s="114" t="s">
        <v>244</v>
      </c>
      <c r="T156" s="111" t="s">
        <v>839</v>
      </c>
      <c r="U156" s="121"/>
      <c r="V156" s="111"/>
      <c r="W156" s="111"/>
      <c r="X156" s="111" t="e">
        <f>MONTH(Tabla1[[#This Row],[fecha
de
pedido]])</f>
        <v>#VALUE!</v>
      </c>
      <c r="Y156" s="111" t="e">
        <f>YEAR(Tabla1[[#This Row],[fecha
de
pedido]])</f>
        <v>#VALUE!</v>
      </c>
    </row>
    <row r="157" spans="1:25" ht="25.5" customHeight="1" x14ac:dyDescent="0.2">
      <c r="A157" s="118">
        <v>42849</v>
      </c>
      <c r="B157" s="118" t="s">
        <v>487</v>
      </c>
      <c r="C157" s="118" t="s">
        <v>921</v>
      </c>
      <c r="D157" s="15" t="s">
        <v>33</v>
      </c>
      <c r="E157" s="24" t="s">
        <v>277</v>
      </c>
      <c r="F157" s="15" t="s">
        <v>921</v>
      </c>
      <c r="G157" s="24" t="s">
        <v>440</v>
      </c>
      <c r="H157" s="15">
        <v>12</v>
      </c>
      <c r="I157" s="15" t="s">
        <v>779</v>
      </c>
      <c r="J157" s="24" t="s">
        <v>267</v>
      </c>
      <c r="K157" s="15">
        <v>290</v>
      </c>
      <c r="L157" s="15">
        <v>3480</v>
      </c>
      <c r="M157" s="22">
        <v>42881</v>
      </c>
      <c r="N157" s="22">
        <v>42877</v>
      </c>
      <c r="O157" s="22" t="str">
        <f>IF( Tabla1[[#This Row],[Fecha de entrega real]]="","NO CONCRETADO",IF(N157&lt;=M157,"CUMPLIÓ","NO CUMPLIÓ"))</f>
        <v>CUMPLIÓ</v>
      </c>
      <c r="P157" s="124">
        <f t="shared" si="4"/>
        <v>-4</v>
      </c>
      <c r="Q157" s="24" t="s">
        <v>473</v>
      </c>
      <c r="R157" s="24"/>
      <c r="S157" s="24" t="s">
        <v>474</v>
      </c>
      <c r="T157" s="1" t="s">
        <v>475</v>
      </c>
      <c r="U157" s="107" t="s">
        <v>476</v>
      </c>
      <c r="X157" s="84">
        <f>MONTH(Tabla1[[#This Row],[fecha
de
pedido]])</f>
        <v>4</v>
      </c>
      <c r="Y157" s="84">
        <f>YEAR(Tabla1[[#This Row],[fecha
de
pedido]])</f>
        <v>2017</v>
      </c>
    </row>
    <row r="158" spans="1:25" ht="38.25" customHeight="1" x14ac:dyDescent="0.2">
      <c r="A158" s="118">
        <v>42849</v>
      </c>
      <c r="B158" s="118" t="s">
        <v>487</v>
      </c>
      <c r="C158" s="118" t="s">
        <v>921</v>
      </c>
      <c r="D158" s="15" t="s">
        <v>33</v>
      </c>
      <c r="E158" s="24" t="s">
        <v>31</v>
      </c>
      <c r="F158" s="15" t="s">
        <v>921</v>
      </c>
      <c r="G158" s="24" t="s">
        <v>441</v>
      </c>
      <c r="H158" s="15">
        <v>12</v>
      </c>
      <c r="I158" s="15" t="s">
        <v>779</v>
      </c>
      <c r="J158" s="24" t="s">
        <v>267</v>
      </c>
      <c r="K158" s="15">
        <v>250</v>
      </c>
      <c r="L158" s="15">
        <v>3000</v>
      </c>
      <c r="M158" s="22">
        <v>42881</v>
      </c>
      <c r="N158" s="26"/>
      <c r="O158" s="22" t="str">
        <f>IF( Tabla1[[#This Row],[Fecha de entrega real]]="","NO CONCRETADO",IF(N158&lt;=M158,"CUMPLIÓ","NO CUMPLIÓ"))</f>
        <v>NO CONCRETADO</v>
      </c>
      <c r="P158" s="124" t="str">
        <f t="shared" si="4"/>
        <v>NO CONCRETADO</v>
      </c>
      <c r="Q158" s="24" t="s">
        <v>451</v>
      </c>
      <c r="R158" s="24" t="s">
        <v>33</v>
      </c>
      <c r="S158" s="24" t="s">
        <v>450</v>
      </c>
      <c r="X158" s="84">
        <f>MONTH(Tabla1[[#This Row],[fecha
de
pedido]])</f>
        <v>4</v>
      </c>
      <c r="Y158" s="84">
        <f>YEAR(Tabla1[[#This Row],[fecha
de
pedido]])</f>
        <v>2017</v>
      </c>
    </row>
    <row r="159" spans="1:25" ht="25.5" customHeight="1" x14ac:dyDescent="0.2">
      <c r="A159" s="118">
        <v>42857</v>
      </c>
      <c r="B159" s="118" t="s">
        <v>487</v>
      </c>
      <c r="C159" s="118" t="s">
        <v>921</v>
      </c>
      <c r="D159" s="15" t="s">
        <v>33</v>
      </c>
      <c r="E159" s="24" t="s">
        <v>277</v>
      </c>
      <c r="F159" s="15" t="s">
        <v>921</v>
      </c>
      <c r="G159" s="24" t="s">
        <v>448</v>
      </c>
      <c r="H159" s="15" t="s">
        <v>449</v>
      </c>
      <c r="I159" s="15" t="s">
        <v>830</v>
      </c>
      <c r="J159" s="24" t="s">
        <v>267</v>
      </c>
      <c r="K159" s="15">
        <v>250</v>
      </c>
      <c r="L159" s="15">
        <v>3000</v>
      </c>
      <c r="M159" s="22">
        <v>42881</v>
      </c>
      <c r="N159" s="22">
        <v>42877</v>
      </c>
      <c r="O159" s="22" t="str">
        <f>IF( Tabla1[[#This Row],[Fecha de entrega real]]="","NO CONCRETADO",IF(N159&lt;=M159,"CUMPLIÓ","NO CUMPLIÓ"))</f>
        <v>CUMPLIÓ</v>
      </c>
      <c r="P159" s="124">
        <f t="shared" si="4"/>
        <v>-4</v>
      </c>
      <c r="Q159" s="24" t="s">
        <v>473</v>
      </c>
      <c r="R159" s="24" t="s">
        <v>33</v>
      </c>
      <c r="S159" s="24" t="s">
        <v>474</v>
      </c>
      <c r="T159" s="1" t="s">
        <v>475</v>
      </c>
      <c r="U159" s="107" t="s">
        <v>476</v>
      </c>
      <c r="X159" s="84">
        <f>MONTH(Tabla1[[#This Row],[fecha
de
pedido]])</f>
        <v>5</v>
      </c>
      <c r="Y159" s="84">
        <f>YEAR(Tabla1[[#This Row],[fecha
de
pedido]])</f>
        <v>2017</v>
      </c>
    </row>
    <row r="160" spans="1:25" ht="12.75" customHeight="1" x14ac:dyDescent="0.2">
      <c r="A160" s="118">
        <v>42858</v>
      </c>
      <c r="B160" s="118" t="s">
        <v>487</v>
      </c>
      <c r="C160" s="118" t="s">
        <v>921</v>
      </c>
      <c r="D160" s="15" t="s">
        <v>227</v>
      </c>
      <c r="E160" s="24" t="s">
        <v>277</v>
      </c>
      <c r="F160" s="15" t="s">
        <v>921</v>
      </c>
      <c r="G160" s="24" t="s">
        <v>204</v>
      </c>
      <c r="H160" s="15" t="s">
        <v>457</v>
      </c>
      <c r="I160" s="15" t="s">
        <v>830</v>
      </c>
      <c r="J160" s="24" t="s">
        <v>12</v>
      </c>
      <c r="K160" s="15">
        <v>4.5</v>
      </c>
      <c r="L160" s="15">
        <v>450</v>
      </c>
      <c r="M160" s="22">
        <v>42859</v>
      </c>
      <c r="N160" s="22">
        <v>42859</v>
      </c>
      <c r="O160" s="22" t="str">
        <f>IF( Tabla1[[#This Row],[Fecha de entrega real]]="","NO CONCRETADO",IF(N160&lt;=M160,"CUMPLIÓ","NO CUMPLIÓ"))</f>
        <v>CUMPLIÓ</v>
      </c>
      <c r="P160" s="124">
        <f t="shared" si="4"/>
        <v>0</v>
      </c>
      <c r="Q160" s="24" t="s">
        <v>451</v>
      </c>
      <c r="R160" s="24" t="s">
        <v>458</v>
      </c>
      <c r="S160" s="24" t="s">
        <v>459</v>
      </c>
      <c r="U160" s="107" t="s">
        <v>460</v>
      </c>
      <c r="X160" s="84">
        <f>MONTH(Tabla1[[#This Row],[fecha
de
pedido]])</f>
        <v>5</v>
      </c>
      <c r="Y160" s="84">
        <f>YEAR(Tabla1[[#This Row],[fecha
de
pedido]])</f>
        <v>2017</v>
      </c>
    </row>
    <row r="161" spans="1:25" ht="12.75" customHeight="1" x14ac:dyDescent="0.2">
      <c r="A161" s="118">
        <v>42870</v>
      </c>
      <c r="B161" s="118" t="s">
        <v>487</v>
      </c>
      <c r="C161" s="118" t="s">
        <v>921</v>
      </c>
      <c r="D161" s="15" t="s">
        <v>33</v>
      </c>
      <c r="E161" s="24" t="s">
        <v>11</v>
      </c>
      <c r="F161" s="15" t="s">
        <v>921</v>
      </c>
      <c r="G161" s="24" t="s">
        <v>465</v>
      </c>
      <c r="H161" s="15">
        <v>10</v>
      </c>
      <c r="I161" s="15" t="s">
        <v>488</v>
      </c>
      <c r="J161" s="24" t="s">
        <v>77</v>
      </c>
      <c r="K161" s="15">
        <v>14.52</v>
      </c>
      <c r="L161" s="15">
        <f>K161*10</f>
        <v>145.19999999999999</v>
      </c>
      <c r="M161" s="22">
        <v>42878</v>
      </c>
      <c r="N161" s="22">
        <v>42878</v>
      </c>
      <c r="O161" s="22" t="str">
        <f>IF( Tabla1[[#This Row],[Fecha de entrega real]]="","NO CONCRETADO",IF(N161&lt;=M161,"CUMPLIÓ","NO CUMPLIÓ"))</f>
        <v>CUMPLIÓ</v>
      </c>
      <c r="P161" s="124">
        <f t="shared" si="4"/>
        <v>0</v>
      </c>
      <c r="Q161" s="24" t="s">
        <v>13</v>
      </c>
      <c r="R161" s="24" t="s">
        <v>33</v>
      </c>
      <c r="S161" s="24" t="s">
        <v>478</v>
      </c>
      <c r="T161" s="1" t="s">
        <v>479</v>
      </c>
      <c r="U161" s="107" t="s">
        <v>480</v>
      </c>
      <c r="X161" s="84">
        <f>MONTH(Tabla1[[#This Row],[fecha
de
pedido]])</f>
        <v>5</v>
      </c>
      <c r="Y161" s="84">
        <f>YEAR(Tabla1[[#This Row],[fecha
de
pedido]])</f>
        <v>2017</v>
      </c>
    </row>
    <row r="162" spans="1:25" ht="12.75" customHeight="1" x14ac:dyDescent="0.2">
      <c r="A162" s="118">
        <v>42870</v>
      </c>
      <c r="B162" s="118" t="s">
        <v>487</v>
      </c>
      <c r="C162" s="118" t="s">
        <v>921</v>
      </c>
      <c r="D162" s="15" t="s">
        <v>33</v>
      </c>
      <c r="E162" s="24" t="s">
        <v>11</v>
      </c>
      <c r="F162" s="15" t="s">
        <v>921</v>
      </c>
      <c r="G162" s="24" t="s">
        <v>464</v>
      </c>
      <c r="H162" s="15">
        <v>3</v>
      </c>
      <c r="I162" s="15" t="s">
        <v>488</v>
      </c>
      <c r="J162" s="24" t="s">
        <v>77</v>
      </c>
      <c r="K162" s="15">
        <v>83.49</v>
      </c>
      <c r="L162" s="15">
        <f>K162*3</f>
        <v>250.46999999999997</v>
      </c>
      <c r="M162" s="22">
        <v>42878</v>
      </c>
      <c r="N162" s="22">
        <v>42878</v>
      </c>
      <c r="O162" s="22" t="str">
        <f>IF( Tabla1[[#This Row],[Fecha de entrega real]]="","NO CONCRETADO",IF(N162&lt;=M162,"CUMPLIÓ","NO CUMPLIÓ"))</f>
        <v>CUMPLIÓ</v>
      </c>
      <c r="P162" s="124">
        <f t="shared" si="4"/>
        <v>0</v>
      </c>
      <c r="Q162" s="24" t="s">
        <v>13</v>
      </c>
      <c r="R162" s="24" t="s">
        <v>33</v>
      </c>
      <c r="S162" s="24" t="s">
        <v>478</v>
      </c>
      <c r="T162" s="1" t="s">
        <v>479</v>
      </c>
      <c r="U162" s="107" t="s">
        <v>480</v>
      </c>
      <c r="X162" s="84">
        <f>MONTH(Tabla1[[#This Row],[fecha
de
pedido]])</f>
        <v>5</v>
      </c>
      <c r="Y162" s="84">
        <f>YEAR(Tabla1[[#This Row],[fecha
de
pedido]])</f>
        <v>2017</v>
      </c>
    </row>
    <row r="163" spans="1:25" ht="12.75" customHeight="1" x14ac:dyDescent="0.2">
      <c r="A163" s="118">
        <v>42870</v>
      </c>
      <c r="B163" s="118" t="s">
        <v>487</v>
      </c>
      <c r="C163" s="118" t="s">
        <v>921</v>
      </c>
      <c r="D163" s="15" t="s">
        <v>33</v>
      </c>
      <c r="E163" s="24" t="s">
        <v>11</v>
      </c>
      <c r="F163" s="15" t="s">
        <v>921</v>
      </c>
      <c r="G163" s="24" t="s">
        <v>462</v>
      </c>
      <c r="H163" s="15">
        <v>2</v>
      </c>
      <c r="I163" s="15" t="s">
        <v>830</v>
      </c>
      <c r="J163" s="24" t="s">
        <v>225</v>
      </c>
      <c r="K163" s="15">
        <v>72</v>
      </c>
      <c r="L163" s="15">
        <f>K163*2</f>
        <v>144</v>
      </c>
      <c r="M163" s="22">
        <v>42879</v>
      </c>
      <c r="N163" s="22">
        <v>42881</v>
      </c>
      <c r="O163" s="22" t="str">
        <f>IF( Tabla1[[#This Row],[Fecha de entrega real]]="","NO CONCRETADO",IF(N163&lt;=M163,"CUMPLIÓ","NO CUMPLIÓ"))</f>
        <v>NO CUMPLIÓ</v>
      </c>
      <c r="P163" s="124">
        <f t="shared" si="4"/>
        <v>2</v>
      </c>
      <c r="Q163" s="24" t="s">
        <v>451</v>
      </c>
      <c r="R163" s="24" t="s">
        <v>33</v>
      </c>
      <c r="S163" s="24" t="s">
        <v>244</v>
      </c>
      <c r="T163" s="1" t="s">
        <v>481</v>
      </c>
      <c r="U163" s="107" t="s">
        <v>482</v>
      </c>
      <c r="X163" s="84">
        <f>MONTH(Tabla1[[#This Row],[fecha
de
pedido]])</f>
        <v>5</v>
      </c>
      <c r="Y163" s="84">
        <f>YEAR(Tabla1[[#This Row],[fecha
de
pedido]])</f>
        <v>2017</v>
      </c>
    </row>
    <row r="164" spans="1:25" ht="25.5" customHeight="1" x14ac:dyDescent="0.2">
      <c r="A164" s="118">
        <v>42870</v>
      </c>
      <c r="B164" s="118" t="s">
        <v>487</v>
      </c>
      <c r="C164" s="118" t="s">
        <v>921</v>
      </c>
      <c r="D164" s="15" t="s">
        <v>33</v>
      </c>
      <c r="E164" s="24" t="s">
        <v>11</v>
      </c>
      <c r="F164" s="15" t="s">
        <v>921</v>
      </c>
      <c r="G164" s="24" t="s">
        <v>463</v>
      </c>
      <c r="H164" s="15">
        <v>1</v>
      </c>
      <c r="I164" s="15" t="s">
        <v>821</v>
      </c>
      <c r="J164" s="24" t="s">
        <v>225</v>
      </c>
      <c r="K164" s="15">
        <v>160</v>
      </c>
      <c r="L164" s="15">
        <v>160</v>
      </c>
      <c r="M164" s="22">
        <v>42886</v>
      </c>
      <c r="N164" s="22">
        <v>42891</v>
      </c>
      <c r="O164" s="22" t="str">
        <f>IF( Tabla1[[#This Row],[Fecha de entrega real]]="","NO CONCRETADO",IF(N164&lt;=M164,"CUMPLIÓ","NO CUMPLIÓ"))</f>
        <v>NO CUMPLIÓ</v>
      </c>
      <c r="P164" s="124">
        <f t="shared" si="4"/>
        <v>5</v>
      </c>
      <c r="Q164" s="24" t="s">
        <v>451</v>
      </c>
      <c r="R164" s="24" t="s">
        <v>390</v>
      </c>
      <c r="S164" s="24" t="s">
        <v>822</v>
      </c>
      <c r="T164" s="1" t="s">
        <v>823</v>
      </c>
      <c r="U164" s="107" t="s">
        <v>824</v>
      </c>
      <c r="X164" s="84">
        <f>MONTH(Tabla1[[#This Row],[fecha
de
pedido]])</f>
        <v>5</v>
      </c>
      <c r="Y164" s="84">
        <f>YEAR(Tabla1[[#This Row],[fecha
de
pedido]])</f>
        <v>2017</v>
      </c>
    </row>
    <row r="165" spans="1:25" ht="51" customHeight="1" x14ac:dyDescent="0.2">
      <c r="A165" s="118">
        <v>42871</v>
      </c>
      <c r="B165" s="118" t="s">
        <v>487</v>
      </c>
      <c r="C165" s="118" t="s">
        <v>921</v>
      </c>
      <c r="D165" s="15" t="s">
        <v>227</v>
      </c>
      <c r="E165" s="24" t="s">
        <v>277</v>
      </c>
      <c r="F165" s="100" t="s">
        <v>807</v>
      </c>
      <c r="G165" s="24" t="s">
        <v>467</v>
      </c>
      <c r="H165" s="15">
        <v>1</v>
      </c>
      <c r="I165" s="15" t="s">
        <v>817</v>
      </c>
      <c r="J165" s="24" t="s">
        <v>466</v>
      </c>
      <c r="K165" s="15" t="s">
        <v>468</v>
      </c>
      <c r="L165" s="15" t="s">
        <v>469</v>
      </c>
      <c r="M165" s="22">
        <v>42885</v>
      </c>
      <c r="N165" s="22">
        <v>42891</v>
      </c>
      <c r="O165" s="22" t="str">
        <f>IF( Tabla1[[#This Row],[Fecha de entrega real]]="","NO CONCRETADO",IF(N165&lt;=M165,"CUMPLIÓ","NO CUMPLIÓ"))</f>
        <v>NO CUMPLIÓ</v>
      </c>
      <c r="P165" s="124">
        <f t="shared" si="4"/>
        <v>6</v>
      </c>
      <c r="Q165" s="100" t="s">
        <v>818</v>
      </c>
      <c r="R165" s="24" t="s">
        <v>809</v>
      </c>
      <c r="S165" s="24" t="s">
        <v>810</v>
      </c>
      <c r="T165" s="1" t="s">
        <v>819</v>
      </c>
      <c r="U165" s="107" t="s">
        <v>1067</v>
      </c>
      <c r="X165" s="84">
        <f>MONTH(Tabla1[[#This Row],[fecha
de
pedido]])</f>
        <v>5</v>
      </c>
      <c r="Y165" s="84">
        <f>YEAR(Tabla1[[#This Row],[fecha
de
pedido]])</f>
        <v>2017</v>
      </c>
    </row>
    <row r="166" spans="1:25" ht="25.5" customHeight="1" x14ac:dyDescent="0.2">
      <c r="A166" s="118" t="s">
        <v>1083</v>
      </c>
      <c r="B166" s="118" t="s">
        <v>487</v>
      </c>
      <c r="C166" s="118" t="s">
        <v>921</v>
      </c>
      <c r="D166" s="108" t="s">
        <v>836</v>
      </c>
      <c r="E166" s="229" t="s">
        <v>836</v>
      </c>
      <c r="F166" s="112" t="s">
        <v>834</v>
      </c>
      <c r="G166" s="110" t="s">
        <v>840</v>
      </c>
      <c r="H166" s="109">
        <v>1</v>
      </c>
      <c r="I166" s="15" t="s">
        <v>830</v>
      </c>
      <c r="J166" s="114" t="s">
        <v>841</v>
      </c>
      <c r="K166" s="109">
        <v>270.27</v>
      </c>
      <c r="L166" s="109">
        <v>270.27</v>
      </c>
      <c r="M166" s="108" t="s">
        <v>487</v>
      </c>
      <c r="N166" s="108">
        <v>42891</v>
      </c>
      <c r="O166" s="108" t="str">
        <f>IF( Tabla1[[#This Row],[Fecha de entrega real]]="","NO CONCRETADO",IF(N166&lt;=M166,"CUMPLIÓ","NO CUMPLIÓ"))</f>
        <v>CUMPLIÓ</v>
      </c>
      <c r="P166" s="124" t="e">
        <f>IF(N166="","NO CONCRETADO",N166-M166)</f>
        <v>#VALUE!</v>
      </c>
      <c r="Q166" s="100" t="s">
        <v>818</v>
      </c>
      <c r="R166" s="24" t="s">
        <v>809</v>
      </c>
      <c r="S166" s="114" t="s">
        <v>842</v>
      </c>
      <c r="T166" s="111" t="s">
        <v>843</v>
      </c>
      <c r="U166" s="121" t="s">
        <v>844</v>
      </c>
      <c r="V166" s="111"/>
      <c r="W166" s="111"/>
      <c r="X166" s="111" t="e">
        <f>MONTH(Tabla1[[#This Row],[fecha
de
pedido]])</f>
        <v>#VALUE!</v>
      </c>
      <c r="Y166" s="111" t="e">
        <f>YEAR(Tabla1[[#This Row],[fecha
de
pedido]])</f>
        <v>#VALUE!</v>
      </c>
    </row>
    <row r="167" spans="1:25" ht="25.5" customHeight="1" x14ac:dyDescent="0.2">
      <c r="A167" s="118">
        <v>42873</v>
      </c>
      <c r="B167" s="118" t="s">
        <v>487</v>
      </c>
      <c r="C167" s="118" t="s">
        <v>921</v>
      </c>
      <c r="D167" s="15" t="s">
        <v>11</v>
      </c>
      <c r="E167" s="24" t="s">
        <v>11</v>
      </c>
      <c r="F167" s="15" t="s">
        <v>921</v>
      </c>
      <c r="G167" s="24" t="s">
        <v>470</v>
      </c>
      <c r="H167" s="15">
        <v>1</v>
      </c>
      <c r="I167" s="15" t="s">
        <v>817</v>
      </c>
      <c r="J167" s="24" t="s">
        <v>225</v>
      </c>
      <c r="K167" s="15">
        <v>15610</v>
      </c>
      <c r="L167" s="15">
        <v>15610</v>
      </c>
      <c r="M167" s="22">
        <v>42878</v>
      </c>
      <c r="N167" s="22">
        <v>42877</v>
      </c>
      <c r="O167" s="22" t="str">
        <f>IF( Tabla1[[#This Row],[Fecha de entrega real]]="","NO CONCRETADO",IF(N167&lt;=M167,"CUMPLIÓ","NO CUMPLIÓ"))</f>
        <v>CUMPLIÓ</v>
      </c>
      <c r="P167" s="124">
        <f t="shared" si="4"/>
        <v>-1</v>
      </c>
      <c r="Q167" s="24" t="s">
        <v>451</v>
      </c>
      <c r="R167" s="24" t="s">
        <v>32</v>
      </c>
      <c r="S167" s="24" t="s">
        <v>244</v>
      </c>
      <c r="T167" s="1" t="s">
        <v>471</v>
      </c>
      <c r="U167" s="107" t="s">
        <v>472</v>
      </c>
      <c r="X167" s="84">
        <f>MONTH(Tabla1[[#This Row],[fecha
de
pedido]])</f>
        <v>5</v>
      </c>
      <c r="Y167" s="84">
        <f>YEAR(Tabla1[[#This Row],[fecha
de
pedido]])</f>
        <v>2017</v>
      </c>
    </row>
    <row r="168" spans="1:25" ht="12.75" customHeight="1" x14ac:dyDescent="0.2">
      <c r="A168" s="118">
        <v>42873</v>
      </c>
      <c r="B168" s="118" t="s">
        <v>487</v>
      </c>
      <c r="C168" s="118" t="s">
        <v>921</v>
      </c>
      <c r="D168" s="15" t="s">
        <v>33</v>
      </c>
      <c r="E168" s="24" t="s">
        <v>285</v>
      </c>
      <c r="F168" s="15" t="s">
        <v>921</v>
      </c>
      <c r="G168" s="24" t="s">
        <v>204</v>
      </c>
      <c r="H168" s="15">
        <v>200</v>
      </c>
      <c r="I168" s="15" t="s">
        <v>779</v>
      </c>
      <c r="J168" s="24" t="s">
        <v>12</v>
      </c>
      <c r="K168" s="15">
        <v>4.5</v>
      </c>
      <c r="L168" s="15">
        <v>900</v>
      </c>
      <c r="M168" s="22">
        <v>42877</v>
      </c>
      <c r="N168" s="22">
        <v>42877</v>
      </c>
      <c r="O168" s="22" t="str">
        <f>IF( Tabla1[[#This Row],[Fecha de entrega real]]="","NO CONCRETADO",IF(N168&lt;=M168,"CUMPLIÓ","NO CUMPLIÓ"))</f>
        <v>CUMPLIÓ</v>
      </c>
      <c r="P168" s="124">
        <f t="shared" si="4"/>
        <v>0</v>
      </c>
      <c r="Q168" s="24" t="s">
        <v>451</v>
      </c>
      <c r="R168" s="24"/>
      <c r="S168" s="24" t="s">
        <v>244</v>
      </c>
      <c r="U168" s="107" t="s">
        <v>477</v>
      </c>
      <c r="X168" s="84">
        <f>MONTH(Tabla1[[#This Row],[fecha
de
pedido]])</f>
        <v>5</v>
      </c>
      <c r="Y168" s="84">
        <f>YEAR(Tabla1[[#This Row],[fecha
de
pedido]])</f>
        <v>2017</v>
      </c>
    </row>
    <row r="169" spans="1:25" ht="25.5" customHeight="1" x14ac:dyDescent="0.2">
      <c r="A169" s="118">
        <v>42873</v>
      </c>
      <c r="B169" s="118" t="s">
        <v>487</v>
      </c>
      <c r="C169" s="118" t="s">
        <v>1509</v>
      </c>
      <c r="D169" s="15" t="s">
        <v>33</v>
      </c>
      <c r="E169" s="24" t="s">
        <v>11</v>
      </c>
      <c r="F169" s="15" t="s">
        <v>778</v>
      </c>
      <c r="G169" s="4" t="s">
        <v>1510</v>
      </c>
      <c r="H169" s="15">
        <v>1</v>
      </c>
      <c r="I169" s="15" t="s">
        <v>1511</v>
      </c>
      <c r="J169" s="24" t="s">
        <v>82</v>
      </c>
      <c r="K169" s="15">
        <v>9861.2999999999993</v>
      </c>
      <c r="L169" s="15">
        <f>Tabla1[[#This Row],[Costo Unitario]]*Tabla1[[#This Row],[cantidad]]</f>
        <v>9861.2999999999993</v>
      </c>
      <c r="M169" s="22">
        <v>42947</v>
      </c>
      <c r="N169" s="22">
        <v>43056</v>
      </c>
      <c r="O169" s="22" t="str">
        <f>IF( Tabla1[[#This Row],[Fecha de entrega real]]="","NO CONCRETADO",IF(N169&lt;=M169,"CUMPLIÓ","NO CUMPLIÓ"))</f>
        <v>NO CUMPLIÓ</v>
      </c>
      <c r="P169" s="124">
        <f t="shared" si="4"/>
        <v>109</v>
      </c>
      <c r="Q169" s="24" t="s">
        <v>451</v>
      </c>
      <c r="R169" s="24" t="s">
        <v>33</v>
      </c>
      <c r="S169" s="24" t="s">
        <v>1513</v>
      </c>
      <c r="U169" s="107" t="s">
        <v>1512</v>
      </c>
      <c r="X169" s="1">
        <f>MONTH(Tabla1[[#This Row],[fecha
de
pedido]])</f>
        <v>5</v>
      </c>
      <c r="Y169" s="1">
        <f>YEAR(Tabla1[[#This Row],[fecha
de
pedido]])</f>
        <v>2017</v>
      </c>
    </row>
    <row r="170" spans="1:25" ht="25.5" customHeight="1" x14ac:dyDescent="0.2">
      <c r="A170" s="161">
        <v>42908</v>
      </c>
      <c r="B170" s="118" t="s">
        <v>487</v>
      </c>
      <c r="C170" s="162" t="s">
        <v>849</v>
      </c>
      <c r="D170" s="163" t="s">
        <v>809</v>
      </c>
      <c r="E170" s="162" t="s">
        <v>11</v>
      </c>
      <c r="F170" s="163" t="s">
        <v>830</v>
      </c>
      <c r="G170" s="162" t="s">
        <v>1007</v>
      </c>
      <c r="H170" s="163">
        <v>3</v>
      </c>
      <c r="I170" s="163" t="s">
        <v>1008</v>
      </c>
      <c r="J170" s="162" t="s">
        <v>1010</v>
      </c>
      <c r="K170" s="163">
        <v>255</v>
      </c>
      <c r="L170" s="163">
        <f>Tabla1[[#This Row],[Costo Unitario]]*Tabla1[[#This Row],[cantidad]]</f>
        <v>765</v>
      </c>
      <c r="M170" s="164">
        <v>42914</v>
      </c>
      <c r="N170" s="164">
        <v>42914</v>
      </c>
      <c r="O170" s="164" t="str">
        <f>IF( Tabla1[[#This Row],[Fecha de entrega real]]="","NO CONCRETADO",IF(N170&lt;=M170,"CUMPLIÓ","NO CUMPLIÓ"))</f>
        <v>CUMPLIÓ</v>
      </c>
      <c r="P170" s="141">
        <f>IF(N170="","NO CONCRETADO",N170-M170)</f>
        <v>0</v>
      </c>
      <c r="Q170" s="162" t="s">
        <v>838</v>
      </c>
      <c r="R170" s="162" t="s">
        <v>809</v>
      </c>
      <c r="S170" s="162" t="s">
        <v>334</v>
      </c>
      <c r="T170" s="163"/>
      <c r="U170" s="166" t="s">
        <v>1009</v>
      </c>
      <c r="V170" s="163"/>
      <c r="W170" s="163"/>
      <c r="X170" s="163">
        <f>MONTH(Tabla1[[#This Row],[fecha
de
pedido]])</f>
        <v>6</v>
      </c>
      <c r="Y170" s="163">
        <f>YEAR(Tabla1[[#This Row],[fecha
de
pedido]])</f>
        <v>2017</v>
      </c>
    </row>
    <row r="171" spans="1:25" ht="12.75" customHeight="1" x14ac:dyDescent="0.2">
      <c r="A171" s="154">
        <v>42878</v>
      </c>
      <c r="B171" s="118" t="s">
        <v>487</v>
      </c>
      <c r="C171" s="4" t="s">
        <v>775</v>
      </c>
      <c r="D171" s="104" t="s">
        <v>795</v>
      </c>
      <c r="E171" s="105" t="s">
        <v>11</v>
      </c>
      <c r="F171" s="104" t="s">
        <v>778</v>
      </c>
      <c r="G171" s="105" t="s">
        <v>796</v>
      </c>
      <c r="H171" s="104">
        <v>1</v>
      </c>
      <c r="I171" s="104" t="s">
        <v>488</v>
      </c>
      <c r="J171" s="105" t="s">
        <v>77</v>
      </c>
      <c r="K171" s="104">
        <v>308.55</v>
      </c>
      <c r="L171" s="104">
        <v>308.55</v>
      </c>
      <c r="M171" s="106">
        <v>42886</v>
      </c>
      <c r="N171" s="106">
        <v>42886</v>
      </c>
      <c r="O171" s="106" t="str">
        <f>IF( Tabla1[[#This Row],[Fecha de entrega real]]="","NO CONCRETADO",IF(N171&lt;=M171,"CUMPLIÓ","NO CUMPLIÓ"))</f>
        <v>CUMPLIÓ</v>
      </c>
      <c r="P171" s="141">
        <f t="shared" si="4"/>
        <v>0</v>
      </c>
      <c r="Q171" s="105" t="s">
        <v>13</v>
      </c>
      <c r="R171" s="105" t="s">
        <v>775</v>
      </c>
      <c r="S171" s="105" t="s">
        <v>334</v>
      </c>
      <c r="T171" s="104" t="s">
        <v>801</v>
      </c>
      <c r="U171" s="107" t="s">
        <v>804</v>
      </c>
      <c r="V171" s="104"/>
      <c r="W171" s="104"/>
      <c r="X171" s="104">
        <f>MONTH(Tabla1[[#This Row],[fecha
de
pedido]])</f>
        <v>5</v>
      </c>
      <c r="Y171" s="104">
        <f>YEAR(Tabla1[[#This Row],[fecha
de
pedido]])</f>
        <v>2017</v>
      </c>
    </row>
    <row r="172" spans="1:25" s="64" customFormat="1" ht="12.75" customHeight="1" x14ac:dyDescent="0.2">
      <c r="A172" s="158">
        <v>42878</v>
      </c>
      <c r="B172" s="118" t="s">
        <v>487</v>
      </c>
      <c r="C172" s="145" t="s">
        <v>775</v>
      </c>
      <c r="D172" s="145" t="s">
        <v>775</v>
      </c>
      <c r="E172" s="105" t="s">
        <v>11</v>
      </c>
      <c r="F172" s="104" t="s">
        <v>778</v>
      </c>
      <c r="G172" s="145" t="s">
        <v>980</v>
      </c>
      <c r="H172" s="146">
        <v>1</v>
      </c>
      <c r="I172" s="146" t="s">
        <v>488</v>
      </c>
      <c r="J172" s="145" t="s">
        <v>77</v>
      </c>
      <c r="K172" s="146">
        <v>465.85</v>
      </c>
      <c r="L172" s="104">
        <f>Tabla1[[#This Row],[Costo Unitario]]*Tabla1[[#This Row],[cantidad]]</f>
        <v>465.85</v>
      </c>
      <c r="M172" s="144">
        <v>42887</v>
      </c>
      <c r="N172" s="144">
        <v>42909</v>
      </c>
      <c r="O172" s="144" t="str">
        <f>IF( Tabla1[[#This Row],[Fecha de entrega real]]="","NO CONCRETADO",IF(N172&lt;=M172,"CUMPLIÓ","NO CUMPLIÓ"))</f>
        <v>NO CUMPLIÓ</v>
      </c>
      <c r="P172" s="141">
        <f t="shared" si="4"/>
        <v>22</v>
      </c>
      <c r="Q172" s="145" t="s">
        <v>13</v>
      </c>
      <c r="R172" s="145" t="s">
        <v>977</v>
      </c>
      <c r="S172" s="145" t="s">
        <v>244</v>
      </c>
      <c r="T172" s="146" t="s">
        <v>981</v>
      </c>
      <c r="U172" s="159" t="s">
        <v>982</v>
      </c>
      <c r="V172" s="146"/>
      <c r="W172" s="146"/>
      <c r="X172" s="146">
        <f>MONTH(Tabla1[[#This Row],[fecha
de
pedido]])</f>
        <v>5</v>
      </c>
      <c r="Y172" s="146">
        <f>YEAR(Tabla1[[#This Row],[fecha
de
pedido]])</f>
        <v>2017</v>
      </c>
    </row>
    <row r="173" spans="1:25" s="64" customFormat="1" ht="12.75" customHeight="1" x14ac:dyDescent="0.2">
      <c r="A173" s="154">
        <v>42878</v>
      </c>
      <c r="B173" s="118" t="s">
        <v>487</v>
      </c>
      <c r="C173" s="4" t="s">
        <v>775</v>
      </c>
      <c r="D173" s="104" t="s">
        <v>775</v>
      </c>
      <c r="E173" s="105" t="s">
        <v>11</v>
      </c>
      <c r="F173" s="104" t="s">
        <v>778</v>
      </c>
      <c r="G173" s="105" t="s">
        <v>798</v>
      </c>
      <c r="H173" s="104">
        <v>2</v>
      </c>
      <c r="I173" s="104" t="s">
        <v>800</v>
      </c>
      <c r="J173" s="105" t="s">
        <v>77</v>
      </c>
      <c r="K173" s="104">
        <v>139.15</v>
      </c>
      <c r="L173" s="104">
        <v>278.3</v>
      </c>
      <c r="M173" s="106">
        <v>42886</v>
      </c>
      <c r="N173" s="106">
        <v>42886</v>
      </c>
      <c r="O173" s="106" t="str">
        <f>IF( Tabla1[[#This Row],[Fecha de entrega real]]="","NO CONCRETADO",IF(N173&lt;=M173,"CUMPLIÓ","NO CUMPLIÓ"))</f>
        <v>CUMPLIÓ</v>
      </c>
      <c r="P173" s="141">
        <f t="shared" si="4"/>
        <v>0</v>
      </c>
      <c r="Q173" s="105" t="s">
        <v>13</v>
      </c>
      <c r="R173" s="105" t="s">
        <v>775</v>
      </c>
      <c r="S173" s="105" t="s">
        <v>334</v>
      </c>
      <c r="T173" s="104" t="s">
        <v>803</v>
      </c>
      <c r="U173" s="107" t="s">
        <v>806</v>
      </c>
      <c r="V173" s="104"/>
      <c r="W173" s="104"/>
      <c r="X173" s="104">
        <f>MONTH(Tabla1[[#This Row],[fecha
de
pedido]])</f>
        <v>5</v>
      </c>
      <c r="Y173" s="104">
        <f>YEAR(Tabla1[[#This Row],[fecha
de
pedido]])</f>
        <v>2017</v>
      </c>
    </row>
    <row r="174" spans="1:25" ht="12.75" customHeight="1" x14ac:dyDescent="0.2">
      <c r="A174" s="154">
        <v>42878</v>
      </c>
      <c r="B174" s="118" t="s">
        <v>487</v>
      </c>
      <c r="C174" s="4" t="s">
        <v>775</v>
      </c>
      <c r="D174" s="104" t="s">
        <v>795</v>
      </c>
      <c r="E174" s="105" t="s">
        <v>11</v>
      </c>
      <c r="F174" s="104" t="s">
        <v>778</v>
      </c>
      <c r="G174" s="105" t="s">
        <v>797</v>
      </c>
      <c r="H174" s="104">
        <v>1</v>
      </c>
      <c r="I174" s="104" t="s">
        <v>799</v>
      </c>
      <c r="J174" s="105" t="s">
        <v>77</v>
      </c>
      <c r="K174" s="104">
        <v>360.58</v>
      </c>
      <c r="L174" s="104">
        <v>360.58</v>
      </c>
      <c r="M174" s="106">
        <v>42886</v>
      </c>
      <c r="N174" s="106">
        <v>42886</v>
      </c>
      <c r="O174" s="106" t="str">
        <f>IF( Tabla1[[#This Row],[Fecha de entrega real]]="","NO CONCRETADO",IF(N174&lt;=M174,"CUMPLIÓ","NO CUMPLIÓ"))</f>
        <v>CUMPLIÓ</v>
      </c>
      <c r="P174" s="141">
        <f t="shared" si="4"/>
        <v>0</v>
      </c>
      <c r="Q174" s="105" t="s">
        <v>13</v>
      </c>
      <c r="R174" s="105" t="s">
        <v>775</v>
      </c>
      <c r="S174" s="105" t="s">
        <v>334</v>
      </c>
      <c r="T174" s="104" t="s">
        <v>802</v>
      </c>
      <c r="U174" s="107" t="s">
        <v>805</v>
      </c>
      <c r="V174" s="104"/>
      <c r="W174" s="104"/>
      <c r="X174" s="104">
        <f>MONTH(Tabla1[[#This Row],[fecha
de
pedido]])</f>
        <v>5</v>
      </c>
      <c r="Y174" s="104">
        <f>YEAR(Tabla1[[#This Row],[fecha
de
pedido]])</f>
        <v>2017</v>
      </c>
    </row>
    <row r="175" spans="1:25" ht="38.25" customHeight="1" x14ac:dyDescent="0.2">
      <c r="A175" s="152">
        <v>42881</v>
      </c>
      <c r="B175" s="118" t="s">
        <v>487</v>
      </c>
      <c r="C175" s="99" t="s">
        <v>792</v>
      </c>
      <c r="D175" s="100" t="s">
        <v>793</v>
      </c>
      <c r="E175" s="99" t="s">
        <v>11</v>
      </c>
      <c r="F175" s="101" t="s">
        <v>772</v>
      </c>
      <c r="G175" s="99" t="s">
        <v>788</v>
      </c>
      <c r="H175" s="101">
        <v>6</v>
      </c>
      <c r="I175" s="101" t="s">
        <v>784</v>
      </c>
      <c r="J175" s="99" t="s">
        <v>787</v>
      </c>
      <c r="K175" s="1">
        <v>893.77</v>
      </c>
      <c r="L175" s="1">
        <f>Tabla1[[#This Row],[Costo Unitario]]*6</f>
        <v>5362.62</v>
      </c>
      <c r="M175" s="1" t="s">
        <v>854</v>
      </c>
      <c r="N175" s="88">
        <v>42898</v>
      </c>
      <c r="O175" s="88" t="str">
        <f>IF( Tabla1[[#This Row],[Fecha de entrega real]]="","NO CONCRETADO",IF(N175&lt;=M175,"CUMPLIÓ","NO CUMPLIÓ"))</f>
        <v>CUMPLIÓ</v>
      </c>
      <c r="P175" s="99" t="e">
        <f t="shared" si="4"/>
        <v>#VALUE!</v>
      </c>
      <c r="Q175" s="4" t="s">
        <v>831</v>
      </c>
      <c r="R175" s="4" t="s">
        <v>855</v>
      </c>
      <c r="S175" s="4" t="s">
        <v>856</v>
      </c>
      <c r="T175" s="1" t="s">
        <v>857</v>
      </c>
      <c r="U175" s="107" t="s">
        <v>858</v>
      </c>
      <c r="X175" s="1">
        <f>MONTH(Tabla1[[#This Row],[fecha
de
pedido]])</f>
        <v>5</v>
      </c>
      <c r="Y175" s="1">
        <f>YEAR(Tabla1[[#This Row],[fecha
de
pedido]])</f>
        <v>2017</v>
      </c>
    </row>
    <row r="176" spans="1:25" ht="38.25" customHeight="1" x14ac:dyDescent="0.2">
      <c r="A176" s="152">
        <v>42881</v>
      </c>
      <c r="B176" s="118" t="s">
        <v>487</v>
      </c>
      <c r="C176" s="99" t="s">
        <v>792</v>
      </c>
      <c r="D176" s="100" t="s">
        <v>793</v>
      </c>
      <c r="E176" s="99" t="s">
        <v>11</v>
      </c>
      <c r="F176" s="101" t="s">
        <v>772</v>
      </c>
      <c r="G176" s="99" t="s">
        <v>789</v>
      </c>
      <c r="H176" s="101">
        <v>3</v>
      </c>
      <c r="I176" s="101" t="s">
        <v>784</v>
      </c>
      <c r="J176" s="99" t="s">
        <v>787</v>
      </c>
      <c r="K176" s="1">
        <v>893.77</v>
      </c>
      <c r="L176" s="1">
        <f>Tabla1[[#This Row],[Costo Unitario]]*3</f>
        <v>2681.31</v>
      </c>
      <c r="M176" s="1" t="s">
        <v>854</v>
      </c>
      <c r="N176" s="88">
        <v>42898</v>
      </c>
      <c r="O176" s="88" t="str">
        <f>IF( Tabla1[[#This Row],[Fecha de entrega real]]="","NO CONCRETADO",IF(N176&lt;=M176,"CUMPLIÓ","NO CUMPLIÓ"))</f>
        <v>CUMPLIÓ</v>
      </c>
      <c r="P176" s="141" t="e">
        <f t="shared" si="4"/>
        <v>#VALUE!</v>
      </c>
      <c r="Q176" s="4" t="s">
        <v>831</v>
      </c>
      <c r="R176" s="4" t="s">
        <v>855</v>
      </c>
      <c r="S176" s="4" t="s">
        <v>856</v>
      </c>
      <c r="T176" s="1" t="s">
        <v>857</v>
      </c>
      <c r="U176" s="107" t="s">
        <v>858</v>
      </c>
      <c r="X176" s="1">
        <f>MONTH(Tabla1[[#This Row],[fecha
de
pedido]])</f>
        <v>5</v>
      </c>
      <c r="Y176" s="1">
        <f>YEAR(Tabla1[[#This Row],[fecha
de
pedido]])</f>
        <v>2017</v>
      </c>
    </row>
    <row r="177" spans="1:25" ht="25.5" customHeight="1" x14ac:dyDescent="0.2">
      <c r="A177" s="152">
        <v>42881</v>
      </c>
      <c r="B177" s="118" t="s">
        <v>487</v>
      </c>
      <c r="C177" s="99" t="s">
        <v>792</v>
      </c>
      <c r="D177" s="100" t="s">
        <v>793</v>
      </c>
      <c r="E177" s="99" t="s">
        <v>11</v>
      </c>
      <c r="F177" s="101" t="s">
        <v>772</v>
      </c>
      <c r="G177" s="99" t="s">
        <v>790</v>
      </c>
      <c r="H177" s="101">
        <v>2</v>
      </c>
      <c r="I177" s="101" t="s">
        <v>784</v>
      </c>
      <c r="J177" s="99" t="s">
        <v>787</v>
      </c>
      <c r="K177" s="1">
        <v>2165.02</v>
      </c>
      <c r="L177" s="1">
        <f>Tabla1[[#This Row],[Costo Unitario]]*Tabla1[[#This Row],[cantidad]]</f>
        <v>4330.04</v>
      </c>
      <c r="M177" s="1" t="s">
        <v>854</v>
      </c>
      <c r="N177" s="88">
        <v>42898</v>
      </c>
      <c r="O177" s="88" t="str">
        <f>IF( Tabla1[[#This Row],[Fecha de entrega real]]="","NO CONCRETADO",IF(N177&lt;=M177,"CUMPLIÓ","NO CUMPLIÓ"))</f>
        <v>CUMPLIÓ</v>
      </c>
      <c r="P177" s="141" t="e">
        <f t="shared" si="4"/>
        <v>#VALUE!</v>
      </c>
      <c r="Q177" s="4" t="s">
        <v>831</v>
      </c>
      <c r="R177" s="4" t="s">
        <v>855</v>
      </c>
      <c r="S177" s="4" t="s">
        <v>856</v>
      </c>
      <c r="T177" s="1" t="s">
        <v>857</v>
      </c>
      <c r="U177" s="107" t="s">
        <v>858</v>
      </c>
      <c r="X177" s="1">
        <f>MONTH(Tabla1[[#This Row],[fecha
de
pedido]])</f>
        <v>5</v>
      </c>
      <c r="Y177" s="1">
        <f>YEAR(Tabla1[[#This Row],[fecha
de
pedido]])</f>
        <v>2017</v>
      </c>
    </row>
    <row r="178" spans="1:25" ht="25.5" customHeight="1" x14ac:dyDescent="0.2">
      <c r="A178" s="152">
        <v>42881</v>
      </c>
      <c r="B178" s="118" t="s">
        <v>487</v>
      </c>
      <c r="C178" s="99" t="s">
        <v>792</v>
      </c>
      <c r="D178" s="100" t="s">
        <v>793</v>
      </c>
      <c r="E178" s="99" t="s">
        <v>11</v>
      </c>
      <c r="F178" s="101" t="s">
        <v>772</v>
      </c>
      <c r="G178" s="99" t="s">
        <v>791</v>
      </c>
      <c r="H178" s="101">
        <v>2</v>
      </c>
      <c r="I178" s="101" t="s">
        <v>784</v>
      </c>
      <c r="J178" s="99" t="s">
        <v>787</v>
      </c>
      <c r="K178" s="102" t="s">
        <v>794</v>
      </c>
      <c r="L178" s="103">
        <v>54059.19</v>
      </c>
      <c r="M178" s="1" t="s">
        <v>854</v>
      </c>
      <c r="N178" s="88">
        <v>42898</v>
      </c>
      <c r="O178" s="88" t="str">
        <f>IF( Tabla1[[#This Row],[Fecha de entrega real]]="","NO CONCRETADO",IF(N178&lt;=M178,"CUMPLIÓ","NO CUMPLIÓ"))</f>
        <v>CUMPLIÓ</v>
      </c>
      <c r="P178" s="141" t="e">
        <f t="shared" si="4"/>
        <v>#VALUE!</v>
      </c>
      <c r="Q178" s="4" t="s">
        <v>831</v>
      </c>
      <c r="R178" s="4" t="s">
        <v>855</v>
      </c>
      <c r="S178" s="4" t="s">
        <v>856</v>
      </c>
      <c r="T178" s="1" t="s">
        <v>857</v>
      </c>
      <c r="U178" s="107" t="s">
        <v>858</v>
      </c>
      <c r="X178" s="1">
        <f>MONTH(Tabla1[[#This Row],[fecha
de
pedido]])</f>
        <v>5</v>
      </c>
      <c r="Y178" s="1">
        <f>YEAR(Tabla1[[#This Row],[fecha
de
pedido]])</f>
        <v>2017</v>
      </c>
    </row>
    <row r="179" spans="1:25" ht="25.5" customHeight="1" x14ac:dyDescent="0.2">
      <c r="A179" s="118" t="s">
        <v>1082</v>
      </c>
      <c r="B179" s="118" t="s">
        <v>487</v>
      </c>
      <c r="C179" s="118" t="s">
        <v>921</v>
      </c>
      <c r="D179" s="15" t="s">
        <v>487</v>
      </c>
      <c r="E179" s="24" t="s">
        <v>487</v>
      </c>
      <c r="F179" s="15" t="s">
        <v>834</v>
      </c>
      <c r="G179" s="4" t="s">
        <v>862</v>
      </c>
      <c r="H179" s="15" t="s">
        <v>487</v>
      </c>
      <c r="I179" s="15" t="s">
        <v>487</v>
      </c>
      <c r="J179" s="124" t="s">
        <v>837</v>
      </c>
      <c r="K179" s="127">
        <v>1476.33</v>
      </c>
      <c r="L179" s="127">
        <v>1476.33</v>
      </c>
      <c r="M179" s="125" t="s">
        <v>487</v>
      </c>
      <c r="N179" s="125">
        <v>42898</v>
      </c>
      <c r="O179" s="125" t="str">
        <f>IF( Tabla1[[#This Row],[Fecha de entrega real]]="","NO CONCRETADO",IF(N179&lt;=M179,"CUMPLIÓ","NO CUMPLIÓ"))</f>
        <v>CUMPLIÓ</v>
      </c>
      <c r="Q179" s="124" t="s">
        <v>831</v>
      </c>
      <c r="R179" s="124" t="s">
        <v>33</v>
      </c>
      <c r="S179" s="124" t="s">
        <v>860</v>
      </c>
      <c r="T179" s="97"/>
      <c r="U179" s="128" t="s">
        <v>861</v>
      </c>
      <c r="X179" s="1" t="e">
        <f>MONTH(Tabla1[[#This Row],[fecha
de
pedido]])</f>
        <v>#VALUE!</v>
      </c>
      <c r="Y179" s="1" t="e">
        <f>YEAR(Tabla1[[#This Row],[fecha
de
pedido]])</f>
        <v>#VALUE!</v>
      </c>
    </row>
    <row r="180" spans="1:25" ht="12.75" customHeight="1" x14ac:dyDescent="0.2">
      <c r="A180" s="152">
        <v>42881</v>
      </c>
      <c r="B180" s="118" t="s">
        <v>487</v>
      </c>
      <c r="C180" s="165" t="s">
        <v>849</v>
      </c>
      <c r="D180" s="168" t="s">
        <v>809</v>
      </c>
      <c r="E180" s="165" t="s">
        <v>11</v>
      </c>
      <c r="F180" s="169" t="s">
        <v>830</v>
      </c>
      <c r="G180" s="162" t="s">
        <v>1013</v>
      </c>
      <c r="H180" s="169">
        <v>1</v>
      </c>
      <c r="I180" s="169" t="s">
        <v>488</v>
      </c>
      <c r="J180" s="165" t="s">
        <v>1014</v>
      </c>
      <c r="K180" s="170">
        <v>500</v>
      </c>
      <c r="L180" s="171">
        <f>Tabla1[[#This Row],[Costo Unitario]]*Tabla1[[#This Row],[cantidad]]</f>
        <v>500</v>
      </c>
      <c r="M180" s="163"/>
      <c r="N180" s="164"/>
      <c r="O180" s="164" t="str">
        <f>IF( Tabla1[[#This Row],[Fecha de entrega real]]="","NO CONCRETADO",IF(N180&lt;=M180,"CUMPLIÓ","NO CUMPLIÓ"))</f>
        <v>NO CONCRETADO</v>
      </c>
      <c r="P180" s="165"/>
      <c r="Q180" s="162"/>
      <c r="R180" s="162" t="s">
        <v>11</v>
      </c>
      <c r="S180" s="162" t="s">
        <v>1015</v>
      </c>
      <c r="T180" s="163"/>
      <c r="U180" s="166"/>
      <c r="V180" s="163"/>
      <c r="W180" s="163"/>
      <c r="X180" s="163">
        <f>MONTH(Tabla1[[#This Row],[fecha
de
pedido]])</f>
        <v>5</v>
      </c>
      <c r="Y180" s="163">
        <f>YEAR(Tabla1[[#This Row],[fecha
de
pedido]])</f>
        <v>2017</v>
      </c>
    </row>
    <row r="181" spans="1:25" ht="12.75" customHeight="1" x14ac:dyDescent="0.2">
      <c r="A181" s="152">
        <v>42881</v>
      </c>
      <c r="B181" s="118" t="s">
        <v>487</v>
      </c>
      <c r="C181" s="165" t="s">
        <v>849</v>
      </c>
      <c r="D181" s="168" t="s">
        <v>809</v>
      </c>
      <c r="E181" s="165" t="s">
        <v>11</v>
      </c>
      <c r="F181" s="169" t="s">
        <v>830</v>
      </c>
      <c r="G181" s="162" t="s">
        <v>1013</v>
      </c>
      <c r="H181" s="169">
        <v>1</v>
      </c>
      <c r="I181" s="169" t="s">
        <v>488</v>
      </c>
      <c r="J181" s="165" t="s">
        <v>1014</v>
      </c>
      <c r="K181" s="170">
        <v>500</v>
      </c>
      <c r="L181" s="171">
        <f>Tabla1[[#This Row],[Costo Unitario]]*Tabla1[[#This Row],[cantidad]]</f>
        <v>500</v>
      </c>
      <c r="M181" s="163"/>
      <c r="N181" s="164"/>
      <c r="O181" s="164" t="str">
        <f>IF( Tabla1[[#This Row],[Fecha de entrega real]]="","NO CONCRETADO",IF(N181&lt;=M181,"CUMPLIÓ","NO CUMPLIÓ"))</f>
        <v>NO CONCRETADO</v>
      </c>
      <c r="P181" s="165"/>
      <c r="Q181" s="162"/>
      <c r="R181" s="162" t="s">
        <v>11</v>
      </c>
      <c r="S181" s="162" t="s">
        <v>1015</v>
      </c>
      <c r="T181" s="163"/>
      <c r="U181" s="166"/>
      <c r="V181" s="163"/>
      <c r="W181" s="163"/>
      <c r="X181" s="163">
        <f>MONTH(Tabla1[[#This Row],[fecha
de
pedido]])</f>
        <v>5</v>
      </c>
      <c r="Y181" s="163">
        <f>YEAR(Tabla1[[#This Row],[fecha
de
pedido]])</f>
        <v>2017</v>
      </c>
    </row>
    <row r="182" spans="1:25" ht="12.75" customHeight="1" x14ac:dyDescent="0.2">
      <c r="A182" s="152">
        <v>42885</v>
      </c>
      <c r="B182" s="118" t="s">
        <v>487</v>
      </c>
      <c r="C182" s="4" t="s">
        <v>775</v>
      </c>
      <c r="D182" s="1" t="s">
        <v>33</v>
      </c>
      <c r="E182" s="4" t="s">
        <v>11</v>
      </c>
      <c r="F182" s="1" t="s">
        <v>772</v>
      </c>
      <c r="G182" s="4" t="s">
        <v>773</v>
      </c>
      <c r="H182" s="1">
        <v>50</v>
      </c>
      <c r="I182" s="1" t="s">
        <v>774</v>
      </c>
      <c r="J182" s="4" t="s">
        <v>225</v>
      </c>
      <c r="K182">
        <v>49</v>
      </c>
      <c r="L182" s="91">
        <v>2450</v>
      </c>
      <c r="M182" s="88">
        <v>42894</v>
      </c>
      <c r="N182" s="88">
        <v>42892</v>
      </c>
      <c r="O182" s="88" t="str">
        <f>IF( Tabla1[[#This Row],[Fecha de entrega real]]="","NO CONCRETADO",IF(N182&lt;=M182,"CUMPLIÓ","NO CUMPLIÓ"))</f>
        <v>CUMPLIÓ</v>
      </c>
      <c r="P182" s="141">
        <f t="shared" si="4"/>
        <v>-2</v>
      </c>
      <c r="Q182" s="4" t="s">
        <v>13</v>
      </c>
      <c r="R182" s="4" t="s">
        <v>33</v>
      </c>
      <c r="S182" s="4" t="s">
        <v>334</v>
      </c>
      <c r="T182" s="1" t="s">
        <v>823</v>
      </c>
      <c r="U182" s="107" t="s">
        <v>824</v>
      </c>
      <c r="X182" s="84">
        <f>MONTH(Tabla1[[#This Row],[fecha
de
pedido]])</f>
        <v>5</v>
      </c>
      <c r="Y182" s="84">
        <f>YEAR(Tabla1[[#This Row],[fecha
de
pedido]])</f>
        <v>2017</v>
      </c>
    </row>
    <row r="183" spans="1:25" s="97" customFormat="1" ht="25.5" customHeight="1" x14ac:dyDescent="0.2">
      <c r="A183" s="152">
        <v>42885</v>
      </c>
      <c r="B183" s="118" t="s">
        <v>487</v>
      </c>
      <c r="C183" s="4" t="s">
        <v>782</v>
      </c>
      <c r="D183" s="1" t="s">
        <v>33</v>
      </c>
      <c r="E183" s="89" t="s">
        <v>11</v>
      </c>
      <c r="F183" s="84" t="s">
        <v>772</v>
      </c>
      <c r="G183" s="89" t="s">
        <v>783</v>
      </c>
      <c r="H183" s="84">
        <v>500</v>
      </c>
      <c r="I183" s="84" t="s">
        <v>784</v>
      </c>
      <c r="J183" s="89" t="s">
        <v>785</v>
      </c>
      <c r="K183" s="84">
        <v>16.7</v>
      </c>
      <c r="L183" s="84">
        <v>8117</v>
      </c>
      <c r="M183" s="1" t="s">
        <v>922</v>
      </c>
      <c r="N183" s="84"/>
      <c r="O183" s="90" t="str">
        <f>IF( Tabla1[[#This Row],[Fecha de entrega real]]="","NO CONCRETADO",IF(N183&lt;=M183,"CUMPLIÓ","NO CUMPLIÓ"))</f>
        <v>NO CONCRETADO</v>
      </c>
      <c r="P183" s="141" t="str">
        <f t="shared" si="4"/>
        <v>NO CONCRETADO</v>
      </c>
      <c r="Q183" s="89"/>
      <c r="R183" s="89"/>
      <c r="S183" s="89"/>
      <c r="T183" s="84"/>
      <c r="U183" s="123"/>
      <c r="V183" s="84"/>
      <c r="W183" s="84"/>
      <c r="X183" s="84">
        <f>MONTH(Tabla1[[#This Row],[fecha
de
pedido]])</f>
        <v>5</v>
      </c>
      <c r="Y183" s="84">
        <f>YEAR(Tabla1[[#This Row],[fecha
de
pedido]])</f>
        <v>2017</v>
      </c>
    </row>
    <row r="184" spans="1:25" s="97" customFormat="1" ht="40.5" customHeight="1" x14ac:dyDescent="0.2">
      <c r="A184" s="152">
        <v>42885</v>
      </c>
      <c r="B184" s="118" t="s">
        <v>487</v>
      </c>
      <c r="C184" s="4" t="s">
        <v>33</v>
      </c>
      <c r="D184" s="84" t="s">
        <v>33</v>
      </c>
      <c r="E184" s="89" t="s">
        <v>11</v>
      </c>
      <c r="F184" s="84" t="s">
        <v>772</v>
      </c>
      <c r="G184" s="89" t="s">
        <v>780</v>
      </c>
      <c r="H184" s="84">
        <v>1</v>
      </c>
      <c r="I184" s="84" t="s">
        <v>781</v>
      </c>
      <c r="J184" s="89" t="s">
        <v>771</v>
      </c>
      <c r="K184" s="84">
        <v>100</v>
      </c>
      <c r="L184" s="84">
        <v>100</v>
      </c>
      <c r="M184" s="90">
        <v>42886</v>
      </c>
      <c r="N184" s="90">
        <v>42886</v>
      </c>
      <c r="O184" s="90" t="str">
        <f>IF( Tabla1[[#This Row],[Fecha de entrega real]]="","NO CONCRETADO",IF(N184&lt;=M184,"CUMPLIÓ","NO CUMPLIÓ"))</f>
        <v>CUMPLIÓ</v>
      </c>
      <c r="P184" s="141">
        <f t="shared" si="4"/>
        <v>0</v>
      </c>
      <c r="Q184" s="89"/>
      <c r="R184" s="89"/>
      <c r="S184" s="89"/>
      <c r="T184" s="84"/>
      <c r="U184" s="123"/>
      <c r="V184" s="84"/>
      <c r="W184" s="84"/>
      <c r="X184" s="84">
        <f>MONTH(Tabla1[[#This Row],[fecha
de
pedido]])</f>
        <v>5</v>
      </c>
      <c r="Y184" s="84">
        <f>YEAR(Tabla1[[#This Row],[fecha
de
pedido]])</f>
        <v>2017</v>
      </c>
    </row>
    <row r="185" spans="1:25" ht="40.5" customHeight="1" x14ac:dyDescent="0.2">
      <c r="A185" s="152">
        <v>42885</v>
      </c>
      <c r="B185" s="118" t="s">
        <v>487</v>
      </c>
      <c r="C185" s="4" t="s">
        <v>33</v>
      </c>
      <c r="D185" s="1" t="s">
        <v>33</v>
      </c>
      <c r="E185" s="4" t="s">
        <v>11</v>
      </c>
      <c r="F185" s="1" t="s">
        <v>772</v>
      </c>
      <c r="G185" s="4" t="s">
        <v>768</v>
      </c>
      <c r="H185" s="1">
        <v>6</v>
      </c>
      <c r="I185" s="1" t="s">
        <v>770</v>
      </c>
      <c r="J185" s="4" t="s">
        <v>771</v>
      </c>
      <c r="K185" s="1">
        <v>238</v>
      </c>
      <c r="L185" s="1">
        <f>Tabla1[[#This Row],[Costo Unitario]]*6</f>
        <v>1428</v>
      </c>
      <c r="M185" s="88">
        <v>42886</v>
      </c>
      <c r="N185" s="88">
        <v>42886</v>
      </c>
      <c r="O185" s="88" t="str">
        <f>IF( Tabla1[[#This Row],[Fecha de entrega real]]="","NO CONCRETADO",IF(N185&lt;=M185,"CUMPLIÓ","NO CUMPLIÓ"))</f>
        <v>CUMPLIÓ</v>
      </c>
      <c r="P185" s="99">
        <f t="shared" si="4"/>
        <v>0</v>
      </c>
      <c r="X185" s="84">
        <f>MONTH(Tabla1[[#This Row],[fecha
de
pedido]])</f>
        <v>5</v>
      </c>
      <c r="Y185" s="84">
        <f>YEAR(Tabla1[[#This Row],[fecha
de
pedido]])</f>
        <v>2017</v>
      </c>
    </row>
    <row r="186" spans="1:25" ht="12.75" customHeight="1" x14ac:dyDescent="0.2">
      <c r="A186" s="152">
        <v>42885</v>
      </c>
      <c r="B186" s="118" t="s">
        <v>487</v>
      </c>
      <c r="C186" s="4" t="s">
        <v>33</v>
      </c>
      <c r="D186" s="1" t="s">
        <v>33</v>
      </c>
      <c r="E186" s="4" t="s">
        <v>11</v>
      </c>
      <c r="F186" s="1" t="s">
        <v>772</v>
      </c>
      <c r="G186" s="4" t="s">
        <v>769</v>
      </c>
      <c r="H186" s="1">
        <v>2</v>
      </c>
      <c r="I186" s="1" t="s">
        <v>770</v>
      </c>
      <c r="J186" s="4" t="s">
        <v>771</v>
      </c>
      <c r="K186" s="1">
        <v>195</v>
      </c>
      <c r="L186" s="1">
        <f>Tabla1[[#This Row],[Costo Unitario]]*2</f>
        <v>390</v>
      </c>
      <c r="M186" s="88">
        <v>42886</v>
      </c>
      <c r="N186" s="88">
        <v>42886</v>
      </c>
      <c r="O186" s="88" t="str">
        <f>IF( Tabla1[[#This Row],[Fecha de entrega real]]="","NO CONCRETADO",IF(N186&lt;=M186,"CUMPLIÓ","NO CUMPLIÓ"))</f>
        <v>CUMPLIÓ</v>
      </c>
      <c r="P186" s="141">
        <f t="shared" si="4"/>
        <v>0</v>
      </c>
      <c r="X186" s="84">
        <f>MONTH(Tabla1[[#This Row],[fecha
de
pedido]])</f>
        <v>5</v>
      </c>
      <c r="Y186" s="84">
        <f>YEAR(Tabla1[[#This Row],[fecha
de
pedido]])</f>
        <v>2017</v>
      </c>
    </row>
    <row r="187" spans="1:25" ht="25.5" customHeight="1" x14ac:dyDescent="0.2">
      <c r="A187" s="152">
        <v>42885</v>
      </c>
      <c r="B187" s="118" t="s">
        <v>487</v>
      </c>
      <c r="C187" s="4" t="s">
        <v>775</v>
      </c>
      <c r="D187" s="1" t="s">
        <v>33</v>
      </c>
      <c r="E187" s="89" t="s">
        <v>11</v>
      </c>
      <c r="F187" s="84" t="s">
        <v>778</v>
      </c>
      <c r="G187" s="89" t="s">
        <v>777</v>
      </c>
      <c r="H187" s="84">
        <v>6</v>
      </c>
      <c r="I187" s="84" t="s">
        <v>779</v>
      </c>
      <c r="J187" s="89" t="s">
        <v>225</v>
      </c>
      <c r="K187" s="84">
        <v>390</v>
      </c>
      <c r="L187" s="92">
        <v>2340</v>
      </c>
      <c r="M187" s="90">
        <v>42885</v>
      </c>
      <c r="N187" s="90">
        <v>42915</v>
      </c>
      <c r="O187" s="90" t="str">
        <f>IF( Tabla1[[#This Row],[Fecha de entrega real]]="","NO CONCRETADO",IF(N187&lt;=M187,"CUMPLIÓ","NO CUMPLIÓ"))</f>
        <v>NO CUMPLIÓ</v>
      </c>
      <c r="P187" s="141">
        <f t="shared" si="4"/>
        <v>30</v>
      </c>
      <c r="Q187" s="4" t="s">
        <v>1001</v>
      </c>
      <c r="R187" s="4" t="s">
        <v>33</v>
      </c>
      <c r="S187" s="4" t="s">
        <v>244</v>
      </c>
      <c r="T187" s="1" t="s">
        <v>1002</v>
      </c>
      <c r="U187" s="107" t="s">
        <v>1000</v>
      </c>
      <c r="V187" s="84"/>
      <c r="W187" s="84"/>
      <c r="X187" s="84">
        <f>MONTH(Tabla1[[#This Row],[fecha
de
pedido]])</f>
        <v>5</v>
      </c>
      <c r="Y187" s="84">
        <f>YEAR(Tabla1[[#This Row],[fecha
de
pedido]])</f>
        <v>2017</v>
      </c>
    </row>
    <row r="188" spans="1:25" ht="25.5" customHeight="1" x14ac:dyDescent="0.2">
      <c r="A188" s="152" t="s">
        <v>836</v>
      </c>
      <c r="B188" s="118" t="s">
        <v>487</v>
      </c>
      <c r="C188" s="4" t="s">
        <v>921</v>
      </c>
      <c r="D188" s="1" t="s">
        <v>487</v>
      </c>
      <c r="E188" s="4" t="s">
        <v>487</v>
      </c>
      <c r="F188" s="1" t="s">
        <v>830</v>
      </c>
      <c r="G188" s="4" t="s">
        <v>1003</v>
      </c>
      <c r="H188" s="1">
        <v>1</v>
      </c>
      <c r="I188" s="1" t="s">
        <v>830</v>
      </c>
      <c r="J188" s="4" t="s">
        <v>1004</v>
      </c>
      <c r="K188" s="1">
        <v>198.17</v>
      </c>
      <c r="L188" s="160">
        <f>Tabla1[[#This Row],[Costo Unitario]]*Tabla1[[#This Row],[cantidad]]</f>
        <v>198.17</v>
      </c>
      <c r="M188" s="88">
        <v>42915</v>
      </c>
      <c r="N188" s="88">
        <v>42915</v>
      </c>
      <c r="O188" s="88" t="str">
        <f>IF( Tabla1[[#This Row],[Fecha de entrega real]]="","NO CONCRETADO",IF(N188&lt;=M188,"CUMPLIÓ","NO CUMPLIÓ"))</f>
        <v>CUMPLIÓ</v>
      </c>
      <c r="P188" s="141">
        <f t="shared" si="4"/>
        <v>0</v>
      </c>
      <c r="Q188" s="4" t="s">
        <v>1001</v>
      </c>
      <c r="R188" s="4" t="s">
        <v>33</v>
      </c>
      <c r="S188" s="4" t="s">
        <v>1005</v>
      </c>
      <c r="T188" s="1" t="s">
        <v>1006</v>
      </c>
      <c r="X188" s="1" t="e">
        <f>MONTH(Tabla1[[#This Row],[fecha
de
pedido]])</f>
        <v>#VALUE!</v>
      </c>
      <c r="Y188" s="1" t="e">
        <f>YEAR(Tabla1[[#This Row],[fecha
de
pedido]])</f>
        <v>#VALUE!</v>
      </c>
    </row>
    <row r="189" spans="1:25" ht="12.75" customHeight="1" x14ac:dyDescent="0.2">
      <c r="A189" s="152">
        <v>42885</v>
      </c>
      <c r="B189" s="118" t="s">
        <v>487</v>
      </c>
      <c r="C189" s="4" t="s">
        <v>775</v>
      </c>
      <c r="D189" s="1" t="s">
        <v>33</v>
      </c>
      <c r="E189" s="89" t="s">
        <v>11</v>
      </c>
      <c r="F189" s="84" t="s">
        <v>778</v>
      </c>
      <c r="G189" s="89" t="s">
        <v>776</v>
      </c>
      <c r="H189" s="84">
        <v>6</v>
      </c>
      <c r="I189" s="84" t="s">
        <v>779</v>
      </c>
      <c r="J189" s="89" t="s">
        <v>225</v>
      </c>
      <c r="K189" s="84">
        <v>253</v>
      </c>
      <c r="L189" s="92">
        <v>1518</v>
      </c>
      <c r="M189" s="90">
        <v>42876</v>
      </c>
      <c r="N189" s="90">
        <v>42914</v>
      </c>
      <c r="O189" s="90" t="str">
        <f>IF( Tabla1[[#This Row],[Fecha de entrega real]]="","NO CONCRETADO",IF(N189&lt;=M189,"CUMPLIÓ","NO CUMPLIÓ"))</f>
        <v>NO CUMPLIÓ</v>
      </c>
      <c r="P189" s="99">
        <f t="shared" si="4"/>
        <v>38</v>
      </c>
      <c r="Q189" s="4" t="s">
        <v>13</v>
      </c>
      <c r="R189" s="4" t="s">
        <v>33</v>
      </c>
      <c r="S189" s="4" t="s">
        <v>334</v>
      </c>
      <c r="T189" s="1" t="s">
        <v>992</v>
      </c>
      <c r="U189" s="107" t="s">
        <v>993</v>
      </c>
      <c r="V189" s="84"/>
      <c r="W189" s="84"/>
      <c r="X189" s="84">
        <f>MONTH(Tabla1[[#This Row],[fecha
de
pedido]])</f>
        <v>5</v>
      </c>
      <c r="Y189" s="84">
        <f>YEAR(Tabla1[[#This Row],[fecha
de
pedido]])</f>
        <v>2017</v>
      </c>
    </row>
    <row r="190" spans="1:25" ht="38.25" customHeight="1" x14ac:dyDescent="0.2">
      <c r="A190" s="155">
        <v>42886</v>
      </c>
      <c r="B190" s="118" t="s">
        <v>487</v>
      </c>
      <c r="C190" s="124" t="s">
        <v>30</v>
      </c>
      <c r="D190" s="94" t="s">
        <v>33</v>
      </c>
      <c r="E190" s="95" t="s">
        <v>424</v>
      </c>
      <c r="F190" s="94" t="s">
        <v>772</v>
      </c>
      <c r="G190" s="95" t="s">
        <v>786</v>
      </c>
      <c r="H190" s="98">
        <v>3</v>
      </c>
      <c r="I190" s="94" t="s">
        <v>781</v>
      </c>
      <c r="J190" s="95" t="s">
        <v>787</v>
      </c>
      <c r="K190" s="96">
        <v>1523.33</v>
      </c>
      <c r="L190" s="96">
        <v>4569.99</v>
      </c>
      <c r="M190" s="93">
        <v>42894</v>
      </c>
      <c r="N190" s="93">
        <v>42898</v>
      </c>
      <c r="O190" s="93" t="str">
        <f>IF( Tabla1[[#This Row],[Fecha de entrega real]]="","NO CONCRETADO",IF(N190&lt;=M190,"CUMPLIÓ","NO CUMPLIÓ"))</f>
        <v>NO CUMPLIÓ</v>
      </c>
      <c r="P190" s="141">
        <f t="shared" si="4"/>
        <v>4</v>
      </c>
      <c r="Q190" s="124" t="s">
        <v>831</v>
      </c>
      <c r="R190" s="124" t="s">
        <v>33</v>
      </c>
      <c r="S190" s="124" t="s">
        <v>334</v>
      </c>
      <c r="T190" s="97" t="s">
        <v>859</v>
      </c>
      <c r="U190" s="128" t="s">
        <v>863</v>
      </c>
      <c r="V190" s="94"/>
      <c r="W190" s="94"/>
      <c r="X190" s="94">
        <f>MONTH(Tabla1[[#This Row],[fecha
de
pedido]])</f>
        <v>5</v>
      </c>
      <c r="Y190" s="94">
        <f>YEAR(Tabla1[[#This Row],[fecha
de
pedido]])</f>
        <v>2017</v>
      </c>
    </row>
    <row r="191" spans="1:25" ht="25.5" customHeight="1" x14ac:dyDescent="0.2">
      <c r="A191" s="153" t="s">
        <v>836</v>
      </c>
      <c r="B191" s="118" t="s">
        <v>487</v>
      </c>
      <c r="C191" s="124" t="s">
        <v>487</v>
      </c>
      <c r="D191" s="97" t="s">
        <v>487</v>
      </c>
      <c r="E191" s="124" t="s">
        <v>487</v>
      </c>
      <c r="F191" s="97" t="s">
        <v>830</v>
      </c>
      <c r="G191" s="4" t="s">
        <v>862</v>
      </c>
      <c r="H191" s="126">
        <v>1</v>
      </c>
      <c r="I191" s="97" t="s">
        <v>830</v>
      </c>
      <c r="J191" s="124" t="s">
        <v>837</v>
      </c>
      <c r="K191" s="127">
        <v>1476.33</v>
      </c>
      <c r="L191" s="127">
        <v>1476.33</v>
      </c>
      <c r="M191" s="125" t="s">
        <v>487</v>
      </c>
      <c r="N191" s="125">
        <v>42898</v>
      </c>
      <c r="O191" s="125" t="str">
        <f>IF( Tabla1[[#This Row],[Fecha de entrega real]]="","NO CONCRETADO",IF(N191&lt;=M191,"CUMPLIÓ","NO CUMPLIÓ"))</f>
        <v>CUMPLIÓ</v>
      </c>
      <c r="Q191" s="124" t="s">
        <v>831</v>
      </c>
      <c r="R191" s="124" t="s">
        <v>33</v>
      </c>
      <c r="S191" s="124" t="s">
        <v>860</v>
      </c>
      <c r="T191" s="97"/>
      <c r="U191" s="128" t="s">
        <v>861</v>
      </c>
      <c r="V191" s="97"/>
      <c r="W191" s="97"/>
      <c r="X191" s="97" t="e">
        <f>MONTH(Tabla1[[#This Row],[fecha
de
pedido]])</f>
        <v>#VALUE!</v>
      </c>
      <c r="Y191" s="97" t="e">
        <f>YEAR(Tabla1[[#This Row],[fecha
de
pedido]])</f>
        <v>#VALUE!</v>
      </c>
    </row>
    <row r="192" spans="1:25" ht="25.5" customHeight="1" x14ac:dyDescent="0.2">
      <c r="A192" s="154">
        <v>42886</v>
      </c>
      <c r="B192" s="118" t="s">
        <v>487</v>
      </c>
      <c r="C192" s="4" t="s">
        <v>825</v>
      </c>
      <c r="D192" s="104" t="s">
        <v>33</v>
      </c>
      <c r="E192" s="105" t="s">
        <v>11</v>
      </c>
      <c r="F192" s="104" t="s">
        <v>778</v>
      </c>
      <c r="G192" s="105" t="s">
        <v>826</v>
      </c>
      <c r="H192" s="104">
        <v>3</v>
      </c>
      <c r="I192" s="104" t="s">
        <v>779</v>
      </c>
      <c r="J192" s="105" t="s">
        <v>15</v>
      </c>
      <c r="K192" s="104">
        <v>210</v>
      </c>
      <c r="L192" s="104">
        <f>Tabla1[[#This Row],[Costo Unitario]]*3</f>
        <v>630</v>
      </c>
      <c r="M192" s="106">
        <v>42894</v>
      </c>
      <c r="N192" s="106">
        <v>42907</v>
      </c>
      <c r="O192" s="106" t="str">
        <f>IF( Tabla1[[#This Row],[Fecha de entrega real]]="","NO CONCRETADO",IF(N192&lt;=M192,"CUMPLIÓ","NO CUMPLIÓ"))</f>
        <v>NO CUMPLIÓ</v>
      </c>
      <c r="P192" s="141">
        <f t="shared" si="4"/>
        <v>13</v>
      </c>
      <c r="Q192" s="105" t="s">
        <v>13</v>
      </c>
      <c r="R192" s="105" t="s">
        <v>390</v>
      </c>
      <c r="S192" s="4" t="s">
        <v>963</v>
      </c>
      <c r="T192" s="4" t="s">
        <v>964</v>
      </c>
      <c r="U192" s="148" t="s">
        <v>965</v>
      </c>
      <c r="V192" s="104"/>
      <c r="W192" s="104"/>
      <c r="X192" s="104">
        <f>MONTH(Tabla1[[#This Row],[fecha
de
pedido]])</f>
        <v>5</v>
      </c>
      <c r="Y192" s="104">
        <f>YEAR(Tabla1[[#This Row],[fecha
de
pedido]])</f>
        <v>2017</v>
      </c>
    </row>
    <row r="193" spans="1:25" ht="25.5" customHeight="1" x14ac:dyDescent="0.2">
      <c r="A193" s="161">
        <v>42886</v>
      </c>
      <c r="B193" s="118" t="s">
        <v>487</v>
      </c>
      <c r="C193" s="162" t="s">
        <v>849</v>
      </c>
      <c r="D193" s="163" t="s">
        <v>809</v>
      </c>
      <c r="E193" s="162" t="s">
        <v>11</v>
      </c>
      <c r="F193" s="163" t="s">
        <v>830</v>
      </c>
      <c r="G193" s="162" t="s">
        <v>1011</v>
      </c>
      <c r="H193" s="163">
        <v>14</v>
      </c>
      <c r="I193" s="163" t="s">
        <v>800</v>
      </c>
      <c r="J193" s="162" t="s">
        <v>1010</v>
      </c>
      <c r="K193" s="163">
        <v>255</v>
      </c>
      <c r="L193" s="163">
        <f>Tabla1[[#This Row],[Costo Unitario]]*Tabla1[[#This Row],[cantidad]]</f>
        <v>3570</v>
      </c>
      <c r="M193" s="164">
        <v>42914</v>
      </c>
      <c r="N193" s="164">
        <v>42914</v>
      </c>
      <c r="O193" s="164" t="str">
        <f>IF( Tabla1[[#This Row],[Fecha de entrega real]]="","NO CONCRETADO",IF(N193&lt;=M193,"CUMPLIÓ","NO CUMPLIÓ"))</f>
        <v>CUMPLIÓ</v>
      </c>
      <c r="P193" s="141">
        <f t="shared" si="4"/>
        <v>0</v>
      </c>
      <c r="Q193" s="162" t="s">
        <v>838</v>
      </c>
      <c r="R193" s="162" t="s">
        <v>809</v>
      </c>
      <c r="S193" s="162" t="s">
        <v>334</v>
      </c>
      <c r="T193" s="162"/>
      <c r="U193" s="167" t="s">
        <v>1012</v>
      </c>
      <c r="V193" s="163"/>
      <c r="W193" s="163"/>
      <c r="X193" s="163">
        <f>MONTH(Tabla1[[#This Row],[fecha
de
pedido]])</f>
        <v>5</v>
      </c>
      <c r="Y193" s="163">
        <f>YEAR(Tabla1[[#This Row],[fecha
de
pedido]])</f>
        <v>2017</v>
      </c>
    </row>
    <row r="194" spans="1:25" ht="12.75" customHeight="1" x14ac:dyDescent="0.2">
      <c r="A194" s="194">
        <v>42887</v>
      </c>
      <c r="B194" s="118" t="s">
        <v>487</v>
      </c>
      <c r="C194" s="66"/>
      <c r="D194" s="64"/>
      <c r="E194" s="66"/>
      <c r="F194" s="64"/>
      <c r="G194" s="66"/>
      <c r="H194" s="64"/>
      <c r="I194" s="64"/>
      <c r="J194" s="66"/>
      <c r="K194" s="64"/>
      <c r="L194" s="64"/>
      <c r="M194" s="64"/>
      <c r="N194" s="64"/>
      <c r="O194" s="87" t="str">
        <f>IF( Tabla1[[#This Row],[Fecha de entrega real]]="","NO CONCRETADO",IF(N194&lt;=M194,"CUMPLIÓ","NO CUMPLIÓ"))</f>
        <v>NO CONCRETADO</v>
      </c>
      <c r="P194" s="140"/>
      <c r="Q194" s="66"/>
      <c r="R194" s="66"/>
      <c r="S194" s="66"/>
      <c r="T194" s="64"/>
      <c r="U194" s="122"/>
      <c r="V194" s="64"/>
      <c r="W194" s="64"/>
      <c r="X194" s="85">
        <f>MONTH(Tabla1[[#This Row],[fecha
de
pedido]])</f>
        <v>6</v>
      </c>
      <c r="Y194" s="85">
        <f>YEAR(Tabla1[[#This Row],[fecha
de
pedido]])</f>
        <v>2017</v>
      </c>
    </row>
    <row r="195" spans="1:25" s="97" customFormat="1" ht="40.5" customHeight="1" x14ac:dyDescent="0.2">
      <c r="A195" s="152">
        <v>42891</v>
      </c>
      <c r="B195" s="118" t="s">
        <v>487</v>
      </c>
      <c r="C195" s="4" t="s">
        <v>811</v>
      </c>
      <c r="D195" s="4" t="s">
        <v>815</v>
      </c>
      <c r="E195" s="4" t="s">
        <v>11</v>
      </c>
      <c r="F195" s="1" t="s">
        <v>814</v>
      </c>
      <c r="G195" s="4" t="s">
        <v>813</v>
      </c>
      <c r="H195" s="1">
        <v>3</v>
      </c>
      <c r="I195" s="1" t="s">
        <v>812</v>
      </c>
      <c r="J195" s="4" t="s">
        <v>81</v>
      </c>
      <c r="K195" s="1" t="s">
        <v>816</v>
      </c>
      <c r="L195" s="1">
        <v>5916.27</v>
      </c>
      <c r="M195" s="88">
        <v>42893</v>
      </c>
      <c r="N195" s="88">
        <v>42892</v>
      </c>
      <c r="O195" s="88" t="str">
        <f>IF( Tabla1[[#This Row],[Fecha de entrega real]]="","NO CONCRETADO",IF(N195&lt;=M195,"CUMPLIÓ","NO CUMPLIÓ"))</f>
        <v>CUMPLIÓ</v>
      </c>
      <c r="P195" s="141">
        <f t="shared" ref="P195:P201" si="5">IF(N195="","NO CONCRETADO",N195-M195)</f>
        <v>-1</v>
      </c>
      <c r="Q195" s="4" t="s">
        <v>13</v>
      </c>
      <c r="R195" s="4" t="s">
        <v>775</v>
      </c>
      <c r="S195" s="4" t="s">
        <v>828</v>
      </c>
      <c r="T195" s="1" t="s">
        <v>827</v>
      </c>
      <c r="U195" s="107" t="s">
        <v>853</v>
      </c>
      <c r="V195" s="1"/>
      <c r="W195" s="1"/>
      <c r="X195" s="1">
        <f>MONTH(Tabla1[[#This Row],[fecha
de
pedido]])</f>
        <v>6</v>
      </c>
      <c r="Y195" s="1">
        <f>YEAR(Tabla1[[#This Row],[fecha
de
pedido]])</f>
        <v>2017</v>
      </c>
    </row>
    <row r="196" spans="1:25" ht="40.5" customHeight="1" x14ac:dyDescent="0.2">
      <c r="A196" s="152">
        <v>42891</v>
      </c>
      <c r="B196" s="118" t="s">
        <v>487</v>
      </c>
      <c r="C196" s="4" t="s">
        <v>775</v>
      </c>
      <c r="D196" s="1" t="s">
        <v>775</v>
      </c>
      <c r="E196" s="4" t="s">
        <v>11</v>
      </c>
      <c r="G196" s="4" t="s">
        <v>680</v>
      </c>
      <c r="H196" s="1">
        <v>100</v>
      </c>
      <c r="I196" s="1" t="s">
        <v>779</v>
      </c>
      <c r="J196" s="4" t="s">
        <v>407</v>
      </c>
      <c r="K196" s="1">
        <v>4.5</v>
      </c>
      <c r="L196" s="1">
        <v>450</v>
      </c>
      <c r="M196" s="88">
        <v>42891</v>
      </c>
      <c r="N196" s="88">
        <v>42891</v>
      </c>
      <c r="O196" s="88" t="str">
        <f>IF( Tabla1[[#This Row],[Fecha de entrega real]]="","NO CONCRETADO",IF(N196&lt;=M196,"CUMPLIÓ","NO CUMPLIÓ"))</f>
        <v>CUMPLIÓ</v>
      </c>
      <c r="P196" s="99">
        <f t="shared" si="5"/>
        <v>0</v>
      </c>
      <c r="Q196" s="4" t="s">
        <v>13</v>
      </c>
      <c r="R196" s="4" t="s">
        <v>33</v>
      </c>
      <c r="S196" s="4" t="s">
        <v>244</v>
      </c>
      <c r="T196" s="1" t="s">
        <v>1973</v>
      </c>
      <c r="U196" s="107" t="s">
        <v>820</v>
      </c>
      <c r="X196" s="1">
        <f>MONTH(Tabla1[[#This Row],[fecha
de
pedido]])</f>
        <v>6</v>
      </c>
      <c r="Y196" s="1">
        <f>YEAR(Tabla1[[#This Row],[fecha
de
pedido]])</f>
        <v>2017</v>
      </c>
    </row>
    <row r="197" spans="1:25" ht="76.5" customHeight="1" x14ac:dyDescent="0.2">
      <c r="A197" s="152">
        <v>42893</v>
      </c>
      <c r="B197" s="118" t="s">
        <v>487</v>
      </c>
      <c r="C197" s="4" t="s">
        <v>232</v>
      </c>
      <c r="D197" s="1" t="s">
        <v>232</v>
      </c>
      <c r="E197" s="4" t="s">
        <v>11</v>
      </c>
      <c r="F197" s="1" t="s">
        <v>772</v>
      </c>
      <c r="G197" s="4" t="s">
        <v>875</v>
      </c>
      <c r="H197" s="1">
        <v>1</v>
      </c>
      <c r="I197" s="1" t="s">
        <v>817</v>
      </c>
      <c r="J197" s="4" t="s">
        <v>829</v>
      </c>
      <c r="K197" s="1">
        <v>10610.09</v>
      </c>
      <c r="L197" s="1">
        <v>10610.09</v>
      </c>
      <c r="M197" s="88">
        <v>42898</v>
      </c>
      <c r="N197" s="88">
        <v>42900</v>
      </c>
      <c r="O197" s="88" t="str">
        <f>IF( Tabla1[[#This Row],[Fecha de entrega real]]="","NO CONCRETADO",IF(N197&lt;=M197,"CUMPLIÓ","NO CUMPLIÓ"))</f>
        <v>NO CUMPLIÓ</v>
      </c>
      <c r="P197" s="141">
        <f t="shared" si="5"/>
        <v>2</v>
      </c>
      <c r="Q197" s="4" t="s">
        <v>829</v>
      </c>
      <c r="R197" s="4" t="s">
        <v>232</v>
      </c>
      <c r="S197" s="4" t="s">
        <v>244</v>
      </c>
      <c r="T197" s="1" t="s">
        <v>1973</v>
      </c>
      <c r="U197" s="107" t="s">
        <v>1051</v>
      </c>
      <c r="X197" s="1">
        <f>MONTH(Tabla1[[#This Row],[fecha
de
pedido]])</f>
        <v>6</v>
      </c>
      <c r="Y197" s="1">
        <f>YEAR(Tabla1[[#This Row],[fecha
de
pedido]])</f>
        <v>2017</v>
      </c>
    </row>
    <row r="198" spans="1:25" ht="25.5" customHeight="1" x14ac:dyDescent="0.2">
      <c r="A198" s="156">
        <v>42893</v>
      </c>
      <c r="B198" s="118" t="s">
        <v>487</v>
      </c>
      <c r="C198" s="4" t="s">
        <v>845</v>
      </c>
      <c r="D198" s="111" t="s">
        <v>232</v>
      </c>
      <c r="E198" s="110" t="s">
        <v>11</v>
      </c>
      <c r="F198" s="111" t="s">
        <v>852</v>
      </c>
      <c r="G198" s="110" t="s">
        <v>846</v>
      </c>
      <c r="H198" s="111">
        <v>1</v>
      </c>
      <c r="I198" s="111" t="s">
        <v>847</v>
      </c>
      <c r="J198" s="110" t="s">
        <v>848</v>
      </c>
      <c r="K198" s="111">
        <v>390</v>
      </c>
      <c r="L198" s="111">
        <v>390</v>
      </c>
      <c r="M198" s="113">
        <v>42893</v>
      </c>
      <c r="N198" s="113">
        <v>42893</v>
      </c>
      <c r="O198" s="113" t="str">
        <f>IF( Tabla1[[#This Row],[Fecha de entrega real]]="","NO CONCRETADO",IF(N198&lt;=M198,"CUMPLIÓ","NO CUMPLIÓ"))</f>
        <v>CUMPLIÓ</v>
      </c>
      <c r="P198" s="141">
        <f t="shared" si="5"/>
        <v>0</v>
      </c>
      <c r="Q198" s="110" t="s">
        <v>849</v>
      </c>
      <c r="R198" s="110" t="s">
        <v>232</v>
      </c>
      <c r="S198" s="110" t="s">
        <v>850</v>
      </c>
      <c r="T198" s="1" t="s">
        <v>1973</v>
      </c>
      <c r="U198" s="121" t="s">
        <v>851</v>
      </c>
      <c r="V198" s="111"/>
      <c r="W198" s="111"/>
      <c r="X198" s="111">
        <f>MONTH(Tabla1[[#This Row],[fecha
de
pedido]])</f>
        <v>6</v>
      </c>
      <c r="Y198" s="111">
        <f>YEAR(Tabla1[[#This Row],[fecha
de
pedido]])</f>
        <v>2017</v>
      </c>
    </row>
    <row r="199" spans="1:25" ht="12.75" customHeight="1" x14ac:dyDescent="0.2">
      <c r="A199" s="156">
        <v>42894</v>
      </c>
      <c r="B199" s="118" t="s">
        <v>487</v>
      </c>
      <c r="C199" s="4" t="s">
        <v>232</v>
      </c>
      <c r="D199" s="111" t="s">
        <v>232</v>
      </c>
      <c r="E199" s="110" t="s">
        <v>11</v>
      </c>
      <c r="F199" s="111" t="s">
        <v>830</v>
      </c>
      <c r="G199" s="110" t="s">
        <v>868</v>
      </c>
      <c r="H199" s="111">
        <v>1</v>
      </c>
      <c r="I199" s="1" t="s">
        <v>830</v>
      </c>
      <c r="J199" s="4" t="s">
        <v>872</v>
      </c>
      <c r="K199" s="111">
        <v>1400</v>
      </c>
      <c r="L199" s="111">
        <v>1400</v>
      </c>
      <c r="M199" s="113">
        <v>42887</v>
      </c>
      <c r="N199" s="113">
        <v>42887</v>
      </c>
      <c r="O199" s="113" t="str">
        <f>IF( Tabla1[[#This Row],[Fecha de entrega real]]="","NO CONCRETADO",IF(N199&lt;=M199,"CUMPLIÓ","NO CUMPLIÓ"))</f>
        <v>CUMPLIÓ</v>
      </c>
      <c r="P199" s="141">
        <f t="shared" si="5"/>
        <v>0</v>
      </c>
      <c r="Q199" s="4" t="s">
        <v>656</v>
      </c>
      <c r="R199" s="4" t="s">
        <v>232</v>
      </c>
      <c r="S199" s="4" t="s">
        <v>871</v>
      </c>
      <c r="T199" s="1" t="s">
        <v>1973</v>
      </c>
      <c r="U199" s="107" t="s">
        <v>873</v>
      </c>
      <c r="V199" s="111"/>
      <c r="W199" s="111"/>
      <c r="X199" s="111">
        <f>MONTH(Tabla1[[#This Row],[fecha
de
pedido]])</f>
        <v>6</v>
      </c>
      <c r="Y199" s="111">
        <f>YEAR(Tabla1[[#This Row],[fecha
de
pedido]])</f>
        <v>2017</v>
      </c>
    </row>
    <row r="200" spans="1:25" ht="12.75" customHeight="1" x14ac:dyDescent="0.2">
      <c r="A200" s="156">
        <v>42894</v>
      </c>
      <c r="B200" s="118" t="s">
        <v>487</v>
      </c>
      <c r="C200" s="4" t="s">
        <v>232</v>
      </c>
      <c r="D200" s="111" t="s">
        <v>232</v>
      </c>
      <c r="E200" s="110" t="s">
        <v>11</v>
      </c>
      <c r="F200" s="111" t="s">
        <v>830</v>
      </c>
      <c r="G200" s="110" t="s">
        <v>870</v>
      </c>
      <c r="H200" s="111">
        <v>1</v>
      </c>
      <c r="I200" s="1" t="s">
        <v>830</v>
      </c>
      <c r="J200" s="4" t="s">
        <v>872</v>
      </c>
      <c r="K200" s="111">
        <v>2800</v>
      </c>
      <c r="L200" s="111">
        <v>2800</v>
      </c>
      <c r="M200" s="113">
        <v>42887</v>
      </c>
      <c r="N200" s="113">
        <v>42887</v>
      </c>
      <c r="O200" s="113" t="str">
        <f>IF( Tabla1[[#This Row],[Fecha de entrega real]]="","NO CONCRETADO",IF(N200&lt;=M200,"CUMPLIÓ","NO CUMPLIÓ"))</f>
        <v>CUMPLIÓ</v>
      </c>
      <c r="P200" s="141">
        <f t="shared" si="5"/>
        <v>0</v>
      </c>
      <c r="Q200" s="4" t="s">
        <v>656</v>
      </c>
      <c r="R200" s="4" t="s">
        <v>232</v>
      </c>
      <c r="S200" s="4" t="s">
        <v>871</v>
      </c>
      <c r="T200" s="1" t="s">
        <v>1973</v>
      </c>
      <c r="U200" s="107" t="s">
        <v>874</v>
      </c>
      <c r="V200" s="111"/>
      <c r="W200" s="111"/>
      <c r="X200" s="111">
        <f>MONTH(Tabla1[[#This Row],[fecha
de
pedido]])</f>
        <v>6</v>
      </c>
      <c r="Y200" s="111">
        <f>YEAR(Tabla1[[#This Row],[fecha
de
pedido]])</f>
        <v>2017</v>
      </c>
    </row>
    <row r="201" spans="1:25" ht="25.5" customHeight="1" x14ac:dyDescent="0.2">
      <c r="A201" s="156">
        <v>42894</v>
      </c>
      <c r="B201" s="118" t="s">
        <v>487</v>
      </c>
      <c r="C201" s="4" t="s">
        <v>232</v>
      </c>
      <c r="D201" s="111" t="s">
        <v>232</v>
      </c>
      <c r="E201" s="110" t="s">
        <v>11</v>
      </c>
      <c r="F201" s="111" t="s">
        <v>830</v>
      </c>
      <c r="G201" s="110" t="s">
        <v>866</v>
      </c>
      <c r="H201" s="111">
        <v>1</v>
      </c>
      <c r="I201" s="1" t="s">
        <v>830</v>
      </c>
      <c r="J201" s="4" t="s">
        <v>872</v>
      </c>
      <c r="K201" s="111">
        <v>2700</v>
      </c>
      <c r="L201" s="111">
        <v>2700</v>
      </c>
      <c r="M201" s="113">
        <v>42887</v>
      </c>
      <c r="N201" s="113">
        <v>42887</v>
      </c>
      <c r="O201" s="113" t="str">
        <f>IF( Tabla1[[#This Row],[Fecha de entrega real]]="","NO CONCRETADO",IF(N201&lt;=M201,"CUMPLIÓ","NO CUMPLIÓ"))</f>
        <v>CUMPLIÓ</v>
      </c>
      <c r="P201" s="99">
        <f t="shared" si="5"/>
        <v>0</v>
      </c>
      <c r="Q201" s="4" t="s">
        <v>656</v>
      </c>
      <c r="R201" s="4" t="s">
        <v>232</v>
      </c>
      <c r="S201" s="4" t="s">
        <v>871</v>
      </c>
      <c r="T201" s="1" t="s">
        <v>1973</v>
      </c>
      <c r="U201" s="107" t="s">
        <v>874</v>
      </c>
      <c r="V201" s="111"/>
      <c r="W201" s="111"/>
      <c r="X201" s="111">
        <f>MONTH(Tabla1[[#This Row],[fecha
de
pedido]])</f>
        <v>6</v>
      </c>
      <c r="Y201" s="111">
        <f>YEAR(Tabla1[[#This Row],[fecha
de
pedido]])</f>
        <v>2017</v>
      </c>
    </row>
    <row r="202" spans="1:25" ht="12.75" customHeight="1" x14ac:dyDescent="0.2">
      <c r="A202" s="156">
        <v>42894</v>
      </c>
      <c r="B202" s="118" t="s">
        <v>487</v>
      </c>
      <c r="C202" s="4" t="s">
        <v>232</v>
      </c>
      <c r="D202" s="111" t="s">
        <v>232</v>
      </c>
      <c r="E202" s="110" t="s">
        <v>11</v>
      </c>
      <c r="F202" s="111" t="s">
        <v>830</v>
      </c>
      <c r="G202" s="110" t="s">
        <v>869</v>
      </c>
      <c r="H202" s="111">
        <v>1</v>
      </c>
      <c r="I202" s="111" t="s">
        <v>830</v>
      </c>
      <c r="J202" s="4" t="s">
        <v>872</v>
      </c>
      <c r="K202" s="111">
        <v>1250</v>
      </c>
      <c r="L202" s="111">
        <v>1250</v>
      </c>
      <c r="M202" s="113">
        <v>42887</v>
      </c>
      <c r="N202" s="113">
        <v>42887</v>
      </c>
      <c r="O202" s="113" t="str">
        <f>IF( Tabla1[[#This Row],[Fecha de entrega real]]="","NO CONCRETADO",IF(N202&lt;=M202,"CUMPLIÓ","NO CUMPLIÓ"))</f>
        <v>CUMPLIÓ</v>
      </c>
      <c r="Q202" s="4" t="s">
        <v>656</v>
      </c>
      <c r="R202" s="4" t="s">
        <v>232</v>
      </c>
      <c r="S202" s="4" t="s">
        <v>871</v>
      </c>
      <c r="T202" s="1" t="s">
        <v>1973</v>
      </c>
      <c r="U202" s="107" t="s">
        <v>873</v>
      </c>
      <c r="V202" s="111"/>
      <c r="W202" s="111"/>
      <c r="X202" s="111">
        <f>MONTH(Tabla1[[#This Row],[fecha
de
pedido]])</f>
        <v>6</v>
      </c>
      <c r="Y202" s="111">
        <f>YEAR(Tabla1[[#This Row],[fecha
de
pedido]])</f>
        <v>2017</v>
      </c>
    </row>
    <row r="203" spans="1:25" ht="12.75" customHeight="1" x14ac:dyDescent="0.2">
      <c r="A203" s="156">
        <v>42894</v>
      </c>
      <c r="B203" s="118" t="s">
        <v>487</v>
      </c>
      <c r="C203" s="4" t="s">
        <v>232</v>
      </c>
      <c r="D203" s="111" t="s">
        <v>232</v>
      </c>
      <c r="E203" s="110" t="s">
        <v>11</v>
      </c>
      <c r="F203" s="111" t="s">
        <v>830</v>
      </c>
      <c r="G203" s="110" t="s">
        <v>867</v>
      </c>
      <c r="H203" s="111">
        <v>1</v>
      </c>
      <c r="I203" s="1" t="s">
        <v>830</v>
      </c>
      <c r="J203" s="4" t="s">
        <v>872</v>
      </c>
      <c r="K203" s="111">
        <v>12000</v>
      </c>
      <c r="L203" s="111">
        <v>12000</v>
      </c>
      <c r="M203" s="113">
        <v>42887</v>
      </c>
      <c r="N203" s="113">
        <v>42887</v>
      </c>
      <c r="O203" s="113" t="str">
        <f>IF( Tabla1[[#This Row],[Fecha de entrega real]]="","NO CONCRETADO",IF(N203&lt;=M203,"CUMPLIÓ","NO CUMPLIÓ"))</f>
        <v>CUMPLIÓ</v>
      </c>
      <c r="P203" s="141">
        <f>IF(N203="","NO CONCRETADO",N203-M203)</f>
        <v>0</v>
      </c>
      <c r="Q203" s="4" t="s">
        <v>656</v>
      </c>
      <c r="R203" s="4" t="s">
        <v>232</v>
      </c>
      <c r="S203" s="4" t="s">
        <v>871</v>
      </c>
      <c r="T203" s="1" t="s">
        <v>1973</v>
      </c>
      <c r="U203" s="107" t="s">
        <v>873</v>
      </c>
      <c r="V203" s="111"/>
      <c r="W203" s="111"/>
      <c r="X203" s="111">
        <f>MONTH(Tabla1[[#This Row],[fecha
de
pedido]])</f>
        <v>6</v>
      </c>
      <c r="Y203" s="111">
        <f>YEAR(Tabla1[[#This Row],[fecha
de
pedido]])</f>
        <v>2017</v>
      </c>
    </row>
    <row r="204" spans="1:25" ht="12.75" customHeight="1" x14ac:dyDescent="0.2">
      <c r="A204" s="156">
        <v>42894</v>
      </c>
      <c r="B204" s="118" t="s">
        <v>487</v>
      </c>
      <c r="C204" s="4" t="s">
        <v>232</v>
      </c>
      <c r="D204" s="111" t="s">
        <v>232</v>
      </c>
      <c r="E204" s="110" t="s">
        <v>11</v>
      </c>
      <c r="F204" s="111" t="s">
        <v>830</v>
      </c>
      <c r="G204" s="110" t="s">
        <v>864</v>
      </c>
      <c r="H204" s="111">
        <v>1</v>
      </c>
      <c r="I204" s="1" t="s">
        <v>830</v>
      </c>
      <c r="J204" s="4" t="s">
        <v>872</v>
      </c>
      <c r="K204" s="111">
        <v>12000</v>
      </c>
      <c r="L204" s="111">
        <v>12000</v>
      </c>
      <c r="M204" s="113">
        <v>42887</v>
      </c>
      <c r="N204" s="113">
        <v>42887</v>
      </c>
      <c r="O204" s="113" t="str">
        <f>IF( Tabla1[[#This Row],[Fecha de entrega real]]="","NO CONCRETADO",IF(N204&lt;=M204,"CUMPLIÓ","NO CUMPLIÓ"))</f>
        <v>CUMPLIÓ</v>
      </c>
      <c r="Q204" s="4" t="s">
        <v>656</v>
      </c>
      <c r="R204" s="4" t="s">
        <v>232</v>
      </c>
      <c r="S204" s="4" t="s">
        <v>871</v>
      </c>
      <c r="T204" s="1" t="s">
        <v>1973</v>
      </c>
      <c r="U204" s="107" t="s">
        <v>874</v>
      </c>
      <c r="V204" s="111"/>
      <c r="W204" s="111"/>
      <c r="X204" s="111">
        <f>MONTH(Tabla1[[#This Row],[fecha
de
pedido]])</f>
        <v>6</v>
      </c>
      <c r="Y204" s="111">
        <f>YEAR(Tabla1[[#This Row],[fecha
de
pedido]])</f>
        <v>2017</v>
      </c>
    </row>
    <row r="205" spans="1:25" ht="12.75" customHeight="1" x14ac:dyDescent="0.2">
      <c r="A205" s="156">
        <v>42894</v>
      </c>
      <c r="B205" s="118" t="s">
        <v>487</v>
      </c>
      <c r="C205" s="4" t="s">
        <v>232</v>
      </c>
      <c r="D205" s="111" t="s">
        <v>232</v>
      </c>
      <c r="E205" s="110" t="s">
        <v>11</v>
      </c>
      <c r="F205" s="111" t="s">
        <v>830</v>
      </c>
      <c r="G205" s="110" t="s">
        <v>865</v>
      </c>
      <c r="H205" s="111">
        <v>1</v>
      </c>
      <c r="I205" s="1" t="s">
        <v>830</v>
      </c>
      <c r="J205" s="4" t="s">
        <v>872</v>
      </c>
      <c r="K205" s="111">
        <v>2700</v>
      </c>
      <c r="L205" s="111">
        <v>2700</v>
      </c>
      <c r="M205" s="113">
        <v>42887</v>
      </c>
      <c r="N205" s="113">
        <v>42887</v>
      </c>
      <c r="O205" s="113" t="str">
        <f>IF( Tabla1[[#This Row],[Fecha de entrega real]]="","NO CONCRETADO",IF(N205&lt;=M205,"CUMPLIÓ","NO CUMPLIÓ"))</f>
        <v>CUMPLIÓ</v>
      </c>
      <c r="P205" s="141">
        <f t="shared" ref="P205:P237" si="6">IF(N205="","NO CONCRETADO",N205-M205)</f>
        <v>0</v>
      </c>
      <c r="Q205" s="4" t="s">
        <v>656</v>
      </c>
      <c r="R205" s="4" t="s">
        <v>232</v>
      </c>
      <c r="S205" s="4" t="s">
        <v>871</v>
      </c>
      <c r="T205" s="1" t="s">
        <v>1973</v>
      </c>
      <c r="U205" s="107" t="s">
        <v>873</v>
      </c>
      <c r="V205" s="111"/>
      <c r="W205" s="111"/>
      <c r="X205" s="111">
        <f>MONTH(Tabla1[[#This Row],[fecha
de
pedido]])</f>
        <v>6</v>
      </c>
      <c r="Y205" s="111">
        <f>YEAR(Tabla1[[#This Row],[fecha
de
pedido]])</f>
        <v>2017</v>
      </c>
    </row>
    <row r="206" spans="1:25" ht="38.25" customHeight="1" x14ac:dyDescent="0.2">
      <c r="A206" s="157">
        <v>42895</v>
      </c>
      <c r="B206" s="118" t="s">
        <v>487</v>
      </c>
      <c r="C206" s="4" t="s">
        <v>935</v>
      </c>
      <c r="D206" s="1" t="s">
        <v>11</v>
      </c>
      <c r="E206" s="134" t="s">
        <v>11</v>
      </c>
      <c r="F206" s="133" t="s">
        <v>772</v>
      </c>
      <c r="G206" s="145" t="s">
        <v>947</v>
      </c>
      <c r="H206" s="146">
        <v>1</v>
      </c>
      <c r="I206" s="146" t="s">
        <v>799</v>
      </c>
      <c r="J206" s="4" t="s">
        <v>936</v>
      </c>
      <c r="K206" s="147">
        <v>40.075000000000003</v>
      </c>
      <c r="L206" s="147">
        <f>Tabla1[[#This Row],[Costo Unitario]]*Tabla1[[#This Row],[cantidad]]</f>
        <v>40.075000000000003</v>
      </c>
      <c r="M206" s="132">
        <v>42895</v>
      </c>
      <c r="N206" s="132">
        <v>42895</v>
      </c>
      <c r="O206" s="144" t="str">
        <f>IF( Tabla1[[#This Row],[Fecha de entrega real]]="","NO CONCRETADO",IF(N206&lt;=M206,"CUMPLIÓ","NO CUMPLIÓ"))</f>
        <v>CUMPLIÓ</v>
      </c>
      <c r="P206" s="141">
        <f t="shared" si="6"/>
        <v>0</v>
      </c>
      <c r="Q206" s="4" t="s">
        <v>917</v>
      </c>
      <c r="R206" s="4" t="s">
        <v>955</v>
      </c>
      <c r="S206" s="4" t="s">
        <v>244</v>
      </c>
      <c r="T206" s="1" t="s">
        <v>1973</v>
      </c>
      <c r="U206" s="107" t="s">
        <v>956</v>
      </c>
      <c r="V206" s="146"/>
      <c r="W206" s="146"/>
      <c r="X206" s="146">
        <f>MONTH(Tabla1[[#This Row],[fecha
de
pedido]])</f>
        <v>6</v>
      </c>
      <c r="Y206" s="146">
        <f>YEAR(Tabla1[[#This Row],[fecha
de
pedido]])</f>
        <v>2017</v>
      </c>
    </row>
    <row r="207" spans="1:25" ht="38.25" customHeight="1" x14ac:dyDescent="0.2">
      <c r="A207" s="157">
        <v>42895</v>
      </c>
      <c r="B207" s="118" t="s">
        <v>487</v>
      </c>
      <c r="C207" s="4" t="s">
        <v>935</v>
      </c>
      <c r="D207" s="1" t="s">
        <v>11</v>
      </c>
      <c r="E207" s="134" t="s">
        <v>11</v>
      </c>
      <c r="F207" s="133" t="s">
        <v>772</v>
      </c>
      <c r="G207" s="145" t="s">
        <v>953</v>
      </c>
      <c r="H207" s="146">
        <v>1</v>
      </c>
      <c r="I207" s="146" t="s">
        <v>800</v>
      </c>
      <c r="J207" s="4" t="s">
        <v>936</v>
      </c>
      <c r="K207" s="147">
        <v>872.43399999999997</v>
      </c>
      <c r="L207" s="147">
        <f>Tabla1[[#This Row],[Costo Unitario]]*Tabla1[[#This Row],[cantidad]]</f>
        <v>872.43399999999997</v>
      </c>
      <c r="M207" s="132">
        <v>42895</v>
      </c>
      <c r="N207" s="132">
        <v>42895</v>
      </c>
      <c r="O207" s="144" t="str">
        <f>IF( Tabla1[[#This Row],[Fecha de entrega real]]="","NO CONCRETADO",IF(N207&lt;=M207,"CUMPLIÓ","NO CUMPLIÓ"))</f>
        <v>CUMPLIÓ</v>
      </c>
      <c r="P207" s="99">
        <f t="shared" si="6"/>
        <v>0</v>
      </c>
      <c r="Q207" s="4" t="s">
        <v>917</v>
      </c>
      <c r="R207" s="4" t="s">
        <v>955</v>
      </c>
      <c r="S207" s="4" t="s">
        <v>244</v>
      </c>
      <c r="T207" s="1" t="s">
        <v>1973</v>
      </c>
      <c r="U207" s="107" t="s">
        <v>956</v>
      </c>
      <c r="V207" s="146"/>
      <c r="W207" s="146"/>
      <c r="X207" s="146">
        <f>MONTH(Tabla1[[#This Row],[fecha
de
pedido]])</f>
        <v>6</v>
      </c>
      <c r="Y207" s="146">
        <f>YEAR(Tabla1[[#This Row],[fecha
de
pedido]])</f>
        <v>2017</v>
      </c>
    </row>
    <row r="208" spans="1:25" ht="38.25" customHeight="1" x14ac:dyDescent="0.2">
      <c r="A208" s="157">
        <v>42895</v>
      </c>
      <c r="B208" s="118" t="s">
        <v>487</v>
      </c>
      <c r="C208" s="4" t="s">
        <v>935</v>
      </c>
      <c r="D208" s="133" t="s">
        <v>11</v>
      </c>
      <c r="E208" s="134" t="s">
        <v>11</v>
      </c>
      <c r="F208" s="133" t="s">
        <v>772</v>
      </c>
      <c r="G208" s="145" t="s">
        <v>946</v>
      </c>
      <c r="H208" s="146">
        <v>10</v>
      </c>
      <c r="I208" s="146" t="s">
        <v>800</v>
      </c>
      <c r="J208" s="4" t="s">
        <v>936</v>
      </c>
      <c r="K208" s="146">
        <v>3.86</v>
      </c>
      <c r="L208" s="146">
        <f>Tabla1[[#This Row],[Costo Unitario]]*Tabla1[[#This Row],[cantidad]]</f>
        <v>38.6</v>
      </c>
      <c r="M208" s="132">
        <v>42895</v>
      </c>
      <c r="N208" s="132">
        <v>42895</v>
      </c>
      <c r="O208" s="144" t="str">
        <f>IF( Tabla1[[#This Row],[Fecha de entrega real]]="","NO CONCRETADO",IF(N208&lt;=M208,"CUMPLIÓ","NO CUMPLIÓ"))</f>
        <v>CUMPLIÓ</v>
      </c>
      <c r="P208" s="141">
        <f t="shared" si="6"/>
        <v>0</v>
      </c>
      <c r="Q208" s="4" t="s">
        <v>917</v>
      </c>
      <c r="R208" s="4" t="s">
        <v>955</v>
      </c>
      <c r="S208" s="4" t="s">
        <v>244</v>
      </c>
      <c r="T208" s="1" t="s">
        <v>1973</v>
      </c>
      <c r="U208" s="107" t="s">
        <v>956</v>
      </c>
      <c r="V208" s="146"/>
      <c r="W208" s="146"/>
      <c r="X208" s="146">
        <f>MONTH(Tabla1[[#This Row],[fecha
de
pedido]])</f>
        <v>6</v>
      </c>
      <c r="Y208" s="146">
        <f>YEAR(Tabla1[[#This Row],[fecha
de
pedido]])</f>
        <v>2017</v>
      </c>
    </row>
    <row r="209" spans="1:25" ht="12.75" customHeight="1" x14ac:dyDescent="0.2">
      <c r="A209" s="157">
        <v>42895</v>
      </c>
      <c r="B209" s="118" t="s">
        <v>487</v>
      </c>
      <c r="C209" s="4" t="s">
        <v>845</v>
      </c>
      <c r="D209" s="133" t="s">
        <v>11</v>
      </c>
      <c r="E209" s="134" t="s">
        <v>11</v>
      </c>
      <c r="F209" s="133" t="s">
        <v>772</v>
      </c>
      <c r="G209" s="134" t="s">
        <v>881</v>
      </c>
      <c r="H209" s="133">
        <v>1</v>
      </c>
      <c r="I209" s="133" t="s">
        <v>784</v>
      </c>
      <c r="J209" s="134" t="s">
        <v>82</v>
      </c>
      <c r="K209" s="1" t="s">
        <v>922</v>
      </c>
      <c r="L209" s="1" t="s">
        <v>922</v>
      </c>
      <c r="M209" s="132">
        <v>42895</v>
      </c>
      <c r="N209" s="132">
        <v>42895</v>
      </c>
      <c r="O209" s="132" t="str">
        <f>IF( Tabla1[[#This Row],[Fecha de entrega real]]="","NO CONCRETADO",IF(N209&lt;=M209,"CUMPLIÓ","NO CUMPLIÓ"))</f>
        <v>CUMPLIÓ</v>
      </c>
      <c r="P209" s="141">
        <f t="shared" si="6"/>
        <v>0</v>
      </c>
      <c r="Q209" s="134" t="s">
        <v>886</v>
      </c>
      <c r="R209" s="134" t="s">
        <v>11</v>
      </c>
      <c r="S209" s="134" t="s">
        <v>304</v>
      </c>
      <c r="T209" s="133" t="s">
        <v>887</v>
      </c>
      <c r="U209" s="107" t="s">
        <v>1122</v>
      </c>
      <c r="V209" s="133"/>
      <c r="W209" s="133"/>
      <c r="X209" s="133">
        <f>MONTH(Tabla1[[#This Row],[fecha
de
pedido]])</f>
        <v>6</v>
      </c>
      <c r="Y209" s="133">
        <f>YEAR(Tabla1[[#This Row],[fecha
de
pedido]])</f>
        <v>2017</v>
      </c>
    </row>
    <row r="210" spans="1:25" ht="12.75" customHeight="1" x14ac:dyDescent="0.2">
      <c r="A210" s="157">
        <v>42895</v>
      </c>
      <c r="B210" s="118" t="s">
        <v>487</v>
      </c>
      <c r="C210" s="4" t="s">
        <v>845</v>
      </c>
      <c r="D210" s="133" t="s">
        <v>11</v>
      </c>
      <c r="E210" s="134" t="s">
        <v>11</v>
      </c>
      <c r="F210" s="133" t="s">
        <v>772</v>
      </c>
      <c r="G210" s="134" t="s">
        <v>884</v>
      </c>
      <c r="H210" s="133">
        <v>1</v>
      </c>
      <c r="I210" s="133" t="s">
        <v>784</v>
      </c>
      <c r="J210" s="134" t="s">
        <v>82</v>
      </c>
      <c r="K210" s="1" t="s">
        <v>922</v>
      </c>
      <c r="L210" s="1" t="s">
        <v>922</v>
      </c>
      <c r="M210" s="132">
        <v>42895</v>
      </c>
      <c r="N210" s="132">
        <v>42895</v>
      </c>
      <c r="O210" s="132" t="str">
        <f>IF( Tabla1[[#This Row],[Fecha de entrega real]]="","NO CONCRETADO",IF(N210&lt;=M210,"CUMPLIÓ","NO CUMPLIÓ"))</f>
        <v>CUMPLIÓ</v>
      </c>
      <c r="P210" s="99">
        <f t="shared" si="6"/>
        <v>0</v>
      </c>
      <c r="Q210" s="134" t="s">
        <v>886</v>
      </c>
      <c r="R210" s="134" t="s">
        <v>11</v>
      </c>
      <c r="S210" s="134" t="s">
        <v>304</v>
      </c>
      <c r="T210" s="133" t="s">
        <v>887</v>
      </c>
      <c r="U210" s="107" t="s">
        <v>1122</v>
      </c>
      <c r="V210" s="133"/>
      <c r="W210" s="133"/>
      <c r="X210" s="133">
        <f>MONTH(Tabla1[[#This Row],[fecha
de
pedido]])</f>
        <v>6</v>
      </c>
      <c r="Y210" s="133">
        <f>YEAR(Tabla1[[#This Row],[fecha
de
pedido]])</f>
        <v>2017</v>
      </c>
    </row>
    <row r="211" spans="1:25" ht="12.75" customHeight="1" x14ac:dyDescent="0.2">
      <c r="A211" s="157">
        <v>42895</v>
      </c>
      <c r="B211" s="118" t="s">
        <v>487</v>
      </c>
      <c r="C211" s="4" t="s">
        <v>845</v>
      </c>
      <c r="D211" s="133" t="s">
        <v>11</v>
      </c>
      <c r="E211" s="134" t="s">
        <v>11</v>
      </c>
      <c r="F211" s="133" t="s">
        <v>772</v>
      </c>
      <c r="G211" s="134" t="s">
        <v>880</v>
      </c>
      <c r="H211" s="133">
        <v>3</v>
      </c>
      <c r="I211" s="133" t="s">
        <v>784</v>
      </c>
      <c r="J211" s="134" t="s">
        <v>82</v>
      </c>
      <c r="K211" s="1" t="s">
        <v>922</v>
      </c>
      <c r="L211" s="1" t="s">
        <v>922</v>
      </c>
      <c r="M211" s="132">
        <v>42895</v>
      </c>
      <c r="N211" s="132">
        <v>42895</v>
      </c>
      <c r="O211" s="132" t="str">
        <f>IF( Tabla1[[#This Row],[Fecha de entrega real]]="","NO CONCRETADO",IF(N211&lt;=M211,"CUMPLIÓ","NO CUMPLIÓ"))</f>
        <v>CUMPLIÓ</v>
      </c>
      <c r="P211" s="99">
        <f t="shared" si="6"/>
        <v>0</v>
      </c>
      <c r="Q211" s="134" t="s">
        <v>886</v>
      </c>
      <c r="R211" s="134" t="s">
        <v>11</v>
      </c>
      <c r="S211" s="134" t="s">
        <v>304</v>
      </c>
      <c r="T211" s="133" t="s">
        <v>887</v>
      </c>
      <c r="U211" s="107" t="s">
        <v>1122</v>
      </c>
      <c r="V211" s="133"/>
      <c r="W211" s="133"/>
      <c r="X211" s="133">
        <f>MONTH(Tabla1[[#This Row],[fecha
de
pedido]])</f>
        <v>6</v>
      </c>
      <c r="Y211" s="133">
        <f>YEAR(Tabla1[[#This Row],[fecha
de
pedido]])</f>
        <v>2017</v>
      </c>
    </row>
    <row r="212" spans="1:25" ht="12.75" customHeight="1" x14ac:dyDescent="0.2">
      <c r="A212" s="157">
        <v>42895</v>
      </c>
      <c r="B212" s="118" t="s">
        <v>487</v>
      </c>
      <c r="C212" s="4" t="s">
        <v>845</v>
      </c>
      <c r="D212" s="133" t="s">
        <v>11</v>
      </c>
      <c r="E212" s="134" t="s">
        <v>11</v>
      </c>
      <c r="F212" s="133" t="s">
        <v>772</v>
      </c>
      <c r="G212" s="134" t="s">
        <v>882</v>
      </c>
      <c r="H212" s="133">
        <v>1</v>
      </c>
      <c r="I212" s="133" t="s">
        <v>784</v>
      </c>
      <c r="J212" s="134" t="s">
        <v>82</v>
      </c>
      <c r="K212" s="1" t="s">
        <v>922</v>
      </c>
      <c r="L212" s="1" t="s">
        <v>922</v>
      </c>
      <c r="M212" s="132">
        <v>42895</v>
      </c>
      <c r="N212" s="132">
        <v>42895</v>
      </c>
      <c r="O212" s="132" t="str">
        <f>IF( Tabla1[[#This Row],[Fecha de entrega real]]="","NO CONCRETADO",IF(N212&lt;=M212,"CUMPLIÓ","NO CUMPLIÓ"))</f>
        <v>CUMPLIÓ</v>
      </c>
      <c r="P212" s="141">
        <f t="shared" si="6"/>
        <v>0</v>
      </c>
      <c r="Q212" s="134" t="s">
        <v>886</v>
      </c>
      <c r="R212" s="134" t="s">
        <v>11</v>
      </c>
      <c r="S212" s="134" t="s">
        <v>304</v>
      </c>
      <c r="T212" s="133" t="s">
        <v>887</v>
      </c>
      <c r="U212" s="107" t="s">
        <v>1122</v>
      </c>
      <c r="V212" s="133"/>
      <c r="W212" s="133"/>
      <c r="X212" s="133">
        <f>MONTH(Tabla1[[#This Row],[fecha
de
pedido]])</f>
        <v>6</v>
      </c>
      <c r="Y212" s="133">
        <f>YEAR(Tabla1[[#This Row],[fecha
de
pedido]])</f>
        <v>2017</v>
      </c>
    </row>
    <row r="213" spans="1:25" ht="12.75" customHeight="1" x14ac:dyDescent="0.2">
      <c r="A213" s="157">
        <v>42895</v>
      </c>
      <c r="B213" s="118" t="s">
        <v>487</v>
      </c>
      <c r="C213" s="4" t="s">
        <v>845</v>
      </c>
      <c r="D213" s="133" t="s">
        <v>11</v>
      </c>
      <c r="E213" s="134" t="s">
        <v>11</v>
      </c>
      <c r="F213" s="133" t="s">
        <v>772</v>
      </c>
      <c r="G213" s="134" t="s">
        <v>883</v>
      </c>
      <c r="H213" s="133">
        <v>1</v>
      </c>
      <c r="I213" s="133" t="s">
        <v>784</v>
      </c>
      <c r="J213" s="134" t="s">
        <v>82</v>
      </c>
      <c r="K213" s="1" t="s">
        <v>922</v>
      </c>
      <c r="L213" s="1" t="s">
        <v>922</v>
      </c>
      <c r="M213" s="132">
        <v>42895</v>
      </c>
      <c r="N213" s="132">
        <v>42895</v>
      </c>
      <c r="O213" s="132" t="str">
        <f>IF( Tabla1[[#This Row],[Fecha de entrega real]]="","NO CONCRETADO",IF(N213&lt;=M213,"CUMPLIÓ","NO CUMPLIÓ"))</f>
        <v>CUMPLIÓ</v>
      </c>
      <c r="P213" s="141">
        <f t="shared" si="6"/>
        <v>0</v>
      </c>
      <c r="Q213" s="134" t="s">
        <v>886</v>
      </c>
      <c r="R213" s="134" t="s">
        <v>11</v>
      </c>
      <c r="S213" s="134" t="s">
        <v>304</v>
      </c>
      <c r="T213" s="133" t="s">
        <v>887</v>
      </c>
      <c r="U213" s="107" t="s">
        <v>1122</v>
      </c>
      <c r="V213" s="133"/>
      <c r="W213" s="133"/>
      <c r="X213" s="133">
        <f>MONTH(Tabla1[[#This Row],[fecha
de
pedido]])</f>
        <v>6</v>
      </c>
      <c r="Y213" s="133">
        <f>YEAR(Tabla1[[#This Row],[fecha
de
pedido]])</f>
        <v>2017</v>
      </c>
    </row>
    <row r="214" spans="1:25" ht="12.75" customHeight="1" x14ac:dyDescent="0.2">
      <c r="A214" s="157">
        <v>42895</v>
      </c>
      <c r="B214" s="118" t="s">
        <v>487</v>
      </c>
      <c r="C214" s="4" t="s">
        <v>845</v>
      </c>
      <c r="D214" s="133" t="s">
        <v>11</v>
      </c>
      <c r="E214" s="134" t="s">
        <v>11</v>
      </c>
      <c r="F214" s="133" t="s">
        <v>772</v>
      </c>
      <c r="G214" s="134" t="s">
        <v>885</v>
      </c>
      <c r="H214" s="133">
        <v>2</v>
      </c>
      <c r="I214" s="133" t="s">
        <v>784</v>
      </c>
      <c r="J214" s="134" t="s">
        <v>82</v>
      </c>
      <c r="K214" s="1" t="s">
        <v>922</v>
      </c>
      <c r="L214" s="1" t="s">
        <v>922</v>
      </c>
      <c r="M214" s="132">
        <v>42895</v>
      </c>
      <c r="N214" s="132">
        <v>42895</v>
      </c>
      <c r="O214" s="132" t="str">
        <f>IF( Tabla1[[#This Row],[Fecha de entrega real]]="","NO CONCRETADO",IF(N214&lt;=M214,"CUMPLIÓ","NO CUMPLIÓ"))</f>
        <v>CUMPLIÓ</v>
      </c>
      <c r="P214" s="99">
        <f t="shared" si="6"/>
        <v>0</v>
      </c>
      <c r="Q214" s="134" t="s">
        <v>886</v>
      </c>
      <c r="R214" s="134" t="s">
        <v>11</v>
      </c>
      <c r="S214" s="134" t="s">
        <v>304</v>
      </c>
      <c r="T214" s="133" t="s">
        <v>887</v>
      </c>
      <c r="U214" s="107" t="s">
        <v>1122</v>
      </c>
      <c r="V214" s="133"/>
      <c r="W214" s="133"/>
      <c r="X214" s="133">
        <f>MONTH(Tabla1[[#This Row],[fecha
de
pedido]])</f>
        <v>6</v>
      </c>
      <c r="Y214" s="133">
        <f>YEAR(Tabla1[[#This Row],[fecha
de
pedido]])</f>
        <v>2017</v>
      </c>
    </row>
    <row r="215" spans="1:25" ht="38.25" customHeight="1" x14ac:dyDescent="0.2">
      <c r="A215" s="157">
        <v>42895</v>
      </c>
      <c r="B215" s="118" t="s">
        <v>487</v>
      </c>
      <c r="C215" s="4" t="s">
        <v>935</v>
      </c>
      <c r="D215" s="1" t="s">
        <v>11</v>
      </c>
      <c r="E215" s="134" t="s">
        <v>11</v>
      </c>
      <c r="F215" s="133" t="s">
        <v>772</v>
      </c>
      <c r="G215" s="4" t="s">
        <v>950</v>
      </c>
      <c r="H215" s="146">
        <v>1</v>
      </c>
      <c r="I215" s="146" t="s">
        <v>800</v>
      </c>
      <c r="J215" s="4" t="s">
        <v>936</v>
      </c>
      <c r="K215" s="147">
        <v>29.657</v>
      </c>
      <c r="L215" s="147">
        <f>Tabla1[[#This Row],[Costo Unitario]]*Tabla1[[#This Row],[cantidad]]</f>
        <v>29.657</v>
      </c>
      <c r="M215" s="132">
        <v>42895</v>
      </c>
      <c r="N215" s="132">
        <v>42895</v>
      </c>
      <c r="O215" s="144" t="str">
        <f>IF( Tabla1[[#This Row],[Fecha de entrega real]]="","NO CONCRETADO",IF(N215&lt;=M215,"CUMPLIÓ","NO CUMPLIÓ"))</f>
        <v>CUMPLIÓ</v>
      </c>
      <c r="P215" s="141">
        <f t="shared" si="6"/>
        <v>0</v>
      </c>
      <c r="Q215" s="4" t="s">
        <v>917</v>
      </c>
      <c r="R215" s="4" t="s">
        <v>955</v>
      </c>
      <c r="S215" s="4" t="s">
        <v>244</v>
      </c>
      <c r="T215" s="1" t="s">
        <v>1973</v>
      </c>
      <c r="U215" s="107" t="s">
        <v>956</v>
      </c>
      <c r="V215" s="146"/>
      <c r="W215" s="146"/>
      <c r="X215" s="146">
        <f>MONTH(Tabla1[[#This Row],[fecha
de
pedido]])</f>
        <v>6</v>
      </c>
      <c r="Y215" s="146">
        <f>YEAR(Tabla1[[#This Row],[fecha
de
pedido]])</f>
        <v>2017</v>
      </c>
    </row>
    <row r="216" spans="1:25" ht="38.25" customHeight="1" x14ac:dyDescent="0.2">
      <c r="A216" s="157">
        <v>42895</v>
      </c>
      <c r="B216" s="118" t="s">
        <v>487</v>
      </c>
      <c r="C216" s="4" t="s">
        <v>935</v>
      </c>
      <c r="D216" s="1" t="s">
        <v>11</v>
      </c>
      <c r="E216" s="134" t="s">
        <v>11</v>
      </c>
      <c r="F216" s="133" t="s">
        <v>772</v>
      </c>
      <c r="G216" s="145" t="s">
        <v>952</v>
      </c>
      <c r="H216" s="146">
        <v>6</v>
      </c>
      <c r="I216" s="146" t="s">
        <v>800</v>
      </c>
      <c r="J216" s="4" t="s">
        <v>936</v>
      </c>
      <c r="K216" s="147">
        <v>19.141999999999999</v>
      </c>
      <c r="L216" s="147">
        <f>Tabla1[[#This Row],[Costo Unitario]]*Tabla1[[#This Row],[cantidad]]</f>
        <v>114.852</v>
      </c>
      <c r="M216" s="132">
        <v>42895</v>
      </c>
      <c r="N216" s="132">
        <v>42895</v>
      </c>
      <c r="O216" s="144" t="str">
        <f>IF( Tabla1[[#This Row],[Fecha de entrega real]]="","NO CONCRETADO",IF(N216&lt;=M216,"CUMPLIÓ","NO CUMPLIÓ"))</f>
        <v>CUMPLIÓ</v>
      </c>
      <c r="P216" s="141">
        <f t="shared" si="6"/>
        <v>0</v>
      </c>
      <c r="Q216" s="4" t="s">
        <v>917</v>
      </c>
      <c r="R216" s="4" t="s">
        <v>955</v>
      </c>
      <c r="S216" s="4" t="s">
        <v>244</v>
      </c>
      <c r="T216" s="1" t="s">
        <v>1973</v>
      </c>
      <c r="U216" s="107" t="s">
        <v>956</v>
      </c>
      <c r="V216" s="146"/>
      <c r="W216" s="146"/>
      <c r="X216" s="146">
        <f>MONTH(Tabla1[[#This Row],[fecha
de
pedido]])</f>
        <v>6</v>
      </c>
      <c r="Y216" s="146">
        <f>YEAR(Tabla1[[#This Row],[fecha
de
pedido]])</f>
        <v>2017</v>
      </c>
    </row>
    <row r="217" spans="1:25" ht="38.25" customHeight="1" x14ac:dyDescent="0.2">
      <c r="A217" s="157">
        <v>42895</v>
      </c>
      <c r="B217" s="118" t="s">
        <v>487</v>
      </c>
      <c r="C217" s="4" t="s">
        <v>935</v>
      </c>
      <c r="D217" s="1" t="s">
        <v>11</v>
      </c>
      <c r="E217" s="134" t="s">
        <v>11</v>
      </c>
      <c r="F217" s="133" t="s">
        <v>772</v>
      </c>
      <c r="G217" s="145" t="s">
        <v>945</v>
      </c>
      <c r="H217" s="146">
        <v>1</v>
      </c>
      <c r="I217" s="146" t="s">
        <v>799</v>
      </c>
      <c r="J217" s="4" t="s">
        <v>936</v>
      </c>
      <c r="K217" s="147">
        <v>259.54500000000002</v>
      </c>
      <c r="L217" s="147">
        <f>Tabla1[[#This Row],[Costo Unitario]]*Tabla1[[#This Row],[cantidad]]</f>
        <v>259.54500000000002</v>
      </c>
      <c r="M217" s="132">
        <v>42895</v>
      </c>
      <c r="N217" s="132">
        <v>42895</v>
      </c>
      <c r="O217" s="144" t="str">
        <f>IF( Tabla1[[#This Row],[Fecha de entrega real]]="","NO CONCRETADO",IF(N217&lt;=M217,"CUMPLIÓ","NO CUMPLIÓ"))</f>
        <v>CUMPLIÓ</v>
      </c>
      <c r="P217" s="99">
        <f t="shared" si="6"/>
        <v>0</v>
      </c>
      <c r="Q217" s="4" t="s">
        <v>917</v>
      </c>
      <c r="R217" s="4" t="s">
        <v>955</v>
      </c>
      <c r="S217" s="4" t="s">
        <v>244</v>
      </c>
      <c r="T217" s="1" t="s">
        <v>1973</v>
      </c>
      <c r="U217" s="107" t="s">
        <v>956</v>
      </c>
      <c r="V217" s="146"/>
      <c r="W217" s="146"/>
      <c r="X217" s="146">
        <f>MONTH(Tabla1[[#This Row],[fecha
de
pedido]])</f>
        <v>6</v>
      </c>
      <c r="Y217" s="146">
        <f>YEAR(Tabla1[[#This Row],[fecha
de
pedido]])</f>
        <v>2017</v>
      </c>
    </row>
    <row r="218" spans="1:25" ht="38.25" customHeight="1" x14ac:dyDescent="0.2">
      <c r="A218" s="157">
        <v>42895</v>
      </c>
      <c r="B218" s="118" t="s">
        <v>487</v>
      </c>
      <c r="C218" s="4" t="s">
        <v>935</v>
      </c>
      <c r="D218" s="1" t="s">
        <v>11</v>
      </c>
      <c r="E218" s="134" t="s">
        <v>11</v>
      </c>
      <c r="F218" s="133" t="s">
        <v>772</v>
      </c>
      <c r="G218" s="145" t="s">
        <v>941</v>
      </c>
      <c r="H218" s="146">
        <v>10</v>
      </c>
      <c r="I218" s="146" t="s">
        <v>800</v>
      </c>
      <c r="J218" s="4" t="s">
        <v>936</v>
      </c>
      <c r="K218" s="146">
        <v>4.2709999999999999</v>
      </c>
      <c r="L218" s="146">
        <f>Tabla1[[#This Row],[Costo Unitario]]*Tabla1[[#This Row],[cantidad]]</f>
        <v>42.71</v>
      </c>
      <c r="M218" s="132">
        <v>42895</v>
      </c>
      <c r="N218" s="132">
        <v>42895</v>
      </c>
      <c r="O218" s="144" t="str">
        <f>IF( Tabla1[[#This Row],[Fecha de entrega real]]="","NO CONCRETADO",IF(N218&lt;=M218,"CUMPLIÓ","NO CUMPLIÓ"))</f>
        <v>CUMPLIÓ</v>
      </c>
      <c r="P218" s="141">
        <f t="shared" si="6"/>
        <v>0</v>
      </c>
      <c r="Q218" s="4" t="s">
        <v>917</v>
      </c>
      <c r="R218" s="4" t="s">
        <v>955</v>
      </c>
      <c r="S218" s="4" t="s">
        <v>244</v>
      </c>
      <c r="T218" s="1" t="s">
        <v>1973</v>
      </c>
      <c r="U218" s="107" t="s">
        <v>956</v>
      </c>
      <c r="V218" s="146"/>
      <c r="W218" s="146"/>
      <c r="X218" s="146">
        <f>MONTH(Tabla1[[#This Row],[fecha
de
pedido]])</f>
        <v>6</v>
      </c>
      <c r="Y218" s="146">
        <f>YEAR(Tabla1[[#This Row],[fecha
de
pedido]])</f>
        <v>2017</v>
      </c>
    </row>
    <row r="219" spans="1:25" ht="38.25" customHeight="1" x14ac:dyDescent="0.2">
      <c r="A219" s="157">
        <v>42895</v>
      </c>
      <c r="B219" s="118" t="s">
        <v>487</v>
      </c>
      <c r="C219" s="4" t="s">
        <v>935</v>
      </c>
      <c r="D219" s="1" t="s">
        <v>11</v>
      </c>
      <c r="E219" s="134" t="s">
        <v>11</v>
      </c>
      <c r="F219" s="133" t="s">
        <v>772</v>
      </c>
      <c r="G219" s="145" t="s">
        <v>948</v>
      </c>
      <c r="H219" s="146">
        <v>1</v>
      </c>
      <c r="I219" s="146" t="s">
        <v>781</v>
      </c>
      <c r="J219" s="4" t="s">
        <v>936</v>
      </c>
      <c r="K219" s="147">
        <v>73.022999999999996</v>
      </c>
      <c r="L219" s="147">
        <f>Tabla1[[#This Row],[Costo Unitario]]*Tabla1[[#This Row],[cantidad]]</f>
        <v>73.022999999999996</v>
      </c>
      <c r="M219" s="132">
        <v>42895</v>
      </c>
      <c r="N219" s="132">
        <v>42895</v>
      </c>
      <c r="O219" s="144" t="str">
        <f>IF( Tabla1[[#This Row],[Fecha de entrega real]]="","NO CONCRETADO",IF(N219&lt;=M219,"CUMPLIÓ","NO CUMPLIÓ"))</f>
        <v>CUMPLIÓ</v>
      </c>
      <c r="P219" s="99">
        <f t="shared" si="6"/>
        <v>0</v>
      </c>
      <c r="Q219" s="4" t="s">
        <v>917</v>
      </c>
      <c r="R219" s="4" t="s">
        <v>955</v>
      </c>
      <c r="S219" s="4" t="s">
        <v>244</v>
      </c>
      <c r="T219" s="1" t="s">
        <v>1973</v>
      </c>
      <c r="U219" s="107" t="s">
        <v>956</v>
      </c>
      <c r="V219" s="146"/>
      <c r="W219" s="146"/>
      <c r="X219" s="146">
        <f>MONTH(Tabla1[[#This Row],[fecha
de
pedido]])</f>
        <v>6</v>
      </c>
      <c r="Y219" s="146">
        <f>YEAR(Tabla1[[#This Row],[fecha
de
pedido]])</f>
        <v>2017</v>
      </c>
    </row>
    <row r="220" spans="1:25" ht="38.25" customHeight="1" x14ac:dyDescent="0.2">
      <c r="A220" s="157">
        <v>42895</v>
      </c>
      <c r="B220" s="118" t="s">
        <v>487</v>
      </c>
      <c r="C220" s="4" t="s">
        <v>935</v>
      </c>
      <c r="D220" s="133" t="s">
        <v>11</v>
      </c>
      <c r="E220" s="134" t="s">
        <v>11</v>
      </c>
      <c r="F220" s="133" t="s">
        <v>772</v>
      </c>
      <c r="G220" s="145" t="s">
        <v>949</v>
      </c>
      <c r="H220" s="146">
        <v>1</v>
      </c>
      <c r="I220" s="146" t="s">
        <v>912</v>
      </c>
      <c r="J220" s="4" t="s">
        <v>936</v>
      </c>
      <c r="K220" s="147">
        <v>45.206000000000003</v>
      </c>
      <c r="L220" s="147">
        <f>Tabla1[[#This Row],[Costo Unitario]]*Tabla1[[#This Row],[cantidad]]</f>
        <v>45.206000000000003</v>
      </c>
      <c r="M220" s="132">
        <v>42895</v>
      </c>
      <c r="N220" s="132">
        <v>42895</v>
      </c>
      <c r="O220" s="144" t="str">
        <f>IF( Tabla1[[#This Row],[Fecha de entrega real]]="","NO CONCRETADO",IF(N220&lt;=M220,"CUMPLIÓ","NO CUMPLIÓ"))</f>
        <v>CUMPLIÓ</v>
      </c>
      <c r="P220" s="141">
        <f t="shared" si="6"/>
        <v>0</v>
      </c>
      <c r="Q220" s="4" t="s">
        <v>917</v>
      </c>
      <c r="R220" s="4" t="s">
        <v>955</v>
      </c>
      <c r="S220" s="4" t="s">
        <v>244</v>
      </c>
      <c r="T220" s="1" t="s">
        <v>1973</v>
      </c>
      <c r="U220" s="107" t="s">
        <v>956</v>
      </c>
      <c r="V220" s="146"/>
      <c r="W220" s="146"/>
      <c r="X220" s="146">
        <f>MONTH(Tabla1[[#This Row],[fecha
de
pedido]])</f>
        <v>6</v>
      </c>
      <c r="Y220" s="146">
        <f>YEAR(Tabla1[[#This Row],[fecha
de
pedido]])</f>
        <v>2017</v>
      </c>
    </row>
    <row r="221" spans="1:25" ht="38.25" customHeight="1" x14ac:dyDescent="0.2">
      <c r="A221" s="157">
        <v>42895</v>
      </c>
      <c r="B221" s="118" t="s">
        <v>487</v>
      </c>
      <c r="C221" s="4" t="s">
        <v>935</v>
      </c>
      <c r="D221" s="133" t="s">
        <v>11</v>
      </c>
      <c r="E221" s="134" t="s">
        <v>11</v>
      </c>
      <c r="F221" s="133" t="s">
        <v>772</v>
      </c>
      <c r="G221" s="4" t="s">
        <v>938</v>
      </c>
      <c r="H221" s="133">
        <v>1</v>
      </c>
      <c r="I221" s="1" t="s">
        <v>488</v>
      </c>
      <c r="J221" s="4" t="s">
        <v>936</v>
      </c>
      <c r="K221" s="143">
        <v>76.218000000000004</v>
      </c>
      <c r="L221" s="143">
        <f>Tabla1[[#This Row],[Costo Unitario]]*Tabla1[[#This Row],[cantidad]]</f>
        <v>76.218000000000004</v>
      </c>
      <c r="M221" s="132">
        <v>42895</v>
      </c>
      <c r="N221" s="132">
        <v>42895</v>
      </c>
      <c r="O221" s="132" t="str">
        <f>IF( Tabla1[[#This Row],[Fecha de entrega real]]="","NO CONCRETADO",IF(N221&lt;=M221,"CUMPLIÓ","NO CUMPLIÓ"))</f>
        <v>CUMPLIÓ</v>
      </c>
      <c r="P221" s="99">
        <f t="shared" si="6"/>
        <v>0</v>
      </c>
      <c r="Q221" s="4" t="s">
        <v>917</v>
      </c>
      <c r="R221" s="4" t="s">
        <v>955</v>
      </c>
      <c r="S221" s="4" t="s">
        <v>244</v>
      </c>
      <c r="T221" s="1" t="s">
        <v>1973</v>
      </c>
      <c r="U221" s="107" t="s">
        <v>956</v>
      </c>
      <c r="V221" s="133"/>
      <c r="W221" s="133"/>
      <c r="X221" s="133">
        <f>MONTH(Tabla1[[#This Row],[fecha
de
pedido]])</f>
        <v>6</v>
      </c>
      <c r="Y221" s="133">
        <f>YEAR(Tabla1[[#This Row],[fecha
de
pedido]])</f>
        <v>2017</v>
      </c>
    </row>
    <row r="222" spans="1:25" ht="38.25" customHeight="1" x14ac:dyDescent="0.2">
      <c r="A222" s="157">
        <v>42895</v>
      </c>
      <c r="B222" s="118" t="s">
        <v>487</v>
      </c>
      <c r="C222" s="4" t="s">
        <v>935</v>
      </c>
      <c r="D222" s="1" t="s">
        <v>11</v>
      </c>
      <c r="E222" s="134" t="s">
        <v>11</v>
      </c>
      <c r="F222" s="133" t="s">
        <v>772</v>
      </c>
      <c r="G222" s="145" t="s">
        <v>944</v>
      </c>
      <c r="H222" s="146">
        <v>4</v>
      </c>
      <c r="I222" s="146" t="s">
        <v>800</v>
      </c>
      <c r="J222" s="4" t="s">
        <v>936</v>
      </c>
      <c r="K222" s="147">
        <v>32.814999999999998</v>
      </c>
      <c r="L222" s="147">
        <f>Tabla1[[#This Row],[Costo Unitario]]*Tabla1[[#This Row],[cantidad]]</f>
        <v>131.26</v>
      </c>
      <c r="M222" s="132">
        <v>42895</v>
      </c>
      <c r="N222" s="132">
        <v>42895</v>
      </c>
      <c r="O222" s="144" t="str">
        <f>IF( Tabla1[[#This Row],[Fecha de entrega real]]="","NO CONCRETADO",IF(N222&lt;=M222,"CUMPLIÓ","NO CUMPLIÓ"))</f>
        <v>CUMPLIÓ</v>
      </c>
      <c r="P222" s="141">
        <f t="shared" si="6"/>
        <v>0</v>
      </c>
      <c r="Q222" s="4" t="s">
        <v>917</v>
      </c>
      <c r="R222" s="4" t="s">
        <v>955</v>
      </c>
      <c r="S222" s="4" t="s">
        <v>244</v>
      </c>
      <c r="T222" s="1" t="s">
        <v>1973</v>
      </c>
      <c r="U222" s="107" t="s">
        <v>956</v>
      </c>
      <c r="V222" s="146"/>
      <c r="W222" s="146"/>
      <c r="X222" s="146">
        <f>MONTH(Tabla1[[#This Row],[fecha
de
pedido]])</f>
        <v>6</v>
      </c>
      <c r="Y222" s="146">
        <f>YEAR(Tabla1[[#This Row],[fecha
de
pedido]])</f>
        <v>2017</v>
      </c>
    </row>
    <row r="223" spans="1:25" ht="38.25" customHeight="1" x14ac:dyDescent="0.2">
      <c r="A223" s="157">
        <v>42895</v>
      </c>
      <c r="B223" s="118" t="s">
        <v>487</v>
      </c>
      <c r="C223" s="4" t="s">
        <v>935</v>
      </c>
      <c r="D223" s="133" t="s">
        <v>11</v>
      </c>
      <c r="E223" s="134" t="s">
        <v>11</v>
      </c>
      <c r="F223" s="133" t="s">
        <v>772</v>
      </c>
      <c r="G223" s="4" t="s">
        <v>940</v>
      </c>
      <c r="H223" s="146">
        <v>6</v>
      </c>
      <c r="I223" s="146" t="s">
        <v>800</v>
      </c>
      <c r="J223" s="4" t="s">
        <v>936</v>
      </c>
      <c r="K223" s="147">
        <v>37.837000000000003</v>
      </c>
      <c r="L223" s="147">
        <f>Tabla1[[#This Row],[Costo Unitario]]*Tabla1[[#This Row],[cantidad]]</f>
        <v>227.02200000000002</v>
      </c>
      <c r="M223" s="132">
        <v>42895</v>
      </c>
      <c r="N223" s="132">
        <v>42895</v>
      </c>
      <c r="O223" s="144" t="str">
        <f>IF( Tabla1[[#This Row],[Fecha de entrega real]]="","NO CONCRETADO",IF(N223&lt;=M223,"CUMPLIÓ","NO CUMPLIÓ"))</f>
        <v>CUMPLIÓ</v>
      </c>
      <c r="P223" s="141">
        <f t="shared" si="6"/>
        <v>0</v>
      </c>
      <c r="Q223" s="4" t="s">
        <v>917</v>
      </c>
      <c r="R223" s="4" t="s">
        <v>955</v>
      </c>
      <c r="S223" s="4" t="s">
        <v>244</v>
      </c>
      <c r="T223" s="1" t="s">
        <v>1973</v>
      </c>
      <c r="U223" s="107" t="s">
        <v>956</v>
      </c>
      <c r="V223" s="146"/>
      <c r="W223" s="146"/>
      <c r="X223" s="146">
        <f>MONTH(Tabla1[[#This Row],[fecha
de
pedido]])</f>
        <v>6</v>
      </c>
      <c r="Y223" s="146">
        <f>YEAR(Tabla1[[#This Row],[fecha
de
pedido]])</f>
        <v>2017</v>
      </c>
    </row>
    <row r="224" spans="1:25" ht="38.25" customHeight="1" x14ac:dyDescent="0.2">
      <c r="A224" s="157">
        <v>42895</v>
      </c>
      <c r="B224" s="118" t="s">
        <v>487</v>
      </c>
      <c r="C224" s="4" t="s">
        <v>935</v>
      </c>
      <c r="D224" s="1" t="s">
        <v>11</v>
      </c>
      <c r="E224" s="134" t="s">
        <v>11</v>
      </c>
      <c r="F224" s="133" t="s">
        <v>772</v>
      </c>
      <c r="G224" s="4" t="s">
        <v>943</v>
      </c>
      <c r="H224" s="146">
        <v>6</v>
      </c>
      <c r="I224" s="146" t="s">
        <v>800</v>
      </c>
      <c r="J224" s="4" t="s">
        <v>936</v>
      </c>
      <c r="K224" s="147">
        <v>18.791</v>
      </c>
      <c r="L224" s="147">
        <f>Tabla1[[#This Row],[Costo Unitario]]*Tabla1[[#This Row],[cantidad]]</f>
        <v>112.74600000000001</v>
      </c>
      <c r="M224" s="132">
        <v>42895</v>
      </c>
      <c r="N224" s="132">
        <v>42895</v>
      </c>
      <c r="O224" s="144" t="str">
        <f>IF( Tabla1[[#This Row],[Fecha de entrega real]]="","NO CONCRETADO",IF(N224&lt;=M224,"CUMPLIÓ","NO CUMPLIÓ"))</f>
        <v>CUMPLIÓ</v>
      </c>
      <c r="P224" s="99">
        <f t="shared" si="6"/>
        <v>0</v>
      </c>
      <c r="Q224" s="4" t="s">
        <v>917</v>
      </c>
      <c r="R224" s="4" t="s">
        <v>955</v>
      </c>
      <c r="S224" s="4" t="s">
        <v>244</v>
      </c>
      <c r="T224" s="1" t="s">
        <v>1973</v>
      </c>
      <c r="U224" s="107" t="s">
        <v>956</v>
      </c>
      <c r="V224" s="146"/>
      <c r="W224" s="146"/>
      <c r="X224" s="146">
        <f>MONTH(Tabla1[[#This Row],[fecha
de
pedido]])</f>
        <v>6</v>
      </c>
      <c r="Y224" s="146">
        <f>YEAR(Tabla1[[#This Row],[fecha
de
pedido]])</f>
        <v>2017</v>
      </c>
    </row>
    <row r="225" spans="1:25" ht="38.25" customHeight="1" x14ac:dyDescent="0.2">
      <c r="A225" s="157">
        <v>42895</v>
      </c>
      <c r="B225" s="118" t="s">
        <v>487</v>
      </c>
      <c r="C225" s="4" t="s">
        <v>935</v>
      </c>
      <c r="D225" s="1" t="s">
        <v>11</v>
      </c>
      <c r="E225" s="134" t="s">
        <v>11</v>
      </c>
      <c r="F225" s="133" t="s">
        <v>772</v>
      </c>
      <c r="G225" s="4" t="s">
        <v>939</v>
      </c>
      <c r="H225" s="133">
        <v>10</v>
      </c>
      <c r="I225" s="1" t="s">
        <v>800</v>
      </c>
      <c r="J225" s="4" t="s">
        <v>936</v>
      </c>
      <c r="K225" s="143">
        <v>28.265999999999998</v>
      </c>
      <c r="L225" s="143">
        <f>Tabla1[[#This Row],[Costo Unitario]]*Tabla1[[#This Row],[cantidad]]</f>
        <v>282.65999999999997</v>
      </c>
      <c r="M225" s="132">
        <v>42895</v>
      </c>
      <c r="N225" s="132">
        <v>42895</v>
      </c>
      <c r="O225" s="132" t="str">
        <f>IF( Tabla1[[#This Row],[Fecha de entrega real]]="","NO CONCRETADO",IF(N225&lt;=M225,"CUMPLIÓ","NO CUMPLIÓ"))</f>
        <v>CUMPLIÓ</v>
      </c>
      <c r="P225" s="141">
        <f t="shared" si="6"/>
        <v>0</v>
      </c>
      <c r="Q225" s="4" t="s">
        <v>917</v>
      </c>
      <c r="R225" s="4" t="s">
        <v>955</v>
      </c>
      <c r="S225" s="4" t="s">
        <v>244</v>
      </c>
      <c r="T225" s="1" t="s">
        <v>1973</v>
      </c>
      <c r="U225" s="107" t="s">
        <v>956</v>
      </c>
      <c r="V225" s="133"/>
      <c r="W225" s="133"/>
      <c r="X225" s="133">
        <f>MONTH(Tabla1[[#This Row],[fecha
de
pedido]])</f>
        <v>6</v>
      </c>
      <c r="Y225" s="133">
        <f>YEAR(Tabla1[[#This Row],[fecha
de
pedido]])</f>
        <v>2017</v>
      </c>
    </row>
    <row r="226" spans="1:25" ht="38.25" customHeight="1" x14ac:dyDescent="0.2">
      <c r="A226" s="157">
        <v>42895</v>
      </c>
      <c r="B226" s="118" t="s">
        <v>487</v>
      </c>
      <c r="C226" s="4" t="s">
        <v>935</v>
      </c>
      <c r="D226" s="1" t="s">
        <v>11</v>
      </c>
      <c r="E226" s="134" t="s">
        <v>11</v>
      </c>
      <c r="F226" s="133" t="s">
        <v>772</v>
      </c>
      <c r="G226" s="145" t="s">
        <v>954</v>
      </c>
      <c r="H226" s="146">
        <v>1</v>
      </c>
      <c r="I226" s="146" t="s">
        <v>911</v>
      </c>
      <c r="J226" s="4" t="s">
        <v>936</v>
      </c>
      <c r="K226" s="146">
        <v>258.72000000000003</v>
      </c>
      <c r="L226" s="146">
        <f>Tabla1[[#This Row],[Costo Unitario]]*Tabla1[[#This Row],[cantidad]]</f>
        <v>258.72000000000003</v>
      </c>
      <c r="M226" s="132">
        <v>42895</v>
      </c>
      <c r="N226" s="132">
        <v>42895</v>
      </c>
      <c r="O226" s="144" t="str">
        <f>IF( Tabla1[[#This Row],[Fecha de entrega real]]="","NO CONCRETADO",IF(N226&lt;=M226,"CUMPLIÓ","NO CUMPLIÓ"))</f>
        <v>CUMPLIÓ</v>
      </c>
      <c r="P226" s="141">
        <f t="shared" si="6"/>
        <v>0</v>
      </c>
      <c r="Q226" s="4" t="s">
        <v>917</v>
      </c>
      <c r="R226" s="4" t="s">
        <v>955</v>
      </c>
      <c r="S226" s="4" t="s">
        <v>244</v>
      </c>
      <c r="T226" s="1" t="s">
        <v>1973</v>
      </c>
      <c r="U226" s="107" t="s">
        <v>956</v>
      </c>
      <c r="V226" s="146"/>
      <c r="W226" s="146"/>
      <c r="X226" s="146">
        <f>MONTH(Tabla1[[#This Row],[fecha
de
pedido]])</f>
        <v>6</v>
      </c>
      <c r="Y226" s="146">
        <f>YEAR(Tabla1[[#This Row],[fecha
de
pedido]])</f>
        <v>2017</v>
      </c>
    </row>
    <row r="227" spans="1:25" ht="38.25" customHeight="1" x14ac:dyDescent="0.2">
      <c r="A227" s="157">
        <v>42895</v>
      </c>
      <c r="B227" s="118" t="s">
        <v>487</v>
      </c>
      <c r="C227" s="4" t="s">
        <v>935</v>
      </c>
      <c r="D227" s="1" t="s">
        <v>11</v>
      </c>
      <c r="E227" s="134" t="s">
        <v>11</v>
      </c>
      <c r="F227" s="133" t="s">
        <v>772</v>
      </c>
      <c r="G227" s="4" t="s">
        <v>937</v>
      </c>
      <c r="H227" s="133">
        <v>8</v>
      </c>
      <c r="I227" s="1" t="s">
        <v>784</v>
      </c>
      <c r="J227" s="4" t="s">
        <v>936</v>
      </c>
      <c r="K227" s="143">
        <v>48.279000000000003</v>
      </c>
      <c r="L227" s="143">
        <f>Tabla1[[#This Row],[Costo Unitario]]*Tabla1[[#This Row],[cantidad]]</f>
        <v>386.23200000000003</v>
      </c>
      <c r="M227" s="132">
        <v>42895</v>
      </c>
      <c r="N227" s="132">
        <v>42895</v>
      </c>
      <c r="O227" s="132" t="str">
        <f>IF( Tabla1[[#This Row],[Fecha de entrega real]]="","NO CONCRETADO",IF(N227&lt;=M227,"CUMPLIÓ","NO CUMPLIÓ"))</f>
        <v>CUMPLIÓ</v>
      </c>
      <c r="P227" s="141">
        <f t="shared" si="6"/>
        <v>0</v>
      </c>
      <c r="Q227" s="4" t="s">
        <v>917</v>
      </c>
      <c r="R227" s="4" t="s">
        <v>955</v>
      </c>
      <c r="S227" s="4" t="s">
        <v>244</v>
      </c>
      <c r="T227" s="1" t="s">
        <v>1973</v>
      </c>
      <c r="U227" s="107" t="s">
        <v>956</v>
      </c>
      <c r="V227" s="133"/>
      <c r="W227" s="133"/>
      <c r="X227" s="133">
        <f>MONTH(Tabla1[[#This Row],[fecha
de
pedido]])</f>
        <v>6</v>
      </c>
      <c r="Y227" s="133">
        <f>YEAR(Tabla1[[#This Row],[fecha
de
pedido]])</f>
        <v>2017</v>
      </c>
    </row>
    <row r="228" spans="1:25" ht="38.25" customHeight="1" x14ac:dyDescent="0.2">
      <c r="A228" s="157">
        <v>42895</v>
      </c>
      <c r="B228" s="118" t="s">
        <v>487</v>
      </c>
      <c r="C228" s="4" t="s">
        <v>935</v>
      </c>
      <c r="D228" s="133" t="s">
        <v>11</v>
      </c>
      <c r="E228" s="134" t="s">
        <v>11</v>
      </c>
      <c r="F228" s="133" t="s">
        <v>772</v>
      </c>
      <c r="G228" s="145" t="s">
        <v>942</v>
      </c>
      <c r="H228" s="146">
        <v>5</v>
      </c>
      <c r="I228" s="146" t="s">
        <v>800</v>
      </c>
      <c r="J228" s="4" t="s">
        <v>936</v>
      </c>
      <c r="K228" s="147">
        <v>27.128</v>
      </c>
      <c r="L228" s="147">
        <f>Tabla1[[#This Row],[Costo Unitario]]*Tabla1[[#This Row],[cantidad]]</f>
        <v>135.63999999999999</v>
      </c>
      <c r="M228" s="132">
        <v>42895</v>
      </c>
      <c r="N228" s="132">
        <v>42895</v>
      </c>
      <c r="O228" s="144" t="str">
        <f>IF( Tabla1[[#This Row],[Fecha de entrega real]]="","NO CONCRETADO",IF(N228&lt;=M228,"CUMPLIÓ","NO CUMPLIÓ"))</f>
        <v>CUMPLIÓ</v>
      </c>
      <c r="P228" s="99">
        <f t="shared" si="6"/>
        <v>0</v>
      </c>
      <c r="Q228" s="4" t="s">
        <v>917</v>
      </c>
      <c r="R228" s="4" t="s">
        <v>955</v>
      </c>
      <c r="S228" s="4" t="s">
        <v>244</v>
      </c>
      <c r="T228" s="1" t="s">
        <v>1973</v>
      </c>
      <c r="U228" s="107" t="s">
        <v>956</v>
      </c>
      <c r="V228" s="146"/>
      <c r="W228" s="146"/>
      <c r="X228" s="146">
        <f>MONTH(Tabla1[[#This Row],[fecha
de
pedido]])</f>
        <v>6</v>
      </c>
      <c r="Y228" s="146">
        <f>YEAR(Tabla1[[#This Row],[fecha
de
pedido]])</f>
        <v>2017</v>
      </c>
    </row>
    <row r="229" spans="1:25" ht="38.25" customHeight="1" x14ac:dyDescent="0.2">
      <c r="A229" s="157">
        <v>42895</v>
      </c>
      <c r="B229" s="118" t="s">
        <v>487</v>
      </c>
      <c r="C229" s="4" t="s">
        <v>935</v>
      </c>
      <c r="D229" s="133" t="s">
        <v>11</v>
      </c>
      <c r="E229" s="134" t="s">
        <v>11</v>
      </c>
      <c r="F229" s="133" t="s">
        <v>772</v>
      </c>
      <c r="G229" s="145" t="s">
        <v>951</v>
      </c>
      <c r="H229" s="146">
        <v>1</v>
      </c>
      <c r="I229" s="146" t="s">
        <v>800</v>
      </c>
      <c r="J229" s="4" t="s">
        <v>936</v>
      </c>
      <c r="K229" s="147">
        <v>231.01300000000001</v>
      </c>
      <c r="L229" s="147">
        <f>Tabla1[[#This Row],[Costo Unitario]]*Tabla1[[#This Row],[cantidad]]</f>
        <v>231.01300000000001</v>
      </c>
      <c r="M229" s="132">
        <v>42895</v>
      </c>
      <c r="N229" s="132">
        <v>42895</v>
      </c>
      <c r="O229" s="144" t="str">
        <f>IF( Tabla1[[#This Row],[Fecha de entrega real]]="","NO CONCRETADO",IF(N229&lt;=M229,"CUMPLIÓ","NO CUMPLIÓ"))</f>
        <v>CUMPLIÓ</v>
      </c>
      <c r="P229" s="99">
        <f t="shared" si="6"/>
        <v>0</v>
      </c>
      <c r="Q229" s="4" t="s">
        <v>917</v>
      </c>
      <c r="R229" s="4" t="s">
        <v>955</v>
      </c>
      <c r="S229" s="4" t="s">
        <v>244</v>
      </c>
      <c r="T229" s="1" t="s">
        <v>1973</v>
      </c>
      <c r="U229" s="107" t="s">
        <v>956</v>
      </c>
      <c r="V229" s="146"/>
      <c r="W229" s="146"/>
      <c r="X229" s="146">
        <f>MONTH(Tabla1[[#This Row],[fecha
de
pedido]])</f>
        <v>6</v>
      </c>
      <c r="Y229" s="146">
        <f>YEAR(Tabla1[[#This Row],[fecha
de
pedido]])</f>
        <v>2017</v>
      </c>
    </row>
    <row r="230" spans="1:25" ht="25.5" customHeight="1" x14ac:dyDescent="0.2">
      <c r="A230" s="157">
        <v>42900</v>
      </c>
      <c r="B230" s="118" t="s">
        <v>487</v>
      </c>
      <c r="C230" s="4" t="s">
        <v>775</v>
      </c>
      <c r="D230" s="134" t="s">
        <v>893</v>
      </c>
      <c r="E230" s="134" t="s">
        <v>11</v>
      </c>
      <c r="F230" s="133" t="s">
        <v>772</v>
      </c>
      <c r="G230" s="24" t="s">
        <v>889</v>
      </c>
      <c r="H230" s="133">
        <v>100</v>
      </c>
      <c r="I230" s="133" t="s">
        <v>779</v>
      </c>
      <c r="J230" s="134" t="s">
        <v>12</v>
      </c>
      <c r="K230" s="133">
        <v>4.5</v>
      </c>
      <c r="L230" s="133">
        <f>4.5*Tabla1[[#This Row],[cantidad]]</f>
        <v>450</v>
      </c>
      <c r="M230" s="132">
        <v>42902</v>
      </c>
      <c r="N230" s="132">
        <v>42901</v>
      </c>
      <c r="O230" s="132" t="str">
        <f>IF( Tabla1[[#This Row],[Fecha de entrega real]]="","NO CONCRETADO",IF(N230&lt;=M230,"CUMPLIÓ","NO CUMPLIÓ"))</f>
        <v>CUMPLIÓ</v>
      </c>
      <c r="P230" s="141">
        <f t="shared" si="6"/>
        <v>-1</v>
      </c>
      <c r="Q230" s="134" t="s">
        <v>13</v>
      </c>
      <c r="R230" s="4" t="s">
        <v>33</v>
      </c>
      <c r="S230" s="4" t="s">
        <v>1456</v>
      </c>
      <c r="T230" s="1" t="s">
        <v>1973</v>
      </c>
      <c r="U230" s="135" t="s">
        <v>891</v>
      </c>
      <c r="V230" s="133"/>
      <c r="W230" s="133"/>
      <c r="X230" s="133">
        <f>MONTH(Tabla1[[#This Row],[fecha
de
pedido]])</f>
        <v>6</v>
      </c>
      <c r="Y230" s="133">
        <f>YEAR(Tabla1[[#This Row],[fecha
de
pedido]])</f>
        <v>2017</v>
      </c>
    </row>
    <row r="231" spans="1:25" ht="51" customHeight="1" x14ac:dyDescent="0.2">
      <c r="A231" s="157">
        <v>42901</v>
      </c>
      <c r="B231" s="118" t="s">
        <v>487</v>
      </c>
      <c r="C231" s="145" t="s">
        <v>983</v>
      </c>
      <c r="D231" s="133" t="s">
        <v>33</v>
      </c>
      <c r="E231" s="4" t="s">
        <v>984</v>
      </c>
      <c r="F231" s="133" t="s">
        <v>772</v>
      </c>
      <c r="G231" s="145" t="s">
        <v>985</v>
      </c>
      <c r="H231" s="146">
        <v>2</v>
      </c>
      <c r="I231" s="146" t="s">
        <v>986</v>
      </c>
      <c r="J231" s="145" t="s">
        <v>77</v>
      </c>
      <c r="K231" s="146">
        <v>239.58</v>
      </c>
      <c r="L231" s="133">
        <f>Tabla1[[#This Row],[Costo Unitario]]*Tabla1[[#This Row],[cantidad]]</f>
        <v>479.16</v>
      </c>
      <c r="M231" s="144">
        <v>42908</v>
      </c>
      <c r="N231" s="144">
        <v>42909</v>
      </c>
      <c r="O231" s="144" t="str">
        <f>IF( Tabla1[[#This Row],[Fecha de entrega real]]="","NO CONCRETADO",IF(N231&lt;=M231,"CUMPLIÓ","NO CUMPLIÓ"))</f>
        <v>NO CUMPLIÓ</v>
      </c>
      <c r="P231" s="141">
        <f t="shared" si="6"/>
        <v>1</v>
      </c>
      <c r="Q231" s="145" t="s">
        <v>13</v>
      </c>
      <c r="R231" s="4" t="s">
        <v>33</v>
      </c>
      <c r="S231" s="145" t="s">
        <v>989</v>
      </c>
      <c r="T231" s="146" t="s">
        <v>990</v>
      </c>
      <c r="U231" s="159" t="s">
        <v>991</v>
      </c>
      <c r="V231" s="146"/>
      <c r="W231" s="146"/>
      <c r="X231" s="146">
        <f>MONTH(Tabla1[[#This Row],[fecha
de
pedido]])</f>
        <v>6</v>
      </c>
      <c r="Y231" s="146">
        <f>YEAR(Tabla1[[#This Row],[fecha
de
pedido]])</f>
        <v>2017</v>
      </c>
    </row>
    <row r="232" spans="1:25" ht="25.5" customHeight="1" x14ac:dyDescent="0.2">
      <c r="A232" s="157">
        <v>42901</v>
      </c>
      <c r="B232" s="118" t="s">
        <v>487</v>
      </c>
      <c r="C232" s="4" t="s">
        <v>906</v>
      </c>
      <c r="D232" s="133" t="s">
        <v>33</v>
      </c>
      <c r="E232" s="134" t="s">
        <v>888</v>
      </c>
      <c r="F232" s="133" t="s">
        <v>772</v>
      </c>
      <c r="G232" s="134" t="s">
        <v>907</v>
      </c>
      <c r="H232" s="133">
        <v>1</v>
      </c>
      <c r="I232" s="133" t="s">
        <v>488</v>
      </c>
      <c r="J232" s="134" t="s">
        <v>910</v>
      </c>
      <c r="K232" s="133">
        <v>57.77</v>
      </c>
      <c r="L232" s="133">
        <f>Tabla1[[#This Row],[Costo Unitario]]*Tabla1[[#This Row],[cantidad]]</f>
        <v>57.77</v>
      </c>
      <c r="M232" s="132">
        <v>42901</v>
      </c>
      <c r="N232" s="132">
        <v>42901</v>
      </c>
      <c r="O232" s="132" t="str">
        <f>IF( Tabla1[[#This Row],[Fecha de entrega real]]="","NO CONCRETADO",IF(N232&lt;=M232,"CUMPLIÓ","NO CUMPLIÓ"))</f>
        <v>CUMPLIÓ</v>
      </c>
      <c r="P232" s="141">
        <f t="shared" si="6"/>
        <v>0</v>
      </c>
      <c r="Q232" s="134" t="s">
        <v>917</v>
      </c>
      <c r="R232" s="134" t="s">
        <v>33</v>
      </c>
      <c r="S232" s="134" t="s">
        <v>920</v>
      </c>
      <c r="T232" s="1" t="s">
        <v>1973</v>
      </c>
      <c r="U232" s="135" t="s">
        <v>919</v>
      </c>
      <c r="V232" s="133"/>
      <c r="W232" s="133"/>
      <c r="X232" s="133">
        <f>MONTH(Tabla1[[#This Row],[fecha
de
pedido]])</f>
        <v>6</v>
      </c>
      <c r="Y232" s="133">
        <f>YEAR(Tabla1[[#This Row],[fecha
de
pedido]])</f>
        <v>2017</v>
      </c>
    </row>
    <row r="233" spans="1:25" ht="25.5" customHeight="1" x14ac:dyDescent="0.2">
      <c r="A233" s="157">
        <v>42901</v>
      </c>
      <c r="B233" s="118" t="s">
        <v>487</v>
      </c>
      <c r="C233" s="4" t="s">
        <v>906</v>
      </c>
      <c r="D233" s="133" t="s">
        <v>33</v>
      </c>
      <c r="E233" s="134" t="s">
        <v>888</v>
      </c>
      <c r="F233" s="133" t="s">
        <v>772</v>
      </c>
      <c r="G233" s="134" t="s">
        <v>908</v>
      </c>
      <c r="H233" s="133">
        <v>1</v>
      </c>
      <c r="I233" s="133" t="s">
        <v>799</v>
      </c>
      <c r="J233" s="134" t="s">
        <v>910</v>
      </c>
      <c r="K233" s="133">
        <v>188.35</v>
      </c>
      <c r="L233" s="133">
        <f>Tabla1[[#This Row],[Costo Unitario]]*Tabla1[[#This Row],[cantidad]]</f>
        <v>188.35</v>
      </c>
      <c r="M233" s="132">
        <v>42901</v>
      </c>
      <c r="N233" s="132">
        <v>42901</v>
      </c>
      <c r="O233" s="132" t="str">
        <f>IF( Tabla1[[#This Row],[Fecha de entrega real]]="","NO CONCRETADO",IF(N233&lt;=M233,"CUMPLIÓ","NO CUMPLIÓ"))</f>
        <v>CUMPLIÓ</v>
      </c>
      <c r="P233" s="141">
        <f t="shared" si="6"/>
        <v>0</v>
      </c>
      <c r="Q233" s="134" t="s">
        <v>917</v>
      </c>
      <c r="R233" s="134" t="s">
        <v>33</v>
      </c>
      <c r="S233" s="4" t="s">
        <v>971</v>
      </c>
      <c r="T233" s="1" t="s">
        <v>1973</v>
      </c>
      <c r="U233" s="135" t="s">
        <v>919</v>
      </c>
      <c r="V233" s="133"/>
      <c r="W233" s="133"/>
      <c r="X233" s="133">
        <f>MONTH(Tabla1[[#This Row],[fecha
de
pedido]])</f>
        <v>6</v>
      </c>
      <c r="Y233" s="133">
        <f>YEAR(Tabla1[[#This Row],[fecha
de
pedido]])</f>
        <v>2017</v>
      </c>
    </row>
    <row r="234" spans="1:25" ht="51" customHeight="1" x14ac:dyDescent="0.2">
      <c r="A234" s="152" t="s">
        <v>1081</v>
      </c>
      <c r="B234" s="118" t="s">
        <v>487</v>
      </c>
      <c r="C234" s="4" t="s">
        <v>906</v>
      </c>
      <c r="D234" s="133" t="s">
        <v>33</v>
      </c>
      <c r="E234" s="134" t="s">
        <v>888</v>
      </c>
      <c r="F234" s="133" t="s">
        <v>772</v>
      </c>
      <c r="G234" s="4" t="s">
        <v>907</v>
      </c>
      <c r="H234" s="133">
        <v>1</v>
      </c>
      <c r="I234" s="133" t="s">
        <v>488</v>
      </c>
      <c r="J234" s="134" t="s">
        <v>910</v>
      </c>
      <c r="K234" s="146">
        <v>57.77</v>
      </c>
      <c r="L234" s="133">
        <f>Tabla1[[#This Row],[Costo Unitario]]*Tabla1[[#This Row],[cantidad]]</f>
        <v>57.77</v>
      </c>
      <c r="M234" s="144">
        <v>42905</v>
      </c>
      <c r="N234" s="144">
        <v>42905</v>
      </c>
      <c r="O234" s="144" t="str">
        <f>IF( Tabla1[[#This Row],[Fecha de entrega real]]="","NO CONCRETADO",IF(N234&lt;=M234,"CUMPLIÓ","NO CUMPLIÓ"))</f>
        <v>CUMPLIÓ</v>
      </c>
      <c r="P234" s="141">
        <f>IF(N234="","NO CONCRETADO",N234-M234)</f>
        <v>0</v>
      </c>
      <c r="Q234" s="145" t="s">
        <v>917</v>
      </c>
      <c r="R234" s="145" t="s">
        <v>33</v>
      </c>
      <c r="S234" s="4" t="s">
        <v>972</v>
      </c>
      <c r="T234" s="1" t="s">
        <v>1973</v>
      </c>
      <c r="U234" s="107" t="s">
        <v>970</v>
      </c>
      <c r="V234" s="146"/>
      <c r="W234" s="146"/>
      <c r="X234" s="146" t="e">
        <f>MONTH(Tabla1[[#This Row],[fecha
de
pedido]])</f>
        <v>#VALUE!</v>
      </c>
      <c r="Y234" s="146" t="e">
        <f>YEAR(Tabla1[[#This Row],[fecha
de
pedido]])</f>
        <v>#VALUE!</v>
      </c>
    </row>
    <row r="235" spans="1:25" ht="51" customHeight="1" x14ac:dyDescent="0.2">
      <c r="A235" s="157">
        <v>42901</v>
      </c>
      <c r="B235" s="118" t="s">
        <v>487</v>
      </c>
      <c r="C235" s="145" t="s">
        <v>983</v>
      </c>
      <c r="D235" s="133" t="s">
        <v>33</v>
      </c>
      <c r="E235" s="4" t="s">
        <v>984</v>
      </c>
      <c r="F235" s="133" t="s">
        <v>772</v>
      </c>
      <c r="G235" s="145" t="s">
        <v>988</v>
      </c>
      <c r="H235" s="146">
        <v>3</v>
      </c>
      <c r="I235" s="146" t="s">
        <v>784</v>
      </c>
      <c r="J235" s="145" t="s">
        <v>77</v>
      </c>
      <c r="K235" s="146">
        <v>59.29</v>
      </c>
      <c r="L235" s="133">
        <f>Tabla1[[#This Row],[Costo Unitario]]*Tabla1[[#This Row],[cantidad]]</f>
        <v>177.87</v>
      </c>
      <c r="M235" s="144">
        <v>42908</v>
      </c>
      <c r="N235" s="144">
        <v>42909</v>
      </c>
      <c r="O235" s="144" t="str">
        <f>IF( Tabla1[[#This Row],[Fecha de entrega real]]="","NO CONCRETADO",IF(N235&lt;=M235,"CUMPLIÓ","NO CUMPLIÓ"))</f>
        <v>NO CUMPLIÓ</v>
      </c>
      <c r="P235" s="141">
        <f t="shared" si="6"/>
        <v>1</v>
      </c>
      <c r="Q235" s="145" t="s">
        <v>13</v>
      </c>
      <c r="R235" s="145" t="s">
        <v>33</v>
      </c>
      <c r="S235" s="145" t="s">
        <v>989</v>
      </c>
      <c r="T235" s="146" t="s">
        <v>990</v>
      </c>
      <c r="U235" s="159" t="s">
        <v>991</v>
      </c>
      <c r="V235" s="146"/>
      <c r="W235" s="146"/>
      <c r="X235" s="146">
        <f>MONTH(Tabla1[[#This Row],[fecha
de
pedido]])</f>
        <v>6</v>
      </c>
      <c r="Y235" s="146">
        <f>YEAR(Tabla1[[#This Row],[fecha
de
pedido]])</f>
        <v>2017</v>
      </c>
    </row>
    <row r="236" spans="1:25" ht="51" customHeight="1" x14ac:dyDescent="0.2">
      <c r="A236" s="157">
        <v>42901</v>
      </c>
      <c r="B236" s="118" t="s">
        <v>487</v>
      </c>
      <c r="C236" s="145" t="s">
        <v>983</v>
      </c>
      <c r="D236" s="133" t="s">
        <v>33</v>
      </c>
      <c r="E236" s="4" t="s">
        <v>984</v>
      </c>
      <c r="F236" s="133" t="s">
        <v>772</v>
      </c>
      <c r="G236" s="145" t="s">
        <v>987</v>
      </c>
      <c r="H236" s="146">
        <v>3</v>
      </c>
      <c r="I236" s="146" t="s">
        <v>784</v>
      </c>
      <c r="J236" s="145" t="s">
        <v>77</v>
      </c>
      <c r="K236" s="146">
        <v>50.82</v>
      </c>
      <c r="L236" s="133">
        <f>Tabla1[[#This Row],[Costo Unitario]]*Tabla1[[#This Row],[cantidad]]</f>
        <v>152.46</v>
      </c>
      <c r="M236" s="144">
        <v>42908</v>
      </c>
      <c r="N236" s="144">
        <v>42909</v>
      </c>
      <c r="O236" s="144" t="str">
        <f>IF( Tabla1[[#This Row],[Fecha de entrega real]]="","NO CONCRETADO",IF(N236&lt;=M236,"CUMPLIÓ","NO CUMPLIÓ"))</f>
        <v>NO CUMPLIÓ</v>
      </c>
      <c r="P236" s="141">
        <f t="shared" si="6"/>
        <v>1</v>
      </c>
      <c r="Q236" s="145" t="s">
        <v>13</v>
      </c>
      <c r="R236" s="145" t="s">
        <v>33</v>
      </c>
      <c r="S236" s="145" t="s">
        <v>989</v>
      </c>
      <c r="T236" s="146" t="s">
        <v>990</v>
      </c>
      <c r="U236" s="159" t="s">
        <v>991</v>
      </c>
      <c r="V236" s="146"/>
      <c r="W236" s="146"/>
      <c r="X236" s="146">
        <f>MONTH(Tabla1[[#This Row],[fecha
de
pedido]])</f>
        <v>6</v>
      </c>
      <c r="Y236" s="146">
        <f>YEAR(Tabla1[[#This Row],[fecha
de
pedido]])</f>
        <v>2017</v>
      </c>
    </row>
    <row r="237" spans="1:25" ht="12.75" customHeight="1" x14ac:dyDescent="0.2">
      <c r="A237" s="157">
        <v>42901</v>
      </c>
      <c r="B237" s="118" t="s">
        <v>487</v>
      </c>
      <c r="C237" s="4" t="s">
        <v>232</v>
      </c>
      <c r="D237" s="133" t="s">
        <v>33</v>
      </c>
      <c r="E237" s="134" t="s">
        <v>11</v>
      </c>
      <c r="F237" s="133" t="s">
        <v>772</v>
      </c>
      <c r="G237" s="134" t="s">
        <v>914</v>
      </c>
      <c r="H237" s="133">
        <v>2</v>
      </c>
      <c r="I237" s="133" t="s">
        <v>898</v>
      </c>
      <c r="J237" s="134" t="s">
        <v>909</v>
      </c>
      <c r="K237" s="133">
        <v>27.5</v>
      </c>
      <c r="L237" s="133">
        <f>Tabla1[[#This Row],[Costo Unitario]]*Tabla1[[#This Row],[cantidad]]</f>
        <v>55</v>
      </c>
      <c r="M237" s="132">
        <v>42901</v>
      </c>
      <c r="N237" s="132">
        <v>42901</v>
      </c>
      <c r="O237" s="132" t="str">
        <f>IF( Tabla1[[#This Row],[Fecha de entrega real]]="","NO CONCRETADO",IF(N237&lt;=M237,"CUMPLIÓ","NO CUMPLIÓ"))</f>
        <v>CUMPLIÓ</v>
      </c>
      <c r="P237" s="141">
        <f t="shared" si="6"/>
        <v>0</v>
      </c>
      <c r="Q237" s="134" t="s">
        <v>917</v>
      </c>
      <c r="R237" s="134" t="s">
        <v>33</v>
      </c>
      <c r="S237" s="134" t="s">
        <v>244</v>
      </c>
      <c r="T237" s="1" t="s">
        <v>1973</v>
      </c>
      <c r="U237" s="135" t="s">
        <v>918</v>
      </c>
      <c r="V237" s="133"/>
      <c r="W237" s="133"/>
      <c r="X237" s="133">
        <f>MONTH(Tabla1[[#This Row],[fecha
de
pedido]])</f>
        <v>6</v>
      </c>
      <c r="Y237" s="133">
        <f>YEAR(Tabla1[[#This Row],[fecha
de
pedido]])</f>
        <v>2017</v>
      </c>
    </row>
    <row r="238" spans="1:25" ht="12.75" customHeight="1" x14ac:dyDescent="0.2">
      <c r="A238" s="157">
        <v>42901</v>
      </c>
      <c r="B238" s="118" t="s">
        <v>487</v>
      </c>
      <c r="C238" s="4" t="s">
        <v>232</v>
      </c>
      <c r="D238" s="133" t="s">
        <v>33</v>
      </c>
      <c r="E238" s="134" t="s">
        <v>11</v>
      </c>
      <c r="F238" s="133" t="s">
        <v>772</v>
      </c>
      <c r="G238" s="134" t="s">
        <v>913</v>
      </c>
      <c r="H238" s="133">
        <v>2</v>
      </c>
      <c r="I238" s="133" t="s">
        <v>898</v>
      </c>
      <c r="J238" s="134" t="s">
        <v>909</v>
      </c>
      <c r="K238" s="133">
        <v>36.5</v>
      </c>
      <c r="L238" s="133">
        <f>Tabla1[[#This Row],[Costo Unitario]]*Tabla1[[#This Row],[cantidad]]</f>
        <v>73</v>
      </c>
      <c r="M238" s="132">
        <v>42901</v>
      </c>
      <c r="N238" s="132">
        <v>42901</v>
      </c>
      <c r="O238" s="132" t="str">
        <f>IF( Tabla1[[#This Row],[Fecha de entrega real]]="","NO CONCRETADO",IF(N238&lt;=M238,"CUMPLIÓ","NO CUMPLIÓ"))</f>
        <v>CUMPLIÓ</v>
      </c>
      <c r="P238" s="141">
        <f t="shared" ref="P238:P262" si="7">IF(N238="","NO CONCRETADO",N238-M238)</f>
        <v>0</v>
      </c>
      <c r="Q238" s="134" t="s">
        <v>917</v>
      </c>
      <c r="R238" s="134" t="s">
        <v>33</v>
      </c>
      <c r="S238" s="134" t="s">
        <v>244</v>
      </c>
      <c r="T238" s="1" t="s">
        <v>1973</v>
      </c>
      <c r="U238" s="135" t="s">
        <v>918</v>
      </c>
      <c r="V238" s="133"/>
      <c r="W238" s="133"/>
      <c r="X238" s="133">
        <f>MONTH(Tabla1[[#This Row],[fecha
de
pedido]])</f>
        <v>6</v>
      </c>
      <c r="Y238" s="133">
        <f>YEAR(Tabla1[[#This Row],[fecha
de
pedido]])</f>
        <v>2017</v>
      </c>
    </row>
    <row r="239" spans="1:25" ht="12.75" customHeight="1" x14ac:dyDescent="0.2">
      <c r="A239" s="157">
        <v>42901</v>
      </c>
      <c r="B239" s="118" t="s">
        <v>487</v>
      </c>
      <c r="C239" s="4" t="s">
        <v>232</v>
      </c>
      <c r="D239" s="133" t="s">
        <v>33</v>
      </c>
      <c r="E239" s="134" t="s">
        <v>11</v>
      </c>
      <c r="F239" s="133" t="s">
        <v>772</v>
      </c>
      <c r="G239" s="134" t="s">
        <v>894</v>
      </c>
      <c r="H239" s="133">
        <v>1</v>
      </c>
      <c r="I239" s="133" t="s">
        <v>799</v>
      </c>
      <c r="J239" s="134" t="s">
        <v>909</v>
      </c>
      <c r="K239" s="133">
        <v>96.5</v>
      </c>
      <c r="L239" s="133">
        <f>Tabla1[[#This Row],[Costo Unitario]]*Tabla1[[#This Row],[cantidad]]</f>
        <v>96.5</v>
      </c>
      <c r="M239" s="132">
        <v>42901</v>
      </c>
      <c r="N239" s="132">
        <v>42901</v>
      </c>
      <c r="O239" s="132" t="str">
        <f>IF( Tabla1[[#This Row],[Fecha de entrega real]]="","NO CONCRETADO",IF(N239&lt;=M239,"CUMPLIÓ","NO CUMPLIÓ"))</f>
        <v>CUMPLIÓ</v>
      </c>
      <c r="P239" s="141">
        <f t="shared" si="7"/>
        <v>0</v>
      </c>
      <c r="Q239" s="134" t="s">
        <v>917</v>
      </c>
      <c r="R239" s="134" t="s">
        <v>33</v>
      </c>
      <c r="S239" s="134" t="s">
        <v>244</v>
      </c>
      <c r="T239" s="1" t="s">
        <v>1973</v>
      </c>
      <c r="U239" s="135" t="s">
        <v>918</v>
      </c>
      <c r="V239" s="133"/>
      <c r="W239" s="133"/>
      <c r="X239" s="133">
        <f>MONTH(Tabla1[[#This Row],[fecha
de
pedido]])</f>
        <v>6</v>
      </c>
      <c r="Y239" s="133">
        <f>YEAR(Tabla1[[#This Row],[fecha
de
pedido]])</f>
        <v>2017</v>
      </c>
    </row>
    <row r="240" spans="1:25" ht="12.75" customHeight="1" x14ac:dyDescent="0.2">
      <c r="A240" s="157">
        <v>42901</v>
      </c>
      <c r="B240" s="118" t="s">
        <v>487</v>
      </c>
      <c r="C240" s="4" t="s">
        <v>232</v>
      </c>
      <c r="D240" s="133" t="s">
        <v>33</v>
      </c>
      <c r="E240" s="134" t="s">
        <v>11</v>
      </c>
      <c r="F240" s="133" t="s">
        <v>772</v>
      </c>
      <c r="G240" s="134" t="s">
        <v>899</v>
      </c>
      <c r="H240" s="133">
        <v>1</v>
      </c>
      <c r="I240" s="133" t="s">
        <v>821</v>
      </c>
      <c r="J240" s="134" t="s">
        <v>909</v>
      </c>
      <c r="K240" s="133">
        <v>89</v>
      </c>
      <c r="L240" s="133">
        <f>Tabla1[[#This Row],[Costo Unitario]]*Tabla1[[#This Row],[cantidad]]</f>
        <v>89</v>
      </c>
      <c r="M240" s="132">
        <v>42901</v>
      </c>
      <c r="N240" s="132">
        <v>42901</v>
      </c>
      <c r="O240" s="132" t="str">
        <f>IF( Tabla1[[#This Row],[Fecha de entrega real]]="","NO CONCRETADO",IF(N240&lt;=M240,"CUMPLIÓ","NO CUMPLIÓ"))</f>
        <v>CUMPLIÓ</v>
      </c>
      <c r="P240" s="141">
        <f t="shared" si="7"/>
        <v>0</v>
      </c>
      <c r="Q240" s="134" t="s">
        <v>917</v>
      </c>
      <c r="R240" s="134" t="s">
        <v>33</v>
      </c>
      <c r="S240" s="134" t="s">
        <v>244</v>
      </c>
      <c r="T240" s="1" t="s">
        <v>1973</v>
      </c>
      <c r="U240" s="135" t="s">
        <v>918</v>
      </c>
      <c r="V240" s="133"/>
      <c r="W240" s="133"/>
      <c r="X240" s="133">
        <f>MONTH(Tabla1[[#This Row],[fecha
de
pedido]])</f>
        <v>6</v>
      </c>
      <c r="Y240" s="133">
        <f>YEAR(Tabla1[[#This Row],[fecha
de
pedido]])</f>
        <v>2017</v>
      </c>
    </row>
    <row r="241" spans="1:25" ht="12.75" customHeight="1" x14ac:dyDescent="0.2">
      <c r="A241" s="157">
        <v>42901</v>
      </c>
      <c r="B241" s="118" t="s">
        <v>487</v>
      </c>
      <c r="C241" s="4" t="s">
        <v>232</v>
      </c>
      <c r="D241" s="133" t="s">
        <v>33</v>
      </c>
      <c r="E241" s="134" t="s">
        <v>11</v>
      </c>
      <c r="F241" s="133" t="s">
        <v>772</v>
      </c>
      <c r="G241" s="134" t="s">
        <v>895</v>
      </c>
      <c r="H241" s="133">
        <v>2</v>
      </c>
      <c r="I241" s="133" t="s">
        <v>897</v>
      </c>
      <c r="J241" s="134" t="s">
        <v>909</v>
      </c>
      <c r="K241" s="133">
        <v>68</v>
      </c>
      <c r="L241" s="133">
        <f>Tabla1[[#This Row],[Costo Unitario]]*Tabla1[[#This Row],[cantidad]]</f>
        <v>136</v>
      </c>
      <c r="M241" s="132">
        <v>42901</v>
      </c>
      <c r="N241" s="132">
        <v>42901</v>
      </c>
      <c r="O241" s="132" t="str">
        <f>IF( Tabla1[[#This Row],[Fecha de entrega real]]="","NO CONCRETADO",IF(N241&lt;=M241,"CUMPLIÓ","NO CUMPLIÓ"))</f>
        <v>CUMPLIÓ</v>
      </c>
      <c r="P241" s="141">
        <f t="shared" si="7"/>
        <v>0</v>
      </c>
      <c r="Q241" s="134" t="s">
        <v>917</v>
      </c>
      <c r="R241" s="134" t="s">
        <v>33</v>
      </c>
      <c r="S241" s="134" t="s">
        <v>244</v>
      </c>
      <c r="T241" s="1" t="s">
        <v>1973</v>
      </c>
      <c r="U241" s="135" t="s">
        <v>918</v>
      </c>
      <c r="V241" s="133"/>
      <c r="W241" s="133"/>
      <c r="X241" s="133">
        <f>MONTH(Tabla1[[#This Row],[fecha
de
pedido]])</f>
        <v>6</v>
      </c>
      <c r="Y241" s="133">
        <f>YEAR(Tabla1[[#This Row],[fecha
de
pedido]])</f>
        <v>2017</v>
      </c>
    </row>
    <row r="242" spans="1:25" ht="12.75" customHeight="1" x14ac:dyDescent="0.2">
      <c r="A242" s="157">
        <v>42901</v>
      </c>
      <c r="B242" s="118" t="s">
        <v>487</v>
      </c>
      <c r="C242" s="4" t="s">
        <v>232</v>
      </c>
      <c r="D242" s="133" t="s">
        <v>33</v>
      </c>
      <c r="E242" s="134" t="s">
        <v>11</v>
      </c>
      <c r="F242" s="133" t="s">
        <v>772</v>
      </c>
      <c r="G242" s="134" t="s">
        <v>902</v>
      </c>
      <c r="H242" s="133">
        <v>1</v>
      </c>
      <c r="I242" s="133" t="s">
        <v>905</v>
      </c>
      <c r="J242" s="134" t="s">
        <v>909</v>
      </c>
      <c r="K242" s="133">
        <v>93.75</v>
      </c>
      <c r="L242" s="133">
        <f>Tabla1[[#This Row],[Costo Unitario]]*Tabla1[[#This Row],[cantidad]]</f>
        <v>93.75</v>
      </c>
      <c r="M242" s="132">
        <v>42901</v>
      </c>
      <c r="N242" s="132">
        <v>42901</v>
      </c>
      <c r="O242" s="132" t="str">
        <f>IF( Tabla1[[#This Row],[Fecha de entrega real]]="","NO CONCRETADO",IF(N242&lt;=M242,"CUMPLIÓ","NO CUMPLIÓ"))</f>
        <v>CUMPLIÓ</v>
      </c>
      <c r="P242" s="141">
        <f t="shared" si="7"/>
        <v>0</v>
      </c>
      <c r="Q242" s="134" t="s">
        <v>917</v>
      </c>
      <c r="R242" s="134" t="s">
        <v>33</v>
      </c>
      <c r="S242" s="134" t="s">
        <v>244</v>
      </c>
      <c r="T242" s="1" t="s">
        <v>1973</v>
      </c>
      <c r="U242" s="135" t="s">
        <v>918</v>
      </c>
      <c r="V242" s="133"/>
      <c r="W242" s="133"/>
      <c r="X242" s="133">
        <f>MONTH(Tabla1[[#This Row],[fecha
de
pedido]])</f>
        <v>6</v>
      </c>
      <c r="Y242" s="133">
        <f>YEAR(Tabla1[[#This Row],[fecha
de
pedido]])</f>
        <v>2017</v>
      </c>
    </row>
    <row r="243" spans="1:25" ht="12.75" customHeight="1" x14ac:dyDescent="0.2">
      <c r="A243" s="157">
        <v>42901</v>
      </c>
      <c r="B243" s="118" t="s">
        <v>487</v>
      </c>
      <c r="C243" s="4" t="s">
        <v>232</v>
      </c>
      <c r="D243" s="133" t="s">
        <v>33</v>
      </c>
      <c r="E243" s="134" t="s">
        <v>11</v>
      </c>
      <c r="F243" s="133" t="s">
        <v>772</v>
      </c>
      <c r="G243" s="134" t="s">
        <v>900</v>
      </c>
      <c r="H243" s="133">
        <v>1</v>
      </c>
      <c r="I243" s="133" t="s">
        <v>903</v>
      </c>
      <c r="J243" s="134" t="s">
        <v>909</v>
      </c>
      <c r="K243" s="133">
        <v>78</v>
      </c>
      <c r="L243" s="133">
        <f>Tabla1[[#This Row],[Costo Unitario]]*Tabla1[[#This Row],[cantidad]]</f>
        <v>78</v>
      </c>
      <c r="M243" s="132">
        <v>42901</v>
      </c>
      <c r="N243" s="132">
        <v>42901</v>
      </c>
      <c r="O243" s="132" t="str">
        <f>IF( Tabla1[[#This Row],[Fecha de entrega real]]="","NO CONCRETADO",IF(N243&lt;=M243,"CUMPLIÓ","NO CUMPLIÓ"))</f>
        <v>CUMPLIÓ</v>
      </c>
      <c r="P243" s="141">
        <f t="shared" si="7"/>
        <v>0</v>
      </c>
      <c r="Q243" s="134" t="s">
        <v>917</v>
      </c>
      <c r="R243" s="134" t="s">
        <v>33</v>
      </c>
      <c r="S243" s="134" t="s">
        <v>244</v>
      </c>
      <c r="T243" s="1" t="s">
        <v>1973</v>
      </c>
      <c r="U243" s="135" t="s">
        <v>918</v>
      </c>
      <c r="V243" s="133"/>
      <c r="W243" s="133"/>
      <c r="X243" s="133">
        <f>MONTH(Tabla1[[#This Row],[fecha
de
pedido]])</f>
        <v>6</v>
      </c>
      <c r="Y243" s="133">
        <f>YEAR(Tabla1[[#This Row],[fecha
de
pedido]])</f>
        <v>2017</v>
      </c>
    </row>
    <row r="244" spans="1:25" ht="12.75" customHeight="1" x14ac:dyDescent="0.2">
      <c r="A244" s="157">
        <v>42901</v>
      </c>
      <c r="B244" s="118" t="s">
        <v>487</v>
      </c>
      <c r="C244" s="4" t="s">
        <v>232</v>
      </c>
      <c r="D244" s="133" t="s">
        <v>33</v>
      </c>
      <c r="E244" s="134" t="s">
        <v>11</v>
      </c>
      <c r="F244" s="133" t="s">
        <v>772</v>
      </c>
      <c r="G244" s="134" t="s">
        <v>901</v>
      </c>
      <c r="H244" s="133">
        <v>10</v>
      </c>
      <c r="I244" s="133" t="s">
        <v>904</v>
      </c>
      <c r="J244" s="134" t="s">
        <v>909</v>
      </c>
      <c r="K244" s="133">
        <v>11.75</v>
      </c>
      <c r="L244" s="133">
        <f>Tabla1[[#This Row],[Costo Unitario]]*Tabla1[[#This Row],[cantidad]]</f>
        <v>117.5</v>
      </c>
      <c r="M244" s="132">
        <v>42901</v>
      </c>
      <c r="N244" s="132">
        <v>42901</v>
      </c>
      <c r="O244" s="132" t="str">
        <f>IF( Tabla1[[#This Row],[Fecha de entrega real]]="","NO CONCRETADO",IF(N244&lt;=M244,"CUMPLIÓ","NO CUMPLIÓ"))</f>
        <v>CUMPLIÓ</v>
      </c>
      <c r="P244" s="141">
        <f t="shared" si="7"/>
        <v>0</v>
      </c>
      <c r="Q244" s="134" t="s">
        <v>917</v>
      </c>
      <c r="R244" s="134" t="s">
        <v>33</v>
      </c>
      <c r="S244" s="134" t="s">
        <v>244</v>
      </c>
      <c r="T244" s="1" t="s">
        <v>1973</v>
      </c>
      <c r="U244" s="135" t="s">
        <v>918</v>
      </c>
      <c r="V244" s="133"/>
      <c r="W244" s="133"/>
      <c r="X244" s="133">
        <f>MONTH(Tabla1[[#This Row],[fecha
de
pedido]])</f>
        <v>6</v>
      </c>
      <c r="Y244" s="133">
        <f>YEAR(Tabla1[[#This Row],[fecha
de
pedido]])</f>
        <v>2017</v>
      </c>
    </row>
    <row r="245" spans="1:25" ht="12.75" customHeight="1" x14ac:dyDescent="0.2">
      <c r="A245" s="157">
        <v>42901</v>
      </c>
      <c r="B245" s="118" t="s">
        <v>487</v>
      </c>
      <c r="C245" s="4" t="s">
        <v>232</v>
      </c>
      <c r="D245" s="133" t="s">
        <v>33</v>
      </c>
      <c r="E245" s="134" t="s">
        <v>11</v>
      </c>
      <c r="F245" s="133" t="s">
        <v>772</v>
      </c>
      <c r="G245" s="134" t="s">
        <v>915</v>
      </c>
      <c r="H245" s="133">
        <v>1</v>
      </c>
      <c r="I245" s="133" t="s">
        <v>916</v>
      </c>
      <c r="J245" s="134" t="s">
        <v>909</v>
      </c>
      <c r="K245" s="133">
        <v>40.5</v>
      </c>
      <c r="L245" s="133">
        <f>Tabla1[[#This Row],[Costo Unitario]]*Tabla1[[#This Row],[cantidad]]</f>
        <v>40.5</v>
      </c>
      <c r="M245" s="132">
        <v>42901</v>
      </c>
      <c r="N245" s="132">
        <v>42901</v>
      </c>
      <c r="O245" s="132" t="str">
        <f>IF( Tabla1[[#This Row],[Fecha de entrega real]]="","NO CONCRETADO",IF(N245&lt;=M245,"CUMPLIÓ","NO CUMPLIÓ"))</f>
        <v>CUMPLIÓ</v>
      </c>
      <c r="P245" s="141">
        <f t="shared" si="7"/>
        <v>0</v>
      </c>
      <c r="Q245" s="134" t="s">
        <v>917</v>
      </c>
      <c r="R245" s="134" t="s">
        <v>33</v>
      </c>
      <c r="S245" s="134" t="s">
        <v>244</v>
      </c>
      <c r="T245" s="1" t="s">
        <v>1973</v>
      </c>
      <c r="U245" s="135" t="s">
        <v>918</v>
      </c>
      <c r="V245" s="133"/>
      <c r="W245" s="133"/>
      <c r="X245" s="133">
        <f>MONTH(Tabla1[[#This Row],[fecha
de
pedido]])</f>
        <v>6</v>
      </c>
      <c r="Y245" s="133">
        <f>YEAR(Tabla1[[#This Row],[fecha
de
pedido]])</f>
        <v>2017</v>
      </c>
    </row>
    <row r="246" spans="1:25" ht="12.75" customHeight="1" x14ac:dyDescent="0.2">
      <c r="A246" s="157">
        <v>42901</v>
      </c>
      <c r="B246" s="118" t="s">
        <v>487</v>
      </c>
      <c r="C246" s="4" t="s">
        <v>232</v>
      </c>
      <c r="D246" s="133" t="s">
        <v>33</v>
      </c>
      <c r="E246" s="134" t="s">
        <v>11</v>
      </c>
      <c r="F246" s="133" t="s">
        <v>772</v>
      </c>
      <c r="G246" s="4" t="s">
        <v>1100</v>
      </c>
      <c r="H246" s="133">
        <v>2</v>
      </c>
      <c r="I246" s="133" t="s">
        <v>896</v>
      </c>
      <c r="J246" s="134" t="s">
        <v>909</v>
      </c>
      <c r="K246" s="133">
        <v>16.75</v>
      </c>
      <c r="L246" s="133">
        <f>Tabla1[[#This Row],[Costo Unitario]]*Tabla1[[#This Row],[cantidad]]</f>
        <v>33.5</v>
      </c>
      <c r="M246" s="132">
        <v>42901</v>
      </c>
      <c r="N246" s="132">
        <v>42901</v>
      </c>
      <c r="O246" s="132" t="str">
        <f>IF( Tabla1[[#This Row],[Fecha de entrega real]]="","NO CONCRETADO",IF(N246&lt;=M246,"CUMPLIÓ","NO CUMPLIÓ"))</f>
        <v>CUMPLIÓ</v>
      </c>
      <c r="P246" s="141">
        <f t="shared" si="7"/>
        <v>0</v>
      </c>
      <c r="Q246" s="134" t="s">
        <v>917</v>
      </c>
      <c r="R246" s="134" t="s">
        <v>33</v>
      </c>
      <c r="S246" s="134" t="s">
        <v>244</v>
      </c>
      <c r="T246" s="1" t="s">
        <v>1973</v>
      </c>
      <c r="U246" s="135" t="s">
        <v>918</v>
      </c>
      <c r="V246" s="133"/>
      <c r="W246" s="133"/>
      <c r="X246" s="133">
        <f>MONTH(Tabla1[[#This Row],[fecha
de
pedido]])</f>
        <v>6</v>
      </c>
      <c r="Y246" s="133">
        <f>YEAR(Tabla1[[#This Row],[fecha
de
pedido]])</f>
        <v>2017</v>
      </c>
    </row>
    <row r="247" spans="1:25" ht="25.5" customHeight="1" x14ac:dyDescent="0.2">
      <c r="A247" s="157">
        <v>42901</v>
      </c>
      <c r="B247" s="118" t="s">
        <v>487</v>
      </c>
      <c r="C247" s="4" t="s">
        <v>33</v>
      </c>
      <c r="D247" s="133" t="s">
        <v>33</v>
      </c>
      <c r="E247" s="134" t="s">
        <v>888</v>
      </c>
      <c r="F247" s="133" t="s">
        <v>772</v>
      </c>
      <c r="G247" s="24" t="s">
        <v>204</v>
      </c>
      <c r="H247" s="133">
        <v>200</v>
      </c>
      <c r="I247" s="133" t="s">
        <v>779</v>
      </c>
      <c r="J247" s="134" t="s">
        <v>12</v>
      </c>
      <c r="K247" s="133">
        <v>4.5</v>
      </c>
      <c r="L247" s="133">
        <f>4.5*Tabla1[[#This Row],[cantidad]]</f>
        <v>900</v>
      </c>
      <c r="M247" s="132">
        <v>42902</v>
      </c>
      <c r="N247" s="132">
        <v>42901</v>
      </c>
      <c r="O247" s="132" t="str">
        <f>IF( Tabla1[[#This Row],[Fecha de entrega real]]="","NO CONCRETADO",IF(N247&lt;=M247,"CUMPLIÓ","NO CUMPLIÓ"))</f>
        <v>CUMPLIÓ</v>
      </c>
      <c r="P247" s="141">
        <f t="shared" si="7"/>
        <v>-1</v>
      </c>
      <c r="Q247" s="134" t="s">
        <v>13</v>
      </c>
      <c r="R247" s="134" t="s">
        <v>33</v>
      </c>
      <c r="S247" s="134" t="s">
        <v>890</v>
      </c>
      <c r="T247" s="1" t="s">
        <v>1973</v>
      </c>
      <c r="U247" s="135" t="s">
        <v>892</v>
      </c>
      <c r="V247" s="133"/>
      <c r="W247" s="133"/>
      <c r="X247" s="133">
        <f>MONTH(Tabla1[[#This Row],[fecha
de
pedido]])</f>
        <v>6</v>
      </c>
      <c r="Y247" s="133">
        <f>YEAR(Tabla1[[#This Row],[fecha
de
pedido]])</f>
        <v>2017</v>
      </c>
    </row>
    <row r="248" spans="1:25" ht="25.5" customHeight="1" x14ac:dyDescent="0.2">
      <c r="A248" s="157">
        <v>42902</v>
      </c>
      <c r="B248" s="118" t="s">
        <v>487</v>
      </c>
      <c r="C248" s="4" t="s">
        <v>957</v>
      </c>
      <c r="D248" s="1" t="s">
        <v>247</v>
      </c>
      <c r="E248" s="4" t="s">
        <v>11</v>
      </c>
      <c r="F248" s="1" t="s">
        <v>958</v>
      </c>
      <c r="G248" s="4" t="s">
        <v>959</v>
      </c>
      <c r="H248" s="133">
        <v>1</v>
      </c>
      <c r="I248" s="1" t="s">
        <v>799</v>
      </c>
      <c r="J248" s="4" t="s">
        <v>960</v>
      </c>
      <c r="K248" s="133">
        <v>430</v>
      </c>
      <c r="L248" s="133">
        <f>Tabla1[[#This Row],[Costo Unitario]]*Tabla1[[#This Row],[cantidad]]</f>
        <v>430</v>
      </c>
      <c r="M248" s="132">
        <v>42902</v>
      </c>
      <c r="N248" s="132">
        <v>42902</v>
      </c>
      <c r="O248" s="132" t="str">
        <f>IF( Tabla1[[#This Row],[Fecha de entrega real]]="","NO CONCRETADO",IF(N248&lt;=M248,"CUMPLIÓ","NO CUMPLIÓ"))</f>
        <v>CUMPLIÓ</v>
      </c>
      <c r="P248" s="141">
        <f t="shared" si="7"/>
        <v>0</v>
      </c>
      <c r="Q248" s="134" t="s">
        <v>917</v>
      </c>
      <c r="R248" s="4" t="s">
        <v>247</v>
      </c>
      <c r="S248" s="4" t="s">
        <v>961</v>
      </c>
      <c r="T248" s="1" t="s">
        <v>1973</v>
      </c>
      <c r="U248" s="107" t="s">
        <v>962</v>
      </c>
      <c r="V248" s="133"/>
      <c r="W248" s="133"/>
      <c r="X248" s="133">
        <f>MONTH(Tabla1[[#This Row],[fecha
de
pedido]])</f>
        <v>6</v>
      </c>
      <c r="Y248" s="133">
        <f>YEAR(Tabla1[[#This Row],[fecha
de
pedido]])</f>
        <v>2017</v>
      </c>
    </row>
    <row r="249" spans="1:25" ht="25.5" customHeight="1" x14ac:dyDescent="0.2">
      <c r="A249" s="158">
        <v>42905</v>
      </c>
      <c r="B249" s="118" t="s">
        <v>487</v>
      </c>
      <c r="C249" s="145" t="s">
        <v>33</v>
      </c>
      <c r="D249" s="1" t="s">
        <v>33</v>
      </c>
      <c r="E249" s="145" t="s">
        <v>11</v>
      </c>
      <c r="F249" s="146" t="s">
        <v>772</v>
      </c>
      <c r="G249" s="145" t="s">
        <v>969</v>
      </c>
      <c r="H249" s="146">
        <v>2</v>
      </c>
      <c r="I249" s="146" t="s">
        <v>800</v>
      </c>
      <c r="J249" s="134" t="s">
        <v>910</v>
      </c>
      <c r="K249" s="146">
        <v>8.18</v>
      </c>
      <c r="L249" s="133">
        <f>Tabla1[[#This Row],[Costo Unitario]]*Tabla1[[#This Row],[cantidad]]</f>
        <v>16.36</v>
      </c>
      <c r="M249" s="132">
        <v>42570</v>
      </c>
      <c r="N249" s="132">
        <v>42570</v>
      </c>
      <c r="O249" s="144" t="str">
        <f>IF( Tabla1[[#This Row],[Fecha de entrega real]]="","NO CONCRETADO",IF(N249&lt;=M249,"CUMPLIÓ","NO CUMPLIÓ"))</f>
        <v>CUMPLIÓ</v>
      </c>
      <c r="P249" s="141">
        <f t="shared" si="7"/>
        <v>0</v>
      </c>
      <c r="Q249" s="134" t="s">
        <v>917</v>
      </c>
      <c r="R249" s="4" t="s">
        <v>33</v>
      </c>
      <c r="S249" s="4" t="s">
        <v>973</v>
      </c>
      <c r="T249" s="1" t="s">
        <v>1973</v>
      </c>
      <c r="U249" s="107" t="s">
        <v>970</v>
      </c>
      <c r="V249" s="146"/>
      <c r="W249" s="146"/>
      <c r="X249" s="146">
        <f>MONTH(Tabla1[[#This Row],[fecha
de
pedido]])</f>
        <v>6</v>
      </c>
      <c r="Y249" s="146">
        <f>YEAR(Tabla1[[#This Row],[fecha
de
pedido]])</f>
        <v>2017</v>
      </c>
    </row>
    <row r="250" spans="1:25" ht="38.25" customHeight="1" x14ac:dyDescent="0.2">
      <c r="A250" s="157">
        <v>42905</v>
      </c>
      <c r="B250" s="118" t="s">
        <v>487</v>
      </c>
      <c r="C250" s="145" t="s">
        <v>33</v>
      </c>
      <c r="D250" s="1" t="s">
        <v>33</v>
      </c>
      <c r="E250" s="145" t="s">
        <v>11</v>
      </c>
      <c r="F250" s="146" t="s">
        <v>772</v>
      </c>
      <c r="G250" s="145" t="s">
        <v>968</v>
      </c>
      <c r="H250" s="146">
        <v>3</v>
      </c>
      <c r="I250" s="146" t="s">
        <v>784</v>
      </c>
      <c r="J250" s="134" t="s">
        <v>910</v>
      </c>
      <c r="K250" s="146">
        <v>6.6</v>
      </c>
      <c r="L250" s="133">
        <f>Tabla1[[#This Row],[Costo Unitario]]*Tabla1[[#This Row],[cantidad]]</f>
        <v>19.799999999999997</v>
      </c>
      <c r="M250" s="132">
        <v>42570</v>
      </c>
      <c r="N250" s="132">
        <v>42570</v>
      </c>
      <c r="O250" s="144" t="str">
        <f>IF( Tabla1[[#This Row],[Fecha de entrega real]]="","NO CONCRETADO",IF(N250&lt;=M250,"CUMPLIÓ","NO CUMPLIÓ"))</f>
        <v>CUMPLIÓ</v>
      </c>
      <c r="P250" s="141">
        <f t="shared" si="7"/>
        <v>0</v>
      </c>
      <c r="Q250" s="134" t="s">
        <v>917</v>
      </c>
      <c r="R250" s="4" t="s">
        <v>33</v>
      </c>
      <c r="S250" s="4" t="s">
        <v>974</v>
      </c>
      <c r="T250" s="1" t="s">
        <v>1973</v>
      </c>
      <c r="U250" s="107" t="s">
        <v>970</v>
      </c>
      <c r="V250" s="146"/>
      <c r="W250" s="146"/>
      <c r="X250" s="146">
        <f>MONTH(Tabla1[[#This Row],[fecha
de
pedido]])</f>
        <v>6</v>
      </c>
      <c r="Y250" s="146">
        <f>YEAR(Tabla1[[#This Row],[fecha
de
pedido]])</f>
        <v>2017</v>
      </c>
    </row>
    <row r="251" spans="1:25" ht="38.25" customHeight="1" x14ac:dyDescent="0.2">
      <c r="A251" s="158">
        <v>42905</v>
      </c>
      <c r="B251" s="118" t="s">
        <v>487</v>
      </c>
      <c r="C251" s="145" t="s">
        <v>33</v>
      </c>
      <c r="D251" s="1" t="s">
        <v>33</v>
      </c>
      <c r="E251" s="145" t="s">
        <v>11</v>
      </c>
      <c r="F251" s="146" t="s">
        <v>772</v>
      </c>
      <c r="G251" s="145" t="s">
        <v>967</v>
      </c>
      <c r="H251" s="133">
        <v>1</v>
      </c>
      <c r="I251" s="1" t="s">
        <v>799</v>
      </c>
      <c r="J251" s="134" t="s">
        <v>910</v>
      </c>
      <c r="K251" s="146">
        <v>4.38</v>
      </c>
      <c r="L251" s="133">
        <f>Tabla1[[#This Row],[Costo Unitario]]*Tabla1[[#This Row],[cantidad]]</f>
        <v>4.38</v>
      </c>
      <c r="M251" s="132">
        <v>42570</v>
      </c>
      <c r="N251" s="132">
        <v>42570</v>
      </c>
      <c r="O251" s="144" t="str">
        <f>IF( Tabla1[[#This Row],[Fecha de entrega real]]="","NO CONCRETADO",IF(N251&lt;=M251,"CUMPLIÓ","NO CUMPLIÓ"))</f>
        <v>CUMPLIÓ</v>
      </c>
      <c r="P251" s="141">
        <f t="shared" si="7"/>
        <v>0</v>
      </c>
      <c r="Q251" s="134" t="s">
        <v>917</v>
      </c>
      <c r="R251" s="4" t="s">
        <v>33</v>
      </c>
      <c r="S251" s="4" t="s">
        <v>974</v>
      </c>
      <c r="T251" s="1" t="s">
        <v>1973</v>
      </c>
      <c r="U251" s="107" t="s">
        <v>970</v>
      </c>
      <c r="V251" s="146"/>
      <c r="W251" s="146"/>
      <c r="X251" s="146">
        <f>MONTH(Tabla1[[#This Row],[fecha
de
pedido]])</f>
        <v>6</v>
      </c>
      <c r="Y251" s="146">
        <f>YEAR(Tabla1[[#This Row],[fecha
de
pedido]])</f>
        <v>2017</v>
      </c>
    </row>
    <row r="252" spans="1:25" ht="38.25" customHeight="1" x14ac:dyDescent="0.2">
      <c r="A252" s="157">
        <v>42905</v>
      </c>
      <c r="B252" s="118" t="s">
        <v>487</v>
      </c>
      <c r="C252" s="4" t="s">
        <v>33</v>
      </c>
      <c r="D252" s="1" t="s">
        <v>33</v>
      </c>
      <c r="E252" s="4" t="s">
        <v>11</v>
      </c>
      <c r="F252" s="1" t="s">
        <v>772</v>
      </c>
      <c r="G252" s="4" t="s">
        <v>966</v>
      </c>
      <c r="H252" s="133">
        <v>1</v>
      </c>
      <c r="I252" s="1" t="s">
        <v>931</v>
      </c>
      <c r="J252" s="134" t="s">
        <v>910</v>
      </c>
      <c r="K252" s="133">
        <v>91.01</v>
      </c>
      <c r="L252" s="133">
        <f>Tabla1[[#This Row],[Costo Unitario]]*Tabla1[[#This Row],[cantidad]]</f>
        <v>91.01</v>
      </c>
      <c r="M252" s="132">
        <v>42570</v>
      </c>
      <c r="N252" s="132">
        <v>42570</v>
      </c>
      <c r="O252" s="132" t="str">
        <f>IF( Tabla1[[#This Row],[Fecha de entrega real]]="","NO CONCRETADO",IF(N252&lt;=M252,"CUMPLIÓ","NO CUMPLIÓ"))</f>
        <v>CUMPLIÓ</v>
      </c>
      <c r="P252" s="141">
        <f t="shared" si="7"/>
        <v>0</v>
      </c>
      <c r="Q252" s="134" t="s">
        <v>917</v>
      </c>
      <c r="R252" s="4" t="s">
        <v>33</v>
      </c>
      <c r="S252" s="4" t="s">
        <v>974</v>
      </c>
      <c r="T252" s="1" t="s">
        <v>1973</v>
      </c>
      <c r="U252" s="107" t="s">
        <v>970</v>
      </c>
      <c r="V252" s="133"/>
      <c r="W252" s="133"/>
      <c r="X252" s="133">
        <f>MONTH(Tabla1[[#This Row],[fecha
de
pedido]])</f>
        <v>6</v>
      </c>
      <c r="Y252" s="133">
        <f>YEAR(Tabla1[[#This Row],[fecha
de
pedido]])</f>
        <v>2017</v>
      </c>
    </row>
    <row r="253" spans="1:25" ht="25.5" customHeight="1" x14ac:dyDescent="0.2">
      <c r="A253" s="158">
        <v>42908</v>
      </c>
      <c r="B253" s="118" t="s">
        <v>487</v>
      </c>
      <c r="C253" s="145" t="s">
        <v>976</v>
      </c>
      <c r="D253" s="146" t="s">
        <v>975</v>
      </c>
      <c r="E253" s="145" t="s">
        <v>11</v>
      </c>
      <c r="F253" s="146" t="s">
        <v>772</v>
      </c>
      <c r="G253" s="145" t="s">
        <v>979</v>
      </c>
      <c r="H253" s="146">
        <v>1</v>
      </c>
      <c r="I253" s="146" t="s">
        <v>488</v>
      </c>
      <c r="J253" s="145" t="s">
        <v>77</v>
      </c>
      <c r="K253" s="146">
        <v>5083.21</v>
      </c>
      <c r="L253" s="133">
        <f>Tabla1[[#This Row],[Costo Unitario]]*Tabla1[[#This Row],[cantidad]]</f>
        <v>5083.21</v>
      </c>
      <c r="M253" s="144">
        <v>42909</v>
      </c>
      <c r="N253" s="144">
        <v>42909</v>
      </c>
      <c r="O253" s="144" t="str">
        <f>IF( Tabla1[[#This Row],[Fecha de entrega real]]="","NO CONCRETADO",IF(N253&lt;=M253,"CUMPLIÓ","NO CUMPLIÓ"))</f>
        <v>CUMPLIÓ</v>
      </c>
      <c r="P253" s="141">
        <f t="shared" si="7"/>
        <v>0</v>
      </c>
      <c r="Q253" s="145" t="s">
        <v>451</v>
      </c>
      <c r="R253" s="145" t="s">
        <v>977</v>
      </c>
      <c r="S253" s="145" t="s">
        <v>978</v>
      </c>
      <c r="T253" s="1" t="s">
        <v>1973</v>
      </c>
      <c r="U253" s="159"/>
      <c r="V253" s="146"/>
      <c r="W253" s="146"/>
      <c r="X253" s="146">
        <f>MONTH(Tabla1[[#This Row],[fecha
de
pedido]])</f>
        <v>6</v>
      </c>
      <c r="Y253" s="146">
        <f>YEAR(Tabla1[[#This Row],[fecha
de
pedido]])</f>
        <v>2017</v>
      </c>
    </row>
    <row r="254" spans="1:25" ht="51" customHeight="1" x14ac:dyDescent="0.2">
      <c r="A254" s="161">
        <v>42913</v>
      </c>
      <c r="B254" s="118" t="s">
        <v>487</v>
      </c>
      <c r="C254" s="4" t="s">
        <v>227</v>
      </c>
      <c r="D254" s="1" t="s">
        <v>33</v>
      </c>
      <c r="E254" s="4" t="s">
        <v>277</v>
      </c>
      <c r="F254" s="1" t="s">
        <v>817</v>
      </c>
      <c r="G254" s="24" t="s">
        <v>467</v>
      </c>
      <c r="H254" s="163">
        <v>1</v>
      </c>
      <c r="I254" s="1" t="s">
        <v>488</v>
      </c>
      <c r="J254" s="4" t="s">
        <v>466</v>
      </c>
      <c r="K254" s="163">
        <v>465.85</v>
      </c>
      <c r="L254" s="133">
        <f>Tabla1[[#This Row],[Costo Unitario]]*Tabla1[[#This Row],[cantidad]]</f>
        <v>465.85</v>
      </c>
      <c r="M254" s="164">
        <v>42949</v>
      </c>
      <c r="N254" s="164">
        <v>42942</v>
      </c>
      <c r="O254" s="164" t="str">
        <f>IF( Tabla1[[#This Row],[Fecha de entrega real]]="","NO CONCRETADO",IF(N254&lt;=M254,"CUMPLIÓ","NO CUMPLIÓ"))</f>
        <v>CUMPLIÓ</v>
      </c>
      <c r="P254" s="141">
        <f t="shared" si="7"/>
        <v>-7</v>
      </c>
      <c r="Q254" s="4" t="s">
        <v>818</v>
      </c>
      <c r="R254" s="4" t="s">
        <v>1105</v>
      </c>
      <c r="S254" s="4" t="s">
        <v>1106</v>
      </c>
      <c r="T254" s="1" t="s">
        <v>1108</v>
      </c>
      <c r="U254" s="166" t="s">
        <v>1079</v>
      </c>
      <c r="V254" s="163"/>
      <c r="W254" s="163"/>
      <c r="X254" s="163">
        <f>MONTH(Tabla1[[#This Row],[fecha
de
pedido]])</f>
        <v>6</v>
      </c>
      <c r="Y254" s="163">
        <f>YEAR(Tabla1[[#This Row],[fecha
de
pedido]])</f>
        <v>2017</v>
      </c>
    </row>
    <row r="255" spans="1:25" ht="25.5" customHeight="1" x14ac:dyDescent="0.2">
      <c r="A255" s="161">
        <v>42913</v>
      </c>
      <c r="B255" s="118" t="s">
        <v>487</v>
      </c>
      <c r="C255" s="4" t="s">
        <v>227</v>
      </c>
      <c r="D255" s="1" t="s">
        <v>33</v>
      </c>
      <c r="E255" s="4" t="s">
        <v>277</v>
      </c>
      <c r="F255" s="1" t="s">
        <v>817</v>
      </c>
      <c r="G255" s="178" t="s">
        <v>1064</v>
      </c>
      <c r="H255" s="176">
        <v>2</v>
      </c>
      <c r="I255" s="176" t="s">
        <v>784</v>
      </c>
      <c r="J255" s="4" t="s">
        <v>466</v>
      </c>
      <c r="K255" s="176">
        <v>168</v>
      </c>
      <c r="L255" s="133">
        <f>Tabla1[[#This Row],[Costo Unitario]]*Tabla1[[#This Row],[cantidad]]</f>
        <v>336</v>
      </c>
      <c r="M255" s="179">
        <v>42949</v>
      </c>
      <c r="N255" s="179">
        <v>42942</v>
      </c>
      <c r="O255" s="179" t="str">
        <f>IF( Tabla1[[#This Row],[Fecha de entrega real]]="","NO CONCRETADO",IF(N255&lt;=M255,"CUMPLIÓ","NO CUMPLIÓ"))</f>
        <v>CUMPLIÓ</v>
      </c>
      <c r="P255" s="141">
        <f t="shared" si="7"/>
        <v>-7</v>
      </c>
      <c r="Q255" s="4" t="s">
        <v>818</v>
      </c>
      <c r="R255" s="4" t="s">
        <v>1105</v>
      </c>
      <c r="S255" s="4" t="s">
        <v>1107</v>
      </c>
      <c r="T255" s="1" t="s">
        <v>1108</v>
      </c>
      <c r="U255" s="107" t="s">
        <v>1079</v>
      </c>
      <c r="V255" s="176"/>
      <c r="W255" s="176"/>
      <c r="X255" s="176">
        <f>MONTH(Tabla1[[#This Row],[fecha
de
pedido]])</f>
        <v>6</v>
      </c>
      <c r="Y255" s="176">
        <f>YEAR(Tabla1[[#This Row],[fecha
de
pedido]])</f>
        <v>2017</v>
      </c>
    </row>
    <row r="256" spans="1:25" ht="25.5" customHeight="1" x14ac:dyDescent="0.2">
      <c r="A256" s="152">
        <v>42913</v>
      </c>
      <c r="B256" s="118" t="s">
        <v>487</v>
      </c>
      <c r="C256" s="4" t="s">
        <v>466</v>
      </c>
      <c r="D256" s="1" t="s">
        <v>487</v>
      </c>
      <c r="E256" s="4" t="s">
        <v>487</v>
      </c>
      <c r="F256" s="1" t="s">
        <v>834</v>
      </c>
      <c r="G256" s="4" t="s">
        <v>1109</v>
      </c>
      <c r="H256" s="1">
        <v>1</v>
      </c>
      <c r="I256" s="1" t="s">
        <v>830</v>
      </c>
      <c r="J256" s="4" t="s">
        <v>841</v>
      </c>
      <c r="K256" s="1">
        <v>223.85</v>
      </c>
      <c r="L256" s="133">
        <f>Tabla1[[#This Row],[Costo Unitario]]*Tabla1[[#This Row],[cantidad]]</f>
        <v>223.85</v>
      </c>
      <c r="M256" s="88">
        <v>42942</v>
      </c>
      <c r="N256" s="88">
        <v>42942</v>
      </c>
      <c r="O256" s="88" t="str">
        <f>IF( Tabla1[[#This Row],[Fecha de entrega real]]="","NO CONCRETADO",IF(N256&lt;=M256,"CUMPLIÓ","NO CUMPLIÓ"))</f>
        <v>CUMPLIÓ</v>
      </c>
      <c r="P256" s="141">
        <f t="shared" si="7"/>
        <v>0</v>
      </c>
      <c r="Q256" s="4" t="s">
        <v>818</v>
      </c>
      <c r="R256" s="4" t="s">
        <v>1110</v>
      </c>
      <c r="S256" s="4" t="s">
        <v>1111</v>
      </c>
      <c r="T256" s="1" t="s">
        <v>1113</v>
      </c>
      <c r="U256" s="107" t="s">
        <v>1112</v>
      </c>
      <c r="X256" s="1">
        <f>MONTH(Tabla1[[#This Row],[fecha
de
pedido]])</f>
        <v>6</v>
      </c>
      <c r="Y256" s="1">
        <f>YEAR(Tabla1[[#This Row],[fecha
de
pedido]])</f>
        <v>2017</v>
      </c>
    </row>
    <row r="257" spans="1:25" ht="25.5" customHeight="1" x14ac:dyDescent="0.2">
      <c r="A257" s="152">
        <v>42914</v>
      </c>
      <c r="B257" s="118" t="s">
        <v>487</v>
      </c>
      <c r="C257" s="4" t="s">
        <v>995</v>
      </c>
      <c r="D257" s="146" t="s">
        <v>975</v>
      </c>
      <c r="E257" s="145" t="s">
        <v>11</v>
      </c>
      <c r="F257" s="146" t="s">
        <v>772</v>
      </c>
      <c r="G257" s="4" t="s">
        <v>996</v>
      </c>
      <c r="H257" s="1">
        <v>20</v>
      </c>
      <c r="I257" s="1" t="s">
        <v>784</v>
      </c>
      <c r="J257" s="4" t="s">
        <v>59</v>
      </c>
      <c r="K257" s="1">
        <v>8.5</v>
      </c>
      <c r="L257" s="133">
        <f>Tabla1[[#This Row],[Costo Unitario]]*Tabla1[[#This Row],[cantidad]]</f>
        <v>170</v>
      </c>
      <c r="M257" s="88">
        <v>42914</v>
      </c>
      <c r="N257" s="88">
        <v>42914</v>
      </c>
      <c r="O257" s="88" t="str">
        <f>IF( Tabla1[[#This Row],[Fecha de entrega real]]="","NO CONCRETADO",IF(N257&lt;=M257,"CUMPLIÓ","NO CUMPLIÓ"))</f>
        <v>CUMPLIÓ</v>
      </c>
      <c r="P257" s="141">
        <f t="shared" si="7"/>
        <v>0</v>
      </c>
      <c r="Q257" s="4" t="s">
        <v>917</v>
      </c>
      <c r="R257" s="4" t="s">
        <v>997</v>
      </c>
      <c r="S257" s="4" t="s">
        <v>998</v>
      </c>
      <c r="U257" s="107" t="s">
        <v>999</v>
      </c>
      <c r="X257" s="1">
        <f>MONTH(Tabla1[[#This Row],[fecha
de
pedido]])</f>
        <v>6</v>
      </c>
      <c r="Y257" s="1">
        <f>YEAR(Tabla1[[#This Row],[fecha
de
pedido]])</f>
        <v>2017</v>
      </c>
    </row>
    <row r="258" spans="1:25" ht="38.25" customHeight="1" x14ac:dyDescent="0.2">
      <c r="A258" s="152">
        <v>42914</v>
      </c>
      <c r="B258" s="118" t="s">
        <v>487</v>
      </c>
      <c r="C258" s="182" t="s">
        <v>906</v>
      </c>
      <c r="D258" s="146" t="s">
        <v>975</v>
      </c>
      <c r="E258" s="145" t="s">
        <v>11</v>
      </c>
      <c r="F258" s="146" t="s">
        <v>772</v>
      </c>
      <c r="G258" s="182" t="s">
        <v>1101</v>
      </c>
      <c r="H258" s="183">
        <v>6</v>
      </c>
      <c r="I258" s="1" t="s">
        <v>784</v>
      </c>
      <c r="J258" s="182" t="s">
        <v>225</v>
      </c>
      <c r="K258" s="186">
        <v>960</v>
      </c>
      <c r="L258" s="133">
        <f>Tabla1[[#This Row],[Costo Unitario]]*Tabla1[[#This Row],[cantidad]]</f>
        <v>5760</v>
      </c>
      <c r="M258" s="184">
        <v>42942</v>
      </c>
      <c r="N258" s="184">
        <v>42962</v>
      </c>
      <c r="O258" s="184" t="str">
        <f>IF( Tabla1[[#This Row],[Fecha de entrega real]]="","NO CONCRETADO",IF(N258&lt;=M258,"CUMPLIÓ","NO CUMPLIÓ"))</f>
        <v>NO CUMPLIÓ</v>
      </c>
      <c r="P258" s="141">
        <f t="shared" si="7"/>
        <v>20</v>
      </c>
      <c r="Q258" s="4" t="s">
        <v>1099</v>
      </c>
      <c r="R258" s="4" t="s">
        <v>33</v>
      </c>
      <c r="S258" s="4" t="s">
        <v>1187</v>
      </c>
      <c r="T258" s="4" t="s">
        <v>1188</v>
      </c>
      <c r="U258" s="148" t="s">
        <v>1189</v>
      </c>
      <c r="V258" s="183"/>
      <c r="W258" s="183"/>
      <c r="X258" s="183">
        <f>MONTH(Tabla1[[#This Row],[fecha
de
pedido]])</f>
        <v>6</v>
      </c>
      <c r="Y258" s="183">
        <f>YEAR(Tabla1[[#This Row],[fecha
de
pedido]])</f>
        <v>2017</v>
      </c>
    </row>
    <row r="259" spans="1:25" ht="38.25" customHeight="1" x14ac:dyDescent="0.2">
      <c r="A259" s="152">
        <v>42914</v>
      </c>
      <c r="B259" s="118" t="s">
        <v>487</v>
      </c>
      <c r="C259" s="182" t="s">
        <v>1103</v>
      </c>
      <c r="D259" s="146" t="s">
        <v>975</v>
      </c>
      <c r="E259" s="145" t="s">
        <v>11</v>
      </c>
      <c r="F259" s="146" t="s">
        <v>772</v>
      </c>
      <c r="G259" s="182" t="s">
        <v>1104</v>
      </c>
      <c r="H259" s="183">
        <v>2</v>
      </c>
      <c r="I259" s="1" t="s">
        <v>784</v>
      </c>
      <c r="J259" s="182" t="s">
        <v>225</v>
      </c>
      <c r="K259" s="183">
        <v>1658</v>
      </c>
      <c r="L259" s="133">
        <f>Tabla1[[#This Row],[Costo Unitario]]*Tabla1[[#This Row],[cantidad]]</f>
        <v>3316</v>
      </c>
      <c r="M259" s="184">
        <v>42933</v>
      </c>
      <c r="N259" s="184">
        <v>42962</v>
      </c>
      <c r="O259" s="184" t="str">
        <f>IF( Tabla1[[#This Row],[Fecha de entrega real]]="","NO CONCRETADO",IF(N259&lt;=M259,"CUMPLIÓ","NO CUMPLIÓ"))</f>
        <v>NO CUMPLIÓ</v>
      </c>
      <c r="P259" s="141">
        <f t="shared" si="7"/>
        <v>29</v>
      </c>
      <c r="Q259" s="4" t="s">
        <v>1099</v>
      </c>
      <c r="R259" s="4" t="s">
        <v>33</v>
      </c>
      <c r="S259" s="4" t="s">
        <v>1192</v>
      </c>
      <c r="T259" s="1" t="s">
        <v>1193</v>
      </c>
      <c r="U259" s="107" t="s">
        <v>1194</v>
      </c>
      <c r="V259" s="183"/>
      <c r="W259" s="183"/>
      <c r="X259" s="183">
        <f>MONTH(Tabla1[[#This Row],[fecha
de
pedido]])</f>
        <v>6</v>
      </c>
      <c r="Y259" s="183">
        <f>YEAR(Tabla1[[#This Row],[fecha
de
pedido]])</f>
        <v>2017</v>
      </c>
    </row>
    <row r="260" spans="1:25" ht="12.75" customHeight="1" x14ac:dyDescent="0.2">
      <c r="A260" s="152">
        <v>42914</v>
      </c>
      <c r="B260" s="118" t="s">
        <v>487</v>
      </c>
      <c r="C260" s="182" t="s">
        <v>1103</v>
      </c>
      <c r="D260" s="146" t="s">
        <v>975</v>
      </c>
      <c r="E260" s="145" t="s">
        <v>11</v>
      </c>
      <c r="F260" s="146" t="s">
        <v>772</v>
      </c>
      <c r="G260" s="182" t="s">
        <v>1104</v>
      </c>
      <c r="H260" s="183">
        <v>2</v>
      </c>
      <c r="I260" s="1" t="s">
        <v>784</v>
      </c>
      <c r="J260" s="182" t="s">
        <v>225</v>
      </c>
      <c r="K260" s="183">
        <v>1658</v>
      </c>
      <c r="L260" s="133">
        <f>Tabla1[[#This Row],[Costo Unitario]]*Tabla1[[#This Row],[cantidad]]</f>
        <v>3316</v>
      </c>
      <c r="M260" s="184">
        <v>42933</v>
      </c>
      <c r="N260" s="184">
        <v>42962</v>
      </c>
      <c r="O260" s="184" t="str">
        <f>IF( Tabla1[[#This Row],[Fecha de entrega real]]="","NO CONCRETADO",IF(N260&lt;=M260,"CUMPLIÓ","NO CUMPLIÓ"))</f>
        <v>NO CUMPLIÓ</v>
      </c>
      <c r="P260" s="141">
        <f t="shared" si="7"/>
        <v>29</v>
      </c>
      <c r="Q260" s="4" t="s">
        <v>1099</v>
      </c>
      <c r="R260" s="4" t="s">
        <v>33</v>
      </c>
      <c r="S260" s="182" t="s">
        <v>334</v>
      </c>
      <c r="T260" s="1" t="s">
        <v>1195</v>
      </c>
      <c r="U260" s="107" t="s">
        <v>1196</v>
      </c>
      <c r="V260" s="183"/>
      <c r="W260" s="183"/>
      <c r="X260" s="183">
        <f>MONTH(Tabla1[[#This Row],[fecha
de
pedido]])</f>
        <v>6</v>
      </c>
      <c r="Y260" s="183">
        <f>YEAR(Tabla1[[#This Row],[fecha
de
pedido]])</f>
        <v>2017</v>
      </c>
    </row>
    <row r="261" spans="1:25" ht="25.5" customHeight="1" x14ac:dyDescent="0.2">
      <c r="A261" s="161">
        <v>42919</v>
      </c>
      <c r="B261" s="118" t="s">
        <v>487</v>
      </c>
      <c r="C261" s="162" t="s">
        <v>811</v>
      </c>
      <c r="D261" s="163" t="s">
        <v>33</v>
      </c>
      <c r="E261" s="162" t="s">
        <v>277</v>
      </c>
      <c r="F261" s="163" t="s">
        <v>1016</v>
      </c>
      <c r="G261" s="162" t="s">
        <v>1017</v>
      </c>
      <c r="H261" s="163">
        <v>6.8</v>
      </c>
      <c r="I261" s="163" t="s">
        <v>1018</v>
      </c>
      <c r="J261" s="162" t="s">
        <v>81</v>
      </c>
      <c r="K261" s="163">
        <v>461.01</v>
      </c>
      <c r="L261" s="163">
        <f>Tabla1[[#This Row],[Costo Unitario]]*Tabla1[[#This Row],[cantidad]]</f>
        <v>3134.8679999999999</v>
      </c>
      <c r="M261" s="164">
        <v>42921</v>
      </c>
      <c r="N261" s="164">
        <v>42921</v>
      </c>
      <c r="O261" s="164" t="str">
        <f>IF( Tabla1[[#This Row],[Fecha de entrega real]]="","NO CONCRETADO",IF(N261&lt;=M261,"CUMPLIÓ","NO CUMPLIÓ"))</f>
        <v>CUMPLIÓ</v>
      </c>
      <c r="P261" s="141">
        <f t="shared" si="7"/>
        <v>0</v>
      </c>
      <c r="Q261" s="4" t="s">
        <v>13</v>
      </c>
      <c r="R261" s="4" t="s">
        <v>1048</v>
      </c>
      <c r="S261" s="162" t="s">
        <v>1019</v>
      </c>
      <c r="T261" s="1" t="s">
        <v>1422</v>
      </c>
      <c r="U261" s="107" t="s">
        <v>1423</v>
      </c>
      <c r="V261" s="163"/>
      <c r="W261" s="163"/>
      <c r="X261" s="163">
        <f>MONTH(Tabla1[[#This Row],[fecha
de
pedido]])</f>
        <v>7</v>
      </c>
      <c r="Y261" s="163">
        <f>YEAR(Tabla1[[#This Row],[fecha
de
pedido]])</f>
        <v>2017</v>
      </c>
    </row>
    <row r="262" spans="1:25" ht="25.5" customHeight="1" x14ac:dyDescent="0.2">
      <c r="A262" s="152">
        <v>42920</v>
      </c>
      <c r="B262" s="118" t="s">
        <v>487</v>
      </c>
      <c r="C262" s="4" t="s">
        <v>775</v>
      </c>
      <c r="D262" s="4" t="s">
        <v>893</v>
      </c>
      <c r="E262" s="4" t="s">
        <v>1044</v>
      </c>
      <c r="F262" s="1" t="s">
        <v>1045</v>
      </c>
      <c r="G262" s="4" t="s">
        <v>1046</v>
      </c>
      <c r="H262" s="1">
        <v>150</v>
      </c>
      <c r="I262" s="1" t="s">
        <v>779</v>
      </c>
      <c r="J262" s="4" t="s">
        <v>407</v>
      </c>
      <c r="K262" s="1">
        <v>4.5</v>
      </c>
      <c r="L262" s="1">
        <f>Tabla1[[#This Row],[Costo Unitario]]*Tabla1[[#This Row],[cantidad]]</f>
        <v>675</v>
      </c>
      <c r="M262" s="164">
        <v>42922</v>
      </c>
      <c r="N262" s="164">
        <v>42922</v>
      </c>
      <c r="O262" s="88" t="str">
        <f>IF( Tabla1[[#This Row],[Fecha de entrega real]]="","NO CONCRETADO",IF(N262&lt;=M262,"CUMPLIÓ","NO CUMPLIÓ"))</f>
        <v>CUMPLIÓ</v>
      </c>
      <c r="P262" s="141">
        <f t="shared" si="7"/>
        <v>0</v>
      </c>
      <c r="Q262" s="4" t="s">
        <v>13</v>
      </c>
      <c r="R262" s="4" t="s">
        <v>33</v>
      </c>
      <c r="S262" s="4" t="s">
        <v>334</v>
      </c>
      <c r="T262" s="1" t="s">
        <v>1973</v>
      </c>
      <c r="U262" s="107" t="s">
        <v>1050</v>
      </c>
      <c r="X262" s="1">
        <f>MONTH(Tabla1[[#This Row],[fecha
de
pedido]])</f>
        <v>7</v>
      </c>
      <c r="Y262" s="1">
        <f>YEAR(Tabla1[[#This Row],[fecha
de
pedido]])</f>
        <v>2017</v>
      </c>
    </row>
    <row r="263" spans="1:25" ht="25.5" customHeight="1" x14ac:dyDescent="0.2">
      <c r="A263" s="152">
        <v>42920</v>
      </c>
      <c r="B263" s="118" t="s">
        <v>487</v>
      </c>
      <c r="C263" s="4" t="s">
        <v>33</v>
      </c>
      <c r="D263" s="1" t="s">
        <v>975</v>
      </c>
      <c r="E263" s="4" t="s">
        <v>285</v>
      </c>
      <c r="F263" s="1" t="s">
        <v>1045</v>
      </c>
      <c r="G263" s="4" t="s">
        <v>1047</v>
      </c>
      <c r="H263" s="1">
        <v>200</v>
      </c>
      <c r="I263" s="1" t="s">
        <v>779</v>
      </c>
      <c r="J263" s="4" t="s">
        <v>407</v>
      </c>
      <c r="K263" s="1">
        <v>4.5</v>
      </c>
      <c r="L263" s="1">
        <f>Tabla1[[#This Row],[Costo Unitario]]*Tabla1[[#This Row],[cantidad]]</f>
        <v>900</v>
      </c>
      <c r="M263" s="164">
        <v>42922</v>
      </c>
      <c r="N263" s="164">
        <v>42922</v>
      </c>
      <c r="O263" s="88" t="str">
        <f>IF( Tabla1[[#This Row],[Fecha de entrega real]]="","NO CONCRETADO",IF(N263&lt;=M263,"CUMPLIÓ","NO CUMPLIÓ"))</f>
        <v>CUMPLIÓ</v>
      </c>
      <c r="P263" s="141">
        <f t="shared" ref="P263:P300" si="8">IF(N263="","NO CONCRETADO",N263-M263)</f>
        <v>0</v>
      </c>
      <c r="Q263" s="4" t="s">
        <v>13</v>
      </c>
      <c r="R263" s="4" t="s">
        <v>33</v>
      </c>
      <c r="S263" s="4" t="s">
        <v>1972</v>
      </c>
      <c r="T263" s="1" t="s">
        <v>1973</v>
      </c>
      <c r="U263" s="107" t="s">
        <v>1049</v>
      </c>
      <c r="X263" s="1">
        <f>MONTH(Tabla1[[#This Row],[fecha
de
pedido]])</f>
        <v>7</v>
      </c>
      <c r="Y263" s="1">
        <f>YEAR(Tabla1[[#This Row],[fecha
de
pedido]])</f>
        <v>2017</v>
      </c>
    </row>
    <row r="264" spans="1:25" ht="12.75" customHeight="1" x14ac:dyDescent="0.2">
      <c r="A264" s="152">
        <v>42922</v>
      </c>
      <c r="B264" s="118" t="s">
        <v>487</v>
      </c>
      <c r="C264" s="178" t="s">
        <v>1071</v>
      </c>
      <c r="D264" s="176" t="s">
        <v>232</v>
      </c>
      <c r="E264" s="178" t="s">
        <v>11</v>
      </c>
      <c r="F264" s="176" t="s">
        <v>958</v>
      </c>
      <c r="G264" s="178" t="s">
        <v>1070</v>
      </c>
      <c r="H264" s="176">
        <v>2</v>
      </c>
      <c r="I264" s="176" t="s">
        <v>784</v>
      </c>
      <c r="J264" s="178" t="s">
        <v>1073</v>
      </c>
      <c r="K264" s="176"/>
      <c r="L264" s="176"/>
      <c r="M264" s="179">
        <v>42922</v>
      </c>
      <c r="N264" s="179">
        <v>42922</v>
      </c>
      <c r="O264" s="179" t="str">
        <f>IF( Tabla1[[#This Row],[Fecha de entrega real]]="","NO CONCRETADO",IF(N264&lt;=M264,"CUMPLIÓ","NO CUMPLIÓ"))</f>
        <v>CUMPLIÓ</v>
      </c>
      <c r="P264" s="141">
        <f t="shared" si="8"/>
        <v>0</v>
      </c>
      <c r="Q264" s="178" t="s">
        <v>917</v>
      </c>
      <c r="R264" s="178" t="s">
        <v>232</v>
      </c>
      <c r="S264" s="178" t="s">
        <v>244</v>
      </c>
      <c r="T264" s="176" t="s">
        <v>1078</v>
      </c>
      <c r="U264" s="180"/>
      <c r="V264" s="176"/>
      <c r="W264" s="176"/>
      <c r="X264" s="176">
        <f>MONTH(Tabla1[[#This Row],[fecha
de
pedido]])</f>
        <v>7</v>
      </c>
      <c r="Y264" s="176">
        <f>YEAR(Tabla1[[#This Row],[fecha
de
pedido]])</f>
        <v>2017</v>
      </c>
    </row>
    <row r="265" spans="1:25" ht="12.75" customHeight="1" x14ac:dyDescent="0.2">
      <c r="A265" s="152">
        <v>42922</v>
      </c>
      <c r="B265" s="118" t="s">
        <v>487</v>
      </c>
      <c r="C265" s="178"/>
      <c r="D265" s="176" t="s">
        <v>232</v>
      </c>
      <c r="E265" s="178" t="s">
        <v>11</v>
      </c>
      <c r="F265" s="176" t="s">
        <v>958</v>
      </c>
      <c r="G265" s="178" t="s">
        <v>1072</v>
      </c>
      <c r="H265" s="176">
        <v>2</v>
      </c>
      <c r="I265" s="176" t="s">
        <v>784</v>
      </c>
      <c r="J265" s="178" t="s">
        <v>1073</v>
      </c>
      <c r="K265" s="176"/>
      <c r="L265" s="176"/>
      <c r="M265" s="179">
        <v>42922</v>
      </c>
      <c r="N265" s="179">
        <v>42922</v>
      </c>
      <c r="O265" s="179" t="str">
        <f>IF( Tabla1[[#This Row],[Fecha de entrega real]]="","NO CONCRETADO",IF(N265&lt;=M265,"CUMPLIÓ","NO CUMPLIÓ"))</f>
        <v>CUMPLIÓ</v>
      </c>
      <c r="P265" s="141">
        <f t="shared" si="8"/>
        <v>0</v>
      </c>
      <c r="Q265" s="178" t="s">
        <v>917</v>
      </c>
      <c r="R265" s="178" t="s">
        <v>232</v>
      </c>
      <c r="S265" s="178" t="s">
        <v>244</v>
      </c>
      <c r="T265" s="176" t="s">
        <v>1078</v>
      </c>
      <c r="U265" s="180"/>
      <c r="V265" s="176"/>
      <c r="W265" s="176"/>
      <c r="X265" s="176">
        <f>MONTH(Tabla1[[#This Row],[fecha
de
pedido]])</f>
        <v>7</v>
      </c>
      <c r="Y265" s="176">
        <f>YEAR(Tabla1[[#This Row],[fecha
de
pedido]])</f>
        <v>2017</v>
      </c>
    </row>
    <row r="266" spans="1:25" ht="12.75" customHeight="1" x14ac:dyDescent="0.2">
      <c r="A266" s="152">
        <v>42922</v>
      </c>
      <c r="B266" s="118" t="s">
        <v>487</v>
      </c>
      <c r="C266" s="178"/>
      <c r="D266" s="176" t="s">
        <v>232</v>
      </c>
      <c r="E266" s="178" t="s">
        <v>11</v>
      </c>
      <c r="F266" s="176" t="s">
        <v>958</v>
      </c>
      <c r="G266" s="178" t="s">
        <v>1074</v>
      </c>
      <c r="H266" s="176">
        <v>4</v>
      </c>
      <c r="I266" s="176" t="s">
        <v>784</v>
      </c>
      <c r="J266" s="178" t="s">
        <v>1073</v>
      </c>
      <c r="K266" s="176"/>
      <c r="L266" s="176"/>
      <c r="M266" s="179">
        <v>42922</v>
      </c>
      <c r="N266" s="179">
        <v>42922</v>
      </c>
      <c r="O266" s="179" t="str">
        <f>IF( Tabla1[[#This Row],[Fecha de entrega real]]="","NO CONCRETADO",IF(N266&lt;=M266,"CUMPLIÓ","NO CUMPLIÓ"))</f>
        <v>CUMPLIÓ</v>
      </c>
      <c r="P266" s="141">
        <f t="shared" si="8"/>
        <v>0</v>
      </c>
      <c r="Q266" s="178" t="s">
        <v>917</v>
      </c>
      <c r="R266" s="178" t="s">
        <v>232</v>
      </c>
      <c r="S266" s="178" t="s">
        <v>244</v>
      </c>
      <c r="T266" s="176" t="s">
        <v>1078</v>
      </c>
      <c r="U266" s="180"/>
      <c r="V266" s="176"/>
      <c r="W266" s="176"/>
      <c r="X266" s="176">
        <f>MONTH(Tabla1[[#This Row],[fecha
de
pedido]])</f>
        <v>7</v>
      </c>
      <c r="Y266" s="176">
        <f>YEAR(Tabla1[[#This Row],[fecha
de
pedido]])</f>
        <v>2017</v>
      </c>
    </row>
    <row r="267" spans="1:25" ht="12.75" customHeight="1" x14ac:dyDescent="0.2">
      <c r="A267" s="152">
        <v>42922</v>
      </c>
      <c r="B267" s="118" t="s">
        <v>487</v>
      </c>
      <c r="C267" s="178"/>
      <c r="D267" s="176" t="s">
        <v>232</v>
      </c>
      <c r="E267" s="178" t="s">
        <v>11</v>
      </c>
      <c r="F267" s="176" t="s">
        <v>958</v>
      </c>
      <c r="G267" s="178" t="s">
        <v>1075</v>
      </c>
      <c r="H267" s="176">
        <v>2</v>
      </c>
      <c r="I267" s="176" t="s">
        <v>784</v>
      </c>
      <c r="J267" s="178" t="s">
        <v>1073</v>
      </c>
      <c r="K267" s="176"/>
      <c r="L267" s="176"/>
      <c r="M267" s="179">
        <v>42922</v>
      </c>
      <c r="N267" s="179">
        <v>42922</v>
      </c>
      <c r="O267" s="179" t="str">
        <f>IF( Tabla1[[#This Row],[Fecha de entrega real]]="","NO CONCRETADO",IF(N267&lt;=M267,"CUMPLIÓ","NO CUMPLIÓ"))</f>
        <v>CUMPLIÓ</v>
      </c>
      <c r="P267" s="141">
        <f t="shared" si="8"/>
        <v>0</v>
      </c>
      <c r="Q267" s="178" t="s">
        <v>917</v>
      </c>
      <c r="R267" s="178" t="s">
        <v>232</v>
      </c>
      <c r="S267" s="178" t="s">
        <v>244</v>
      </c>
      <c r="T267" s="176" t="s">
        <v>1078</v>
      </c>
      <c r="U267" s="180"/>
      <c r="V267" s="176"/>
      <c r="W267" s="176"/>
      <c r="X267" s="176">
        <f>MONTH(Tabla1[[#This Row],[fecha
de
pedido]])</f>
        <v>7</v>
      </c>
      <c r="Y267" s="176">
        <f>YEAR(Tabla1[[#This Row],[fecha
de
pedido]])</f>
        <v>2017</v>
      </c>
    </row>
    <row r="268" spans="1:25" ht="12.75" customHeight="1" x14ac:dyDescent="0.2">
      <c r="A268" s="152">
        <v>42922</v>
      </c>
      <c r="B268" s="118" t="s">
        <v>487</v>
      </c>
      <c r="C268" s="178"/>
      <c r="D268" s="176" t="s">
        <v>232</v>
      </c>
      <c r="E268" s="178" t="s">
        <v>11</v>
      </c>
      <c r="F268" s="176" t="s">
        <v>958</v>
      </c>
      <c r="G268" s="178" t="s">
        <v>1076</v>
      </c>
      <c r="H268" s="176">
        <v>1</v>
      </c>
      <c r="I268" s="176" t="s">
        <v>488</v>
      </c>
      <c r="J268" s="178" t="s">
        <v>1073</v>
      </c>
      <c r="K268" s="176"/>
      <c r="L268" s="176"/>
      <c r="M268" s="179">
        <v>42922</v>
      </c>
      <c r="N268" s="179">
        <v>42922</v>
      </c>
      <c r="O268" s="179" t="str">
        <f>IF( Tabla1[[#This Row],[Fecha de entrega real]]="","NO CONCRETADO",IF(N268&lt;=M268,"CUMPLIÓ","NO CUMPLIÓ"))</f>
        <v>CUMPLIÓ</v>
      </c>
      <c r="P268" s="141">
        <f t="shared" si="8"/>
        <v>0</v>
      </c>
      <c r="Q268" s="178" t="s">
        <v>917</v>
      </c>
      <c r="R268" s="178" t="s">
        <v>232</v>
      </c>
      <c r="S268" s="178" t="s">
        <v>244</v>
      </c>
      <c r="T268" s="176" t="s">
        <v>1078</v>
      </c>
      <c r="U268" s="180"/>
      <c r="V268" s="176"/>
      <c r="W268" s="176"/>
      <c r="X268" s="176">
        <f>MONTH(Tabla1[[#This Row],[fecha
de
pedido]])</f>
        <v>7</v>
      </c>
      <c r="Y268" s="176">
        <f>YEAR(Tabla1[[#This Row],[fecha
de
pedido]])</f>
        <v>2017</v>
      </c>
    </row>
    <row r="269" spans="1:25" ht="12.75" customHeight="1" x14ac:dyDescent="0.2">
      <c r="A269" s="152">
        <v>42922</v>
      </c>
      <c r="B269" s="118" t="s">
        <v>487</v>
      </c>
      <c r="C269" s="178"/>
      <c r="D269" s="176" t="s">
        <v>232</v>
      </c>
      <c r="E269" s="178" t="s">
        <v>11</v>
      </c>
      <c r="F269" s="176" t="s">
        <v>958</v>
      </c>
      <c r="G269" s="178" t="s">
        <v>1077</v>
      </c>
      <c r="H269" s="176"/>
      <c r="I269" s="176"/>
      <c r="J269" s="178" t="s">
        <v>1073</v>
      </c>
      <c r="K269" s="176"/>
      <c r="L269" s="176"/>
      <c r="M269" s="179">
        <v>42922</v>
      </c>
      <c r="N269" s="179">
        <v>42922</v>
      </c>
      <c r="O269" s="179" t="str">
        <f>IF( Tabla1[[#This Row],[Fecha de entrega real]]="","NO CONCRETADO",IF(N269&lt;=M269,"CUMPLIÓ","NO CUMPLIÓ"))</f>
        <v>CUMPLIÓ</v>
      </c>
      <c r="P269" s="141">
        <f t="shared" si="8"/>
        <v>0</v>
      </c>
      <c r="Q269" s="178" t="s">
        <v>917</v>
      </c>
      <c r="R269" s="178" t="s">
        <v>232</v>
      </c>
      <c r="S269" s="178" t="s">
        <v>244</v>
      </c>
      <c r="T269" s="176" t="s">
        <v>1078</v>
      </c>
      <c r="U269" s="180"/>
      <c r="V269" s="176"/>
      <c r="W269" s="176"/>
      <c r="X269" s="176">
        <f>MONTH(Tabla1[[#This Row],[fecha
de
pedido]])</f>
        <v>7</v>
      </c>
      <c r="Y269" s="176">
        <f>YEAR(Tabla1[[#This Row],[fecha
de
pedido]])</f>
        <v>2017</v>
      </c>
    </row>
    <row r="270" spans="1:25" ht="12.75" customHeight="1" x14ac:dyDescent="0.2">
      <c r="A270" s="177">
        <v>42923</v>
      </c>
      <c r="B270" s="118" t="s">
        <v>487</v>
      </c>
      <c r="C270" s="178" t="s">
        <v>849</v>
      </c>
      <c r="D270" s="176" t="s">
        <v>33</v>
      </c>
      <c r="E270" s="178" t="s">
        <v>1044</v>
      </c>
      <c r="F270" s="176" t="s">
        <v>817</v>
      </c>
      <c r="G270" s="178" t="s">
        <v>1061</v>
      </c>
      <c r="H270" s="176">
        <v>1</v>
      </c>
      <c r="I270" s="176" t="s">
        <v>817</v>
      </c>
      <c r="J270" s="178" t="s">
        <v>1060</v>
      </c>
      <c r="K270" s="176">
        <v>12748.78</v>
      </c>
      <c r="L270" s="1">
        <f>Tabla1[[#This Row],[Costo Unitario]]*Tabla1[[#This Row],[cantidad]]</f>
        <v>12748.78</v>
      </c>
      <c r="M270" s="179">
        <v>42927</v>
      </c>
      <c r="N270" s="179">
        <v>42927</v>
      </c>
      <c r="O270" s="179" t="str">
        <f>IF( Tabla1[[#This Row],[Fecha de entrega real]]="","NO CONCRETADO",IF(N270&lt;=M270,"CUMPLIÓ","NO CUMPLIÓ"))</f>
        <v>CUMPLIÓ</v>
      </c>
      <c r="P270" s="141">
        <f t="shared" si="8"/>
        <v>0</v>
      </c>
      <c r="Q270" s="178" t="s">
        <v>917</v>
      </c>
      <c r="R270" s="178" t="s">
        <v>849</v>
      </c>
      <c r="S270" s="178" t="s">
        <v>334</v>
      </c>
      <c r="T270" s="176" t="s">
        <v>1062</v>
      </c>
      <c r="U270" s="180" t="s">
        <v>1063</v>
      </c>
      <c r="V270" s="176"/>
      <c r="W270" s="176"/>
      <c r="X270" s="176">
        <f>MONTH(Tabla1[[#This Row],[fecha
de
pedido]])</f>
        <v>7</v>
      </c>
      <c r="Y270" s="176">
        <f>YEAR(Tabla1[[#This Row],[fecha
de
pedido]])</f>
        <v>2017</v>
      </c>
    </row>
    <row r="271" spans="1:25" ht="12.75" customHeight="1" x14ac:dyDescent="0.2">
      <c r="A271" s="177">
        <v>42927</v>
      </c>
      <c r="B271" s="118" t="s">
        <v>487</v>
      </c>
      <c r="C271" s="178" t="s">
        <v>888</v>
      </c>
      <c r="D271" s="176" t="s">
        <v>1056</v>
      </c>
      <c r="E271" s="178" t="s">
        <v>277</v>
      </c>
      <c r="F271" s="176" t="s">
        <v>830</v>
      </c>
      <c r="G271" s="178" t="s">
        <v>1052</v>
      </c>
      <c r="H271" s="176">
        <v>1</v>
      </c>
      <c r="I271" s="176" t="s">
        <v>1053</v>
      </c>
      <c r="J271" s="178" t="s">
        <v>1054</v>
      </c>
      <c r="K271" s="176">
        <v>350</v>
      </c>
      <c r="L271" s="1">
        <f>Tabla1[[#This Row],[Costo Unitario]]*Tabla1[[#This Row],[cantidad]]</f>
        <v>350</v>
      </c>
      <c r="M271" s="179">
        <v>42927</v>
      </c>
      <c r="N271" s="179">
        <v>42927</v>
      </c>
      <c r="O271" s="179" t="str">
        <f>IF( Tabla1[[#This Row],[Fecha de entrega real]]="","NO CONCRETADO",IF(N271&lt;=M271,"CUMPLIÓ","NO CUMPLIÓ"))</f>
        <v>CUMPLIÓ</v>
      </c>
      <c r="P271" s="141">
        <f t="shared" si="8"/>
        <v>0</v>
      </c>
      <c r="Q271" s="178" t="s">
        <v>1055</v>
      </c>
      <c r="R271" s="178" t="s">
        <v>33</v>
      </c>
      <c r="S271" s="178" t="s">
        <v>244</v>
      </c>
      <c r="T271" s="1" t="s">
        <v>1973</v>
      </c>
      <c r="U271" s="180" t="s">
        <v>1059</v>
      </c>
      <c r="V271" s="176"/>
      <c r="W271" s="176"/>
      <c r="X271" s="176">
        <f>MONTH(Tabla1[[#This Row],[fecha
de
pedido]])</f>
        <v>7</v>
      </c>
      <c r="Y271" s="176">
        <f>YEAR(Tabla1[[#This Row],[fecha
de
pedido]])</f>
        <v>2017</v>
      </c>
    </row>
    <row r="272" spans="1:25" ht="12.75" customHeight="1" x14ac:dyDescent="0.2">
      <c r="A272" s="177">
        <v>42927</v>
      </c>
      <c r="B272" s="118" t="s">
        <v>487</v>
      </c>
      <c r="C272" s="178" t="s">
        <v>888</v>
      </c>
      <c r="D272" s="176" t="s">
        <v>1056</v>
      </c>
      <c r="E272" s="178" t="s">
        <v>277</v>
      </c>
      <c r="F272" s="176" t="s">
        <v>772</v>
      </c>
      <c r="G272" s="178" t="s">
        <v>1057</v>
      </c>
      <c r="H272" s="176">
        <v>1</v>
      </c>
      <c r="I272" s="176" t="s">
        <v>1058</v>
      </c>
      <c r="J272" s="178" t="s">
        <v>1054</v>
      </c>
      <c r="K272" s="176">
        <v>420</v>
      </c>
      <c r="L272" s="1">
        <f>Tabla1[[#This Row],[Costo Unitario]]*Tabla1[[#This Row],[cantidad]]</f>
        <v>420</v>
      </c>
      <c r="M272" s="179">
        <v>42928</v>
      </c>
      <c r="N272" s="179">
        <v>42928</v>
      </c>
      <c r="O272" s="179" t="str">
        <f>IF( Tabla1[[#This Row],[Fecha de entrega real]]="","NO CONCRETADO",IF(N272&lt;=M272,"CUMPLIÓ","NO CUMPLIÓ"))</f>
        <v>CUMPLIÓ</v>
      </c>
      <c r="P272" s="141">
        <f t="shared" si="8"/>
        <v>0</v>
      </c>
      <c r="Q272" s="178" t="s">
        <v>1055</v>
      </c>
      <c r="R272" s="178" t="s">
        <v>33</v>
      </c>
      <c r="S272" s="178" t="s">
        <v>244</v>
      </c>
      <c r="T272" s="1" t="s">
        <v>1973</v>
      </c>
      <c r="U272" s="180" t="s">
        <v>1059</v>
      </c>
      <c r="V272" s="176"/>
      <c r="W272" s="176"/>
      <c r="X272" s="176">
        <f>MONTH(Tabla1[[#This Row],[fecha
de
pedido]])</f>
        <v>7</v>
      </c>
      <c r="Y272" s="176">
        <f>YEAR(Tabla1[[#This Row],[fecha
de
pedido]])</f>
        <v>2017</v>
      </c>
    </row>
    <row r="273" spans="1:25" ht="12.75" customHeight="1" x14ac:dyDescent="0.2">
      <c r="A273" s="177">
        <v>42928</v>
      </c>
      <c r="B273" s="118" t="s">
        <v>487</v>
      </c>
      <c r="C273" s="178" t="s">
        <v>33</v>
      </c>
      <c r="D273" s="176" t="s">
        <v>975</v>
      </c>
      <c r="E273" s="178" t="s">
        <v>277</v>
      </c>
      <c r="F273" s="1" t="s">
        <v>1199</v>
      </c>
      <c r="G273" s="4" t="s">
        <v>1200</v>
      </c>
      <c r="H273" s="1">
        <v>12</v>
      </c>
      <c r="I273" s="1" t="s">
        <v>779</v>
      </c>
      <c r="J273" s="4" t="s">
        <v>225</v>
      </c>
      <c r="K273" s="1">
        <v>250</v>
      </c>
      <c r="L273" s="1">
        <f>Tabla1[[#This Row],[Costo Unitario]]*Tabla1[[#This Row],[cantidad]]</f>
        <v>3000</v>
      </c>
      <c r="M273" s="88">
        <v>42955</v>
      </c>
      <c r="N273" s="88"/>
      <c r="O273" s="88" t="str">
        <f>IF( Tabla1[[#This Row],[Fecha de entrega real]]="","NO CONCRETADO",IF(N273&lt;=M273,"CUMPLIÓ","NO CUMPLIÓ"))</f>
        <v>NO CONCRETADO</v>
      </c>
      <c r="T273" s="1" t="s">
        <v>1201</v>
      </c>
      <c r="U273" s="107" t="s">
        <v>1202</v>
      </c>
      <c r="X273" s="1">
        <f>MONTH(Tabla1[[#This Row],[fecha
de
pedido]])</f>
        <v>7</v>
      </c>
      <c r="Y273" s="1">
        <f>YEAR(Tabla1[[#This Row],[fecha
de
pedido]])</f>
        <v>2017</v>
      </c>
    </row>
    <row r="274" spans="1:25" ht="25.5" customHeight="1" x14ac:dyDescent="0.2">
      <c r="A274" s="208">
        <v>42930</v>
      </c>
      <c r="B274" s="118" t="s">
        <v>487</v>
      </c>
      <c r="C274" s="209" t="s">
        <v>1223</v>
      </c>
      <c r="D274" s="176" t="s">
        <v>975</v>
      </c>
      <c r="E274" s="209" t="s">
        <v>11</v>
      </c>
      <c r="F274" s="210" t="s">
        <v>1221</v>
      </c>
      <c r="G274" s="209" t="s">
        <v>1222</v>
      </c>
      <c r="H274" s="210">
        <v>1</v>
      </c>
      <c r="I274" s="210" t="s">
        <v>830</v>
      </c>
      <c r="J274" s="209" t="s">
        <v>47</v>
      </c>
      <c r="K274" s="210">
        <v>2500</v>
      </c>
      <c r="L274" s="1">
        <f>Tabla1[[#This Row],[Costo Unitario]]*Tabla1[[#This Row],[cantidad]]</f>
        <v>2500</v>
      </c>
      <c r="M274" s="211">
        <v>42940</v>
      </c>
      <c r="N274" s="211"/>
      <c r="O274" s="211" t="str">
        <f>IF( Tabla1[[#This Row],[Fecha de entrega real]]="","NO CONCRETADO",IF(N274&lt;=M274,"CUMPLIÓ","NO CUMPLIÓ"))</f>
        <v>NO CONCRETADO</v>
      </c>
      <c r="P274" s="213"/>
      <c r="Q274" s="209"/>
      <c r="R274" s="209"/>
      <c r="S274" s="209" t="s">
        <v>1224</v>
      </c>
      <c r="T274" s="1" t="s">
        <v>1973</v>
      </c>
      <c r="U274" s="212" t="s">
        <v>1225</v>
      </c>
      <c r="V274" s="210"/>
      <c r="W274" s="210"/>
      <c r="X274" s="210">
        <f>MONTH(Tabla1[[#This Row],[fecha
de
pedido]])</f>
        <v>7</v>
      </c>
      <c r="Y274" s="210">
        <f>YEAR(Tabla1[[#This Row],[fecha
de
pedido]])</f>
        <v>2017</v>
      </c>
    </row>
    <row r="275" spans="1:25" ht="12.75" customHeight="1" x14ac:dyDescent="0.2">
      <c r="A275" s="177">
        <v>42934</v>
      </c>
      <c r="B275" s="118" t="s">
        <v>487</v>
      </c>
      <c r="C275" s="178" t="s">
        <v>33</v>
      </c>
      <c r="D275" s="176" t="s">
        <v>975</v>
      </c>
      <c r="E275" s="178" t="s">
        <v>285</v>
      </c>
      <c r="F275" s="176" t="s">
        <v>772</v>
      </c>
      <c r="G275" s="24" t="s">
        <v>412</v>
      </c>
      <c r="H275" s="176">
        <v>6</v>
      </c>
      <c r="I275" s="176" t="s">
        <v>770</v>
      </c>
      <c r="J275" s="178" t="s">
        <v>771</v>
      </c>
      <c r="K275" s="176">
        <v>238</v>
      </c>
      <c r="L275" s="1">
        <f>Tabla1[[#This Row],[Costo Unitario]]*Tabla1[[#This Row],[cantidad]]</f>
        <v>1428</v>
      </c>
      <c r="M275" s="179">
        <v>42935</v>
      </c>
      <c r="N275" s="179">
        <v>42935</v>
      </c>
      <c r="O275" s="179" t="str">
        <f>IF( Tabla1[[#This Row],[Fecha de entrega real]]="","NO CONCRETADO",IF(N275&lt;=M275,"CUMPLIÓ","NO CUMPLIÓ"))</f>
        <v>CUMPLIÓ</v>
      </c>
      <c r="P275" s="141">
        <f t="shared" si="8"/>
        <v>0</v>
      </c>
      <c r="Q275" s="4" t="s">
        <v>13</v>
      </c>
      <c r="R275" s="178" t="s">
        <v>33</v>
      </c>
      <c r="S275" s="178" t="s">
        <v>244</v>
      </c>
      <c r="T275" s="1" t="s">
        <v>1973</v>
      </c>
      <c r="U275" s="107" t="s">
        <v>1080</v>
      </c>
      <c r="V275" s="176"/>
      <c r="W275" s="176"/>
      <c r="X275" s="176">
        <f>MONTH(Tabla1[[#This Row],[fecha
de
pedido]])</f>
        <v>7</v>
      </c>
      <c r="Y275" s="176">
        <f>YEAR(Tabla1[[#This Row],[fecha
de
pedido]])</f>
        <v>2017</v>
      </c>
    </row>
    <row r="276" spans="1:25" ht="12.75" customHeight="1" x14ac:dyDescent="0.2">
      <c r="A276" s="177">
        <v>42934</v>
      </c>
      <c r="B276" s="118" t="s">
        <v>487</v>
      </c>
      <c r="C276" s="178" t="s">
        <v>33</v>
      </c>
      <c r="D276" s="176" t="s">
        <v>975</v>
      </c>
      <c r="E276" s="178" t="s">
        <v>285</v>
      </c>
      <c r="F276" s="176" t="s">
        <v>772</v>
      </c>
      <c r="G276" s="178" t="s">
        <v>1068</v>
      </c>
      <c r="H276" s="176">
        <v>1</v>
      </c>
      <c r="I276" s="176" t="s">
        <v>1069</v>
      </c>
      <c r="J276" s="178" t="s">
        <v>771</v>
      </c>
      <c r="K276" s="176">
        <v>395</v>
      </c>
      <c r="L276" s="1">
        <f>Tabla1[[#This Row],[Costo Unitario]]*Tabla1[[#This Row],[cantidad]]</f>
        <v>395</v>
      </c>
      <c r="M276" s="179">
        <v>42935</v>
      </c>
      <c r="N276" s="179">
        <v>42935</v>
      </c>
      <c r="O276" s="179" t="str">
        <f>IF( Tabla1[[#This Row],[Fecha de entrega real]]="","NO CONCRETADO",IF(N276&lt;=M276,"CUMPLIÓ","NO CUMPLIÓ"))</f>
        <v>CUMPLIÓ</v>
      </c>
      <c r="P276" s="141">
        <f t="shared" si="8"/>
        <v>0</v>
      </c>
      <c r="Q276" s="4" t="s">
        <v>13</v>
      </c>
      <c r="R276" s="178" t="s">
        <v>33</v>
      </c>
      <c r="S276" s="178" t="s">
        <v>244</v>
      </c>
      <c r="T276" s="1" t="s">
        <v>1973</v>
      </c>
      <c r="U276" s="107" t="s">
        <v>1080</v>
      </c>
      <c r="V276" s="176"/>
      <c r="W276" s="176"/>
      <c r="X276" s="176">
        <f>MONTH(Tabla1[[#This Row],[fecha
de
pedido]])</f>
        <v>7</v>
      </c>
      <c r="Y276" s="176">
        <f>YEAR(Tabla1[[#This Row],[fecha
de
pedido]])</f>
        <v>2017</v>
      </c>
    </row>
    <row r="277" spans="1:25" ht="25.5" customHeight="1" x14ac:dyDescent="0.2">
      <c r="A277" s="177">
        <v>42934</v>
      </c>
      <c r="B277" s="118" t="s">
        <v>487</v>
      </c>
      <c r="C277" s="178" t="s">
        <v>849</v>
      </c>
      <c r="D277" s="176" t="s">
        <v>849</v>
      </c>
      <c r="E277" s="178" t="s">
        <v>11</v>
      </c>
      <c r="F277" s="176" t="s">
        <v>817</v>
      </c>
      <c r="G277" s="178" t="s">
        <v>1065</v>
      </c>
      <c r="H277" s="176">
        <v>1</v>
      </c>
      <c r="I277" s="176" t="s">
        <v>817</v>
      </c>
      <c r="J277" s="178" t="s">
        <v>1066</v>
      </c>
      <c r="K277" s="176">
        <v>44200</v>
      </c>
      <c r="L277" s="1">
        <f>Tabla1[[#This Row],[Costo Unitario]]*Tabla1[[#This Row],[cantidad]]</f>
        <v>44200</v>
      </c>
      <c r="M277" s="179">
        <v>43307</v>
      </c>
      <c r="N277" s="179"/>
      <c r="O277" s="179" t="str">
        <f>IF( Tabla1[[#This Row],[Fecha de entrega real]]="","NO CONCRETADO",IF(N277&lt;=M277,"CUMPLIÓ","NO CUMPLIÓ"))</f>
        <v>NO CONCRETADO</v>
      </c>
      <c r="P277" s="141" t="str">
        <f t="shared" si="8"/>
        <v>NO CONCRETADO</v>
      </c>
      <c r="Q277" s="178"/>
      <c r="R277" s="178"/>
      <c r="S277" s="178"/>
      <c r="T277" s="1" t="s">
        <v>1973</v>
      </c>
      <c r="U277" s="180"/>
      <c r="V277" s="176"/>
      <c r="W277" s="176"/>
      <c r="X277" s="176">
        <f>MONTH(Tabla1[[#This Row],[fecha
de
pedido]])</f>
        <v>7</v>
      </c>
      <c r="Y277" s="176">
        <f>YEAR(Tabla1[[#This Row],[fecha
de
pedido]])</f>
        <v>2017</v>
      </c>
    </row>
    <row r="278" spans="1:25" ht="12.75" customHeight="1" x14ac:dyDescent="0.2">
      <c r="A278" s="152">
        <v>42936</v>
      </c>
      <c r="B278" s="118" t="s">
        <v>487</v>
      </c>
      <c r="C278" s="4" t="s">
        <v>906</v>
      </c>
      <c r="D278" s="1" t="s">
        <v>975</v>
      </c>
      <c r="E278" s="178" t="s">
        <v>11</v>
      </c>
      <c r="F278" s="1" t="s">
        <v>778</v>
      </c>
      <c r="G278" s="4" t="s">
        <v>1085</v>
      </c>
      <c r="H278" s="1">
        <v>3</v>
      </c>
      <c r="I278" s="1" t="s">
        <v>779</v>
      </c>
      <c r="J278" s="4" t="s">
        <v>225</v>
      </c>
      <c r="K278" s="1">
        <v>172</v>
      </c>
      <c r="L278" s="1">
        <f>Tabla1[[#This Row],[Costo Unitario]]*Tabla1[[#This Row],[cantidad]]</f>
        <v>516</v>
      </c>
      <c r="M278" s="88">
        <v>42948</v>
      </c>
      <c r="N278" s="88">
        <v>42942</v>
      </c>
      <c r="O278" s="88" t="str">
        <f>IF( Tabla1[[#This Row],[Fecha de entrega real]]="","NO CONCRETADO",IF(N278&lt;=M278,"CUMPLIÓ","NO CUMPLIÓ"))</f>
        <v>CUMPLIÓ</v>
      </c>
      <c r="P278" s="141">
        <f t="shared" si="8"/>
        <v>-6</v>
      </c>
      <c r="Q278" s="4" t="s">
        <v>13</v>
      </c>
      <c r="R278" s="4" t="s">
        <v>1102</v>
      </c>
      <c r="S278" s="4" t="s">
        <v>244</v>
      </c>
      <c r="T278" s="1" t="s">
        <v>1144</v>
      </c>
      <c r="U278" s="107" t="s">
        <v>1143</v>
      </c>
      <c r="X278" s="1">
        <f>MONTH(Tabla1[[#This Row],[fecha
de
pedido]])</f>
        <v>7</v>
      </c>
      <c r="Y278" s="1">
        <f>YEAR(Tabla1[[#This Row],[fecha
de
pedido]])</f>
        <v>2017</v>
      </c>
    </row>
    <row r="279" spans="1:25" ht="25.5" customHeight="1" x14ac:dyDescent="0.2">
      <c r="A279" s="152">
        <v>42936</v>
      </c>
      <c r="B279" s="118" t="s">
        <v>487</v>
      </c>
      <c r="C279" s="4" t="s">
        <v>1091</v>
      </c>
      <c r="D279" s="1" t="s">
        <v>975</v>
      </c>
      <c r="E279" s="178" t="s">
        <v>11</v>
      </c>
      <c r="F279" s="1" t="s">
        <v>772</v>
      </c>
      <c r="G279" s="4" t="s">
        <v>1086</v>
      </c>
      <c r="H279" s="1">
        <v>2</v>
      </c>
      <c r="I279" s="1" t="s">
        <v>784</v>
      </c>
      <c r="J279" s="4" t="s">
        <v>225</v>
      </c>
      <c r="K279" s="1">
        <v>139</v>
      </c>
      <c r="L279" s="1">
        <f>Tabla1[[#This Row],[Costo Unitario]]*Tabla1[[#This Row],[cantidad]]</f>
        <v>278</v>
      </c>
      <c r="M279" s="88">
        <v>42948</v>
      </c>
      <c r="N279" s="88"/>
      <c r="O279" s="88" t="str">
        <f>IF( Tabla1[[#This Row],[Fecha de entrega real]]="","NO CONCRETADO",IF(N279&lt;=M279,"CUMPLIÓ","NO CUMPLIÓ"))</f>
        <v>NO CONCRETADO</v>
      </c>
      <c r="P279" s="141" t="str">
        <f t="shared" si="8"/>
        <v>NO CONCRETADO</v>
      </c>
      <c r="T279" s="1" t="s">
        <v>1138</v>
      </c>
      <c r="U279" s="107" t="s">
        <v>1137</v>
      </c>
      <c r="X279" s="1">
        <f>MONTH(Tabla1[[#This Row],[fecha
de
pedido]])</f>
        <v>7</v>
      </c>
      <c r="Y279" s="1">
        <f>YEAR(Tabla1[[#This Row],[fecha
de
pedido]])</f>
        <v>2017</v>
      </c>
    </row>
    <row r="280" spans="1:25" ht="51" customHeight="1" x14ac:dyDescent="0.2">
      <c r="A280" s="152">
        <v>42936</v>
      </c>
      <c r="B280" s="118" t="s">
        <v>487</v>
      </c>
      <c r="C280" s="4" t="s">
        <v>33</v>
      </c>
      <c r="D280" s="1" t="s">
        <v>975</v>
      </c>
      <c r="E280" s="178" t="s">
        <v>11</v>
      </c>
      <c r="F280" s="1" t="s">
        <v>778</v>
      </c>
      <c r="G280" s="4" t="s">
        <v>1087</v>
      </c>
      <c r="H280" s="1">
        <v>6</v>
      </c>
      <c r="I280" s="1" t="s">
        <v>779</v>
      </c>
      <c r="J280" s="4" t="s">
        <v>225</v>
      </c>
      <c r="K280" s="1">
        <v>245</v>
      </c>
      <c r="L280" s="1">
        <f>Tabla1[[#This Row],[Costo Unitario]]*Tabla1[[#This Row],[cantidad]]</f>
        <v>1470</v>
      </c>
      <c r="M280" s="88" t="s">
        <v>1093</v>
      </c>
      <c r="N280" s="88">
        <v>42955</v>
      </c>
      <c r="O280" s="88" t="str">
        <f>IF( Tabla1[[#This Row],[Fecha de entrega real]]="","NO CONCRETADO",IF(N280&lt;=M280,"CUMPLIÓ","NO CUMPLIÓ"))</f>
        <v>CUMPLIÓ</v>
      </c>
      <c r="P280" s="141" t="e">
        <f t="shared" si="8"/>
        <v>#VALUE!</v>
      </c>
      <c r="Q280" s="4" t="s">
        <v>13</v>
      </c>
      <c r="R280" s="4" t="s">
        <v>1102</v>
      </c>
      <c r="S280" s="4" t="s">
        <v>1165</v>
      </c>
      <c r="T280" s="4" t="s">
        <v>1166</v>
      </c>
      <c r="U280" s="148" t="s">
        <v>1164</v>
      </c>
      <c r="X280" s="1">
        <f>MONTH(Tabla1[[#This Row],[fecha
de
pedido]])</f>
        <v>7</v>
      </c>
      <c r="Y280" s="1">
        <f>YEAR(Tabla1[[#This Row],[fecha
de
pedido]])</f>
        <v>2017</v>
      </c>
    </row>
    <row r="281" spans="1:25" ht="25.5" customHeight="1" x14ac:dyDescent="0.2">
      <c r="A281" s="152">
        <v>42936</v>
      </c>
      <c r="B281" s="118" t="s">
        <v>487</v>
      </c>
      <c r="C281" s="4" t="s">
        <v>1092</v>
      </c>
      <c r="D281" s="1" t="s">
        <v>975</v>
      </c>
      <c r="E281" s="178" t="s">
        <v>11</v>
      </c>
      <c r="F281" s="1" t="s">
        <v>772</v>
      </c>
      <c r="G281" s="4" t="s">
        <v>1088</v>
      </c>
      <c r="H281" s="1">
        <v>3</v>
      </c>
      <c r="I281" s="1" t="s">
        <v>897</v>
      </c>
      <c r="J281" s="4" t="s">
        <v>225</v>
      </c>
      <c r="K281" s="1">
        <v>405</v>
      </c>
      <c r="L281" s="1">
        <f>Tabla1[[#This Row],[Costo Unitario]]*Tabla1[[#This Row],[cantidad]]</f>
        <v>1215</v>
      </c>
      <c r="M281" s="88">
        <v>42948</v>
      </c>
      <c r="N281" s="88">
        <v>42942</v>
      </c>
      <c r="O281" s="88" t="str">
        <f>IF( Tabla1[[#This Row],[Fecha de entrega real]]="","NO CONCRETADO",IF(N281&lt;=M281,"CUMPLIÓ","NO CUMPLIÓ"))</f>
        <v>CUMPLIÓ</v>
      </c>
      <c r="P281" s="141">
        <f t="shared" si="8"/>
        <v>-6</v>
      </c>
      <c r="S281" s="4" t="s">
        <v>334</v>
      </c>
      <c r="T281" s="1" t="s">
        <v>1144</v>
      </c>
      <c r="U281" s="107" t="s">
        <v>1143</v>
      </c>
      <c r="X281" s="1">
        <f>MONTH(Tabla1[[#This Row],[fecha
de
pedido]])</f>
        <v>7</v>
      </c>
      <c r="Y281" s="1">
        <f>YEAR(Tabla1[[#This Row],[fecha
de
pedido]])</f>
        <v>2017</v>
      </c>
    </row>
    <row r="282" spans="1:25" ht="12.75" customHeight="1" x14ac:dyDescent="0.2">
      <c r="A282" s="152">
        <v>42936</v>
      </c>
      <c r="B282" s="118" t="s">
        <v>487</v>
      </c>
      <c r="C282" s="4" t="s">
        <v>906</v>
      </c>
      <c r="D282" s="1" t="s">
        <v>975</v>
      </c>
      <c r="E282" s="178" t="s">
        <v>11</v>
      </c>
      <c r="F282" s="1" t="s">
        <v>772</v>
      </c>
      <c r="G282" s="4" t="s">
        <v>1089</v>
      </c>
      <c r="H282" s="1">
        <v>4</v>
      </c>
      <c r="I282" s="1" t="s">
        <v>784</v>
      </c>
      <c r="J282" s="4" t="s">
        <v>82</v>
      </c>
      <c r="K282" s="1">
        <f>(428*1.21)</f>
        <v>517.88</v>
      </c>
      <c r="L282" s="1">
        <f>Tabla1[[#This Row],[Costo Unitario]]*Tabla1[[#This Row],[cantidad]]</f>
        <v>2071.52</v>
      </c>
      <c r="M282" s="88" t="s">
        <v>854</v>
      </c>
      <c r="N282" s="88">
        <v>42977</v>
      </c>
      <c r="O282" s="88" t="str">
        <f>IF( Tabla1[[#This Row],[Fecha de entrega real]]="","NO CONCRETADO",IF(N282&lt;=M282,"CUMPLIÓ","NO CUMPLIÓ"))</f>
        <v>CUMPLIÓ</v>
      </c>
      <c r="P282" s="141" t="e">
        <f t="shared" si="8"/>
        <v>#VALUE!</v>
      </c>
      <c r="Q282" s="4" t="s">
        <v>13</v>
      </c>
      <c r="R282" s="4" t="s">
        <v>809</v>
      </c>
      <c r="S282" s="4" t="s">
        <v>334</v>
      </c>
      <c r="T282" s="1" t="s">
        <v>1252</v>
      </c>
      <c r="U282" s="107" t="s">
        <v>1251</v>
      </c>
      <c r="X282" s="1">
        <f>MONTH(Tabla1[[#This Row],[fecha
de
pedido]])</f>
        <v>7</v>
      </c>
      <c r="Y282" s="1">
        <f>YEAR(Tabla1[[#This Row],[fecha
de
pedido]])</f>
        <v>2017</v>
      </c>
    </row>
    <row r="283" spans="1:25" ht="12.75" customHeight="1" x14ac:dyDescent="0.2">
      <c r="A283" s="152">
        <v>42936</v>
      </c>
      <c r="B283" s="118" t="s">
        <v>487</v>
      </c>
      <c r="C283" s="4" t="s">
        <v>11</v>
      </c>
      <c r="D283" s="1" t="s">
        <v>975</v>
      </c>
      <c r="E283" s="178" t="s">
        <v>11</v>
      </c>
      <c r="F283" s="1" t="s">
        <v>772</v>
      </c>
      <c r="G283" s="4" t="s">
        <v>1090</v>
      </c>
      <c r="H283" s="1">
        <v>2</v>
      </c>
      <c r="I283" s="1" t="s">
        <v>784</v>
      </c>
      <c r="J283" s="4" t="s">
        <v>82</v>
      </c>
      <c r="K283" s="1">
        <f>(128*1.21)</f>
        <v>154.88</v>
      </c>
      <c r="L283" s="1">
        <f>Tabla1[[#This Row],[Costo Unitario]]*Tabla1[[#This Row],[cantidad]]</f>
        <v>309.76</v>
      </c>
      <c r="M283" s="88" t="s">
        <v>854</v>
      </c>
      <c r="N283" s="88">
        <v>42977</v>
      </c>
      <c r="O283" s="88" t="str">
        <f>IF( Tabla1[[#This Row],[Fecha de entrega real]]="","NO CONCRETADO",IF(N283&lt;=M283,"CUMPLIÓ","NO CUMPLIÓ"))</f>
        <v>CUMPLIÓ</v>
      </c>
      <c r="P283" s="141" t="e">
        <f t="shared" si="8"/>
        <v>#VALUE!</v>
      </c>
      <c r="Q283" s="4" t="s">
        <v>13</v>
      </c>
      <c r="R283" s="4" t="s">
        <v>809</v>
      </c>
      <c r="S283" s="4" t="s">
        <v>334</v>
      </c>
      <c r="T283" s="1" t="s">
        <v>1252</v>
      </c>
      <c r="U283" s="107" t="s">
        <v>1251</v>
      </c>
      <c r="X283" s="1">
        <f>MONTH(Tabla1[[#This Row],[fecha
de
pedido]])</f>
        <v>7</v>
      </c>
      <c r="Y283" s="1">
        <f>YEAR(Tabla1[[#This Row],[fecha
de
pedido]])</f>
        <v>2017</v>
      </c>
    </row>
    <row r="284" spans="1:25" ht="63.75" customHeight="1" x14ac:dyDescent="0.2">
      <c r="A284" s="152">
        <v>42936</v>
      </c>
      <c r="B284" s="118" t="s">
        <v>487</v>
      </c>
      <c r="C284" s="4" t="s">
        <v>30</v>
      </c>
      <c r="D284" s="1" t="s">
        <v>975</v>
      </c>
      <c r="E284" s="4" t="s">
        <v>31</v>
      </c>
      <c r="F284" s="1" t="s">
        <v>1096</v>
      </c>
      <c r="G284" s="4" t="s">
        <v>1094</v>
      </c>
      <c r="H284" s="1">
        <v>1</v>
      </c>
      <c r="I284" s="1" t="s">
        <v>830</v>
      </c>
      <c r="J284" s="4" t="s">
        <v>1493</v>
      </c>
      <c r="K284" s="1">
        <v>11858</v>
      </c>
      <c r="L284" s="1">
        <f>Tabla1[[#This Row],[Costo Unitario]]*Tabla1[[#This Row],[cantidad]]</f>
        <v>11858</v>
      </c>
      <c r="M284" s="88">
        <v>43003</v>
      </c>
      <c r="N284" s="88">
        <v>42972</v>
      </c>
      <c r="O284" s="88" t="str">
        <f>IF( Tabla1[[#This Row],[Fecha de entrega real]]="","NO CONCRETADO",IF(N284&lt;=M284,"CUMPLIÓ","NO CUMPLIÓ"))</f>
        <v>CUMPLIÓ</v>
      </c>
      <c r="P284" s="141">
        <f t="shared" si="8"/>
        <v>-31</v>
      </c>
      <c r="Q284" s="4" t="s">
        <v>1231</v>
      </c>
      <c r="R284" s="4" t="s">
        <v>33</v>
      </c>
      <c r="S284" s="4" t="s">
        <v>1232</v>
      </c>
      <c r="T284" s="1" t="s">
        <v>1233</v>
      </c>
      <c r="U284" t="s">
        <v>1244</v>
      </c>
      <c r="X284" s="1">
        <f>MONTH(Tabla1[[#This Row],[fecha
de
pedido]])</f>
        <v>7</v>
      </c>
      <c r="Y284" s="1">
        <f>YEAR(Tabla1[[#This Row],[fecha
de
pedido]])</f>
        <v>2017</v>
      </c>
    </row>
    <row r="285" spans="1:25" ht="25.5" customHeight="1" x14ac:dyDescent="0.2">
      <c r="A285" s="208">
        <v>42936</v>
      </c>
      <c r="B285" s="118" t="s">
        <v>487</v>
      </c>
      <c r="C285" s="209" t="s">
        <v>33</v>
      </c>
      <c r="D285" s="210" t="s">
        <v>33</v>
      </c>
      <c r="E285" s="209" t="s">
        <v>1044</v>
      </c>
      <c r="F285" s="210" t="s">
        <v>830</v>
      </c>
      <c r="G285" s="209" t="s">
        <v>1234</v>
      </c>
      <c r="H285" s="210">
        <v>1</v>
      </c>
      <c r="I285" s="210" t="s">
        <v>1053</v>
      </c>
      <c r="J285" s="209" t="s">
        <v>1231</v>
      </c>
      <c r="K285" s="210">
        <v>1157.1500000000001</v>
      </c>
      <c r="L285" s="1">
        <f>Tabla1[[#This Row],[Costo Unitario]]*Tabla1[[#This Row],[cantidad]]</f>
        <v>1157.1500000000001</v>
      </c>
      <c r="M285" s="211">
        <v>42972</v>
      </c>
      <c r="N285" s="211">
        <v>42972</v>
      </c>
      <c r="O285" s="211" t="str">
        <f>IF( Tabla1[[#This Row],[Fecha de entrega real]]="","NO CONCRETADO",IF(N285&lt;=M285,"CUMPLIÓ","NO CUMPLIÓ"))</f>
        <v>CUMPLIÓ</v>
      </c>
      <c r="P285" s="141">
        <f t="shared" si="8"/>
        <v>0</v>
      </c>
      <c r="Q285" s="4" t="s">
        <v>1231</v>
      </c>
      <c r="R285" s="4" t="s">
        <v>33</v>
      </c>
      <c r="S285" s="209" t="s">
        <v>1235</v>
      </c>
      <c r="T285" s="414" t="s">
        <v>1973</v>
      </c>
      <c r="U285" s="210" t="s">
        <v>1236</v>
      </c>
      <c r="V285" s="210"/>
      <c r="W285" s="210"/>
      <c r="X285" s="210">
        <f>MONTH(Tabla1[[#This Row],[fecha
de
pedido]])</f>
        <v>7</v>
      </c>
      <c r="Y285" s="210">
        <f>YEAR(Tabla1[[#This Row],[fecha
de
pedido]])</f>
        <v>2017</v>
      </c>
    </row>
    <row r="286" spans="1:25" ht="25.5" customHeight="1" x14ac:dyDescent="0.2">
      <c r="A286" s="152">
        <v>42936</v>
      </c>
      <c r="B286" s="118" t="s">
        <v>487</v>
      </c>
      <c r="C286" s="4" t="s">
        <v>30</v>
      </c>
      <c r="D286" s="1" t="s">
        <v>975</v>
      </c>
      <c r="E286" s="178" t="s">
        <v>11</v>
      </c>
      <c r="F286" s="1" t="s">
        <v>1097</v>
      </c>
      <c r="G286" s="4" t="s">
        <v>1095</v>
      </c>
      <c r="H286" s="1">
        <v>1</v>
      </c>
      <c r="J286" s="4" t="s">
        <v>1493</v>
      </c>
      <c r="K286" s="1">
        <v>12700</v>
      </c>
      <c r="L286" s="1">
        <f>Tabla1[[#This Row],[Costo Unitario]]*Tabla1[[#This Row],[cantidad]]</f>
        <v>12700</v>
      </c>
      <c r="M286" s="88">
        <v>43003</v>
      </c>
      <c r="N286" s="88"/>
      <c r="O286" s="88" t="str">
        <f>IF( Tabla1[[#This Row],[Fecha de entrega real]]="","NO CONCRETADO",IF(N286&lt;=M286,"CUMPLIÓ","NO CUMPLIÓ"))</f>
        <v>NO CONCRETADO</v>
      </c>
      <c r="P286" s="141" t="str">
        <f t="shared" si="8"/>
        <v>NO CONCRETADO</v>
      </c>
      <c r="X286" s="1">
        <f>MONTH(Tabla1[[#This Row],[fecha
de
pedido]])</f>
        <v>7</v>
      </c>
      <c r="Y286" s="1">
        <f>YEAR(Tabla1[[#This Row],[fecha
de
pedido]])</f>
        <v>2017</v>
      </c>
    </row>
    <row r="287" spans="1:25" ht="25.5" customHeight="1" x14ac:dyDescent="0.2">
      <c r="A287" s="152">
        <v>42940</v>
      </c>
      <c r="B287" s="118" t="s">
        <v>487</v>
      </c>
      <c r="C287" s="124" t="s">
        <v>1020</v>
      </c>
      <c r="D287" s="1" t="s">
        <v>975</v>
      </c>
      <c r="E287" s="4" t="s">
        <v>31</v>
      </c>
      <c r="F287" s="97" t="s">
        <v>1016</v>
      </c>
      <c r="G287" s="4" t="s">
        <v>1098</v>
      </c>
      <c r="H287" s="126">
        <v>22.5</v>
      </c>
      <c r="I287" s="97" t="s">
        <v>1018</v>
      </c>
      <c r="J287" s="124" t="s">
        <v>81</v>
      </c>
      <c r="K287" s="181">
        <f>381*1.21</f>
        <v>461.01</v>
      </c>
      <c r="L287" s="1">
        <v>7099</v>
      </c>
      <c r="M287" s="125">
        <v>42942</v>
      </c>
      <c r="N287" s="125">
        <v>42942</v>
      </c>
      <c r="O287" s="88" t="str">
        <f>IF( Tabla1[[#This Row],[Fecha de entrega real]]="","NO CONCRETADO",IF(N287&lt;=M287,"CUMPLIÓ","NO CUMPLIÓ"))</f>
        <v>CUMPLIÓ</v>
      </c>
      <c r="P287" s="141">
        <f t="shared" si="8"/>
        <v>0</v>
      </c>
      <c r="Q287" s="124" t="s">
        <v>1099</v>
      </c>
      <c r="R287" s="124" t="s">
        <v>1048</v>
      </c>
      <c r="S287" s="124" t="s">
        <v>1120</v>
      </c>
      <c r="T287" s="97" t="s">
        <v>1114</v>
      </c>
      <c r="U287" s="128" t="s">
        <v>1119</v>
      </c>
      <c r="V287" s="97"/>
      <c r="W287" s="97"/>
      <c r="X287" s="97"/>
      <c r="Y287" s="97"/>
    </row>
    <row r="288" spans="1:25" ht="25.5" customHeight="1" x14ac:dyDescent="0.2">
      <c r="A288" s="187">
        <v>42940</v>
      </c>
      <c r="B288" s="118" t="s">
        <v>487</v>
      </c>
      <c r="C288" s="188" t="s">
        <v>921</v>
      </c>
      <c r="D288" s="183" t="s">
        <v>487</v>
      </c>
      <c r="E288" s="182" t="s">
        <v>487</v>
      </c>
      <c r="F288" s="189" t="s">
        <v>834</v>
      </c>
      <c r="G288" s="182" t="s">
        <v>1121</v>
      </c>
      <c r="H288" s="190">
        <v>1</v>
      </c>
      <c r="I288" s="189" t="s">
        <v>830</v>
      </c>
      <c r="J288" s="188" t="s">
        <v>81</v>
      </c>
      <c r="K288" s="191">
        <v>178.78</v>
      </c>
      <c r="L288" s="183">
        <f>Tabla1[[#This Row],[Costo Unitario]]*Tabla1[[#This Row],[cantidad]]</f>
        <v>178.78</v>
      </c>
      <c r="M288" s="125">
        <v>42942</v>
      </c>
      <c r="N288" s="125">
        <v>42942</v>
      </c>
      <c r="O288" s="184" t="str">
        <f>IF( Tabla1[[#This Row],[Fecha de entrega real]]="","NO CONCRETADO",IF(N288&lt;=M288,"CUMPLIÓ","NO CUMPLIÓ"))</f>
        <v>CUMPLIÓ</v>
      </c>
      <c r="P288" s="141">
        <f t="shared" si="8"/>
        <v>0</v>
      </c>
      <c r="Q288" s="124" t="s">
        <v>1099</v>
      </c>
      <c r="R288" s="124" t="s">
        <v>1048</v>
      </c>
      <c r="S288" s="188" t="s">
        <v>334</v>
      </c>
      <c r="T288" s="97" t="s">
        <v>1114</v>
      </c>
      <c r="U288" s="128" t="s">
        <v>1119</v>
      </c>
      <c r="V288" s="189"/>
      <c r="W288" s="189"/>
      <c r="X288" s="189">
        <f>MONTH(Tabla1[[#This Row],[fecha
de
pedido]])</f>
        <v>7</v>
      </c>
      <c r="Y288" s="189">
        <f>YEAR(Tabla1[[#This Row],[fecha
de
pedido]])</f>
        <v>2017</v>
      </c>
    </row>
    <row r="289" spans="1:25" ht="25.5" customHeight="1" x14ac:dyDescent="0.2">
      <c r="A289" s="152">
        <v>42942</v>
      </c>
      <c r="B289" s="118" t="s">
        <v>487</v>
      </c>
      <c r="C289" s="188" t="s">
        <v>1115</v>
      </c>
      <c r="D289" s="183" t="s">
        <v>33</v>
      </c>
      <c r="E289" s="182" t="s">
        <v>11</v>
      </c>
      <c r="F289" s="189" t="s">
        <v>817</v>
      </c>
      <c r="G289" s="182" t="s">
        <v>1116</v>
      </c>
      <c r="H289" s="190">
        <v>1</v>
      </c>
      <c r="I289" s="189" t="s">
        <v>817</v>
      </c>
      <c r="J289" s="188" t="s">
        <v>1117</v>
      </c>
      <c r="K289" s="191" t="s">
        <v>1118</v>
      </c>
      <c r="L289" s="183">
        <v>50229.11</v>
      </c>
      <c r="M289" s="192">
        <v>43065</v>
      </c>
      <c r="N289" s="192">
        <v>43206</v>
      </c>
      <c r="O289" s="184" t="str">
        <f>IF( Tabla1[[#This Row],[Fecha de entrega real]]="","NO CONCRETADO",IF(N289&lt;=M289,"CUMPLIÓ","NO CUMPLIÓ"))</f>
        <v>NO CUMPLIÓ</v>
      </c>
      <c r="P289" s="141">
        <f t="shared" si="8"/>
        <v>141</v>
      </c>
      <c r="Q289" s="124" t="s">
        <v>13</v>
      </c>
      <c r="R289" s="124" t="s">
        <v>11</v>
      </c>
      <c r="S289" s="124" t="s">
        <v>244</v>
      </c>
      <c r="T289" s="97" t="s">
        <v>1833</v>
      </c>
      <c r="U289" s="128" t="s">
        <v>1834</v>
      </c>
      <c r="V289" s="189"/>
      <c r="W289" s="189"/>
      <c r="X289" s="189">
        <f>MONTH(Tabla1[[#This Row],[fecha
de
pedido]])</f>
        <v>7</v>
      </c>
      <c r="Y289" s="189">
        <f>YEAR(Tabla1[[#This Row],[fecha
de
pedido]])</f>
        <v>2017</v>
      </c>
    </row>
    <row r="290" spans="1:25" ht="25.5" customHeight="1" x14ac:dyDescent="0.2">
      <c r="A290" s="187">
        <v>42942</v>
      </c>
      <c r="B290" s="118" t="s">
        <v>487</v>
      </c>
      <c r="C290" s="188" t="s">
        <v>775</v>
      </c>
      <c r="D290" s="183" t="s">
        <v>33</v>
      </c>
      <c r="E290" s="182" t="s">
        <v>984</v>
      </c>
      <c r="F290" s="189" t="s">
        <v>772</v>
      </c>
      <c r="G290" s="182" t="s">
        <v>1046</v>
      </c>
      <c r="H290" s="190">
        <v>150</v>
      </c>
      <c r="I290" s="189" t="s">
        <v>779</v>
      </c>
      <c r="J290" s="188" t="s">
        <v>12</v>
      </c>
      <c r="K290" s="191">
        <v>4.5</v>
      </c>
      <c r="L290" s="183">
        <f>Tabla1[[#This Row],[Costo Unitario]]*Tabla1[[#This Row],[cantidad]]</f>
        <v>675</v>
      </c>
      <c r="M290" s="192">
        <v>42944</v>
      </c>
      <c r="N290" s="192">
        <v>42947</v>
      </c>
      <c r="O290" s="184" t="str">
        <f>IF( Tabla1[[#This Row],[Fecha de entrega real]]="","NO CONCRETADO",IF(N290&lt;=M290,"CUMPLIÓ","NO CUMPLIÓ"))</f>
        <v>NO CUMPLIÓ</v>
      </c>
      <c r="P290" s="141">
        <f t="shared" si="8"/>
        <v>3</v>
      </c>
      <c r="Q290" s="188" t="s">
        <v>13</v>
      </c>
      <c r="R290" s="188" t="s">
        <v>775</v>
      </c>
      <c r="S290" s="188" t="s">
        <v>244</v>
      </c>
      <c r="T290" s="97" t="s">
        <v>1973</v>
      </c>
      <c r="U290" s="193" t="s">
        <v>1132</v>
      </c>
      <c r="V290" s="189"/>
      <c r="W290" s="189"/>
      <c r="X290" s="189">
        <f>MONTH(Tabla1[[#This Row],[fecha
de
pedido]])</f>
        <v>7</v>
      </c>
      <c r="Y290" s="189">
        <f>YEAR(Tabla1[[#This Row],[fecha
de
pedido]])</f>
        <v>2017</v>
      </c>
    </row>
    <row r="291" spans="1:25" ht="25.5" customHeight="1" x14ac:dyDescent="0.2">
      <c r="A291" s="187">
        <v>42942</v>
      </c>
      <c r="B291" s="118" t="s">
        <v>487</v>
      </c>
      <c r="C291" s="188" t="s">
        <v>33</v>
      </c>
      <c r="D291" s="183" t="s">
        <v>33</v>
      </c>
      <c r="E291" s="182" t="s">
        <v>888</v>
      </c>
      <c r="F291" s="189" t="s">
        <v>772</v>
      </c>
      <c r="G291" s="182" t="s">
        <v>204</v>
      </c>
      <c r="H291" s="190">
        <v>150</v>
      </c>
      <c r="I291" s="189" t="s">
        <v>779</v>
      </c>
      <c r="J291" s="188" t="s">
        <v>12</v>
      </c>
      <c r="K291" s="191">
        <v>4.5</v>
      </c>
      <c r="L291" s="183">
        <f>Tabla1[[#This Row],[Costo Unitario]]*Tabla1[[#This Row],[cantidad]]</f>
        <v>675</v>
      </c>
      <c r="M291" s="192">
        <v>42944</v>
      </c>
      <c r="N291" s="192">
        <v>42947</v>
      </c>
      <c r="O291" s="184" t="str">
        <f>IF( Tabla1[[#This Row],[Fecha de entrega real]]="","NO CONCRETADO",IF(N291&lt;=M291,"CUMPLIÓ","NO CUMPLIÓ"))</f>
        <v>NO CUMPLIÓ</v>
      </c>
      <c r="P291" s="141">
        <f t="shared" si="8"/>
        <v>3</v>
      </c>
      <c r="Q291" s="188" t="s">
        <v>145</v>
      </c>
      <c r="R291" s="188" t="s">
        <v>33</v>
      </c>
      <c r="S291" s="188" t="s">
        <v>1134</v>
      </c>
      <c r="T291" s="97" t="s">
        <v>1973</v>
      </c>
      <c r="U291" s="193" t="s">
        <v>1133</v>
      </c>
      <c r="V291" s="189"/>
      <c r="W291" s="189"/>
      <c r="X291" s="189">
        <f>MONTH(Tabla1[[#This Row],[fecha
de
pedido]])</f>
        <v>7</v>
      </c>
      <c r="Y291" s="189">
        <f>YEAR(Tabla1[[#This Row],[fecha
de
pedido]])</f>
        <v>2017</v>
      </c>
    </row>
    <row r="292" spans="1:25" ht="38.25" customHeight="1" x14ac:dyDescent="0.2">
      <c r="A292" s="152">
        <v>42943</v>
      </c>
      <c r="B292" s="118" t="s">
        <v>487</v>
      </c>
      <c r="C292" s="188" t="s">
        <v>849</v>
      </c>
      <c r="D292" s="183" t="s">
        <v>809</v>
      </c>
      <c r="E292" s="182" t="s">
        <v>11</v>
      </c>
      <c r="F292" s="189" t="s">
        <v>830</v>
      </c>
      <c r="G292" s="182" t="s">
        <v>1123</v>
      </c>
      <c r="H292" s="190">
        <v>13</v>
      </c>
      <c r="I292" s="189" t="s">
        <v>784</v>
      </c>
      <c r="J292" s="188" t="s">
        <v>1124</v>
      </c>
      <c r="K292" s="191">
        <v>256</v>
      </c>
      <c r="L292" s="183">
        <f>Tabla1[[#This Row],[Costo Unitario]]*Tabla1[[#This Row],[cantidad]]</f>
        <v>3328</v>
      </c>
      <c r="M292" s="192">
        <v>42940</v>
      </c>
      <c r="N292" s="192">
        <v>42940</v>
      </c>
      <c r="O292" s="184" t="str">
        <f>IF( Tabla1[[#This Row],[Fecha de entrega real]]="","NO CONCRETADO",IF(N292&lt;=M292,"CUMPLIÓ","NO CUMPLIÓ"))</f>
        <v>CUMPLIÓ</v>
      </c>
      <c r="P292" s="141">
        <f t="shared" si="8"/>
        <v>0</v>
      </c>
      <c r="Q292" s="188"/>
      <c r="R292" s="188" t="s">
        <v>33</v>
      </c>
      <c r="S292" s="188" t="s">
        <v>244</v>
      </c>
      <c r="T292" s="97" t="s">
        <v>1973</v>
      </c>
      <c r="U292" s="193" t="s">
        <v>1125</v>
      </c>
      <c r="V292" s="189"/>
      <c r="W292" s="189"/>
      <c r="X292" s="189">
        <f>MONTH(Tabla1[[#This Row],[fecha
de
pedido]])</f>
        <v>7</v>
      </c>
      <c r="Y292" s="189">
        <f>YEAR(Tabla1[[#This Row],[fecha
de
pedido]])</f>
        <v>2017</v>
      </c>
    </row>
    <row r="293" spans="1:25" ht="38.25" customHeight="1" x14ac:dyDescent="0.2">
      <c r="A293" s="152">
        <v>42944</v>
      </c>
      <c r="B293" s="118" t="s">
        <v>487</v>
      </c>
      <c r="C293" s="188" t="s">
        <v>33</v>
      </c>
      <c r="D293" s="188" t="s">
        <v>33</v>
      </c>
      <c r="E293" s="182" t="s">
        <v>984</v>
      </c>
      <c r="F293" s="189" t="s">
        <v>778</v>
      </c>
      <c r="G293" s="182" t="s">
        <v>1126</v>
      </c>
      <c r="H293" s="190">
        <v>3</v>
      </c>
      <c r="I293" s="97" t="s">
        <v>779</v>
      </c>
      <c r="J293" s="124" t="s">
        <v>15</v>
      </c>
      <c r="K293" s="191">
        <v>235</v>
      </c>
      <c r="L293" s="183">
        <f>Tabla1[[#This Row],[Costo Unitario]]*Tabla1[[#This Row],[cantidad]]</f>
        <v>705</v>
      </c>
      <c r="M293" s="192">
        <v>42962</v>
      </c>
      <c r="N293" s="192">
        <v>42962</v>
      </c>
      <c r="O293" s="184" t="str">
        <f>IF( Tabla1[[#This Row],[Fecha de entrega real]]="","NO CONCRETADO",IF(N293&lt;=M293,"CUMPLIÓ","NO CUMPLIÓ"))</f>
        <v>CUMPLIÓ</v>
      </c>
      <c r="P293" s="141">
        <f t="shared" si="8"/>
        <v>0</v>
      </c>
      <c r="Q293" s="188" t="s">
        <v>145</v>
      </c>
      <c r="R293" s="188" t="s">
        <v>33</v>
      </c>
      <c r="S293" s="188" t="s">
        <v>244</v>
      </c>
      <c r="T293" s="124" t="s">
        <v>1190</v>
      </c>
      <c r="U293" s="207" t="s">
        <v>1191</v>
      </c>
      <c r="V293" s="189"/>
      <c r="W293" s="189"/>
      <c r="X293" s="189">
        <f>MONTH(Tabla1[[#This Row],[fecha
de
pedido]])</f>
        <v>7</v>
      </c>
      <c r="Y293" s="189">
        <f>YEAR(Tabla1[[#This Row],[fecha
de
pedido]])</f>
        <v>2017</v>
      </c>
    </row>
    <row r="294" spans="1:25" ht="50.25" customHeight="1" x14ac:dyDescent="0.2">
      <c r="A294" s="187">
        <v>42944</v>
      </c>
      <c r="B294" s="118" t="s">
        <v>487</v>
      </c>
      <c r="C294" s="4" t="s">
        <v>1127</v>
      </c>
      <c r="D294" s="188" t="s">
        <v>33</v>
      </c>
      <c r="E294" s="182" t="s">
        <v>984</v>
      </c>
      <c r="F294" s="1" t="s">
        <v>772</v>
      </c>
      <c r="G294" s="4" t="s">
        <v>1128</v>
      </c>
      <c r="H294" s="183">
        <v>3</v>
      </c>
      <c r="I294" s="1" t="s">
        <v>784</v>
      </c>
      <c r="J294" s="124" t="s">
        <v>15</v>
      </c>
      <c r="K294" s="183">
        <v>590</v>
      </c>
      <c r="L294" s="183">
        <f>Tabla1[[#This Row],[Costo Unitario]]*Tabla1[[#This Row],[cantidad]]</f>
        <v>1770</v>
      </c>
      <c r="M294" s="184">
        <v>42924</v>
      </c>
      <c r="N294" s="184">
        <v>42948</v>
      </c>
      <c r="O294" s="184" t="str">
        <f>IF( Tabla1[[#This Row],[Fecha de entrega real]]="","NO CONCRETADO",IF(N294&lt;=M294,"CUMPLIÓ","NO CUMPLIÓ"))</f>
        <v>NO CUMPLIÓ</v>
      </c>
      <c r="P294" s="141">
        <f t="shared" si="8"/>
        <v>24</v>
      </c>
      <c r="Q294" s="188" t="s">
        <v>145</v>
      </c>
      <c r="R294" s="188" t="s">
        <v>33</v>
      </c>
      <c r="S294" s="124" t="s">
        <v>1977</v>
      </c>
      <c r="T294" s="183" t="s">
        <v>1142</v>
      </c>
      <c r="U294" s="185" t="s">
        <v>1141</v>
      </c>
      <c r="V294" s="183"/>
      <c r="W294" s="183"/>
      <c r="X294" s="183">
        <f>MONTH(Tabla1[[#This Row],[fecha
de
pedido]])</f>
        <v>7</v>
      </c>
      <c r="Y294" s="183">
        <f>YEAR(Tabla1[[#This Row],[fecha
de
pedido]])</f>
        <v>2017</v>
      </c>
    </row>
    <row r="295" spans="1:25" ht="51" customHeight="1" x14ac:dyDescent="0.2">
      <c r="A295" s="187">
        <v>42944</v>
      </c>
      <c r="B295" s="118" t="s">
        <v>487</v>
      </c>
      <c r="C295" s="4" t="s">
        <v>1103</v>
      </c>
      <c r="D295" s="188" t="s">
        <v>33</v>
      </c>
      <c r="E295" s="182" t="s">
        <v>984</v>
      </c>
      <c r="F295" s="1" t="s">
        <v>772</v>
      </c>
      <c r="G295" s="182" t="s">
        <v>1129</v>
      </c>
      <c r="H295" s="183">
        <v>3</v>
      </c>
      <c r="I295" s="1" t="s">
        <v>800</v>
      </c>
      <c r="J295" s="124" t="s">
        <v>15</v>
      </c>
      <c r="K295" s="183">
        <v>390</v>
      </c>
      <c r="L295" s="183">
        <f>Tabla1[[#This Row],[Costo Unitario]]*Tabla1[[#This Row],[cantidad]]</f>
        <v>1170</v>
      </c>
      <c r="M295" s="184">
        <v>42924</v>
      </c>
      <c r="N295" s="184">
        <v>42948</v>
      </c>
      <c r="O295" s="184" t="str">
        <f>IF( Tabla1[[#This Row],[Fecha de entrega real]]="","NO CONCRETADO",IF(N295&lt;=M295,"CUMPLIÓ","NO CUMPLIÓ"))</f>
        <v>NO CUMPLIÓ</v>
      </c>
      <c r="P295" s="141">
        <f t="shared" si="8"/>
        <v>24</v>
      </c>
      <c r="Q295" s="188" t="s">
        <v>145</v>
      </c>
      <c r="R295" s="188" t="s">
        <v>33</v>
      </c>
      <c r="S295" s="124" t="s">
        <v>1977</v>
      </c>
      <c r="T295" s="183" t="s">
        <v>1142</v>
      </c>
      <c r="U295" s="185" t="s">
        <v>1141</v>
      </c>
      <c r="V295" s="183"/>
      <c r="W295" s="183"/>
      <c r="X295" s="183">
        <f>MONTH(Tabla1[[#This Row],[fecha
de
pedido]])</f>
        <v>7</v>
      </c>
      <c r="Y295" s="183">
        <f>YEAR(Tabla1[[#This Row],[fecha
de
pedido]])</f>
        <v>2017</v>
      </c>
    </row>
    <row r="296" spans="1:25" ht="51.75" customHeight="1" x14ac:dyDescent="0.2">
      <c r="A296" s="187">
        <v>42944</v>
      </c>
      <c r="B296" s="118" t="s">
        <v>487</v>
      </c>
      <c r="C296" s="4" t="s">
        <v>1103</v>
      </c>
      <c r="D296" s="188" t="s">
        <v>33</v>
      </c>
      <c r="E296" s="182" t="s">
        <v>984</v>
      </c>
      <c r="F296" s="1" t="s">
        <v>772</v>
      </c>
      <c r="G296" s="182" t="s">
        <v>1130</v>
      </c>
      <c r="H296" s="183">
        <v>1</v>
      </c>
      <c r="I296" s="1" t="s">
        <v>488</v>
      </c>
      <c r="J296" s="124" t="s">
        <v>15</v>
      </c>
      <c r="K296" s="183">
        <v>890</v>
      </c>
      <c r="L296" s="183">
        <f>Tabla1[[#This Row],[Costo Unitario]]*Tabla1[[#This Row],[cantidad]]</f>
        <v>890</v>
      </c>
      <c r="M296" s="184">
        <v>42924</v>
      </c>
      <c r="N296" s="184">
        <v>42948</v>
      </c>
      <c r="O296" s="184" t="str">
        <f>IF( Tabla1[[#This Row],[Fecha de entrega real]]="","NO CONCRETADO",IF(N296&lt;=M296,"CUMPLIÓ","NO CUMPLIÓ"))</f>
        <v>NO CUMPLIÓ</v>
      </c>
      <c r="P296" s="141">
        <f t="shared" si="8"/>
        <v>24</v>
      </c>
      <c r="Q296" s="188" t="s">
        <v>145</v>
      </c>
      <c r="R296" s="188" t="s">
        <v>33</v>
      </c>
      <c r="S296" s="124" t="s">
        <v>1977</v>
      </c>
      <c r="T296" s="183" t="s">
        <v>1140</v>
      </c>
      <c r="U296" s="185" t="s">
        <v>1139</v>
      </c>
      <c r="V296" s="183"/>
      <c r="W296" s="183"/>
      <c r="X296" s="183">
        <f>MONTH(Tabla1[[#This Row],[fecha
de
pedido]])</f>
        <v>7</v>
      </c>
      <c r="Y296" s="183">
        <f>YEAR(Tabla1[[#This Row],[fecha
de
pedido]])</f>
        <v>2017</v>
      </c>
    </row>
    <row r="297" spans="1:25" ht="25.5" customHeight="1" x14ac:dyDescent="0.2">
      <c r="A297" s="187">
        <v>42944</v>
      </c>
      <c r="B297" s="118" t="s">
        <v>487</v>
      </c>
      <c r="C297" s="4" t="s">
        <v>1103</v>
      </c>
      <c r="D297" s="188" t="s">
        <v>33</v>
      </c>
      <c r="E297" s="182" t="s">
        <v>984</v>
      </c>
      <c r="F297" s="1" t="s">
        <v>772</v>
      </c>
      <c r="G297" s="4" t="s">
        <v>1131</v>
      </c>
      <c r="H297" s="1">
        <v>3</v>
      </c>
      <c r="I297" s="1" t="s">
        <v>800</v>
      </c>
      <c r="J297" s="124" t="s">
        <v>77</v>
      </c>
      <c r="K297" s="1">
        <v>235.95</v>
      </c>
      <c r="L297" s="183">
        <f>Tabla1[[#This Row],[Costo Unitario]]*Tabla1[[#This Row],[cantidad]]</f>
        <v>707.84999999999991</v>
      </c>
      <c r="M297" s="88" t="s">
        <v>854</v>
      </c>
      <c r="N297" s="88"/>
      <c r="O297" s="88" t="str">
        <f>IF( Tabla1[[#This Row],[Fecha de entrega real]]="","NO CONCRETADO",IF(N297&lt;=M297,"CUMPLIÓ","NO CUMPLIÓ"))</f>
        <v>NO CONCRETADO</v>
      </c>
      <c r="P297" s="141" t="str">
        <f t="shared" si="8"/>
        <v>NO CONCRETADO</v>
      </c>
      <c r="Q297" s="188" t="s">
        <v>145</v>
      </c>
      <c r="R297" s="188" t="s">
        <v>33</v>
      </c>
      <c r="S297" s="188"/>
      <c r="X297" s="1">
        <f>MONTH(Tabla1[[#This Row],[fecha
de
pedido]])</f>
        <v>7</v>
      </c>
      <c r="Y297" s="1">
        <f>YEAR(Tabla1[[#This Row],[fecha
de
pedido]])</f>
        <v>2017</v>
      </c>
    </row>
    <row r="298" spans="1:25" ht="12.75" customHeight="1" x14ac:dyDescent="0.2">
      <c r="A298" s="152">
        <v>42947</v>
      </c>
      <c r="B298" s="118" t="s">
        <v>487</v>
      </c>
      <c r="C298" s="4" t="s">
        <v>1103</v>
      </c>
      <c r="D298" s="188" t="s">
        <v>33</v>
      </c>
      <c r="E298" s="4" t="s">
        <v>11</v>
      </c>
      <c r="F298" s="1" t="s">
        <v>817</v>
      </c>
      <c r="G298" s="4" t="s">
        <v>395</v>
      </c>
      <c r="H298" s="1">
        <v>1</v>
      </c>
      <c r="I298" s="1" t="s">
        <v>488</v>
      </c>
      <c r="J298" s="4" t="s">
        <v>82</v>
      </c>
      <c r="K298" s="1">
        <v>2614.81</v>
      </c>
      <c r="L298" s="1">
        <f>Tabla1[[#This Row],[Costo Unitario]]*Tabla1[[#This Row],[cantidad]]</f>
        <v>2614.81</v>
      </c>
      <c r="M298" s="88">
        <v>42954</v>
      </c>
      <c r="N298" s="88">
        <v>42961</v>
      </c>
      <c r="O298" s="88" t="str">
        <f>IF( Tabla1[[#This Row],[Fecha de entrega real]]="","NO CONCRETADO",IF(N298&lt;=M298,"CUMPLIÓ","NO CUMPLIÓ"))</f>
        <v>NO CUMPLIÓ</v>
      </c>
      <c r="P298" s="141">
        <f t="shared" si="8"/>
        <v>7</v>
      </c>
      <c r="Q298" s="4" t="s">
        <v>13</v>
      </c>
      <c r="R298" s="124" t="s">
        <v>1102</v>
      </c>
      <c r="S298" s="4" t="s">
        <v>1180</v>
      </c>
      <c r="T298" s="1" t="s">
        <v>1179</v>
      </c>
      <c r="U298" s="107" t="s">
        <v>1181</v>
      </c>
    </row>
    <row r="299" spans="1:25" ht="12.75" customHeight="1" x14ac:dyDescent="0.2">
      <c r="A299" s="187">
        <v>42947</v>
      </c>
      <c r="B299" s="118" t="s">
        <v>487</v>
      </c>
      <c r="C299" s="182" t="s">
        <v>11</v>
      </c>
      <c r="D299" s="183" t="s">
        <v>33</v>
      </c>
      <c r="E299" s="182" t="s">
        <v>11</v>
      </c>
      <c r="F299" s="183" t="s">
        <v>830</v>
      </c>
      <c r="G299" s="182" t="s">
        <v>1135</v>
      </c>
      <c r="H299" s="183">
        <v>1</v>
      </c>
      <c r="I299" s="183" t="s">
        <v>830</v>
      </c>
      <c r="J299" s="182" t="s">
        <v>1054</v>
      </c>
      <c r="K299" s="183">
        <v>280</v>
      </c>
      <c r="L299" s="183">
        <f>Tabla1[[#This Row],[Costo Unitario]]*Tabla1[[#This Row],[cantidad]]</f>
        <v>280</v>
      </c>
      <c r="M299" s="184">
        <v>42947</v>
      </c>
      <c r="N299" s="184">
        <v>42947</v>
      </c>
      <c r="O299" s="184" t="str">
        <f>IF( Tabla1[[#This Row],[Fecha de entrega real]]="","NO CONCRETADO",IF(N299&lt;=M299,"CUMPLIÓ","NO CUMPLIÓ"))</f>
        <v>CUMPLIÓ</v>
      </c>
      <c r="P299" s="141">
        <f>IF(N299="","NO CONCRETADO",N299-M299)</f>
        <v>0</v>
      </c>
      <c r="Q299" s="182" t="s">
        <v>1055</v>
      </c>
      <c r="R299" s="182" t="s">
        <v>33</v>
      </c>
      <c r="S299" s="182" t="s">
        <v>334</v>
      </c>
      <c r="T299" s="1" t="s">
        <v>1973</v>
      </c>
      <c r="U299" s="185" t="s">
        <v>1136</v>
      </c>
      <c r="V299" s="183"/>
      <c r="W299" s="183"/>
      <c r="X299" s="183">
        <f>MONTH(Tabla1[[#This Row],[fecha
de
pedido]])</f>
        <v>7</v>
      </c>
      <c r="Y299" s="183">
        <f>YEAR(Tabla1[[#This Row],[fecha
de
pedido]])</f>
        <v>2017</v>
      </c>
    </row>
    <row r="300" spans="1:25" ht="38.25" customHeight="1" x14ac:dyDescent="0.2">
      <c r="A300" s="152">
        <v>42947</v>
      </c>
      <c r="B300" s="118" t="s">
        <v>487</v>
      </c>
      <c r="C300" s="4" t="s">
        <v>1213</v>
      </c>
      <c r="D300" s="183" t="s">
        <v>33</v>
      </c>
      <c r="E300" s="182" t="s">
        <v>11</v>
      </c>
      <c r="F300" s="1" t="s">
        <v>772</v>
      </c>
      <c r="G300" s="4" t="s">
        <v>1203</v>
      </c>
      <c r="H300" s="1">
        <v>10</v>
      </c>
      <c r="I300" s="1" t="s">
        <v>800</v>
      </c>
      <c r="J300" s="4" t="s">
        <v>1205</v>
      </c>
      <c r="K300" s="1">
        <v>194.387</v>
      </c>
      <c r="L300" s="183">
        <f>Tabla1[[#This Row],[Costo Unitario]]*Tabla1[[#This Row],[cantidad]]</f>
        <v>1943.87</v>
      </c>
      <c r="M300" s="88">
        <v>42969</v>
      </c>
      <c r="N300" s="88">
        <v>42965</v>
      </c>
      <c r="O300" s="88" t="str">
        <f>IF( Tabla1[[#This Row],[Fecha de entrega real]]="","NO CONCRETADO",IF(N300&lt;=M300,"CUMPLIÓ","NO CUMPLIÓ"))</f>
        <v>CUMPLIÓ</v>
      </c>
      <c r="P300" s="141">
        <f t="shared" si="8"/>
        <v>-4</v>
      </c>
      <c r="Q300" s="4" t="s">
        <v>818</v>
      </c>
      <c r="R300" s="4" t="s">
        <v>33</v>
      </c>
      <c r="S300" s="182" t="s">
        <v>334</v>
      </c>
      <c r="T300" s="1" t="s">
        <v>1207</v>
      </c>
      <c r="U300" s="107" t="s">
        <v>1206</v>
      </c>
      <c r="X300" s="1">
        <f>MONTH(Tabla1[[#This Row],[fecha
de
pedido]])</f>
        <v>7</v>
      </c>
      <c r="Y300" s="1">
        <f>YEAR(Tabla1[[#This Row],[fecha
de
pedido]])</f>
        <v>2017</v>
      </c>
    </row>
    <row r="301" spans="1:25" ht="38.25" customHeight="1" x14ac:dyDescent="0.2">
      <c r="A301" s="187">
        <v>42947</v>
      </c>
      <c r="B301" s="118" t="s">
        <v>487</v>
      </c>
      <c r="C301" s="4" t="s">
        <v>1213</v>
      </c>
      <c r="D301" s="183" t="s">
        <v>33</v>
      </c>
      <c r="E301" s="182" t="s">
        <v>11</v>
      </c>
      <c r="F301" s="1" t="s">
        <v>772</v>
      </c>
      <c r="G301" s="4" t="s">
        <v>1204</v>
      </c>
      <c r="H301" s="1">
        <v>10</v>
      </c>
      <c r="I301" s="1" t="s">
        <v>800</v>
      </c>
      <c r="J301" s="4" t="s">
        <v>1205</v>
      </c>
      <c r="K301" s="1">
        <v>201.95500000000001</v>
      </c>
      <c r="L301" s="183">
        <f>Tabla1[[#This Row],[Costo Unitario]]*Tabla1[[#This Row],[cantidad]]</f>
        <v>2019.5500000000002</v>
      </c>
      <c r="M301" s="88">
        <v>42969</v>
      </c>
      <c r="N301" s="88">
        <v>42965</v>
      </c>
      <c r="O301" s="88" t="str">
        <f>IF( Tabla1[[#This Row],[Fecha de entrega real]]="","NO CONCRETADO",IF(N301&lt;=M301,"CUMPLIÓ","NO CUMPLIÓ"))</f>
        <v>CUMPLIÓ</v>
      </c>
      <c r="P301" s="141">
        <f>IF(N301="","NO CONCRETADO",N301-M301)</f>
        <v>-4</v>
      </c>
      <c r="Q301" s="4" t="s">
        <v>818</v>
      </c>
      <c r="R301" s="4" t="s">
        <v>33</v>
      </c>
      <c r="S301" s="182" t="s">
        <v>334</v>
      </c>
      <c r="T301" s="1" t="s">
        <v>1207</v>
      </c>
      <c r="U301" s="107" t="s">
        <v>1206</v>
      </c>
      <c r="X301" s="1">
        <f>MONTH(Tabla1[[#This Row],[fecha
de
pedido]])</f>
        <v>7</v>
      </c>
      <c r="Y301" s="1">
        <f>YEAR(Tabla1[[#This Row],[fecha
de
pedido]])</f>
        <v>2017</v>
      </c>
    </row>
    <row r="302" spans="1:25" ht="25.5" customHeight="1" x14ac:dyDescent="0.2">
      <c r="A302" s="201">
        <v>42949</v>
      </c>
      <c r="B302" s="118" t="s">
        <v>487</v>
      </c>
      <c r="C302" s="202" t="s">
        <v>33</v>
      </c>
      <c r="D302" s="203" t="s">
        <v>33</v>
      </c>
      <c r="E302" s="230" t="s">
        <v>11</v>
      </c>
      <c r="F302" s="204" t="s">
        <v>1045</v>
      </c>
      <c r="G302" s="196" t="s">
        <v>1145</v>
      </c>
      <c r="H302" s="204">
        <v>2</v>
      </c>
      <c r="I302" s="204" t="s">
        <v>904</v>
      </c>
      <c r="J302" s="202" t="s">
        <v>225</v>
      </c>
      <c r="K302" s="198">
        <v>380</v>
      </c>
      <c r="L302" s="198">
        <f>Tabla1[[#This Row],[Costo Unitario]]*Tabla1[[#This Row],[cantidad]]</f>
        <v>760</v>
      </c>
      <c r="M302" s="199">
        <v>42956</v>
      </c>
      <c r="N302" s="199">
        <v>43019</v>
      </c>
      <c r="O302" s="199" t="str">
        <f>IF( Tabla1[[#This Row],[Fecha de entrega real]]="","NO CONCRETADO",IF(N302&lt;=M302,"CUMPLIÓ","NO CUMPLIÓ"))</f>
        <v>NO CUMPLIÓ</v>
      </c>
      <c r="P302" s="141">
        <f t="shared" ref="P302:P339" si="9">IF(N302="","NO CONCRETADO",N302-M302)</f>
        <v>63</v>
      </c>
      <c r="Q302" s="196" t="s">
        <v>13</v>
      </c>
      <c r="R302" s="196" t="s">
        <v>1102</v>
      </c>
      <c r="S302" s="182" t="s">
        <v>334</v>
      </c>
      <c r="T302" s="1" t="s">
        <v>1317</v>
      </c>
      <c r="U302" s="107" t="s">
        <v>1318</v>
      </c>
      <c r="V302" s="198"/>
      <c r="W302" s="198"/>
      <c r="X302" s="198">
        <f>MONTH(Tabla1[[#This Row],[fecha
de
pedido]])</f>
        <v>8</v>
      </c>
      <c r="Y302" s="198">
        <f>YEAR(Tabla1[[#This Row],[fecha
de
pedido]])</f>
        <v>2017</v>
      </c>
    </row>
    <row r="303" spans="1:25" ht="25.5" customHeight="1" x14ac:dyDescent="0.2">
      <c r="A303" s="201">
        <v>42949</v>
      </c>
      <c r="B303" s="118" t="s">
        <v>487</v>
      </c>
      <c r="C303" s="202" t="s">
        <v>33</v>
      </c>
      <c r="D303" s="203" t="s">
        <v>33</v>
      </c>
      <c r="E303" s="230" t="s">
        <v>11</v>
      </c>
      <c r="F303" s="204" t="s">
        <v>1045</v>
      </c>
      <c r="G303" s="196" t="s">
        <v>400</v>
      </c>
      <c r="H303" s="204">
        <v>2</v>
      </c>
      <c r="I303" s="204" t="s">
        <v>904</v>
      </c>
      <c r="J303" s="202" t="s">
        <v>225</v>
      </c>
      <c r="K303" s="198">
        <v>380</v>
      </c>
      <c r="L303" s="198">
        <f>Tabla1[[#This Row],[Costo Unitario]]*Tabla1[[#This Row],[cantidad]]</f>
        <v>760</v>
      </c>
      <c r="M303" s="199">
        <v>42956</v>
      </c>
      <c r="N303" s="199">
        <v>42955</v>
      </c>
      <c r="O303" s="199" t="str">
        <f>IF( Tabla1[[#This Row],[Fecha de entrega real]]="","NO CONCRETADO",IF(N303&lt;=M303,"CUMPLIÓ","NO CUMPLIÓ"))</f>
        <v>CUMPLIÓ</v>
      </c>
      <c r="P303" s="141">
        <f t="shared" si="9"/>
        <v>-1</v>
      </c>
      <c r="Q303" s="196" t="s">
        <v>13</v>
      </c>
      <c r="R303" s="196" t="s">
        <v>1102</v>
      </c>
      <c r="S303" s="182" t="s">
        <v>334</v>
      </c>
      <c r="T303" s="198" t="s">
        <v>1168</v>
      </c>
      <c r="U303" s="200" t="s">
        <v>1167</v>
      </c>
      <c r="V303" s="198"/>
      <c r="W303" s="198"/>
      <c r="X303" s="198">
        <f>MONTH(Tabla1[[#This Row],[fecha
de
pedido]])</f>
        <v>8</v>
      </c>
      <c r="Y303" s="198">
        <f>YEAR(Tabla1[[#This Row],[fecha
de
pedido]])</f>
        <v>2017</v>
      </c>
    </row>
    <row r="304" spans="1:25" ht="12.75" customHeight="1" x14ac:dyDescent="0.2">
      <c r="A304" s="201">
        <v>42949</v>
      </c>
      <c r="B304" s="118" t="s">
        <v>487</v>
      </c>
      <c r="C304" s="202" t="s">
        <v>775</v>
      </c>
      <c r="D304" s="203" t="s">
        <v>33</v>
      </c>
      <c r="E304" s="230" t="s">
        <v>11</v>
      </c>
      <c r="F304" s="204" t="s">
        <v>1045</v>
      </c>
      <c r="G304" s="196" t="s">
        <v>773</v>
      </c>
      <c r="H304" s="204">
        <v>50</v>
      </c>
      <c r="I304" s="204" t="s">
        <v>929</v>
      </c>
      <c r="J304" s="202" t="s">
        <v>225</v>
      </c>
      <c r="K304" s="198">
        <v>40</v>
      </c>
      <c r="L304" s="198">
        <f>Tabla1[[#This Row],[Costo Unitario]]*Tabla1[[#This Row],[cantidad]]</f>
        <v>2000</v>
      </c>
      <c r="M304" s="199">
        <v>42956</v>
      </c>
      <c r="N304" s="199">
        <v>42955</v>
      </c>
      <c r="O304" s="199" t="str">
        <f>IF( Tabla1[[#This Row],[Fecha de entrega real]]="","NO CONCRETADO",IF(N304&lt;=M304,"CUMPLIÓ","NO CUMPLIÓ"))</f>
        <v>CUMPLIÓ</v>
      </c>
      <c r="P304" s="141">
        <f t="shared" si="9"/>
        <v>-1</v>
      </c>
      <c r="Q304" s="196" t="s">
        <v>13</v>
      </c>
      <c r="R304" s="196" t="s">
        <v>1102</v>
      </c>
      <c r="S304" s="4" t="s">
        <v>1148</v>
      </c>
      <c r="T304" s="198" t="s">
        <v>1168</v>
      </c>
      <c r="U304" s="200" t="s">
        <v>1167</v>
      </c>
      <c r="V304" s="198"/>
      <c r="W304" s="198"/>
      <c r="X304" s="198">
        <f>MONTH(Tabla1[[#This Row],[fecha
de
pedido]])</f>
        <v>8</v>
      </c>
      <c r="Y304" s="198">
        <f>YEAR(Tabla1[[#This Row],[fecha
de
pedido]])</f>
        <v>2017</v>
      </c>
    </row>
    <row r="305" spans="1:25" ht="12.75" customHeight="1" x14ac:dyDescent="0.2">
      <c r="A305" s="201">
        <v>42955</v>
      </c>
      <c r="B305" s="118" t="s">
        <v>487</v>
      </c>
      <c r="C305" s="202" t="s">
        <v>30</v>
      </c>
      <c r="D305" s="204" t="s">
        <v>30</v>
      </c>
      <c r="E305" s="202" t="s">
        <v>1044</v>
      </c>
      <c r="F305" s="204" t="s">
        <v>1016</v>
      </c>
      <c r="G305" s="196" t="s">
        <v>1160</v>
      </c>
      <c r="H305" s="204">
        <v>20</v>
      </c>
      <c r="I305" s="204" t="s">
        <v>1162</v>
      </c>
      <c r="J305" s="202" t="s">
        <v>81</v>
      </c>
      <c r="K305" s="198">
        <v>139.07</v>
      </c>
      <c r="L305" s="198">
        <f>Tabla1[[#This Row],[Costo Unitario]]*Tabla1[[#This Row],[cantidad]]</f>
        <v>2781.3999999999996</v>
      </c>
      <c r="M305" s="199">
        <v>42956</v>
      </c>
      <c r="N305" s="199">
        <v>42956</v>
      </c>
      <c r="O305" s="199" t="str">
        <f>IF( Tabla1[[#This Row],[Fecha de entrega real]]="","NO CONCRETADO",IF(N305&lt;=M305,"CUMPLIÓ","NO CUMPLIÓ"))</f>
        <v>CUMPLIÓ</v>
      </c>
      <c r="P305" s="141">
        <f t="shared" si="9"/>
        <v>0</v>
      </c>
      <c r="Q305" s="196" t="s">
        <v>13</v>
      </c>
      <c r="R305" s="196"/>
      <c r="S305" s="196" t="s">
        <v>244</v>
      </c>
      <c r="T305" s="1" t="s">
        <v>1424</v>
      </c>
      <c r="U305" s="200" t="s">
        <v>1163</v>
      </c>
      <c r="V305" s="198"/>
      <c r="W305" s="198"/>
      <c r="X305" s="198">
        <f>MONTH(Tabla1[[#This Row],[fecha
de
pedido]])</f>
        <v>8</v>
      </c>
      <c r="Y305" s="198">
        <f>YEAR(Tabla1[[#This Row],[fecha
de
pedido]])</f>
        <v>2017</v>
      </c>
    </row>
    <row r="306" spans="1:25" ht="12.75" customHeight="1" x14ac:dyDescent="0.2">
      <c r="A306" s="201"/>
      <c r="B306" s="118" t="s">
        <v>487</v>
      </c>
      <c r="C306" s="202" t="s">
        <v>30</v>
      </c>
      <c r="D306" s="204" t="s">
        <v>30</v>
      </c>
      <c r="E306" s="202" t="s">
        <v>1044</v>
      </c>
      <c r="F306" s="204" t="s">
        <v>1041</v>
      </c>
      <c r="G306" s="196" t="s">
        <v>1041</v>
      </c>
      <c r="H306" s="204">
        <v>1</v>
      </c>
      <c r="I306" s="204" t="s">
        <v>830</v>
      </c>
      <c r="J306" s="202" t="s">
        <v>81</v>
      </c>
      <c r="K306" s="198">
        <v>257.89999999999998</v>
      </c>
      <c r="L306" s="198">
        <f>Tabla1[[#This Row],[Costo Unitario]]*Tabla1[[#This Row],[cantidad]]</f>
        <v>257.89999999999998</v>
      </c>
      <c r="M306" s="199">
        <v>42956</v>
      </c>
      <c r="N306" s="199">
        <v>42956</v>
      </c>
      <c r="O306" s="199" t="str">
        <f>IF( Tabla1[[#This Row],[Fecha de entrega real]]="","NO CONCRETADO",IF(N306&lt;=M306,"CUMPLIÓ","NO CUMPLIÓ"))</f>
        <v>CUMPLIÓ</v>
      </c>
      <c r="P306" s="141">
        <f t="shared" si="9"/>
        <v>0</v>
      </c>
      <c r="Q306" s="196" t="s">
        <v>13</v>
      </c>
      <c r="R306" s="196"/>
      <c r="S306" s="196" t="s">
        <v>244</v>
      </c>
      <c r="T306" s="1" t="s">
        <v>1424</v>
      </c>
      <c r="U306" s="200" t="s">
        <v>1163</v>
      </c>
      <c r="V306" s="198"/>
      <c r="W306" s="198"/>
      <c r="X306" s="198">
        <f>MONTH(Tabla1[[#This Row],[fecha
de
pedido]])</f>
        <v>1</v>
      </c>
      <c r="Y306" s="198">
        <f>YEAR(Tabla1[[#This Row],[fecha
de
pedido]])</f>
        <v>1900</v>
      </c>
    </row>
    <row r="307" spans="1:25" ht="12.75" customHeight="1" x14ac:dyDescent="0.2">
      <c r="A307" s="201">
        <v>42955</v>
      </c>
      <c r="B307" s="118" t="s">
        <v>487</v>
      </c>
      <c r="C307" s="202" t="s">
        <v>1159</v>
      </c>
      <c r="D307" s="204" t="s">
        <v>30</v>
      </c>
      <c r="E307" s="202" t="s">
        <v>1044</v>
      </c>
      <c r="F307" s="204" t="s">
        <v>1016</v>
      </c>
      <c r="G307" s="196" t="s">
        <v>1161</v>
      </c>
      <c r="H307" s="204">
        <v>8</v>
      </c>
      <c r="I307" s="204" t="s">
        <v>1162</v>
      </c>
      <c r="J307" s="202" t="s">
        <v>81</v>
      </c>
      <c r="K307" s="198">
        <v>1531.07</v>
      </c>
      <c r="L307" s="198">
        <f>Tabla1[[#This Row],[Costo Unitario]]*Tabla1[[#This Row],[cantidad]]</f>
        <v>12248.56</v>
      </c>
      <c r="M307" s="199">
        <v>42956</v>
      </c>
      <c r="N307" s="199">
        <v>42956</v>
      </c>
      <c r="O307" s="199" t="str">
        <f>IF( Tabla1[[#This Row],[Fecha de entrega real]]="","NO CONCRETADO",IF(N307&lt;=M307,"CUMPLIÓ","NO CUMPLIÓ"))</f>
        <v>CUMPLIÓ</v>
      </c>
      <c r="P307" s="141">
        <f t="shared" si="9"/>
        <v>0</v>
      </c>
      <c r="Q307" s="196" t="s">
        <v>13</v>
      </c>
      <c r="R307" s="196"/>
      <c r="S307" s="196" t="s">
        <v>244</v>
      </c>
      <c r="T307" s="1" t="s">
        <v>1424</v>
      </c>
      <c r="U307" s="200" t="s">
        <v>1163</v>
      </c>
      <c r="V307" s="198"/>
      <c r="W307" s="198"/>
      <c r="X307" s="198">
        <f>MONTH(Tabla1[[#This Row],[fecha
de
pedido]])</f>
        <v>8</v>
      </c>
      <c r="Y307" s="198">
        <f>YEAR(Tabla1[[#This Row],[fecha
de
pedido]])</f>
        <v>2017</v>
      </c>
    </row>
    <row r="308" spans="1:25" ht="12.75" customHeight="1" x14ac:dyDescent="0.2">
      <c r="A308" s="201"/>
      <c r="B308" s="118" t="s">
        <v>487</v>
      </c>
      <c r="C308" s="202" t="s">
        <v>1159</v>
      </c>
      <c r="D308" s="204" t="s">
        <v>30</v>
      </c>
      <c r="E308" s="202" t="s">
        <v>1044</v>
      </c>
      <c r="F308" s="204" t="s">
        <v>1041</v>
      </c>
      <c r="G308" s="196" t="s">
        <v>1041</v>
      </c>
      <c r="H308" s="204">
        <v>1</v>
      </c>
      <c r="I308" s="204" t="s">
        <v>1053</v>
      </c>
      <c r="J308" s="202" t="s">
        <v>81</v>
      </c>
      <c r="K308" s="198">
        <v>12.9</v>
      </c>
      <c r="L308" s="198">
        <f>Tabla1[[#This Row],[Costo Unitario]]*Tabla1[[#This Row],[cantidad]]</f>
        <v>12.9</v>
      </c>
      <c r="M308" s="199">
        <v>42956</v>
      </c>
      <c r="N308" s="199">
        <v>42956</v>
      </c>
      <c r="O308" s="199" t="str">
        <f>IF( Tabla1[[#This Row],[Fecha de entrega real]]="","NO CONCRETADO",IF(N308&lt;=M308,"CUMPLIÓ","NO CUMPLIÓ"))</f>
        <v>CUMPLIÓ</v>
      </c>
      <c r="P308" s="141">
        <f t="shared" si="9"/>
        <v>0</v>
      </c>
      <c r="Q308" s="196" t="s">
        <v>13</v>
      </c>
      <c r="R308" s="196"/>
      <c r="S308" s="196" t="s">
        <v>244</v>
      </c>
      <c r="T308" s="1" t="s">
        <v>1424</v>
      </c>
      <c r="U308" s="200" t="s">
        <v>1163</v>
      </c>
      <c r="V308" s="198"/>
      <c r="W308" s="198"/>
      <c r="X308" s="198">
        <f>MONTH(Tabla1[[#This Row],[fecha
de
pedido]])</f>
        <v>1</v>
      </c>
      <c r="Y308" s="198">
        <f>YEAR(Tabla1[[#This Row],[fecha
de
pedido]])</f>
        <v>1900</v>
      </c>
    </row>
    <row r="309" spans="1:25" ht="37.5" customHeight="1" x14ac:dyDescent="0.2">
      <c r="A309" s="201">
        <v>42956</v>
      </c>
      <c r="B309" s="118" t="s">
        <v>487</v>
      </c>
      <c r="C309" s="202" t="s">
        <v>845</v>
      </c>
      <c r="D309" s="204" t="s">
        <v>33</v>
      </c>
      <c r="E309" s="202" t="s">
        <v>11</v>
      </c>
      <c r="F309" s="204" t="s">
        <v>830</v>
      </c>
      <c r="G309" s="196" t="s">
        <v>1146</v>
      </c>
      <c r="H309" s="204">
        <v>1</v>
      </c>
      <c r="I309" s="204" t="s">
        <v>830</v>
      </c>
      <c r="J309" s="202" t="s">
        <v>1117</v>
      </c>
      <c r="K309" s="198" t="s">
        <v>1147</v>
      </c>
      <c r="L309" s="198">
        <v>12844.76</v>
      </c>
      <c r="M309" s="199">
        <v>43180</v>
      </c>
      <c r="N309" s="199">
        <v>43206</v>
      </c>
      <c r="O309" s="199" t="str">
        <f>IF( Tabla1[[#This Row],[Fecha de entrega real]]="","NO CONCRETADO",IF(N309&lt;=M309,"CUMPLIÓ","NO CUMPLIÓ"))</f>
        <v>NO CUMPLIÓ</v>
      </c>
      <c r="P309" s="141">
        <f t="shared" si="9"/>
        <v>26</v>
      </c>
      <c r="Q309" s="4" t="s">
        <v>13</v>
      </c>
      <c r="R309" s="4" t="s">
        <v>11</v>
      </c>
      <c r="S309" s="196" t="s">
        <v>1149</v>
      </c>
      <c r="T309" s="1" t="s">
        <v>1835</v>
      </c>
      <c r="U309" s="107" t="s">
        <v>1836</v>
      </c>
      <c r="V309" s="198"/>
      <c r="W309" s="198"/>
      <c r="X309" s="198">
        <f>MONTH(Tabla1[[#This Row],[fecha
de
pedido]])</f>
        <v>8</v>
      </c>
      <c r="Y309" s="198">
        <f>YEAR(Tabla1[[#This Row],[fecha
de
pedido]])</f>
        <v>2017</v>
      </c>
    </row>
    <row r="310" spans="1:25" ht="44.25" customHeight="1" x14ac:dyDescent="0.2">
      <c r="A310" s="201">
        <v>42956</v>
      </c>
      <c r="B310" s="118" t="s">
        <v>487</v>
      </c>
      <c r="C310" s="202" t="s">
        <v>825</v>
      </c>
      <c r="D310" s="204" t="s">
        <v>33</v>
      </c>
      <c r="E310" s="202" t="s">
        <v>11</v>
      </c>
      <c r="F310" s="204" t="s">
        <v>778</v>
      </c>
      <c r="G310" s="196" t="s">
        <v>1150</v>
      </c>
      <c r="H310" s="204">
        <v>60</v>
      </c>
      <c r="I310" s="204" t="s">
        <v>779</v>
      </c>
      <c r="J310" s="202" t="s">
        <v>75</v>
      </c>
      <c r="K310" s="204">
        <v>445</v>
      </c>
      <c r="L310" s="204">
        <f>Tabla1[[#This Row],[Costo Unitario]]*Tabla1[[#This Row],[cantidad]]</f>
        <v>26700</v>
      </c>
      <c r="M310" s="88" t="s">
        <v>1569</v>
      </c>
      <c r="N310" s="198"/>
      <c r="O310" s="199" t="str">
        <f>IF( Tabla1[[#This Row],[Fecha de entrega real]]="","NO CONCRETADO",IF(N310&lt;=M310,"CUMPLIÓ","NO CUMPLIÓ"))</f>
        <v>NO CONCRETADO</v>
      </c>
      <c r="P310" s="141" t="str">
        <f t="shared" si="9"/>
        <v>NO CONCRETADO</v>
      </c>
      <c r="Q310" s="4" t="s">
        <v>1974</v>
      </c>
      <c r="R310" s="124" t="s">
        <v>33</v>
      </c>
      <c r="S310" s="4" t="s">
        <v>1975</v>
      </c>
      <c r="T310" s="1" t="s">
        <v>1973</v>
      </c>
      <c r="U310" s="148" t="s">
        <v>1498</v>
      </c>
      <c r="V310" s="198"/>
      <c r="W310" s="198"/>
      <c r="X310" s="198">
        <f>MONTH(Tabla1[[#This Row],[fecha
de
pedido]])</f>
        <v>8</v>
      </c>
      <c r="Y310" s="198">
        <f>YEAR(Tabla1[[#This Row],[fecha
de
pedido]])</f>
        <v>2017</v>
      </c>
    </row>
    <row r="311" spans="1:25" ht="38.25" customHeight="1" x14ac:dyDescent="0.2">
      <c r="A311" s="201">
        <v>42956</v>
      </c>
      <c r="B311" s="118" t="s">
        <v>487</v>
      </c>
      <c r="C311" s="202" t="s">
        <v>935</v>
      </c>
      <c r="D311" s="204" t="s">
        <v>955</v>
      </c>
      <c r="E311" s="202" t="s">
        <v>11</v>
      </c>
      <c r="F311" s="204" t="s">
        <v>1045</v>
      </c>
      <c r="G311" s="196" t="s">
        <v>953</v>
      </c>
      <c r="H311" s="204">
        <v>2</v>
      </c>
      <c r="I311" s="204" t="s">
        <v>784</v>
      </c>
      <c r="J311" s="196" t="s">
        <v>936</v>
      </c>
      <c r="K311" s="202">
        <v>942.22699999999998</v>
      </c>
      <c r="L311" s="204">
        <f>Tabla1[[#This Row],[Costo Unitario]]*Tabla1[[#This Row],[cantidad]]</f>
        <v>1884.454</v>
      </c>
      <c r="M311" s="199">
        <v>42956</v>
      </c>
      <c r="N311" s="199">
        <v>42956</v>
      </c>
      <c r="O311" s="199" t="str">
        <f>IF( Tabla1[[#This Row],[Fecha de entrega real]]="","NO CONCRETADO",IF(N311&lt;=M311,"CUMPLIÓ","NO CUMPLIÓ"))</f>
        <v>CUMPLIÓ</v>
      </c>
      <c r="P311" s="141">
        <f t="shared" si="9"/>
        <v>0</v>
      </c>
      <c r="Q311" s="202" t="s">
        <v>917</v>
      </c>
      <c r="R311" s="124" t="s">
        <v>33</v>
      </c>
      <c r="S311" s="99" t="s">
        <v>1976</v>
      </c>
      <c r="T311" s="1" t="s">
        <v>1973</v>
      </c>
      <c r="U311" s="200" t="s">
        <v>1178</v>
      </c>
      <c r="V311" s="198"/>
      <c r="W311" s="198"/>
      <c r="X311" s="198">
        <f>MONTH(Tabla1[[#This Row],[fecha
de
pedido]])</f>
        <v>8</v>
      </c>
      <c r="Y311" s="198">
        <f>YEAR(Tabla1[[#This Row],[fecha
de
pedido]])</f>
        <v>2017</v>
      </c>
    </row>
    <row r="312" spans="1:25" ht="38.25" customHeight="1" x14ac:dyDescent="0.2">
      <c r="A312" s="201">
        <v>42956</v>
      </c>
      <c r="B312" s="118" t="s">
        <v>487</v>
      </c>
      <c r="C312" s="202" t="s">
        <v>935</v>
      </c>
      <c r="D312" s="204" t="s">
        <v>955</v>
      </c>
      <c r="E312" s="202" t="s">
        <v>11</v>
      </c>
      <c r="F312" s="204" t="s">
        <v>1045</v>
      </c>
      <c r="G312" s="196" t="s">
        <v>1169</v>
      </c>
      <c r="H312" s="204">
        <v>2</v>
      </c>
      <c r="I312" s="204" t="s">
        <v>784</v>
      </c>
      <c r="J312" s="196" t="s">
        <v>936</v>
      </c>
      <c r="K312" s="202">
        <v>76.846999999999994</v>
      </c>
      <c r="L312" s="204">
        <f>Tabla1[[#This Row],[Costo Unitario]]*Tabla1[[#This Row],[cantidad]]</f>
        <v>153.69399999999999</v>
      </c>
      <c r="M312" s="199">
        <v>42956</v>
      </c>
      <c r="N312" s="199">
        <v>42956</v>
      </c>
      <c r="O312" s="199" t="str">
        <f>IF( Tabla1[[#This Row],[Fecha de entrega real]]="","NO CONCRETADO",IF(N312&lt;=M312,"CUMPLIÓ","NO CUMPLIÓ"))</f>
        <v>CUMPLIÓ</v>
      </c>
      <c r="P312" s="141">
        <f t="shared" si="9"/>
        <v>0</v>
      </c>
      <c r="Q312" s="202" t="s">
        <v>917</v>
      </c>
      <c r="R312" s="124" t="s">
        <v>33</v>
      </c>
      <c r="S312" s="99" t="s">
        <v>1976</v>
      </c>
      <c r="T312" s="1" t="s">
        <v>1973</v>
      </c>
      <c r="U312" s="200" t="s">
        <v>1178</v>
      </c>
      <c r="V312" s="198"/>
      <c r="W312" s="198"/>
      <c r="X312" s="198">
        <f>MONTH(Tabla1[[#This Row],[fecha
de
pedido]])</f>
        <v>8</v>
      </c>
      <c r="Y312" s="198">
        <f>YEAR(Tabla1[[#This Row],[fecha
de
pedido]])</f>
        <v>2017</v>
      </c>
    </row>
    <row r="313" spans="1:25" ht="38.25" customHeight="1" x14ac:dyDescent="0.2">
      <c r="A313" s="201">
        <v>42956</v>
      </c>
      <c r="B313" s="118" t="s">
        <v>487</v>
      </c>
      <c r="C313" s="202" t="s">
        <v>935</v>
      </c>
      <c r="D313" s="204" t="s">
        <v>955</v>
      </c>
      <c r="E313" s="202" t="s">
        <v>11</v>
      </c>
      <c r="F313" s="204" t="s">
        <v>1045</v>
      </c>
      <c r="G313" s="196" t="s">
        <v>1170</v>
      </c>
      <c r="H313" s="204">
        <v>2</v>
      </c>
      <c r="I313" s="204" t="s">
        <v>784</v>
      </c>
      <c r="J313" s="196" t="s">
        <v>936</v>
      </c>
      <c r="K313" s="202">
        <v>66.55</v>
      </c>
      <c r="L313" s="204">
        <f>Tabla1[[#This Row],[Costo Unitario]]*Tabla1[[#This Row],[cantidad]]</f>
        <v>133.1</v>
      </c>
      <c r="M313" s="199">
        <v>42956</v>
      </c>
      <c r="N313" s="199">
        <v>42956</v>
      </c>
      <c r="O313" s="199" t="str">
        <f>IF( Tabla1[[#This Row],[Fecha de entrega real]]="","NO CONCRETADO",IF(N313&lt;=M313,"CUMPLIÓ","NO CUMPLIÓ"))</f>
        <v>CUMPLIÓ</v>
      </c>
      <c r="P313" s="141">
        <f t="shared" si="9"/>
        <v>0</v>
      </c>
      <c r="Q313" s="202" t="s">
        <v>917</v>
      </c>
      <c r="R313" s="124" t="s">
        <v>33</v>
      </c>
      <c r="S313" s="99" t="s">
        <v>1976</v>
      </c>
      <c r="T313" s="1" t="s">
        <v>1973</v>
      </c>
      <c r="U313" s="200" t="s">
        <v>1178</v>
      </c>
      <c r="V313" s="198"/>
      <c r="W313" s="198"/>
      <c r="X313" s="198">
        <f>MONTH(Tabla1[[#This Row],[fecha
de
pedido]])</f>
        <v>8</v>
      </c>
      <c r="Y313" s="198">
        <f>YEAR(Tabla1[[#This Row],[fecha
de
pedido]])</f>
        <v>2017</v>
      </c>
    </row>
    <row r="314" spans="1:25" ht="38.25" customHeight="1" x14ac:dyDescent="0.2">
      <c r="A314" s="201">
        <v>42956</v>
      </c>
      <c r="B314" s="118" t="s">
        <v>487</v>
      </c>
      <c r="C314" s="202" t="s">
        <v>935</v>
      </c>
      <c r="D314" s="204" t="s">
        <v>955</v>
      </c>
      <c r="E314" s="202" t="s">
        <v>11</v>
      </c>
      <c r="F314" s="204" t="s">
        <v>1045</v>
      </c>
      <c r="G314" s="196" t="s">
        <v>1171</v>
      </c>
      <c r="H314" s="204">
        <v>4</v>
      </c>
      <c r="I314" s="204" t="s">
        <v>784</v>
      </c>
      <c r="J314" s="196" t="s">
        <v>936</v>
      </c>
      <c r="K314" s="202">
        <v>77.391999999999996</v>
      </c>
      <c r="L314" s="204">
        <f>Tabla1[[#This Row],[Costo Unitario]]*Tabla1[[#This Row],[cantidad]]</f>
        <v>309.56799999999998</v>
      </c>
      <c r="M314" s="199">
        <v>42956</v>
      </c>
      <c r="N314" s="199">
        <v>42956</v>
      </c>
      <c r="O314" s="199" t="str">
        <f>IF( Tabla1[[#This Row],[Fecha de entrega real]]="","NO CONCRETADO",IF(N314&lt;=M314,"CUMPLIÓ","NO CUMPLIÓ"))</f>
        <v>CUMPLIÓ</v>
      </c>
      <c r="P314" s="141">
        <f t="shared" si="9"/>
        <v>0</v>
      </c>
      <c r="Q314" s="202" t="s">
        <v>917</v>
      </c>
      <c r="R314" s="124" t="s">
        <v>33</v>
      </c>
      <c r="S314" s="99" t="s">
        <v>1976</v>
      </c>
      <c r="T314" s="1" t="s">
        <v>1973</v>
      </c>
      <c r="U314" s="200" t="s">
        <v>1178</v>
      </c>
      <c r="V314" s="198"/>
      <c r="W314" s="198"/>
      <c r="X314" s="198">
        <f>MONTH(Tabla1[[#This Row],[fecha
de
pedido]])</f>
        <v>8</v>
      </c>
      <c r="Y314" s="198">
        <f>YEAR(Tabla1[[#This Row],[fecha
de
pedido]])</f>
        <v>2017</v>
      </c>
    </row>
    <row r="315" spans="1:25" ht="38.25" customHeight="1" x14ac:dyDescent="0.2">
      <c r="A315" s="201">
        <v>42956</v>
      </c>
      <c r="B315" s="118" t="s">
        <v>487</v>
      </c>
      <c r="C315" s="202" t="s">
        <v>935</v>
      </c>
      <c r="D315" s="204" t="s">
        <v>955</v>
      </c>
      <c r="E315" s="202" t="s">
        <v>11</v>
      </c>
      <c r="F315" s="204" t="s">
        <v>1045</v>
      </c>
      <c r="G315" s="196" t="s">
        <v>1172</v>
      </c>
      <c r="H315" s="204">
        <v>12</v>
      </c>
      <c r="I315" s="204" t="s">
        <v>784</v>
      </c>
      <c r="J315" s="196" t="s">
        <v>936</v>
      </c>
      <c r="K315" s="202">
        <v>46.645000000000003</v>
      </c>
      <c r="L315" s="204">
        <f>Tabla1[[#This Row],[Costo Unitario]]*Tabla1[[#This Row],[cantidad]]</f>
        <v>559.74</v>
      </c>
      <c r="M315" s="199">
        <v>42956</v>
      </c>
      <c r="N315" s="199">
        <v>42956</v>
      </c>
      <c r="O315" s="199" t="str">
        <f>IF( Tabla1[[#This Row],[Fecha de entrega real]]="","NO CONCRETADO",IF(N315&lt;=M315,"CUMPLIÓ","NO CUMPLIÓ"))</f>
        <v>CUMPLIÓ</v>
      </c>
      <c r="P315" s="141">
        <f t="shared" si="9"/>
        <v>0</v>
      </c>
      <c r="Q315" s="202" t="s">
        <v>917</v>
      </c>
      <c r="R315" s="124" t="s">
        <v>33</v>
      </c>
      <c r="S315" s="99" t="s">
        <v>1976</v>
      </c>
      <c r="T315" s="1" t="s">
        <v>1973</v>
      </c>
      <c r="U315" s="200" t="s">
        <v>1178</v>
      </c>
      <c r="V315" s="198"/>
      <c r="W315" s="198"/>
      <c r="X315" s="198">
        <f>MONTH(Tabla1[[#This Row],[fecha
de
pedido]])</f>
        <v>8</v>
      </c>
      <c r="Y315" s="198">
        <f>YEAR(Tabla1[[#This Row],[fecha
de
pedido]])</f>
        <v>2017</v>
      </c>
    </row>
    <row r="316" spans="1:25" ht="38.25" customHeight="1" x14ac:dyDescent="0.2">
      <c r="A316" s="201">
        <v>42956</v>
      </c>
      <c r="B316" s="118" t="s">
        <v>487</v>
      </c>
      <c r="C316" s="202" t="s">
        <v>935</v>
      </c>
      <c r="D316" s="204" t="s">
        <v>955</v>
      </c>
      <c r="E316" s="202" t="s">
        <v>11</v>
      </c>
      <c r="F316" s="204" t="s">
        <v>1045</v>
      </c>
      <c r="G316" s="196" t="s">
        <v>1173</v>
      </c>
      <c r="H316" s="204">
        <v>5</v>
      </c>
      <c r="I316" s="204" t="s">
        <v>784</v>
      </c>
      <c r="J316" s="196" t="s">
        <v>936</v>
      </c>
      <c r="K316" s="202">
        <v>47.734000000000002</v>
      </c>
      <c r="L316" s="204">
        <f>Tabla1[[#This Row],[Costo Unitario]]*Tabla1[[#This Row],[cantidad]]</f>
        <v>238.67000000000002</v>
      </c>
      <c r="M316" s="199">
        <v>42956</v>
      </c>
      <c r="N316" s="199">
        <v>42956</v>
      </c>
      <c r="O316" s="199" t="str">
        <f>IF( Tabla1[[#This Row],[Fecha de entrega real]]="","NO CONCRETADO",IF(N316&lt;=M316,"CUMPLIÓ","NO CUMPLIÓ"))</f>
        <v>CUMPLIÓ</v>
      </c>
      <c r="P316" s="141">
        <f t="shared" si="9"/>
        <v>0</v>
      </c>
      <c r="Q316" s="202" t="s">
        <v>917</v>
      </c>
      <c r="R316" s="124" t="s">
        <v>33</v>
      </c>
      <c r="S316" s="99" t="s">
        <v>1976</v>
      </c>
      <c r="T316" s="1" t="s">
        <v>1973</v>
      </c>
      <c r="U316" s="200" t="s">
        <v>1178</v>
      </c>
      <c r="V316" s="198"/>
      <c r="W316" s="198"/>
      <c r="X316" s="198">
        <f>MONTH(Tabla1[[#This Row],[fecha
de
pedido]])</f>
        <v>8</v>
      </c>
      <c r="Y316" s="198">
        <f>YEAR(Tabla1[[#This Row],[fecha
de
pedido]])</f>
        <v>2017</v>
      </c>
    </row>
    <row r="317" spans="1:25" ht="38.25" customHeight="1" x14ac:dyDescent="0.2">
      <c r="A317" s="201">
        <v>42956</v>
      </c>
      <c r="B317" s="118" t="s">
        <v>487</v>
      </c>
      <c r="C317" s="202" t="s">
        <v>935</v>
      </c>
      <c r="D317" s="204" t="s">
        <v>955</v>
      </c>
      <c r="E317" s="202" t="s">
        <v>11</v>
      </c>
      <c r="F317" s="204" t="s">
        <v>1045</v>
      </c>
      <c r="G317" s="196" t="s">
        <v>1174</v>
      </c>
      <c r="H317" s="204">
        <v>2</v>
      </c>
      <c r="I317" s="204" t="s">
        <v>784</v>
      </c>
      <c r="J317" s="196" t="s">
        <v>936</v>
      </c>
      <c r="K317" s="202">
        <v>13.430999999999999</v>
      </c>
      <c r="L317" s="204">
        <f>Tabla1[[#This Row],[Costo Unitario]]*Tabla1[[#This Row],[cantidad]]</f>
        <v>26.861999999999998</v>
      </c>
      <c r="M317" s="199">
        <v>42956</v>
      </c>
      <c r="N317" s="199">
        <v>42956</v>
      </c>
      <c r="O317" s="199" t="str">
        <f>IF( Tabla1[[#This Row],[Fecha de entrega real]]="","NO CONCRETADO",IF(N317&lt;=M317,"CUMPLIÓ","NO CUMPLIÓ"))</f>
        <v>CUMPLIÓ</v>
      </c>
      <c r="P317" s="141">
        <f t="shared" si="9"/>
        <v>0</v>
      </c>
      <c r="Q317" s="202" t="s">
        <v>917</v>
      </c>
      <c r="R317" s="124" t="s">
        <v>33</v>
      </c>
      <c r="S317" s="99" t="s">
        <v>1976</v>
      </c>
      <c r="T317" s="1" t="s">
        <v>1973</v>
      </c>
      <c r="U317" s="200" t="s">
        <v>1178</v>
      </c>
      <c r="V317" s="198"/>
      <c r="W317" s="198"/>
      <c r="X317" s="198">
        <f>MONTH(Tabla1[[#This Row],[fecha
de
pedido]])</f>
        <v>8</v>
      </c>
      <c r="Y317" s="198">
        <f>YEAR(Tabla1[[#This Row],[fecha
de
pedido]])</f>
        <v>2017</v>
      </c>
    </row>
    <row r="318" spans="1:25" ht="38.25" customHeight="1" x14ac:dyDescent="0.2">
      <c r="A318" s="201">
        <v>42956</v>
      </c>
      <c r="B318" s="118" t="s">
        <v>487</v>
      </c>
      <c r="C318" s="202" t="s">
        <v>935</v>
      </c>
      <c r="D318" s="204" t="s">
        <v>955</v>
      </c>
      <c r="E318" s="202" t="s">
        <v>11</v>
      </c>
      <c r="F318" s="204" t="s">
        <v>1045</v>
      </c>
      <c r="G318" s="196" t="s">
        <v>1175</v>
      </c>
      <c r="H318" s="204">
        <v>1</v>
      </c>
      <c r="I318" s="204" t="s">
        <v>784</v>
      </c>
      <c r="J318" s="196" t="s">
        <v>936</v>
      </c>
      <c r="K318" s="202">
        <v>85.364999999999995</v>
      </c>
      <c r="L318" s="204">
        <f>Tabla1[[#This Row],[Costo Unitario]]*Tabla1[[#This Row],[cantidad]]</f>
        <v>85.364999999999995</v>
      </c>
      <c r="M318" s="199">
        <v>42956</v>
      </c>
      <c r="N318" s="199">
        <v>42956</v>
      </c>
      <c r="O318" s="199" t="str">
        <f>IF( Tabla1[[#This Row],[Fecha de entrega real]]="","NO CONCRETADO",IF(N318&lt;=M318,"CUMPLIÓ","NO CUMPLIÓ"))</f>
        <v>CUMPLIÓ</v>
      </c>
      <c r="P318" s="141">
        <f t="shared" si="9"/>
        <v>0</v>
      </c>
      <c r="Q318" s="202" t="s">
        <v>917</v>
      </c>
      <c r="R318" s="124" t="s">
        <v>33</v>
      </c>
      <c r="S318" s="99" t="s">
        <v>1976</v>
      </c>
      <c r="T318" s="1" t="s">
        <v>1973</v>
      </c>
      <c r="U318" s="200" t="s">
        <v>1178</v>
      </c>
      <c r="V318" s="198"/>
      <c r="W318" s="198"/>
      <c r="X318" s="198">
        <f>MONTH(Tabla1[[#This Row],[fecha
de
pedido]])</f>
        <v>8</v>
      </c>
      <c r="Y318" s="198">
        <f>YEAR(Tabla1[[#This Row],[fecha
de
pedido]])</f>
        <v>2017</v>
      </c>
    </row>
    <row r="319" spans="1:25" ht="38.25" customHeight="1" x14ac:dyDescent="0.2">
      <c r="A319" s="201">
        <v>42956</v>
      </c>
      <c r="B319" s="118" t="s">
        <v>487</v>
      </c>
      <c r="C319" s="202" t="s">
        <v>935</v>
      </c>
      <c r="D319" s="204" t="s">
        <v>955</v>
      </c>
      <c r="E319" s="202" t="s">
        <v>11</v>
      </c>
      <c r="F319" s="204" t="s">
        <v>1045</v>
      </c>
      <c r="G319" s="196" t="s">
        <v>1176</v>
      </c>
      <c r="H319" s="204">
        <v>10</v>
      </c>
      <c r="I319" s="204" t="s">
        <v>784</v>
      </c>
      <c r="J319" s="196" t="s">
        <v>936</v>
      </c>
      <c r="K319" s="202">
        <v>3.0489999999999999</v>
      </c>
      <c r="L319" s="204">
        <f>Tabla1[[#This Row],[Costo Unitario]]*Tabla1[[#This Row],[cantidad]]</f>
        <v>30.49</v>
      </c>
      <c r="M319" s="199">
        <v>42956</v>
      </c>
      <c r="N319" s="199">
        <v>42956</v>
      </c>
      <c r="O319" s="199" t="str">
        <f>IF( Tabla1[[#This Row],[Fecha de entrega real]]="","NO CONCRETADO",IF(N319&lt;=M319,"CUMPLIÓ","NO CUMPLIÓ"))</f>
        <v>CUMPLIÓ</v>
      </c>
      <c r="P319" s="141">
        <f t="shared" si="9"/>
        <v>0</v>
      </c>
      <c r="Q319" s="202" t="s">
        <v>917</v>
      </c>
      <c r="R319" s="124" t="s">
        <v>33</v>
      </c>
      <c r="S319" s="99" t="s">
        <v>1976</v>
      </c>
      <c r="T319" s="1" t="s">
        <v>1973</v>
      </c>
      <c r="U319" s="200" t="s">
        <v>1178</v>
      </c>
      <c r="V319" s="198"/>
      <c r="W319" s="198"/>
      <c r="X319" s="198">
        <f>MONTH(Tabla1[[#This Row],[fecha
de
pedido]])</f>
        <v>8</v>
      </c>
      <c r="Y319" s="198">
        <f>YEAR(Tabla1[[#This Row],[fecha
de
pedido]])</f>
        <v>2017</v>
      </c>
    </row>
    <row r="320" spans="1:25" ht="38.25" customHeight="1" x14ac:dyDescent="0.2">
      <c r="A320" s="201">
        <v>42956</v>
      </c>
      <c r="B320" s="118" t="s">
        <v>487</v>
      </c>
      <c r="C320" s="202" t="s">
        <v>935</v>
      </c>
      <c r="D320" s="204" t="s">
        <v>955</v>
      </c>
      <c r="E320" s="202" t="s">
        <v>11</v>
      </c>
      <c r="F320" s="204" t="s">
        <v>1045</v>
      </c>
      <c r="G320" s="196" t="s">
        <v>1177</v>
      </c>
      <c r="H320" s="204">
        <v>20</v>
      </c>
      <c r="I320" s="204" t="s">
        <v>784</v>
      </c>
      <c r="J320" s="196" t="s">
        <v>936</v>
      </c>
      <c r="K320" s="202">
        <v>5.1669999999999998</v>
      </c>
      <c r="L320" s="204">
        <f>Tabla1[[#This Row],[Costo Unitario]]*Tabla1[[#This Row],[cantidad]]</f>
        <v>103.34</v>
      </c>
      <c r="M320" s="199">
        <v>42956</v>
      </c>
      <c r="N320" s="199">
        <v>42956</v>
      </c>
      <c r="O320" s="199" t="str">
        <f>IF( Tabla1[[#This Row],[Fecha de entrega real]]="","NO CONCRETADO",IF(N320&lt;=M320,"CUMPLIÓ","NO CUMPLIÓ"))</f>
        <v>CUMPLIÓ</v>
      </c>
      <c r="P320" s="141">
        <f t="shared" si="9"/>
        <v>0</v>
      </c>
      <c r="Q320" s="202" t="s">
        <v>917</v>
      </c>
      <c r="R320" s="124" t="s">
        <v>33</v>
      </c>
      <c r="S320" s="99" t="s">
        <v>1976</v>
      </c>
      <c r="T320" s="1" t="s">
        <v>1973</v>
      </c>
      <c r="U320" s="200" t="s">
        <v>1178</v>
      </c>
      <c r="V320" s="198"/>
      <c r="W320" s="198"/>
      <c r="X320" s="198">
        <f>MONTH(Tabla1[[#This Row],[fecha
de
pedido]])</f>
        <v>8</v>
      </c>
      <c r="Y320" s="198">
        <f>YEAR(Tabla1[[#This Row],[fecha
de
pedido]])</f>
        <v>2017</v>
      </c>
    </row>
    <row r="321" spans="1:25" ht="25.5" customHeight="1" x14ac:dyDescent="0.2">
      <c r="A321" s="152">
        <v>42957</v>
      </c>
      <c r="B321" s="118" t="s">
        <v>487</v>
      </c>
      <c r="C321" s="4" t="s">
        <v>1020</v>
      </c>
      <c r="D321" s="204" t="s">
        <v>33</v>
      </c>
      <c r="E321" s="202" t="s">
        <v>11</v>
      </c>
      <c r="F321" s="101" t="s">
        <v>772</v>
      </c>
      <c r="G321" s="4" t="s">
        <v>1151</v>
      </c>
      <c r="H321" s="101">
        <v>2</v>
      </c>
      <c r="I321" s="101" t="s">
        <v>784</v>
      </c>
      <c r="J321" s="99" t="s">
        <v>787</v>
      </c>
      <c r="K321" s="205">
        <v>30622.15</v>
      </c>
      <c r="L321" s="204">
        <f>Tabla1[[#This Row],[Costo Unitario]]*Tabla1[[#This Row],[cantidad]]</f>
        <v>61244.3</v>
      </c>
      <c r="M321" s="88">
        <v>42975</v>
      </c>
      <c r="N321" s="88">
        <v>42975</v>
      </c>
      <c r="O321" s="199" t="str">
        <f>IF( Tabla1[[#This Row],[Fecha de entrega real]]="","NO CONCRETADO",IF(N321&lt;=M321,"CUMPLIÓ","NO CUMPLIÓ"))</f>
        <v>CUMPLIÓ</v>
      </c>
      <c r="P321" s="141">
        <f t="shared" si="9"/>
        <v>0</v>
      </c>
      <c r="Q321" s="4" t="s">
        <v>1001</v>
      </c>
      <c r="R321" s="4" t="s">
        <v>33</v>
      </c>
      <c r="S321" s="4" t="s">
        <v>1978</v>
      </c>
      <c r="T321" s="210" t="s">
        <v>1237</v>
      </c>
      <c r="U321" s="1" t="s">
        <v>1226</v>
      </c>
    </row>
    <row r="322" spans="1:25" ht="25.5" customHeight="1" x14ac:dyDescent="0.2">
      <c r="A322" s="208">
        <v>42957</v>
      </c>
      <c r="B322" s="118" t="s">
        <v>487</v>
      </c>
      <c r="C322" s="209" t="s">
        <v>921</v>
      </c>
      <c r="D322" s="217" t="s">
        <v>487</v>
      </c>
      <c r="E322" s="213" t="s">
        <v>487</v>
      </c>
      <c r="F322" s="217" t="s">
        <v>1041</v>
      </c>
      <c r="G322" s="209" t="s">
        <v>1003</v>
      </c>
      <c r="H322" s="217">
        <v>1</v>
      </c>
      <c r="I322" s="217" t="s">
        <v>830</v>
      </c>
      <c r="J322" s="213" t="s">
        <v>1004</v>
      </c>
      <c r="K322" s="218">
        <v>809.65</v>
      </c>
      <c r="L322" s="204">
        <f>Tabla1[[#This Row],[Costo Unitario]]*Tabla1[[#This Row],[cantidad]]</f>
        <v>809.65</v>
      </c>
      <c r="M322" s="88">
        <v>42975</v>
      </c>
      <c r="N322" s="211">
        <v>42975</v>
      </c>
      <c r="O322" s="211" t="str">
        <f>IF( Tabla1[[#This Row],[Fecha de entrega real]]="","NO CONCRETADO",IF(N322&lt;=M322,"CUMPLIÓ","NO CUMPLIÓ"))</f>
        <v>CUMPLIÓ</v>
      </c>
      <c r="P322" s="141">
        <f>IF(N322="","NO CONCRETADO",N322-M322)</f>
        <v>0</v>
      </c>
      <c r="Q322" s="4" t="s">
        <v>1001</v>
      </c>
      <c r="R322" s="4" t="s">
        <v>33</v>
      </c>
      <c r="S322" s="209" t="s">
        <v>1242</v>
      </c>
      <c r="T322" s="1" t="s">
        <v>1973</v>
      </c>
      <c r="U322" s="212" t="s">
        <v>1243</v>
      </c>
      <c r="V322" s="210"/>
      <c r="W322" s="210"/>
      <c r="X322" s="210">
        <f>MONTH(Tabla1[[#This Row],[fecha
de
pedido]])</f>
        <v>8</v>
      </c>
      <c r="Y322" s="210">
        <f>YEAR(Tabla1[[#This Row],[fecha
de
pedido]])</f>
        <v>2017</v>
      </c>
    </row>
    <row r="323" spans="1:25" ht="12.75" customHeight="1" x14ac:dyDescent="0.2">
      <c r="A323" s="195">
        <v>42957</v>
      </c>
      <c r="B323" s="118" t="s">
        <v>487</v>
      </c>
      <c r="C323" s="196" t="s">
        <v>775</v>
      </c>
      <c r="D323" s="204" t="s">
        <v>33</v>
      </c>
      <c r="E323" s="196" t="s">
        <v>277</v>
      </c>
      <c r="F323" s="198" t="s">
        <v>778</v>
      </c>
      <c r="G323" s="196" t="s">
        <v>1153</v>
      </c>
      <c r="H323" s="198">
        <v>1</v>
      </c>
      <c r="I323" s="198" t="s">
        <v>488</v>
      </c>
      <c r="J323" s="196" t="s">
        <v>77</v>
      </c>
      <c r="K323" s="198">
        <v>71.39</v>
      </c>
      <c r="L323" s="204">
        <f>Tabla1[[#This Row],[Costo Unitario]]*Tabla1[[#This Row],[cantidad]]</f>
        <v>71.39</v>
      </c>
      <c r="M323" s="199">
        <v>42962</v>
      </c>
      <c r="N323" s="199">
        <v>42965</v>
      </c>
      <c r="O323" s="199" t="str">
        <f>IF( Tabla1[[#This Row],[Fecha de entrega real]]="","NO CONCRETADO",IF(N323&lt;=M323,"CUMPLIÓ","NO CUMPLIÓ"))</f>
        <v>NO CUMPLIÓ</v>
      </c>
      <c r="P323" s="141">
        <f t="shared" si="9"/>
        <v>3</v>
      </c>
      <c r="Q323" s="4" t="s">
        <v>13</v>
      </c>
      <c r="R323" s="4" t="s">
        <v>33</v>
      </c>
      <c r="S323" s="4" t="s">
        <v>244</v>
      </c>
      <c r="T323" s="1" t="s">
        <v>1210</v>
      </c>
      <c r="U323" s="107" t="s">
        <v>1212</v>
      </c>
      <c r="V323" s="198"/>
      <c r="W323" s="198"/>
      <c r="X323" s="198">
        <f>MONTH(Tabla1[[#This Row],[fecha
de
pedido]])</f>
        <v>8</v>
      </c>
      <c r="Y323" s="198">
        <f>YEAR(Tabla1[[#This Row],[fecha
de
pedido]])</f>
        <v>2017</v>
      </c>
    </row>
    <row r="324" spans="1:25" ht="12.75" customHeight="1" x14ac:dyDescent="0.2">
      <c r="A324" s="152">
        <v>42957</v>
      </c>
      <c r="B324" s="118" t="s">
        <v>487</v>
      </c>
      <c r="C324" s="196" t="s">
        <v>775</v>
      </c>
      <c r="D324" s="204" t="s">
        <v>33</v>
      </c>
      <c r="E324" s="196" t="s">
        <v>277</v>
      </c>
      <c r="F324" s="198" t="s">
        <v>778</v>
      </c>
      <c r="G324" s="196" t="s">
        <v>1154</v>
      </c>
      <c r="H324" s="198">
        <v>1</v>
      </c>
      <c r="I324" s="198" t="s">
        <v>488</v>
      </c>
      <c r="J324" s="196" t="s">
        <v>77</v>
      </c>
      <c r="K324" s="198">
        <v>183.92</v>
      </c>
      <c r="L324" s="204">
        <f>Tabla1[[#This Row],[Costo Unitario]]*Tabla1[[#This Row],[cantidad]]</f>
        <v>183.92</v>
      </c>
      <c r="M324" s="199">
        <v>42962</v>
      </c>
      <c r="N324" s="199">
        <v>43012</v>
      </c>
      <c r="O324" s="199" t="str">
        <f>IF( Tabla1[[#This Row],[Fecha de entrega real]]="","NO CONCRETADO",IF(N324&lt;=M324,"CUMPLIÓ","NO CUMPLIÓ"))</f>
        <v>NO CUMPLIÓ</v>
      </c>
      <c r="P324" s="141">
        <f t="shared" si="9"/>
        <v>50</v>
      </c>
      <c r="Q324" s="4" t="s">
        <v>13</v>
      </c>
      <c r="R324" s="4" t="s">
        <v>33</v>
      </c>
      <c r="S324" s="4" t="s">
        <v>334</v>
      </c>
      <c r="T324" s="1" t="s">
        <v>1319</v>
      </c>
      <c r="U324" s="107" t="s">
        <v>1320</v>
      </c>
      <c r="V324" s="198"/>
      <c r="W324" s="198"/>
      <c r="X324" s="198">
        <f>MONTH(Tabla1[[#This Row],[fecha
de
pedido]])</f>
        <v>8</v>
      </c>
      <c r="Y324" s="198">
        <f>YEAR(Tabla1[[#This Row],[fecha
de
pedido]])</f>
        <v>2017</v>
      </c>
    </row>
    <row r="325" spans="1:25" ht="12.75" customHeight="1" x14ac:dyDescent="0.2">
      <c r="A325" s="195">
        <v>42957</v>
      </c>
      <c r="B325" s="118" t="s">
        <v>487</v>
      </c>
      <c r="C325" s="196" t="s">
        <v>775</v>
      </c>
      <c r="D325" s="204" t="s">
        <v>33</v>
      </c>
      <c r="E325" s="196" t="s">
        <v>277</v>
      </c>
      <c r="F325" s="198" t="s">
        <v>778</v>
      </c>
      <c r="G325" s="196" t="s">
        <v>1155</v>
      </c>
      <c r="H325" s="198">
        <v>1</v>
      </c>
      <c r="I325" s="198" t="s">
        <v>488</v>
      </c>
      <c r="J325" s="196" t="s">
        <v>77</v>
      </c>
      <c r="K325" s="198">
        <v>1931.16</v>
      </c>
      <c r="L325" s="204">
        <f>Tabla1[[#This Row],[Costo Unitario]]*Tabla1[[#This Row],[cantidad]]</f>
        <v>1931.16</v>
      </c>
      <c r="M325" s="199">
        <v>42962</v>
      </c>
      <c r="N325" s="199">
        <v>43025</v>
      </c>
      <c r="O325" s="199" t="str">
        <f>IF( Tabla1[[#This Row],[Fecha de entrega real]]="","NO CONCRETADO",IF(N325&lt;=M325,"CUMPLIÓ","NO CUMPLIÓ"))</f>
        <v>NO CUMPLIÓ</v>
      </c>
      <c r="P325" s="141">
        <f t="shared" si="9"/>
        <v>63</v>
      </c>
      <c r="Q325" s="4" t="s">
        <v>13</v>
      </c>
      <c r="R325" s="4" t="s">
        <v>775</v>
      </c>
      <c r="S325" s="4" t="s">
        <v>1361</v>
      </c>
      <c r="T325" s="1" t="s">
        <v>1357</v>
      </c>
      <c r="U325" s="107" t="s">
        <v>1358</v>
      </c>
      <c r="V325" s="198"/>
      <c r="W325" s="198"/>
      <c r="X325" s="198">
        <f>MONTH(Tabla1[[#This Row],[fecha
de
pedido]])</f>
        <v>8</v>
      </c>
      <c r="Y325" s="198">
        <f>YEAR(Tabla1[[#This Row],[fecha
de
pedido]])</f>
        <v>2017</v>
      </c>
    </row>
    <row r="326" spans="1:25" ht="12.75" customHeight="1" x14ac:dyDescent="0.2">
      <c r="A326" s="152">
        <v>42957</v>
      </c>
      <c r="B326" s="118" t="s">
        <v>487</v>
      </c>
      <c r="C326" s="196" t="s">
        <v>775</v>
      </c>
      <c r="D326" s="204" t="s">
        <v>33</v>
      </c>
      <c r="E326" s="196" t="s">
        <v>277</v>
      </c>
      <c r="F326" s="198" t="s">
        <v>778</v>
      </c>
      <c r="G326" s="196" t="s">
        <v>1156</v>
      </c>
      <c r="H326" s="198">
        <v>1</v>
      </c>
      <c r="I326" s="198" t="s">
        <v>488</v>
      </c>
      <c r="J326" s="196" t="s">
        <v>77</v>
      </c>
      <c r="K326" s="198">
        <v>216.59</v>
      </c>
      <c r="L326" s="204">
        <f>Tabla1[[#This Row],[Costo Unitario]]*Tabla1[[#This Row],[cantidad]]</f>
        <v>216.59</v>
      </c>
      <c r="M326" s="199">
        <v>42962</v>
      </c>
      <c r="N326" s="199">
        <v>42965</v>
      </c>
      <c r="O326" s="199" t="str">
        <f>IF( Tabla1[[#This Row],[Fecha de entrega real]]="","NO CONCRETADO",IF(N326&lt;=M326,"CUMPLIÓ","NO CUMPLIÓ"))</f>
        <v>NO CUMPLIÓ</v>
      </c>
      <c r="P326" s="141">
        <f t="shared" si="9"/>
        <v>3</v>
      </c>
      <c r="Q326" s="196"/>
      <c r="R326" s="4" t="s">
        <v>1186</v>
      </c>
      <c r="S326" s="4" t="s">
        <v>244</v>
      </c>
      <c r="T326" s="1" t="s">
        <v>1209</v>
      </c>
      <c r="U326" s="107" t="s">
        <v>1211</v>
      </c>
      <c r="V326" s="198"/>
      <c r="W326" s="198"/>
      <c r="X326" s="198">
        <f>MONTH(Tabla1[[#This Row],[fecha
de
pedido]])</f>
        <v>8</v>
      </c>
      <c r="Y326" s="198">
        <f>YEAR(Tabla1[[#This Row],[fecha
de
pedido]])</f>
        <v>2017</v>
      </c>
    </row>
    <row r="327" spans="1:25" ht="12.75" customHeight="1" x14ac:dyDescent="0.2">
      <c r="A327" s="195">
        <v>42957</v>
      </c>
      <c r="B327" s="118" t="s">
        <v>487</v>
      </c>
      <c r="C327" s="196" t="s">
        <v>825</v>
      </c>
      <c r="D327" s="204" t="s">
        <v>33</v>
      </c>
      <c r="E327" s="196" t="s">
        <v>277</v>
      </c>
      <c r="F327" s="198" t="s">
        <v>772</v>
      </c>
      <c r="G327" s="196" t="s">
        <v>1152</v>
      </c>
      <c r="H327" s="198">
        <v>4</v>
      </c>
      <c r="I327" s="198" t="s">
        <v>800</v>
      </c>
      <c r="J327" s="196" t="s">
        <v>77</v>
      </c>
      <c r="K327" s="206">
        <v>15.737500000000001</v>
      </c>
      <c r="L327" s="204">
        <f>Tabla1[[#This Row],[Costo Unitario]]*Tabla1[[#This Row],[cantidad]]</f>
        <v>62.95</v>
      </c>
      <c r="M327" s="199">
        <v>42962</v>
      </c>
      <c r="N327" s="199">
        <v>42965</v>
      </c>
      <c r="O327" s="199" t="str">
        <f>IF( Tabla1[[#This Row],[Fecha de entrega real]]="","NO CONCRETADO",IF(N327&lt;=M327,"CUMPLIÓ","NO CUMPLIÓ"))</f>
        <v>NO CUMPLIÓ</v>
      </c>
      <c r="P327" s="141">
        <f t="shared" si="9"/>
        <v>3</v>
      </c>
      <c r="Q327" s="196"/>
      <c r="R327" s="4" t="s">
        <v>1186</v>
      </c>
      <c r="S327" s="4" t="s">
        <v>244</v>
      </c>
      <c r="T327" s="1" t="s">
        <v>1209</v>
      </c>
      <c r="U327" s="107" t="s">
        <v>1211</v>
      </c>
      <c r="V327" s="198"/>
      <c r="W327" s="198"/>
      <c r="X327" s="198">
        <f>MONTH(Tabla1[[#This Row],[fecha
de
pedido]])</f>
        <v>8</v>
      </c>
      <c r="Y327" s="198">
        <f>YEAR(Tabla1[[#This Row],[fecha
de
pedido]])</f>
        <v>2017</v>
      </c>
    </row>
    <row r="328" spans="1:25" ht="12.75" customHeight="1" x14ac:dyDescent="0.2">
      <c r="A328" s="152">
        <v>42957</v>
      </c>
      <c r="B328" s="118" t="s">
        <v>487</v>
      </c>
      <c r="C328" s="196" t="s">
        <v>976</v>
      </c>
      <c r="D328" s="204" t="s">
        <v>33</v>
      </c>
      <c r="E328" s="196" t="s">
        <v>277</v>
      </c>
      <c r="F328" s="198" t="s">
        <v>778</v>
      </c>
      <c r="G328" s="4" t="s">
        <v>1157</v>
      </c>
      <c r="H328" s="198">
        <v>1</v>
      </c>
      <c r="I328" s="198" t="s">
        <v>488</v>
      </c>
      <c r="J328" s="196" t="s">
        <v>77</v>
      </c>
      <c r="K328" s="198">
        <v>2795.1</v>
      </c>
      <c r="L328" s="204">
        <f>Tabla1[[#This Row],[Costo Unitario]]*Tabla1[[#This Row],[cantidad]]</f>
        <v>2795.1</v>
      </c>
      <c r="M328" s="199">
        <v>42962</v>
      </c>
      <c r="N328" s="199">
        <v>42965</v>
      </c>
      <c r="O328" s="199" t="str">
        <f>IF( Tabla1[[#This Row],[Fecha de entrega real]]="","NO CONCRETADO",IF(N328&lt;=M328,"CUMPLIÓ","NO CUMPLIÓ"))</f>
        <v>NO CUMPLIÓ</v>
      </c>
      <c r="P328" s="141">
        <f t="shared" si="9"/>
        <v>3</v>
      </c>
      <c r="Q328" s="196"/>
      <c r="R328" s="4" t="s">
        <v>1186</v>
      </c>
      <c r="S328" s="4" t="s">
        <v>244</v>
      </c>
      <c r="T328" s="1" t="s">
        <v>1209</v>
      </c>
      <c r="U328" s="107" t="s">
        <v>1211</v>
      </c>
      <c r="V328" s="198"/>
      <c r="W328" s="198"/>
      <c r="X328" s="198">
        <f>MONTH(Tabla1[[#This Row],[fecha
de
pedido]])</f>
        <v>8</v>
      </c>
      <c r="Y328" s="198">
        <f>YEAR(Tabla1[[#This Row],[fecha
de
pedido]])</f>
        <v>2017</v>
      </c>
    </row>
    <row r="329" spans="1:25" ht="12.75" customHeight="1" x14ac:dyDescent="0.2">
      <c r="A329" s="195">
        <v>42957</v>
      </c>
      <c r="B329" s="118" t="s">
        <v>487</v>
      </c>
      <c r="C329" s="196" t="s">
        <v>775</v>
      </c>
      <c r="D329" s="204" t="s">
        <v>33</v>
      </c>
      <c r="E329" s="196" t="s">
        <v>11</v>
      </c>
      <c r="F329" s="198" t="s">
        <v>772</v>
      </c>
      <c r="G329" s="196" t="s">
        <v>889</v>
      </c>
      <c r="H329" s="198">
        <v>150</v>
      </c>
      <c r="I329" s="198" t="s">
        <v>779</v>
      </c>
      <c r="J329" s="196" t="s">
        <v>12</v>
      </c>
      <c r="K329" s="198">
        <v>5</v>
      </c>
      <c r="L329" s="204">
        <f>Tabla1[[#This Row],[Costo Unitario]]*Tabla1[[#This Row],[cantidad]]</f>
        <v>750</v>
      </c>
      <c r="M329" s="199">
        <v>42958</v>
      </c>
      <c r="N329" s="199">
        <v>42961</v>
      </c>
      <c r="O329" s="199" t="str">
        <f>IF( Tabla1[[#This Row],[Fecha de entrega real]]="","NO CONCRETADO",IF(N329&lt;=M329,"CUMPLIÓ","NO CUMPLIÓ"))</f>
        <v>NO CUMPLIÓ</v>
      </c>
      <c r="P329" s="141">
        <f t="shared" si="9"/>
        <v>3</v>
      </c>
      <c r="Q329" s="196" t="s">
        <v>1099</v>
      </c>
      <c r="R329" s="196" t="s">
        <v>1186</v>
      </c>
      <c r="S329" s="196" t="s">
        <v>334</v>
      </c>
      <c r="T329" s="1" t="s">
        <v>1973</v>
      </c>
      <c r="U329" s="200" t="s">
        <v>1182</v>
      </c>
      <c r="V329" s="198"/>
      <c r="W329" s="198"/>
      <c r="X329" s="198">
        <f>MONTH(Tabla1[[#This Row],[fecha
de
pedido]])</f>
        <v>8</v>
      </c>
      <c r="Y329" s="198">
        <f>YEAR(Tabla1[[#This Row],[fecha
de
pedido]])</f>
        <v>2017</v>
      </c>
    </row>
    <row r="330" spans="1:25" ht="12.75" customHeight="1" x14ac:dyDescent="0.2">
      <c r="A330" s="152">
        <v>42957</v>
      </c>
      <c r="B330" s="118" t="s">
        <v>487</v>
      </c>
      <c r="C330" s="196" t="s">
        <v>33</v>
      </c>
      <c r="D330" s="204" t="s">
        <v>33</v>
      </c>
      <c r="E330" s="196" t="s">
        <v>11</v>
      </c>
      <c r="F330" s="198" t="s">
        <v>772</v>
      </c>
      <c r="G330" s="196" t="s">
        <v>1185</v>
      </c>
      <c r="H330" s="198">
        <v>200</v>
      </c>
      <c r="I330" s="198" t="s">
        <v>779</v>
      </c>
      <c r="J330" s="196" t="s">
        <v>12</v>
      </c>
      <c r="K330" s="198">
        <v>5</v>
      </c>
      <c r="L330" s="204">
        <f>Tabla1[[#This Row],[Costo Unitario]]*Tabla1[[#This Row],[cantidad]]</f>
        <v>1000</v>
      </c>
      <c r="M330" s="199">
        <v>42958</v>
      </c>
      <c r="N330" s="199">
        <v>42961</v>
      </c>
      <c r="O330" s="199" t="str">
        <f>IF( Tabla1[[#This Row],[Fecha de entrega real]]="","NO CONCRETADO",IF(N330&lt;=M330,"CUMPLIÓ","NO CUMPLIÓ"))</f>
        <v>NO CUMPLIÓ</v>
      </c>
      <c r="P330" s="141">
        <f t="shared" si="9"/>
        <v>3</v>
      </c>
      <c r="Q330" s="196" t="s">
        <v>13</v>
      </c>
      <c r="R330" s="4" t="s">
        <v>33</v>
      </c>
      <c r="S330" s="196" t="s">
        <v>1184</v>
      </c>
      <c r="T330" s="1" t="s">
        <v>1973</v>
      </c>
      <c r="U330" s="200" t="s">
        <v>1183</v>
      </c>
      <c r="V330" s="198"/>
      <c r="W330" s="198"/>
      <c r="X330" s="198">
        <f>MONTH(Tabla1[[#This Row],[fecha
de
pedido]])</f>
        <v>8</v>
      </c>
      <c r="Y330" s="198">
        <f>YEAR(Tabla1[[#This Row],[fecha
de
pedido]])</f>
        <v>2017</v>
      </c>
    </row>
    <row r="331" spans="1:25" ht="25.5" customHeight="1" x14ac:dyDescent="0.2">
      <c r="A331" s="195">
        <v>42958</v>
      </c>
      <c r="B331" s="118" t="s">
        <v>487</v>
      </c>
      <c r="C331" s="196" t="s">
        <v>33</v>
      </c>
      <c r="D331" s="204" t="s">
        <v>33</v>
      </c>
      <c r="E331" s="196" t="s">
        <v>277</v>
      </c>
      <c r="F331" s="1" t="s">
        <v>1214</v>
      </c>
      <c r="G331" s="196" t="s">
        <v>1158</v>
      </c>
      <c r="H331" s="198">
        <v>12</v>
      </c>
      <c r="I331" s="198" t="s">
        <v>779</v>
      </c>
      <c r="J331" s="196" t="s">
        <v>15</v>
      </c>
      <c r="K331" s="198">
        <v>280</v>
      </c>
      <c r="L331" s="204">
        <f>Tabla1[[#This Row],[Costo Unitario]]*Tabla1[[#This Row],[cantidad]]</f>
        <v>3360</v>
      </c>
      <c r="M331" s="199">
        <v>42969</v>
      </c>
      <c r="N331" s="199">
        <v>42969</v>
      </c>
      <c r="O331" s="199" t="str">
        <f>IF( Tabla1[[#This Row],[Fecha de entrega real]]="","NO CONCRETADO",IF(N331&lt;=M331,"CUMPLIÓ","NO CUMPLIÓ"))</f>
        <v>CUMPLIÓ</v>
      </c>
      <c r="P331" s="141">
        <f t="shared" si="9"/>
        <v>0</v>
      </c>
      <c r="Q331" s="4" t="s">
        <v>13</v>
      </c>
      <c r="R331" s="4" t="s">
        <v>33</v>
      </c>
      <c r="S331" s="4" t="s">
        <v>244</v>
      </c>
      <c r="T331" s="198" t="s">
        <v>1198</v>
      </c>
      <c r="U331" s="200" t="s">
        <v>1197</v>
      </c>
      <c r="V331" s="198"/>
      <c r="W331" s="198"/>
      <c r="X331" s="198">
        <f>MONTH(Tabla1[[#This Row],[fecha
de
pedido]])</f>
        <v>8</v>
      </c>
      <c r="Y331" s="198">
        <f>YEAR(Tabla1[[#This Row],[fecha
de
pedido]])</f>
        <v>2017</v>
      </c>
    </row>
    <row r="332" spans="1:25" ht="153" customHeight="1" x14ac:dyDescent="0.2">
      <c r="A332" s="220">
        <v>42958</v>
      </c>
      <c r="B332" s="118" t="s">
        <v>487</v>
      </c>
      <c r="C332" s="221" t="s">
        <v>1020</v>
      </c>
      <c r="D332" s="222" t="s">
        <v>33</v>
      </c>
      <c r="E332" s="197" t="s">
        <v>277</v>
      </c>
      <c r="F332" s="223" t="s">
        <v>1016</v>
      </c>
      <c r="G332" s="221" t="s">
        <v>1215</v>
      </c>
      <c r="H332" s="223">
        <v>22.5</v>
      </c>
      <c r="I332" s="223" t="s">
        <v>1018</v>
      </c>
      <c r="J332" s="221" t="s">
        <v>81</v>
      </c>
      <c r="K332" s="223">
        <v>461.01</v>
      </c>
      <c r="L332" s="222">
        <f>Tabla1[[#This Row],[Costo Unitario]]*Tabla1[[#This Row],[cantidad]]</f>
        <v>10372.725</v>
      </c>
      <c r="M332" s="224">
        <v>42964</v>
      </c>
      <c r="N332" s="224">
        <v>42972</v>
      </c>
      <c r="O332" s="224" t="str">
        <f>IF( Tabla1[[#This Row],[Fecha de entrega real]]="","NO CONCRETADO",IF(N332&lt;=M332,"CUMPLIÓ","NO CUMPLIÓ"))</f>
        <v>NO CUMPLIÓ</v>
      </c>
      <c r="P332" s="225">
        <f t="shared" si="9"/>
        <v>8</v>
      </c>
      <c r="Q332" s="124" t="s">
        <v>13</v>
      </c>
      <c r="R332" s="221" t="s">
        <v>893</v>
      </c>
      <c r="S332" s="209" t="s">
        <v>1272</v>
      </c>
      <c r="T332" s="209" t="s">
        <v>1227</v>
      </c>
      <c r="U332" s="212" t="s">
        <v>1216</v>
      </c>
      <c r="V332" s="210"/>
      <c r="W332" s="210"/>
      <c r="X332" s="210">
        <f>MONTH(Tabla1[[#This Row],[fecha
de
pedido]])</f>
        <v>8</v>
      </c>
      <c r="Y332" s="210">
        <f>YEAR(Tabla1[[#This Row],[fecha
de
pedido]])</f>
        <v>2017</v>
      </c>
    </row>
    <row r="333" spans="1:25" ht="38.25" customHeight="1" x14ac:dyDescent="0.2">
      <c r="A333" s="195">
        <v>42964</v>
      </c>
      <c r="B333" s="118" t="s">
        <v>487</v>
      </c>
      <c r="C333" s="4" t="s">
        <v>30</v>
      </c>
      <c r="D333" s="1" t="s">
        <v>33</v>
      </c>
      <c r="E333" s="4" t="s">
        <v>277</v>
      </c>
      <c r="F333" s="1" t="s">
        <v>772</v>
      </c>
      <c r="G333" s="196" t="s">
        <v>1208</v>
      </c>
      <c r="H333" s="198">
        <v>2</v>
      </c>
      <c r="I333" s="1" t="s">
        <v>904</v>
      </c>
      <c r="J333" s="4" t="s">
        <v>1023</v>
      </c>
      <c r="K333" s="198">
        <v>185.13</v>
      </c>
      <c r="L333" s="204">
        <f>Tabla1[[#This Row],[Costo Unitario]]*Tabla1[[#This Row],[cantidad]]</f>
        <v>370.26</v>
      </c>
      <c r="M333" s="199">
        <v>42984</v>
      </c>
      <c r="N333" s="199">
        <v>42984</v>
      </c>
      <c r="O333" s="199" t="str">
        <f>IF( Tabla1[[#This Row],[Fecha de entrega real]]="","NO CONCRETADO",IF(N333&lt;=M333,"CUMPLIÓ","NO CUMPLIÓ"))</f>
        <v>CUMPLIÓ</v>
      </c>
      <c r="P333" s="141">
        <f t="shared" si="9"/>
        <v>0</v>
      </c>
      <c r="Q333" s="4" t="s">
        <v>1266</v>
      </c>
      <c r="R333" s="4" t="s">
        <v>33</v>
      </c>
      <c r="S333" s="4" t="s">
        <v>1269</v>
      </c>
      <c r="T333" s="1" t="s">
        <v>1267</v>
      </c>
      <c r="U333" s="107" t="s">
        <v>1268</v>
      </c>
      <c r="V333" s="198"/>
      <c r="W333" s="198"/>
      <c r="X333" s="198">
        <f>MONTH(Tabla1[[#This Row],[fecha
de
pedido]])</f>
        <v>8</v>
      </c>
      <c r="Y333" s="198">
        <f>YEAR(Tabla1[[#This Row],[fecha
de
pedido]])</f>
        <v>2017</v>
      </c>
    </row>
    <row r="334" spans="1:25" ht="25.5" customHeight="1" x14ac:dyDescent="0.2">
      <c r="A334" s="208">
        <v>42964</v>
      </c>
      <c r="B334" s="118" t="s">
        <v>487</v>
      </c>
      <c r="C334" s="209" t="s">
        <v>921</v>
      </c>
      <c r="D334" s="209" t="s">
        <v>921</v>
      </c>
      <c r="E334" s="209" t="s">
        <v>921</v>
      </c>
      <c r="F334" s="210" t="s">
        <v>1041</v>
      </c>
      <c r="G334" s="209" t="s">
        <v>1270</v>
      </c>
      <c r="H334" s="210">
        <v>1</v>
      </c>
      <c r="I334" s="210" t="s">
        <v>830</v>
      </c>
      <c r="J334" s="209" t="s">
        <v>1004</v>
      </c>
      <c r="K334" s="210">
        <v>196.61</v>
      </c>
      <c r="L334" s="204">
        <f>Tabla1[[#This Row],[Costo Unitario]]*Tabla1[[#This Row],[cantidad]]</f>
        <v>196.61</v>
      </c>
      <c r="M334" s="199">
        <v>42984</v>
      </c>
      <c r="N334" s="199">
        <v>42984</v>
      </c>
      <c r="O334" s="211" t="str">
        <f>IF( Tabla1[[#This Row],[Fecha de entrega real]]="","NO CONCRETADO",IF(N334&lt;=M334,"CUMPLIÓ","NO CUMPLIÓ"))</f>
        <v>CUMPLIÓ</v>
      </c>
      <c r="P334" s="141">
        <f t="shared" si="9"/>
        <v>0</v>
      </c>
      <c r="Q334" s="4" t="s">
        <v>1266</v>
      </c>
      <c r="R334" s="4" t="s">
        <v>33</v>
      </c>
      <c r="S334" s="209" t="s">
        <v>334</v>
      </c>
      <c r="T334" s="210"/>
      <c r="U334" s="212" t="s">
        <v>1271</v>
      </c>
      <c r="V334" s="210"/>
      <c r="W334" s="210"/>
      <c r="X334" s="210">
        <f>MONTH(Tabla1[[#This Row],[fecha
de
pedido]])</f>
        <v>8</v>
      </c>
      <c r="Y334" s="210">
        <f>YEAR(Tabla1[[#This Row],[fecha
de
pedido]])</f>
        <v>2017</v>
      </c>
    </row>
    <row r="335" spans="1:25" ht="12.75" customHeight="1" x14ac:dyDescent="0.2">
      <c r="A335" s="208">
        <v>42969</v>
      </c>
      <c r="B335" s="118" t="s">
        <v>487</v>
      </c>
      <c r="C335" s="209" t="s">
        <v>33</v>
      </c>
      <c r="D335" s="1" t="s">
        <v>1044</v>
      </c>
      <c r="E335" s="4" t="s">
        <v>277</v>
      </c>
      <c r="F335" s="210" t="s">
        <v>778</v>
      </c>
      <c r="G335" s="209" t="s">
        <v>1217</v>
      </c>
      <c r="H335" s="210">
        <v>1</v>
      </c>
      <c r="I335" s="210" t="s">
        <v>1218</v>
      </c>
      <c r="J335" s="196" t="s">
        <v>15</v>
      </c>
      <c r="K335" s="214">
        <v>1657</v>
      </c>
      <c r="L335" s="216">
        <f>Tabla1[[#This Row],[Costo Unitario]]*Tabla1[[#This Row],[cantidad]]</f>
        <v>1657</v>
      </c>
      <c r="M335" s="211">
        <v>43004</v>
      </c>
      <c r="N335" s="211">
        <v>42990</v>
      </c>
      <c r="O335" s="211" t="str">
        <f>IF( Tabla1[[#This Row],[Fecha de entrega real]]="","NO CONCRETADO",IF(N335&lt;=M335,"CUMPLIÓ","NO CUMPLIÓ"))</f>
        <v>CUMPLIÓ</v>
      </c>
      <c r="P335" s="141">
        <f t="shared" si="9"/>
        <v>-14</v>
      </c>
      <c r="Q335" s="4" t="s">
        <v>13</v>
      </c>
      <c r="R335" s="4" t="s">
        <v>33</v>
      </c>
      <c r="S335" s="4" t="s">
        <v>334</v>
      </c>
      <c r="T335" s="1" t="s">
        <v>1365</v>
      </c>
      <c r="U335" s="107" t="s">
        <v>1366</v>
      </c>
      <c r="V335" s="210"/>
      <c r="W335" s="210"/>
      <c r="X335" s="210">
        <f>MONTH(Tabla1[[#This Row],[fecha
de
pedido]])</f>
        <v>8</v>
      </c>
      <c r="Y335" s="210">
        <f>YEAR(Tabla1[[#This Row],[fecha
de
pedido]])</f>
        <v>2017</v>
      </c>
    </row>
    <row r="336" spans="1:25" ht="38.25" customHeight="1" x14ac:dyDescent="0.2">
      <c r="A336" s="208">
        <v>42969</v>
      </c>
      <c r="B336" s="118" t="s">
        <v>487</v>
      </c>
      <c r="C336" s="209" t="s">
        <v>33</v>
      </c>
      <c r="D336" s="1" t="s">
        <v>33</v>
      </c>
      <c r="E336" s="4" t="s">
        <v>277</v>
      </c>
      <c r="F336" s="210" t="s">
        <v>772</v>
      </c>
      <c r="G336" s="209" t="s">
        <v>397</v>
      </c>
      <c r="H336" s="210">
        <v>10</v>
      </c>
      <c r="I336" s="210" t="s">
        <v>904</v>
      </c>
      <c r="J336" s="196" t="s">
        <v>15</v>
      </c>
      <c r="K336" s="215">
        <v>135</v>
      </c>
      <c r="L336" s="216">
        <f>Tabla1[[#This Row],[Costo Unitario]]*Tabla1[[#This Row],[cantidad]]</f>
        <v>1350</v>
      </c>
      <c r="M336" s="211">
        <v>42976</v>
      </c>
      <c r="N336" s="211">
        <v>42998</v>
      </c>
      <c r="O336" s="211" t="str">
        <f>IF( Tabla1[[#This Row],[Fecha de entrega real]]="","NO CONCRETADO",IF(N336&lt;=M336,"CUMPLIÓ","NO CUMPLIÓ"))</f>
        <v>NO CUMPLIÓ</v>
      </c>
      <c r="P336" s="141">
        <f t="shared" si="9"/>
        <v>22</v>
      </c>
      <c r="Q336" s="209" t="s">
        <v>13</v>
      </c>
      <c r="R336" s="4" t="s">
        <v>33</v>
      </c>
      <c r="S336" s="209" t="s">
        <v>1285</v>
      </c>
      <c r="T336" s="209" t="s">
        <v>1288</v>
      </c>
      <c r="U336" s="219" t="s">
        <v>1287</v>
      </c>
      <c r="V336" s="210"/>
      <c r="W336" s="210"/>
      <c r="X336" s="210">
        <f>MONTH(Tabla1[[#This Row],[fecha
de
pedido]])</f>
        <v>8</v>
      </c>
      <c r="Y336" s="210">
        <f>YEAR(Tabla1[[#This Row],[fecha
de
pedido]])</f>
        <v>2017</v>
      </c>
    </row>
    <row r="337" spans="1:25" ht="25.5" customHeight="1" x14ac:dyDescent="0.2">
      <c r="A337" s="208">
        <v>42969</v>
      </c>
      <c r="B337" s="118" t="s">
        <v>487</v>
      </c>
      <c r="C337" s="209" t="s">
        <v>33</v>
      </c>
      <c r="D337" s="1" t="s">
        <v>33</v>
      </c>
      <c r="E337" s="4" t="s">
        <v>277</v>
      </c>
      <c r="F337" s="210" t="s">
        <v>772</v>
      </c>
      <c r="G337" s="209" t="s">
        <v>398</v>
      </c>
      <c r="H337" s="210">
        <v>10</v>
      </c>
      <c r="I337" s="210" t="s">
        <v>904</v>
      </c>
      <c r="J337" s="196" t="s">
        <v>15</v>
      </c>
      <c r="K337" s="215">
        <v>135</v>
      </c>
      <c r="L337" s="216">
        <f>Tabla1[[#This Row],[Costo Unitario]]*Tabla1[[#This Row],[cantidad]]</f>
        <v>1350</v>
      </c>
      <c r="M337" s="211">
        <v>42976</v>
      </c>
      <c r="N337" s="211">
        <v>42976</v>
      </c>
      <c r="O337" s="211" t="str">
        <f>IF( Tabla1[[#This Row],[Fecha de entrega real]]="","NO CONCRETADO",IF(N337&lt;=M337,"CUMPLIÓ","NO CUMPLIÓ"))</f>
        <v>CUMPLIÓ</v>
      </c>
      <c r="P337" s="141">
        <f t="shared" si="9"/>
        <v>0</v>
      </c>
      <c r="Q337" s="209" t="s">
        <v>13</v>
      </c>
      <c r="R337" s="208" t="s">
        <v>33</v>
      </c>
      <c r="S337" s="209" t="s">
        <v>1246</v>
      </c>
      <c r="T337" s="209" t="s">
        <v>1245</v>
      </c>
      <c r="U337" s="219" t="s">
        <v>1247</v>
      </c>
      <c r="V337" s="210"/>
      <c r="W337" s="210"/>
      <c r="X337" s="210">
        <f>MONTH(Tabla1[[#This Row],[fecha
de
pedido]])</f>
        <v>8</v>
      </c>
      <c r="Y337" s="210">
        <f>YEAR(Tabla1[[#This Row],[fecha
de
pedido]])</f>
        <v>2017</v>
      </c>
    </row>
    <row r="338" spans="1:25" ht="38.25" customHeight="1" x14ac:dyDescent="0.2">
      <c r="A338" s="208">
        <v>42969</v>
      </c>
      <c r="B338" s="118" t="s">
        <v>487</v>
      </c>
      <c r="C338" s="209" t="s">
        <v>33</v>
      </c>
      <c r="D338" s="1" t="s">
        <v>33</v>
      </c>
      <c r="E338" s="4" t="s">
        <v>277</v>
      </c>
      <c r="F338" s="210" t="s">
        <v>772</v>
      </c>
      <c r="G338" s="209" t="s">
        <v>399</v>
      </c>
      <c r="H338" s="210">
        <v>10</v>
      </c>
      <c r="I338" s="210" t="s">
        <v>904</v>
      </c>
      <c r="J338" s="196" t="s">
        <v>15</v>
      </c>
      <c r="K338" s="215">
        <v>135</v>
      </c>
      <c r="L338" s="216">
        <f>Tabla1[[#This Row],[Costo Unitario]]*Tabla1[[#This Row],[cantidad]]</f>
        <v>1350</v>
      </c>
      <c r="M338" s="211">
        <v>42976</v>
      </c>
      <c r="N338" s="211">
        <v>42998</v>
      </c>
      <c r="O338" s="211" t="str">
        <f>IF( Tabla1[[#This Row],[Fecha de entrega real]]="","NO CONCRETADO",IF(N338&lt;=M338,"CUMPLIÓ","NO CUMPLIÓ"))</f>
        <v>NO CUMPLIÓ</v>
      </c>
      <c r="P338" s="141">
        <f t="shared" si="9"/>
        <v>22</v>
      </c>
      <c r="Q338" s="209" t="s">
        <v>13</v>
      </c>
      <c r="R338" s="208" t="s">
        <v>33</v>
      </c>
      <c r="S338" s="209" t="s">
        <v>1286</v>
      </c>
      <c r="T338" s="209" t="s">
        <v>1288</v>
      </c>
      <c r="U338" s="219" t="s">
        <v>1287</v>
      </c>
      <c r="V338" s="210"/>
      <c r="W338" s="210"/>
      <c r="X338" s="210">
        <f>MONTH(Tabla1[[#This Row],[fecha
de
pedido]])</f>
        <v>8</v>
      </c>
      <c r="Y338" s="210">
        <f>YEAR(Tabla1[[#This Row],[fecha
de
pedido]])</f>
        <v>2017</v>
      </c>
    </row>
    <row r="339" spans="1:25" ht="12.75" customHeight="1" x14ac:dyDescent="0.2">
      <c r="A339" s="208">
        <v>42969</v>
      </c>
      <c r="B339" s="118" t="s">
        <v>487</v>
      </c>
      <c r="C339" s="209" t="s">
        <v>33</v>
      </c>
      <c r="D339" s="1" t="s">
        <v>33</v>
      </c>
      <c r="E339" s="4" t="s">
        <v>277</v>
      </c>
      <c r="F339" s="210" t="s">
        <v>772</v>
      </c>
      <c r="G339" s="209" t="s">
        <v>1219</v>
      </c>
      <c r="H339" s="210">
        <v>1</v>
      </c>
      <c r="I339" s="210" t="s">
        <v>911</v>
      </c>
      <c r="J339" s="196" t="s">
        <v>15</v>
      </c>
      <c r="K339" s="214">
        <v>7050</v>
      </c>
      <c r="L339" s="216">
        <f>Tabla1[[#This Row],[Costo Unitario]]*Tabla1[[#This Row],[cantidad]]</f>
        <v>7050</v>
      </c>
      <c r="M339" s="211">
        <v>42952</v>
      </c>
      <c r="N339" s="211">
        <v>42990</v>
      </c>
      <c r="O339" s="211" t="str">
        <f>IF( Tabla1[[#This Row],[Fecha de entrega real]]="","NO CONCRETADO",IF(N339&lt;=M339,"CUMPLIÓ","NO CUMPLIÓ"))</f>
        <v>NO CUMPLIÓ</v>
      </c>
      <c r="P339" s="141">
        <f t="shared" si="9"/>
        <v>38</v>
      </c>
      <c r="Q339" s="4" t="s">
        <v>13</v>
      </c>
      <c r="R339" s="208" t="s">
        <v>33</v>
      </c>
      <c r="S339" s="4" t="s">
        <v>334</v>
      </c>
      <c r="T339" s="1" t="s">
        <v>1363</v>
      </c>
      <c r="U339" s="107" t="s">
        <v>1364</v>
      </c>
      <c r="V339" s="210"/>
      <c r="W339" s="210"/>
      <c r="X339" s="210">
        <f>MONTH(Tabla1[[#This Row],[fecha
de
pedido]])</f>
        <v>8</v>
      </c>
      <c r="Y339" s="210">
        <f>YEAR(Tabla1[[#This Row],[fecha
de
pedido]])</f>
        <v>2017</v>
      </c>
    </row>
    <row r="340" spans="1:25" ht="25.5" customHeight="1" x14ac:dyDescent="0.2">
      <c r="A340" s="208">
        <v>42969</v>
      </c>
      <c r="B340" s="118" t="s">
        <v>487</v>
      </c>
      <c r="C340" s="209" t="s">
        <v>1091</v>
      </c>
      <c r="D340" s="209" t="s">
        <v>1220</v>
      </c>
      <c r="E340" s="4" t="s">
        <v>277</v>
      </c>
      <c r="F340" s="210" t="s">
        <v>772</v>
      </c>
      <c r="G340" s="209" t="s">
        <v>889</v>
      </c>
      <c r="H340" s="210">
        <v>150</v>
      </c>
      <c r="I340" s="210" t="s">
        <v>779</v>
      </c>
      <c r="J340" s="209" t="s">
        <v>12</v>
      </c>
      <c r="K340" s="214">
        <v>5</v>
      </c>
      <c r="L340" s="216">
        <f>Tabla1[[#This Row],[Costo Unitario]]*Tabla1[[#This Row],[cantidad]]</f>
        <v>750</v>
      </c>
      <c r="M340" s="211">
        <v>42972</v>
      </c>
      <c r="N340" s="211">
        <v>42972</v>
      </c>
      <c r="O340" s="211" t="str">
        <f>IF( Tabla1[[#This Row],[Fecha de entrega real]]="","NO CONCRETADO",IF(N340&lt;=M340,"CUMPLIÓ","NO CUMPLIÓ"))</f>
        <v>CUMPLIÓ</v>
      </c>
      <c r="P340" s="141">
        <f t="shared" ref="P340:P428" si="10">IF(N340="","NO CONCRETADO",N340-M340)</f>
        <v>0</v>
      </c>
      <c r="Q340" s="209" t="s">
        <v>13</v>
      </c>
      <c r="R340" s="209" t="s">
        <v>1238</v>
      </c>
      <c r="S340" s="209" t="s">
        <v>334</v>
      </c>
      <c r="T340" s="1" t="s">
        <v>1973</v>
      </c>
      <c r="U340" s="212" t="s">
        <v>1239</v>
      </c>
      <c r="V340" s="210"/>
      <c r="W340" s="210"/>
      <c r="X340" s="210">
        <f>MONTH(Tabla1[[#This Row],[fecha
de
pedido]])</f>
        <v>8</v>
      </c>
      <c r="Y340" s="210">
        <f>YEAR(Tabla1[[#This Row],[fecha
de
pedido]])</f>
        <v>2017</v>
      </c>
    </row>
    <row r="341" spans="1:25" ht="38.25" customHeight="1" x14ac:dyDescent="0.2">
      <c r="A341" s="226">
        <v>42970</v>
      </c>
      <c r="B341" s="118" t="s">
        <v>487</v>
      </c>
      <c r="C341" s="213" t="s">
        <v>849</v>
      </c>
      <c r="D341" s="213" t="s">
        <v>809</v>
      </c>
      <c r="E341" s="213" t="s">
        <v>888</v>
      </c>
      <c r="F341" s="217" t="s">
        <v>830</v>
      </c>
      <c r="G341" s="213" t="s">
        <v>1258</v>
      </c>
      <c r="H341" s="217">
        <v>13</v>
      </c>
      <c r="I341" s="217" t="s">
        <v>784</v>
      </c>
      <c r="J341" s="213" t="s">
        <v>1124</v>
      </c>
      <c r="K341" s="218">
        <v>256</v>
      </c>
      <c r="L341" s="216">
        <f>Tabla1[[#This Row],[Costo Unitario]]*Tabla1[[#This Row],[cantidad]]</f>
        <v>3328</v>
      </c>
      <c r="M341" s="227">
        <v>42977</v>
      </c>
      <c r="N341" s="227">
        <v>42977</v>
      </c>
      <c r="O341" s="227" t="str">
        <f>IF( Tabla1[[#This Row],[Fecha de entrega real]]="","NO CONCRETADO",IF(N341&lt;=M341,"CUMPLIÓ","NO CUMPLIÓ"))</f>
        <v>CUMPLIÓ</v>
      </c>
      <c r="P341" s="141">
        <f>IF(N341="","NO CONCRETADO",N341-M341)</f>
        <v>0</v>
      </c>
      <c r="Q341" s="213" t="s">
        <v>13</v>
      </c>
      <c r="R341" s="99" t="s">
        <v>33</v>
      </c>
      <c r="S341" s="213" t="s">
        <v>244</v>
      </c>
      <c r="T341" s="101" t="s">
        <v>1973</v>
      </c>
      <c r="U341" s="228" t="s">
        <v>1259</v>
      </c>
      <c r="V341" s="217"/>
      <c r="W341" s="217"/>
      <c r="X341" s="217">
        <f>MONTH(Tabla1[[#This Row],[fecha
de
pedido]])</f>
        <v>8</v>
      </c>
      <c r="Y341" s="217">
        <f>YEAR(Tabla1[[#This Row],[fecha
de
pedido]])</f>
        <v>2017</v>
      </c>
    </row>
    <row r="342" spans="1:25" ht="12.75" customHeight="1" x14ac:dyDescent="0.2">
      <c r="A342" s="208">
        <v>42972</v>
      </c>
      <c r="B342" s="118" t="s">
        <v>487</v>
      </c>
      <c r="C342" s="209" t="s">
        <v>33</v>
      </c>
      <c r="D342" s="210" t="s">
        <v>33</v>
      </c>
      <c r="E342" s="209" t="s">
        <v>11</v>
      </c>
      <c r="F342" s="210" t="s">
        <v>772</v>
      </c>
      <c r="G342" s="24" t="s">
        <v>412</v>
      </c>
      <c r="H342" s="210">
        <v>6</v>
      </c>
      <c r="I342" s="210" t="s">
        <v>1228</v>
      </c>
      <c r="J342" s="209" t="s">
        <v>771</v>
      </c>
      <c r="K342" s="210">
        <v>238</v>
      </c>
      <c r="L342" s="216">
        <f>Tabla1[[#This Row],[Costo Unitario]]*Tabla1[[#This Row],[cantidad]]</f>
        <v>1428</v>
      </c>
      <c r="M342" s="211">
        <v>42975</v>
      </c>
      <c r="N342" s="211">
        <v>42976</v>
      </c>
      <c r="O342" s="211" t="str">
        <f>IF( Tabla1[[#This Row],[Fecha de entrega real]]="","NO CONCRETADO",IF(N342&lt;=M342,"CUMPLIÓ","NO CUMPLIÓ"))</f>
        <v>NO CUMPLIÓ</v>
      </c>
      <c r="P342" s="141">
        <f t="shared" si="10"/>
        <v>1</v>
      </c>
      <c r="Q342" s="209" t="s">
        <v>13</v>
      </c>
      <c r="R342" s="209" t="s">
        <v>33</v>
      </c>
      <c r="S342" s="209" t="s">
        <v>334</v>
      </c>
      <c r="T342" s="101" t="s">
        <v>1973</v>
      </c>
      <c r="U342" s="212" t="s">
        <v>1248</v>
      </c>
      <c r="V342" s="210"/>
      <c r="W342" s="210"/>
      <c r="X342" s="210">
        <f>MONTH(Tabla1[[#This Row],[fecha
de
pedido]])</f>
        <v>8</v>
      </c>
      <c r="Y342" s="210">
        <f>YEAR(Tabla1[[#This Row],[fecha
de
pedido]])</f>
        <v>2017</v>
      </c>
    </row>
    <row r="343" spans="1:25" ht="12.75" customHeight="1" x14ac:dyDescent="0.2">
      <c r="A343" s="208">
        <v>42972</v>
      </c>
      <c r="B343" s="118" t="s">
        <v>487</v>
      </c>
      <c r="C343" s="209" t="s">
        <v>33</v>
      </c>
      <c r="D343" s="210" t="s">
        <v>33</v>
      </c>
      <c r="E343" s="209" t="s">
        <v>11</v>
      </c>
      <c r="F343" s="210" t="s">
        <v>772</v>
      </c>
      <c r="G343" s="209" t="s">
        <v>1230</v>
      </c>
      <c r="H343" s="210">
        <v>1</v>
      </c>
      <c r="I343" s="210" t="s">
        <v>781</v>
      </c>
      <c r="J343" s="209" t="s">
        <v>771</v>
      </c>
      <c r="K343" s="210">
        <v>200</v>
      </c>
      <c r="L343" s="216">
        <f>Tabla1[[#This Row],[Costo Unitario]]*Tabla1[[#This Row],[cantidad]]</f>
        <v>200</v>
      </c>
      <c r="M343" s="211">
        <v>42975</v>
      </c>
      <c r="N343" s="211">
        <v>42976</v>
      </c>
      <c r="O343" s="211" t="str">
        <f>IF( Tabla1[[#This Row],[Fecha de entrega real]]="","NO CONCRETADO",IF(N343&lt;=M343,"CUMPLIÓ","NO CUMPLIÓ"))</f>
        <v>NO CUMPLIÓ</v>
      </c>
      <c r="P343" s="141">
        <f t="shared" si="10"/>
        <v>1</v>
      </c>
      <c r="Q343" s="209" t="s">
        <v>13</v>
      </c>
      <c r="R343" s="209" t="s">
        <v>33</v>
      </c>
      <c r="S343" s="209" t="s">
        <v>334</v>
      </c>
      <c r="T343" s="101" t="s">
        <v>1973</v>
      </c>
      <c r="U343" s="212" t="s">
        <v>1248</v>
      </c>
      <c r="V343" s="210"/>
      <c r="W343" s="210"/>
      <c r="X343" s="210">
        <f>MONTH(Tabla1[[#This Row],[fecha
de
pedido]])</f>
        <v>8</v>
      </c>
      <c r="Y343" s="210">
        <f>YEAR(Tabla1[[#This Row],[fecha
de
pedido]])</f>
        <v>2017</v>
      </c>
    </row>
    <row r="344" spans="1:25" ht="12.75" customHeight="1" x14ac:dyDescent="0.2">
      <c r="A344" s="208">
        <v>42972</v>
      </c>
      <c r="B344" s="118" t="s">
        <v>487</v>
      </c>
      <c r="C344" s="209" t="s">
        <v>33</v>
      </c>
      <c r="D344" s="210" t="s">
        <v>33</v>
      </c>
      <c r="E344" s="209" t="s">
        <v>11</v>
      </c>
      <c r="F344" s="210" t="s">
        <v>772</v>
      </c>
      <c r="G344" s="209" t="s">
        <v>1229</v>
      </c>
      <c r="H344" s="210">
        <v>3</v>
      </c>
      <c r="I344" s="210" t="s">
        <v>781</v>
      </c>
      <c r="J344" s="209" t="s">
        <v>771</v>
      </c>
      <c r="K344" s="210">
        <v>120</v>
      </c>
      <c r="L344" s="216">
        <f>Tabla1[[#This Row],[Costo Unitario]]*Tabla1[[#This Row],[cantidad]]</f>
        <v>360</v>
      </c>
      <c r="M344" s="211">
        <v>42975</v>
      </c>
      <c r="N344" s="211">
        <v>42976</v>
      </c>
      <c r="O344" s="211" t="str">
        <f>IF( Tabla1[[#This Row],[Fecha de entrega real]]="","NO CONCRETADO",IF(N344&lt;=M344,"CUMPLIÓ","NO CUMPLIÓ"))</f>
        <v>NO CUMPLIÓ</v>
      </c>
      <c r="P344" s="141">
        <f t="shared" si="10"/>
        <v>1</v>
      </c>
      <c r="Q344" s="209" t="s">
        <v>13</v>
      </c>
      <c r="R344" s="209" t="s">
        <v>33</v>
      </c>
      <c r="S344" s="209" t="s">
        <v>334</v>
      </c>
      <c r="T344" s="101" t="s">
        <v>1973</v>
      </c>
      <c r="U344" s="212" t="s">
        <v>1248</v>
      </c>
      <c r="V344" s="210"/>
      <c r="W344" s="210"/>
      <c r="X344" s="210">
        <f>MONTH(Tabla1[[#This Row],[fecha
de
pedido]])</f>
        <v>8</v>
      </c>
      <c r="Y344" s="210">
        <f>YEAR(Tabla1[[#This Row],[fecha
de
pedido]])</f>
        <v>2017</v>
      </c>
    </row>
    <row r="345" spans="1:25" ht="12.75" customHeight="1" x14ac:dyDescent="0.2">
      <c r="A345" s="208">
        <v>42972</v>
      </c>
      <c r="B345" s="118" t="s">
        <v>487</v>
      </c>
      <c r="C345" s="209" t="s">
        <v>33</v>
      </c>
      <c r="D345" s="210" t="s">
        <v>33</v>
      </c>
      <c r="E345" s="209" t="s">
        <v>11</v>
      </c>
      <c r="F345" s="210" t="s">
        <v>772</v>
      </c>
      <c r="G345" s="209" t="s">
        <v>1249</v>
      </c>
      <c r="H345" s="210">
        <v>1</v>
      </c>
      <c r="I345" s="210" t="s">
        <v>799</v>
      </c>
      <c r="J345" s="209" t="s">
        <v>771</v>
      </c>
      <c r="K345" s="210">
        <v>30</v>
      </c>
      <c r="L345" s="216">
        <f>Tabla1[[#This Row],[Costo Unitario]]*Tabla1[[#This Row],[cantidad]]</f>
        <v>30</v>
      </c>
      <c r="M345" s="211">
        <v>42975</v>
      </c>
      <c r="N345" s="211">
        <v>42976</v>
      </c>
      <c r="O345" s="211" t="str">
        <f>IF( Tabla1[[#This Row],[Fecha de entrega real]]="","NO CONCRETADO",IF(N345&lt;=M345,"CUMPLIÓ","NO CUMPLIÓ"))</f>
        <v>NO CUMPLIÓ</v>
      </c>
      <c r="P345" s="141">
        <f t="shared" si="10"/>
        <v>1</v>
      </c>
      <c r="Q345" s="209" t="s">
        <v>13</v>
      </c>
      <c r="R345" s="209" t="s">
        <v>33</v>
      </c>
      <c r="S345" s="209" t="s">
        <v>1250</v>
      </c>
      <c r="T345" s="101" t="s">
        <v>1973</v>
      </c>
      <c r="U345" s="212" t="s">
        <v>1248</v>
      </c>
      <c r="V345" s="210"/>
      <c r="W345" s="210"/>
      <c r="X345" s="210">
        <f>MONTH(Tabla1[[#This Row],[fecha
de
pedido]])</f>
        <v>8</v>
      </c>
      <c r="Y345" s="210">
        <f>YEAR(Tabla1[[#This Row],[fecha
de
pedido]])</f>
        <v>2017</v>
      </c>
    </row>
    <row r="346" spans="1:25" ht="12.75" customHeight="1" x14ac:dyDescent="0.2">
      <c r="A346" s="208">
        <v>42972</v>
      </c>
      <c r="B346" s="118" t="s">
        <v>487</v>
      </c>
      <c r="C346" s="209" t="s">
        <v>33</v>
      </c>
      <c r="D346" s="210" t="s">
        <v>33</v>
      </c>
      <c r="E346" s="209" t="s">
        <v>11</v>
      </c>
      <c r="F346" s="210" t="s">
        <v>772</v>
      </c>
      <c r="G346" s="209" t="s">
        <v>204</v>
      </c>
      <c r="H346" s="210">
        <v>100</v>
      </c>
      <c r="I346" s="210" t="s">
        <v>779</v>
      </c>
      <c r="J346" s="209" t="s">
        <v>12</v>
      </c>
      <c r="K346" s="210">
        <v>5</v>
      </c>
      <c r="L346" s="216">
        <f>Tabla1[[#This Row],[Costo Unitario]]*Tabla1[[#This Row],[cantidad]]</f>
        <v>500</v>
      </c>
      <c r="M346" s="211">
        <v>42972</v>
      </c>
      <c r="N346" s="211">
        <v>42972</v>
      </c>
      <c r="O346" s="211" t="str">
        <f>IF( Tabla1[[#This Row],[Fecha de entrega real]]="","NO CONCRETADO",IF(N346&lt;=M346,"CUMPLIÓ","NO CUMPLIÓ"))</f>
        <v>CUMPLIÓ</v>
      </c>
      <c r="P346" s="141">
        <f t="shared" si="10"/>
        <v>0</v>
      </c>
      <c r="Q346" s="209" t="s">
        <v>13</v>
      </c>
      <c r="R346" s="209" t="s">
        <v>33</v>
      </c>
      <c r="S346" s="209" t="s">
        <v>1240</v>
      </c>
      <c r="T346" s="101" t="s">
        <v>1973</v>
      </c>
      <c r="U346" s="212" t="s">
        <v>1241</v>
      </c>
      <c r="V346" s="210"/>
      <c r="W346" s="210"/>
      <c r="X346" s="210">
        <f>MONTH(Tabla1[[#This Row],[fecha
de
pedido]])</f>
        <v>8</v>
      </c>
      <c r="Y346" s="210">
        <f>YEAR(Tabla1[[#This Row],[fecha
de
pedido]])</f>
        <v>2017</v>
      </c>
    </row>
    <row r="347" spans="1:25" ht="25.5" customHeight="1" x14ac:dyDescent="0.2">
      <c r="A347" s="208">
        <v>42975</v>
      </c>
      <c r="B347" s="118" t="s">
        <v>487</v>
      </c>
      <c r="C347" s="209" t="s">
        <v>1256</v>
      </c>
      <c r="D347" s="210" t="s">
        <v>30</v>
      </c>
      <c r="E347" s="209" t="s">
        <v>984</v>
      </c>
      <c r="F347" s="210" t="s">
        <v>1016</v>
      </c>
      <c r="G347" s="209" t="s">
        <v>1257</v>
      </c>
      <c r="H347" s="210">
        <v>18</v>
      </c>
      <c r="I347" s="210" t="s">
        <v>1260</v>
      </c>
      <c r="J347" s="209" t="s">
        <v>81</v>
      </c>
      <c r="K347" s="210">
        <v>181.41</v>
      </c>
      <c r="L347" s="216">
        <f>Tabla1[[#This Row],[Costo Unitario]]*Tabla1[[#This Row],[cantidad]]</f>
        <v>3265.38</v>
      </c>
      <c r="M347" s="211">
        <v>42977</v>
      </c>
      <c r="N347" s="211">
        <v>42977</v>
      </c>
      <c r="O347" s="211" t="str">
        <f>IF( Tabla1[[#This Row],[Fecha de entrega real]]="","NO CONCRETADO",IF(N347&lt;=M347,"CUMPLIÓ","NO CUMPLIÓ"))</f>
        <v>CUMPLIÓ</v>
      </c>
      <c r="P347" s="141">
        <f t="shared" si="10"/>
        <v>0</v>
      </c>
      <c r="Q347" s="209" t="s">
        <v>13</v>
      </c>
      <c r="R347" s="209" t="s">
        <v>775</v>
      </c>
      <c r="S347" s="209" t="s">
        <v>334</v>
      </c>
      <c r="T347" s="212" t="s">
        <v>1261</v>
      </c>
      <c r="U347" s="212" t="s">
        <v>1262</v>
      </c>
      <c r="V347" s="210"/>
      <c r="W347" s="210"/>
      <c r="X347" s="210">
        <f>MONTH(Tabla1[[#This Row],[fecha
de
pedido]])</f>
        <v>8</v>
      </c>
      <c r="Y347" s="210">
        <f>YEAR(Tabla1[[#This Row],[fecha
de
pedido]])</f>
        <v>2017</v>
      </c>
    </row>
    <row r="348" spans="1:25" ht="76.5" customHeight="1" x14ac:dyDescent="0.2">
      <c r="A348" s="152">
        <v>42978</v>
      </c>
      <c r="B348" s="118" t="s">
        <v>487</v>
      </c>
      <c r="C348" s="4" t="s">
        <v>849</v>
      </c>
      <c r="D348" s="1" t="s">
        <v>809</v>
      </c>
      <c r="E348" s="4" t="s">
        <v>11</v>
      </c>
      <c r="F348" s="1" t="s">
        <v>830</v>
      </c>
      <c r="G348" s="4" t="s">
        <v>1303</v>
      </c>
      <c r="H348" s="1">
        <v>13</v>
      </c>
      <c r="I348" s="1" t="s">
        <v>800</v>
      </c>
      <c r="J348" s="4" t="s">
        <v>1124</v>
      </c>
      <c r="K348" s="1">
        <v>256</v>
      </c>
      <c r="L348" s="216">
        <f>Tabla1[[#This Row],[Costo Unitario]]*Tabla1[[#This Row],[cantidad]]</f>
        <v>3328</v>
      </c>
      <c r="M348" s="88">
        <v>42967</v>
      </c>
      <c r="N348" s="88">
        <v>42967</v>
      </c>
      <c r="O348" s="88" t="str">
        <f>IF( Tabla1[[#This Row],[Fecha de entrega real]]="","NO CONCRETADO",IF(N348&lt;=M348,"CUMPLIÓ","NO CUMPLIÓ"))</f>
        <v>CUMPLIÓ</v>
      </c>
      <c r="P348" s="141">
        <f t="shared" si="10"/>
        <v>0</v>
      </c>
      <c r="Q348" s="4" t="s">
        <v>1306</v>
      </c>
      <c r="R348" s="4" t="s">
        <v>809</v>
      </c>
      <c r="S348" s="4" t="s">
        <v>334</v>
      </c>
      <c r="T348" s="107" t="s">
        <v>1973</v>
      </c>
      <c r="U348" s="107" t="s">
        <v>1305</v>
      </c>
      <c r="X348" s="1">
        <f>MONTH(Tabla1[[#This Row],[fecha
de
pedido]])</f>
        <v>8</v>
      </c>
      <c r="Y348" s="1">
        <f>YEAR(Tabla1[[#This Row],[fecha
de
pedido]])</f>
        <v>2017</v>
      </c>
    </row>
    <row r="349" spans="1:25" ht="25.5" customHeight="1" x14ac:dyDescent="0.2">
      <c r="A349" s="208">
        <v>42982</v>
      </c>
      <c r="B349" s="118" t="s">
        <v>487</v>
      </c>
      <c r="C349" s="209" t="s">
        <v>811</v>
      </c>
      <c r="D349" s="210" t="s">
        <v>33</v>
      </c>
      <c r="E349" s="209" t="s">
        <v>1273</v>
      </c>
      <c r="F349" s="210" t="s">
        <v>1016</v>
      </c>
      <c r="G349" s="209" t="s">
        <v>1253</v>
      </c>
      <c r="H349" s="210">
        <v>3</v>
      </c>
      <c r="I349" s="210" t="s">
        <v>1254</v>
      </c>
      <c r="J349" s="209" t="s">
        <v>81</v>
      </c>
      <c r="K349" s="210">
        <v>6437.08</v>
      </c>
      <c r="L349" s="210">
        <v>6437.08</v>
      </c>
      <c r="M349" s="211">
        <v>42984</v>
      </c>
      <c r="N349" s="211">
        <v>42984</v>
      </c>
      <c r="O349" s="211" t="str">
        <f>IF( Tabla1[[#This Row],[Fecha de entrega real]]="","NO CONCRETADO",IF(N349&lt;=M349,"CUMPLIÓ","NO CUMPLIÓ"))</f>
        <v>CUMPLIÓ</v>
      </c>
      <c r="P349" s="141">
        <f t="shared" si="10"/>
        <v>0</v>
      </c>
      <c r="Q349" s="209" t="s">
        <v>13</v>
      </c>
      <c r="R349" s="209" t="s">
        <v>1263</v>
      </c>
      <c r="S349" s="209" t="s">
        <v>1264</v>
      </c>
      <c r="T349" s="210" t="s">
        <v>1265</v>
      </c>
      <c r="U349" s="107" t="s">
        <v>1425</v>
      </c>
      <c r="V349" s="210"/>
      <c r="W349" s="210"/>
      <c r="X349" s="210">
        <f>MONTH(Tabla1[[#This Row],[fecha
de
pedido]])</f>
        <v>9</v>
      </c>
      <c r="Y349" s="210">
        <f>YEAR(Tabla1[[#This Row],[fecha
de
pedido]])</f>
        <v>2017</v>
      </c>
    </row>
    <row r="350" spans="1:25" ht="25.5" customHeight="1" x14ac:dyDescent="0.2">
      <c r="A350" s="208">
        <v>42984</v>
      </c>
      <c r="B350" s="118" t="s">
        <v>487</v>
      </c>
      <c r="C350" s="209" t="s">
        <v>33</v>
      </c>
      <c r="D350" s="210" t="s">
        <v>1255</v>
      </c>
      <c r="E350" s="209" t="s">
        <v>888</v>
      </c>
      <c r="F350" s="210" t="s">
        <v>772</v>
      </c>
      <c r="G350" s="209" t="s">
        <v>204</v>
      </c>
      <c r="H350" s="210">
        <v>200</v>
      </c>
      <c r="I350" s="210" t="s">
        <v>779</v>
      </c>
      <c r="J350" s="209" t="s">
        <v>12</v>
      </c>
      <c r="K350" s="210">
        <v>5</v>
      </c>
      <c r="L350" s="216">
        <f>Tabla1[[#This Row],[Costo Unitario]]*Tabla1[[#This Row],[cantidad]]</f>
        <v>1000</v>
      </c>
      <c r="M350" s="211">
        <v>42986</v>
      </c>
      <c r="N350" s="211">
        <v>42986</v>
      </c>
      <c r="O350" s="211" t="str">
        <f>IF( Tabla1[[#This Row],[Fecha de entrega real]]="","NO CONCRETADO",IF(N350&lt;=M350,"CUMPLIÓ","NO CUMPLIÓ"))</f>
        <v>CUMPLIÓ</v>
      </c>
      <c r="P350" s="141">
        <f t="shared" si="10"/>
        <v>0</v>
      </c>
      <c r="Q350" s="209" t="s">
        <v>13</v>
      </c>
      <c r="R350" s="209" t="s">
        <v>33</v>
      </c>
      <c r="S350" s="209" t="s">
        <v>1274</v>
      </c>
      <c r="T350" s="1" t="s">
        <v>1973</v>
      </c>
      <c r="U350" s="212" t="s">
        <v>1275</v>
      </c>
      <c r="V350" s="210"/>
      <c r="W350" s="210"/>
      <c r="X350" s="210">
        <f>MONTH(Tabla1[[#This Row],[fecha
de
pedido]])</f>
        <v>9</v>
      </c>
      <c r="Y350" s="210">
        <f>YEAR(Tabla1[[#This Row],[fecha
de
pedido]])</f>
        <v>2017</v>
      </c>
    </row>
    <row r="351" spans="1:25" ht="25.5" customHeight="1" x14ac:dyDescent="0.2">
      <c r="A351" s="208">
        <v>42985</v>
      </c>
      <c r="B351" s="118" t="s">
        <v>487</v>
      </c>
      <c r="C351" s="209" t="s">
        <v>33</v>
      </c>
      <c r="D351" s="210" t="s">
        <v>1255</v>
      </c>
      <c r="E351" s="209" t="s">
        <v>11</v>
      </c>
      <c r="F351" s="210" t="s">
        <v>1199</v>
      </c>
      <c r="G351" s="209" t="s">
        <v>1276</v>
      </c>
      <c r="H351" s="210">
        <v>24</v>
      </c>
      <c r="I351" s="210" t="s">
        <v>779</v>
      </c>
      <c r="J351" s="209" t="s">
        <v>1280</v>
      </c>
      <c r="K351" s="210">
        <v>195.53</v>
      </c>
      <c r="L351" s="216">
        <f>Tabla1[[#This Row],[Costo Unitario]]*Tabla1[[#This Row],[cantidad]]</f>
        <v>4692.72</v>
      </c>
      <c r="M351" s="211">
        <v>43007</v>
      </c>
      <c r="N351" s="211">
        <v>42993</v>
      </c>
      <c r="O351" s="211" t="str">
        <f>IF( Tabla1[[#This Row],[Fecha de entrega real]]="","NO CONCRETADO",IF(N351&lt;=M351,"CUMPLIÓ","NO CUMPLIÓ"))</f>
        <v>CUMPLIÓ</v>
      </c>
      <c r="P351" s="141">
        <f t="shared" si="10"/>
        <v>-14</v>
      </c>
      <c r="Q351" s="209" t="s">
        <v>13</v>
      </c>
      <c r="R351" s="209" t="s">
        <v>33</v>
      </c>
      <c r="S351" s="209" t="s">
        <v>244</v>
      </c>
      <c r="T351" s="210" t="s">
        <v>1283</v>
      </c>
      <c r="U351" s="212" t="s">
        <v>1281</v>
      </c>
      <c r="V351" s="210"/>
      <c r="W351" s="210"/>
      <c r="X351" s="210">
        <f>MONTH(Tabla1[[#This Row],[fecha
de
pedido]])</f>
        <v>9</v>
      </c>
      <c r="Y351" s="210">
        <f>YEAR(Tabla1[[#This Row],[fecha
de
pedido]])</f>
        <v>2017</v>
      </c>
    </row>
    <row r="352" spans="1:25" ht="25.5" customHeight="1" x14ac:dyDescent="0.2">
      <c r="A352" s="208">
        <v>42985</v>
      </c>
      <c r="B352" s="118" t="s">
        <v>487</v>
      </c>
      <c r="C352" s="209" t="s">
        <v>33</v>
      </c>
      <c r="D352" s="210" t="s">
        <v>247</v>
      </c>
      <c r="E352" s="209" t="s">
        <v>11</v>
      </c>
      <c r="F352" s="210" t="s">
        <v>1199</v>
      </c>
      <c r="G352" s="209" t="s">
        <v>1277</v>
      </c>
      <c r="H352" s="210">
        <v>30</v>
      </c>
      <c r="I352" s="210" t="s">
        <v>779</v>
      </c>
      <c r="J352" s="209" t="s">
        <v>1280</v>
      </c>
      <c r="K352" s="210">
        <v>177.84</v>
      </c>
      <c r="L352" s="216">
        <f>Tabla1[[#This Row],[Costo Unitario]]*Tabla1[[#This Row],[cantidad]]</f>
        <v>5335.2</v>
      </c>
      <c r="M352" s="211">
        <v>43007</v>
      </c>
      <c r="N352" s="211">
        <v>42993</v>
      </c>
      <c r="O352" s="211" t="str">
        <f>IF( Tabla1[[#This Row],[Fecha de entrega real]]="","NO CONCRETADO",IF(N352&lt;=M352,"CUMPLIÓ","NO CUMPLIÓ"))</f>
        <v>CUMPLIÓ</v>
      </c>
      <c r="P352" s="141">
        <f t="shared" si="10"/>
        <v>-14</v>
      </c>
      <c r="Q352" s="209" t="s">
        <v>13</v>
      </c>
      <c r="R352" s="209" t="s">
        <v>33</v>
      </c>
      <c r="S352" s="209" t="s">
        <v>244</v>
      </c>
      <c r="T352" s="210" t="s">
        <v>1283</v>
      </c>
      <c r="U352" s="212" t="s">
        <v>1281</v>
      </c>
      <c r="V352" s="210"/>
      <c r="W352" s="210"/>
      <c r="X352" s="210">
        <f>MONTH(Tabla1[[#This Row],[fecha
de
pedido]])</f>
        <v>9</v>
      </c>
      <c r="Y352" s="210">
        <f>YEAR(Tabla1[[#This Row],[fecha
de
pedido]])</f>
        <v>2017</v>
      </c>
    </row>
    <row r="353" spans="1:25" ht="25.5" customHeight="1" x14ac:dyDescent="0.2">
      <c r="A353" s="208">
        <v>42985</v>
      </c>
      <c r="B353" s="118" t="s">
        <v>487</v>
      </c>
      <c r="C353" s="209" t="s">
        <v>33</v>
      </c>
      <c r="D353" s="210" t="s">
        <v>1255</v>
      </c>
      <c r="E353" s="209" t="s">
        <v>11</v>
      </c>
      <c r="F353" s="210" t="s">
        <v>1199</v>
      </c>
      <c r="G353" s="209" t="s">
        <v>1278</v>
      </c>
      <c r="H353" s="210">
        <v>18</v>
      </c>
      <c r="I353" s="210" t="s">
        <v>779</v>
      </c>
      <c r="J353" s="209" t="s">
        <v>1280</v>
      </c>
      <c r="K353" s="210">
        <v>167.43</v>
      </c>
      <c r="L353" s="216">
        <f>Tabla1[[#This Row],[Costo Unitario]]*Tabla1[[#This Row],[cantidad]]</f>
        <v>3013.7400000000002</v>
      </c>
      <c r="M353" s="211">
        <v>43007</v>
      </c>
      <c r="N353" s="211">
        <v>42993</v>
      </c>
      <c r="O353" s="211" t="str">
        <f>IF( Tabla1[[#This Row],[Fecha de entrega real]]="","NO CONCRETADO",IF(N353&lt;=M353,"CUMPLIÓ","NO CUMPLIÓ"))</f>
        <v>CUMPLIÓ</v>
      </c>
      <c r="P353" s="141">
        <f t="shared" si="10"/>
        <v>-14</v>
      </c>
      <c r="Q353" s="209" t="s">
        <v>13</v>
      </c>
      <c r="R353" s="209" t="s">
        <v>33</v>
      </c>
      <c r="S353" s="209" t="s">
        <v>244</v>
      </c>
      <c r="T353" s="210" t="s">
        <v>1283</v>
      </c>
      <c r="U353" s="212" t="s">
        <v>1281</v>
      </c>
      <c r="V353" s="210"/>
      <c r="W353" s="210"/>
      <c r="X353" s="210">
        <f>MONTH(Tabla1[[#This Row],[fecha
de
pedido]])</f>
        <v>9</v>
      </c>
      <c r="Y353" s="210">
        <f>YEAR(Tabla1[[#This Row],[fecha
de
pedido]])</f>
        <v>2017</v>
      </c>
    </row>
    <row r="354" spans="1:25" ht="25.5" customHeight="1" x14ac:dyDescent="0.2">
      <c r="A354" s="208">
        <v>42985</v>
      </c>
      <c r="B354" s="118" t="s">
        <v>487</v>
      </c>
      <c r="C354" s="209" t="s">
        <v>1280</v>
      </c>
      <c r="D354" s="210" t="s">
        <v>487</v>
      </c>
      <c r="E354" s="209" t="s">
        <v>487</v>
      </c>
      <c r="F354" s="210" t="s">
        <v>834</v>
      </c>
      <c r="G354" s="209" t="s">
        <v>1003</v>
      </c>
      <c r="H354" s="210">
        <v>1</v>
      </c>
      <c r="I354" s="210" t="s">
        <v>830</v>
      </c>
      <c r="J354" s="209" t="s">
        <v>1004</v>
      </c>
      <c r="K354" s="210">
        <v>913.57</v>
      </c>
      <c r="L354" s="216">
        <f>Tabla1[[#This Row],[Costo Unitario]]*Tabla1[[#This Row],[cantidad]]</f>
        <v>913.57</v>
      </c>
      <c r="M354" s="211">
        <v>42993</v>
      </c>
      <c r="N354" s="211">
        <v>42993</v>
      </c>
      <c r="O354" s="211" t="str">
        <f>IF( Tabla1[[#This Row],[Fecha de entrega real]]="","NO CONCRETADO",IF(N354&lt;=M354,"CUMPLIÓ","NO CUMPLIÓ"))</f>
        <v>CUMPLIÓ</v>
      </c>
      <c r="P354" s="141">
        <f t="shared" si="10"/>
        <v>0</v>
      </c>
      <c r="Q354" s="209" t="s">
        <v>13</v>
      </c>
      <c r="R354" s="209" t="s">
        <v>33</v>
      </c>
      <c r="S354" s="209" t="s">
        <v>244</v>
      </c>
      <c r="T354" s="1" t="s">
        <v>1973</v>
      </c>
      <c r="U354" s="212" t="s">
        <v>1290</v>
      </c>
      <c r="V354" s="210"/>
      <c r="W354" s="210"/>
      <c r="X354" s="210">
        <f>MONTH(Tabla1[[#This Row],[fecha
de
pedido]])</f>
        <v>9</v>
      </c>
      <c r="Y354" s="210">
        <f>YEAR(Tabla1[[#This Row],[fecha
de
pedido]])</f>
        <v>2017</v>
      </c>
    </row>
    <row r="355" spans="1:25" ht="25.5" customHeight="1" x14ac:dyDescent="0.2">
      <c r="A355" s="208">
        <v>42985</v>
      </c>
      <c r="B355" s="118" t="s">
        <v>487</v>
      </c>
      <c r="C355" s="209" t="s">
        <v>33</v>
      </c>
      <c r="D355" s="210" t="s">
        <v>1255</v>
      </c>
      <c r="E355" s="209" t="s">
        <v>11</v>
      </c>
      <c r="F355" s="210" t="s">
        <v>1199</v>
      </c>
      <c r="G355" s="209" t="s">
        <v>1279</v>
      </c>
      <c r="H355" s="210">
        <v>12</v>
      </c>
      <c r="I355" s="210" t="s">
        <v>779</v>
      </c>
      <c r="J355" s="209" t="s">
        <v>1280</v>
      </c>
      <c r="K355" s="210">
        <v>166.56</v>
      </c>
      <c r="L355" s="216">
        <f>Tabla1[[#This Row],[Costo Unitario]]*Tabla1[[#This Row],[cantidad]]</f>
        <v>1998.72</v>
      </c>
      <c r="M355" s="211">
        <v>43007</v>
      </c>
      <c r="N355" s="211">
        <v>42993</v>
      </c>
      <c r="O355" s="211" t="str">
        <f>IF( Tabla1[[#This Row],[Fecha de entrega real]]="","NO CONCRETADO",IF(N355&lt;=M355,"CUMPLIÓ","NO CUMPLIÓ"))</f>
        <v>CUMPLIÓ</v>
      </c>
      <c r="P355" s="141">
        <f t="shared" si="10"/>
        <v>-14</v>
      </c>
      <c r="Q355" s="209" t="s">
        <v>13</v>
      </c>
      <c r="R355" s="209" t="s">
        <v>33</v>
      </c>
      <c r="S355" s="209" t="s">
        <v>244</v>
      </c>
      <c r="T355" s="210" t="s">
        <v>1284</v>
      </c>
      <c r="U355" s="212" t="s">
        <v>1282</v>
      </c>
      <c r="V355" s="210"/>
      <c r="W355" s="210"/>
      <c r="X355" s="210">
        <f>MONTH(Tabla1[[#This Row],[fecha
de
pedido]])</f>
        <v>9</v>
      </c>
      <c r="Y355" s="210">
        <f>YEAR(Tabla1[[#This Row],[fecha
de
pedido]])</f>
        <v>2017</v>
      </c>
    </row>
    <row r="356" spans="1:25" ht="25.5" customHeight="1" x14ac:dyDescent="0.2">
      <c r="A356" s="208">
        <v>42985</v>
      </c>
      <c r="B356" s="118" t="s">
        <v>487</v>
      </c>
      <c r="C356" s="209" t="s">
        <v>1280</v>
      </c>
      <c r="D356" s="210" t="s">
        <v>487</v>
      </c>
      <c r="E356" s="209" t="s">
        <v>487</v>
      </c>
      <c r="F356" s="210" t="s">
        <v>834</v>
      </c>
      <c r="G356" s="209" t="s">
        <v>1003</v>
      </c>
      <c r="H356" s="210">
        <v>1</v>
      </c>
      <c r="I356" s="210" t="s">
        <v>830</v>
      </c>
      <c r="J356" s="209" t="s">
        <v>1004</v>
      </c>
      <c r="K356" s="210">
        <v>331.01</v>
      </c>
      <c r="L356" s="216">
        <f>Tabla1[[#This Row],[Costo Unitario]]*Tabla1[[#This Row],[cantidad]]</f>
        <v>331.01</v>
      </c>
      <c r="M356" s="211">
        <v>42993</v>
      </c>
      <c r="N356" s="211">
        <v>42994</v>
      </c>
      <c r="O356" s="211" t="str">
        <f>IF( Tabla1[[#This Row],[Fecha de entrega real]]="","NO CONCRETADO",IF(N356&lt;=M356,"CUMPLIÓ","NO CUMPLIÓ"))</f>
        <v>NO CUMPLIÓ</v>
      </c>
      <c r="P356" s="141">
        <f t="shared" si="10"/>
        <v>1</v>
      </c>
      <c r="Q356" s="209" t="s">
        <v>13</v>
      </c>
      <c r="R356" s="209" t="s">
        <v>33</v>
      </c>
      <c r="S356" s="209" t="s">
        <v>334</v>
      </c>
      <c r="T356" s="1" t="s">
        <v>1973</v>
      </c>
      <c r="U356" s="212" t="s">
        <v>1289</v>
      </c>
      <c r="V356" s="210"/>
      <c r="W356" s="210"/>
      <c r="X356" s="210">
        <f>MONTH(Tabla1[[#This Row],[fecha
de
pedido]])</f>
        <v>9</v>
      </c>
      <c r="Y356" s="210">
        <f>YEAR(Tabla1[[#This Row],[fecha
de
pedido]])</f>
        <v>2017</v>
      </c>
    </row>
    <row r="357" spans="1:25" ht="38.25" customHeight="1" x14ac:dyDescent="0.2">
      <c r="A357" s="208">
        <v>42990</v>
      </c>
      <c r="B357" s="118" t="s">
        <v>487</v>
      </c>
      <c r="C357" s="209" t="s">
        <v>775</v>
      </c>
      <c r="D357" s="210" t="s">
        <v>775</v>
      </c>
      <c r="E357" s="209" t="s">
        <v>984</v>
      </c>
      <c r="F357" s="210" t="s">
        <v>772</v>
      </c>
      <c r="G357" s="209" t="s">
        <v>1046</v>
      </c>
      <c r="H357" s="210">
        <v>150</v>
      </c>
      <c r="I357" s="210" t="s">
        <v>779</v>
      </c>
      <c r="J357" s="209" t="s">
        <v>12</v>
      </c>
      <c r="K357" s="210">
        <v>5</v>
      </c>
      <c r="L357" s="216">
        <f>Tabla1[[#This Row],[Costo Unitario]]*Tabla1[[#This Row],[cantidad]]</f>
        <v>750</v>
      </c>
      <c r="M357" s="211">
        <v>42993</v>
      </c>
      <c r="N357" s="211">
        <v>42993</v>
      </c>
      <c r="O357" s="211" t="str">
        <f>IF( Tabla1[[#This Row],[Fecha de entrega real]]="","NO CONCRETADO",IF(N357&lt;=M357,"CUMPLIÓ","NO CUMPLIÓ"))</f>
        <v>CUMPLIÓ</v>
      </c>
      <c r="P357" s="141">
        <f t="shared" si="10"/>
        <v>0</v>
      </c>
      <c r="Q357" s="209" t="s">
        <v>13</v>
      </c>
      <c r="R357" s="209" t="s">
        <v>775</v>
      </c>
      <c r="S357" s="209" t="s">
        <v>1292</v>
      </c>
      <c r="T357" s="1" t="s">
        <v>1973</v>
      </c>
      <c r="U357" s="212"/>
      <c r="V357" s="210"/>
      <c r="W357" s="210"/>
      <c r="X357" s="210">
        <f>MONTH(Tabla1[[#This Row],[fecha
de
pedido]])</f>
        <v>9</v>
      </c>
      <c r="Y357" s="210">
        <f>YEAR(Tabla1[[#This Row],[fecha
de
pedido]])</f>
        <v>2017</v>
      </c>
    </row>
    <row r="358" spans="1:25" ht="12.75" customHeight="1" x14ac:dyDescent="0.2">
      <c r="A358" s="240">
        <v>42998</v>
      </c>
      <c r="B358" s="118" t="s">
        <v>487</v>
      </c>
      <c r="C358" s="241" t="s">
        <v>33</v>
      </c>
      <c r="D358" s="242" t="s">
        <v>33</v>
      </c>
      <c r="E358" s="241" t="s">
        <v>11</v>
      </c>
      <c r="F358" s="242" t="s">
        <v>772</v>
      </c>
      <c r="G358" s="241" t="s">
        <v>1461</v>
      </c>
      <c r="H358" s="242">
        <v>10</v>
      </c>
      <c r="I358" s="242" t="s">
        <v>784</v>
      </c>
      <c r="J358" s="241" t="s">
        <v>82</v>
      </c>
      <c r="K358" s="242">
        <v>159.72</v>
      </c>
      <c r="L358" s="216">
        <f>Tabla1[[#This Row],[Costo Unitario]]*Tabla1[[#This Row],[cantidad]]</f>
        <v>1597.2</v>
      </c>
      <c r="M358" s="243">
        <v>43018</v>
      </c>
      <c r="N358" s="243">
        <v>43075</v>
      </c>
      <c r="O358" s="243" t="str">
        <f>IF( Tabla1[[#This Row],[Fecha de entrega real]]="","NO CONCRETADO",IF(N358&lt;=M358,"CUMPLIÓ","NO CUMPLIÓ"))</f>
        <v>NO CUMPLIÓ</v>
      </c>
      <c r="P358" s="141">
        <f t="shared" si="10"/>
        <v>57</v>
      </c>
      <c r="Q358" s="209" t="s">
        <v>13</v>
      </c>
      <c r="R358" s="4" t="s">
        <v>33</v>
      </c>
      <c r="S358" s="241" t="s">
        <v>1462</v>
      </c>
      <c r="T358" s="242" t="s">
        <v>1463</v>
      </c>
      <c r="U358" s="244" t="s">
        <v>1464</v>
      </c>
      <c r="V358" s="242"/>
      <c r="W358" s="242"/>
      <c r="X358" s="242">
        <f>MONTH(Tabla1[[#This Row],[fecha
de
pedido]])</f>
        <v>9</v>
      </c>
      <c r="Y358" s="242">
        <f>YEAR(Tabla1[[#This Row],[fecha
de
pedido]])</f>
        <v>2017</v>
      </c>
    </row>
    <row r="359" spans="1:25" ht="25.5" customHeight="1" x14ac:dyDescent="0.2">
      <c r="A359" s="208">
        <v>43000</v>
      </c>
      <c r="B359" s="118" t="s">
        <v>487</v>
      </c>
      <c r="C359" s="209" t="s">
        <v>33</v>
      </c>
      <c r="D359" s="210" t="s">
        <v>33</v>
      </c>
      <c r="E359" s="209" t="s">
        <v>984</v>
      </c>
      <c r="F359" s="210" t="s">
        <v>772</v>
      </c>
      <c r="G359" s="209" t="s">
        <v>204</v>
      </c>
      <c r="H359" s="210">
        <v>100</v>
      </c>
      <c r="I359" s="210" t="s">
        <v>779</v>
      </c>
      <c r="J359" s="209" t="s">
        <v>12</v>
      </c>
      <c r="K359" s="210">
        <v>5</v>
      </c>
      <c r="L359" s="216">
        <f>Tabla1[[#This Row],[Costo Unitario]]*Tabla1[[#This Row],[cantidad]]</f>
        <v>500</v>
      </c>
      <c r="M359" s="211">
        <v>43000</v>
      </c>
      <c r="N359" s="211">
        <v>43000</v>
      </c>
      <c r="O359" s="211" t="str">
        <f>IF( Tabla1[[#This Row],[Fecha de entrega real]]="","NO CONCRETADO",IF(N359&lt;=M359,"CUMPLIÓ","NO CUMPLIÓ"))</f>
        <v>CUMPLIÓ</v>
      </c>
      <c r="P359" s="141">
        <f t="shared" si="10"/>
        <v>0</v>
      </c>
      <c r="Q359" s="209" t="s">
        <v>13</v>
      </c>
      <c r="R359" s="4" t="s">
        <v>1980</v>
      </c>
      <c r="S359" s="4" t="s">
        <v>1979</v>
      </c>
      <c r="T359" s="1" t="s">
        <v>1973</v>
      </c>
      <c r="U359" s="212" t="s">
        <v>1291</v>
      </c>
      <c r="V359" s="210"/>
      <c r="W359" s="210"/>
      <c r="X359" s="210">
        <f>MONTH(Tabla1[[#This Row],[fecha
de
pedido]])</f>
        <v>9</v>
      </c>
      <c r="Y359" s="210">
        <f>YEAR(Tabla1[[#This Row],[fecha
de
pedido]])</f>
        <v>2017</v>
      </c>
    </row>
    <row r="360" spans="1:25" ht="20.25" customHeight="1" x14ac:dyDescent="0.2">
      <c r="A360" s="208">
        <v>43001</v>
      </c>
      <c r="B360" s="118" t="s">
        <v>487</v>
      </c>
      <c r="C360" s="209" t="s">
        <v>33</v>
      </c>
      <c r="D360" s="210" t="s">
        <v>33</v>
      </c>
      <c r="E360" s="4" t="s">
        <v>11</v>
      </c>
      <c r="F360" s="1" t="s">
        <v>1199</v>
      </c>
      <c r="G360" s="4" t="s">
        <v>1297</v>
      </c>
      <c r="H360" s="1">
        <v>1</v>
      </c>
      <c r="I360" s="1" t="s">
        <v>1298</v>
      </c>
      <c r="J360" s="4" t="s">
        <v>77</v>
      </c>
      <c r="K360" s="88">
        <v>6490.44</v>
      </c>
      <c r="L360" s="232">
        <v>6490.44</v>
      </c>
      <c r="M360" s="88">
        <v>43012</v>
      </c>
      <c r="N360" s="88">
        <v>43012</v>
      </c>
      <c r="O360" s="88" t="str">
        <f>IF( Tabla1[[#This Row],[Fecha de entrega real]]="","NO CONCRETADO",IF(N360&lt;=M360,"CUMPLIÓ","NO CUMPLIÓ"))</f>
        <v>CUMPLIÓ</v>
      </c>
      <c r="P360" s="141">
        <f t="shared" si="10"/>
        <v>0</v>
      </c>
      <c r="Q360" s="209" t="s">
        <v>13</v>
      </c>
      <c r="R360" s="4" t="s">
        <v>1980</v>
      </c>
      <c r="S360" s="4" t="s">
        <v>334</v>
      </c>
      <c r="T360" s="1" t="s">
        <v>1321</v>
      </c>
      <c r="U360" s="107" t="s">
        <v>1322</v>
      </c>
      <c r="X360" s="1">
        <f>MONTH(Tabla1[[#This Row],[fecha
de
pedido]])</f>
        <v>9</v>
      </c>
      <c r="Y360" s="1">
        <f>YEAR(Tabla1[[#This Row],[fecha
de
pedido]])</f>
        <v>2017</v>
      </c>
    </row>
    <row r="361" spans="1:25" ht="25.5" customHeight="1" x14ac:dyDescent="0.2">
      <c r="A361" s="208">
        <v>43005</v>
      </c>
      <c r="B361" s="118" t="s">
        <v>487</v>
      </c>
      <c r="C361" s="209" t="s">
        <v>1293</v>
      </c>
      <c r="D361" s="210" t="s">
        <v>33</v>
      </c>
      <c r="E361" s="209" t="s">
        <v>11</v>
      </c>
      <c r="F361" s="210" t="s">
        <v>1294</v>
      </c>
      <c r="G361" s="209" t="s">
        <v>1295</v>
      </c>
      <c r="H361" s="210">
        <v>23</v>
      </c>
      <c r="I361" s="210" t="s">
        <v>784</v>
      </c>
      <c r="J361" s="209" t="s">
        <v>1296</v>
      </c>
      <c r="K361" s="210">
        <v>8644</v>
      </c>
      <c r="L361" s="231">
        <v>8644</v>
      </c>
      <c r="M361" s="211">
        <v>43034</v>
      </c>
      <c r="N361" s="211">
        <v>43073</v>
      </c>
      <c r="O361" s="211" t="str">
        <f>IF( Tabla1[[#This Row],[Fecha de entrega real]]="","NO CONCRETADO",IF(N361&lt;=M361,"CUMPLIÓ","NO CUMPLIÓ"))</f>
        <v>NO CUMPLIÓ</v>
      </c>
      <c r="P361" s="141">
        <f t="shared" si="10"/>
        <v>39</v>
      </c>
      <c r="Q361" s="4" t="s">
        <v>1495</v>
      </c>
      <c r="R361" s="4" t="s">
        <v>33</v>
      </c>
      <c r="S361" s="4" t="s">
        <v>1496</v>
      </c>
      <c r="T361" s="1" t="s">
        <v>1973</v>
      </c>
      <c r="U361" s="212" t="s">
        <v>1497</v>
      </c>
      <c r="V361" s="210"/>
      <c r="W361" s="210"/>
      <c r="X361" s="210">
        <f>MONTH(Tabla1[[#This Row],[fecha
de
pedido]])</f>
        <v>9</v>
      </c>
      <c r="Y361" s="210">
        <f>YEAR(Tabla1[[#This Row],[fecha
de
pedido]])</f>
        <v>2017</v>
      </c>
    </row>
    <row r="362" spans="1:25" ht="38.25" customHeight="1" x14ac:dyDescent="0.2">
      <c r="A362" s="208">
        <v>43006</v>
      </c>
      <c r="B362" s="118" t="s">
        <v>487</v>
      </c>
      <c r="C362" s="4" t="s">
        <v>849</v>
      </c>
      <c r="D362" s="1" t="s">
        <v>809</v>
      </c>
      <c r="E362" s="4" t="s">
        <v>11</v>
      </c>
      <c r="F362" s="1" t="s">
        <v>830</v>
      </c>
      <c r="G362" s="4" t="s">
        <v>1303</v>
      </c>
      <c r="H362" s="1">
        <v>13</v>
      </c>
      <c r="I362" s="1" t="s">
        <v>1304</v>
      </c>
      <c r="J362" s="4" t="s">
        <v>1124</v>
      </c>
      <c r="K362" s="1">
        <v>256</v>
      </c>
      <c r="L362" s="231">
        <f>Tabla1[[#This Row],[Costo Unitario]]*Tabla1[[#This Row],[cantidad]]</f>
        <v>3328</v>
      </c>
      <c r="M362" s="88"/>
      <c r="N362" s="88"/>
      <c r="O362" s="211" t="str">
        <f>IF( Tabla1[[#This Row],[Fecha de entrega real]]="","NO CONCRETADO",IF(N362&lt;=M362,"CUMPLIÓ","NO CUMPLIÓ"))</f>
        <v>NO CONCRETADO</v>
      </c>
      <c r="P362" s="141" t="str">
        <f t="shared" si="10"/>
        <v>NO CONCRETADO</v>
      </c>
      <c r="Q362" s="4" t="s">
        <v>13</v>
      </c>
      <c r="R362" s="4" t="s">
        <v>809</v>
      </c>
      <c r="S362" s="4" t="s">
        <v>334</v>
      </c>
      <c r="T362" s="1" t="s">
        <v>1973</v>
      </c>
    </row>
    <row r="363" spans="1:25" ht="12.75" customHeight="1" x14ac:dyDescent="0.2">
      <c r="A363" s="208">
        <v>43006</v>
      </c>
      <c r="B363" s="118" t="s">
        <v>487</v>
      </c>
      <c r="C363" s="209" t="s">
        <v>775</v>
      </c>
      <c r="D363" s="210" t="s">
        <v>33</v>
      </c>
      <c r="E363" s="209" t="s">
        <v>11</v>
      </c>
      <c r="F363" s="210" t="s">
        <v>778</v>
      </c>
      <c r="G363" s="209" t="s">
        <v>776</v>
      </c>
      <c r="H363" s="210">
        <v>12</v>
      </c>
      <c r="I363" s="210" t="s">
        <v>779</v>
      </c>
      <c r="J363" s="209" t="s">
        <v>225</v>
      </c>
      <c r="K363" s="210">
        <v>260</v>
      </c>
      <c r="L363" s="216">
        <f>Tabla1[[#This Row],[Costo Unitario]]*Tabla1[[#This Row],[cantidad]]</f>
        <v>3120</v>
      </c>
      <c r="M363" s="211">
        <v>43025</v>
      </c>
      <c r="N363" s="211">
        <v>43019</v>
      </c>
      <c r="O363" s="211" t="str">
        <f>IF( Tabla1[[#This Row],[Fecha de entrega real]]="","NO CONCRETADO",IF(N363&lt;=M363,"CUMPLIÓ","NO CUMPLIÓ"))</f>
        <v>CUMPLIÓ</v>
      </c>
      <c r="P363" s="141">
        <f t="shared" si="10"/>
        <v>-6</v>
      </c>
      <c r="Q363" s="4" t="s">
        <v>13</v>
      </c>
      <c r="R363" s="4" t="s">
        <v>33</v>
      </c>
      <c r="S363" s="4" t="s">
        <v>334</v>
      </c>
      <c r="T363" s="1" t="s">
        <v>1317</v>
      </c>
      <c r="U363" s="107" t="s">
        <v>1318</v>
      </c>
      <c r="V363" s="210"/>
      <c r="W363" s="210"/>
      <c r="X363" s="210">
        <f>MONTH(Tabla1[[#This Row],[fecha
de
pedido]])</f>
        <v>9</v>
      </c>
      <c r="Y363" s="210">
        <f>YEAR(Tabla1[[#This Row],[fecha
de
pedido]])</f>
        <v>2017</v>
      </c>
    </row>
    <row r="364" spans="1:25" ht="25.5" customHeight="1" x14ac:dyDescent="0.2">
      <c r="A364" s="208">
        <v>43007</v>
      </c>
      <c r="B364" s="118" t="s">
        <v>487</v>
      </c>
      <c r="C364" s="209" t="s">
        <v>811</v>
      </c>
      <c r="D364" s="210" t="s">
        <v>33</v>
      </c>
      <c r="E364" s="209" t="s">
        <v>984</v>
      </c>
      <c r="F364" s="210" t="s">
        <v>1016</v>
      </c>
      <c r="G364" s="209" t="s">
        <v>1253</v>
      </c>
      <c r="H364" s="210">
        <v>3</v>
      </c>
      <c r="I364" s="210" t="s">
        <v>812</v>
      </c>
      <c r="J364" s="209" t="s">
        <v>81</v>
      </c>
      <c r="K364" s="210">
        <v>6437.08</v>
      </c>
      <c r="L364" s="210">
        <v>6437.08</v>
      </c>
      <c r="M364" s="211">
        <v>43011</v>
      </c>
      <c r="N364" s="211">
        <v>43010</v>
      </c>
      <c r="O364" s="211" t="str">
        <f>IF( Tabla1[[#This Row],[Fecha de entrega real]]="","NO CONCRETADO",IF(N364&lt;=M364,"CUMPLIÓ","NO CUMPLIÓ"))</f>
        <v>CUMPLIÓ</v>
      </c>
      <c r="P364" s="141">
        <f t="shared" si="10"/>
        <v>-1</v>
      </c>
      <c r="Q364" s="4" t="s">
        <v>13</v>
      </c>
      <c r="R364" s="4" t="s">
        <v>1048</v>
      </c>
      <c r="S364" s="4" t="s">
        <v>1308</v>
      </c>
      <c r="T364" s="1" t="s">
        <v>1309</v>
      </c>
      <c r="U364" s="107" t="s">
        <v>1310</v>
      </c>
      <c r="V364" s="210"/>
      <c r="W364" s="210"/>
      <c r="X364" s="210">
        <f>MONTH(Tabla1[[#This Row],[fecha
de
pedido]])</f>
        <v>9</v>
      </c>
      <c r="Y364" s="210">
        <f>YEAR(Tabla1[[#This Row],[fecha
de
pedido]])</f>
        <v>2017</v>
      </c>
    </row>
    <row r="365" spans="1:25" ht="25.5" customHeight="1" x14ac:dyDescent="0.2">
      <c r="A365" s="208">
        <v>43007</v>
      </c>
      <c r="B365" s="118" t="s">
        <v>487</v>
      </c>
      <c r="C365" s="4" t="s">
        <v>33</v>
      </c>
      <c r="D365" s="1" t="s">
        <v>33</v>
      </c>
      <c r="E365" s="209" t="s">
        <v>984</v>
      </c>
      <c r="F365" s="1" t="s">
        <v>772</v>
      </c>
      <c r="G365" s="4" t="s">
        <v>1299</v>
      </c>
      <c r="H365" s="1">
        <v>15</v>
      </c>
      <c r="I365" s="1" t="s">
        <v>1301</v>
      </c>
      <c r="J365" s="4" t="s">
        <v>77</v>
      </c>
      <c r="K365" s="1">
        <v>239.58</v>
      </c>
      <c r="L365" s="216">
        <f>Tabla1[[#This Row],[Costo Unitario]]*Tabla1[[#This Row],[cantidad]]</f>
        <v>3593.7000000000003</v>
      </c>
      <c r="M365" s="88">
        <v>43018</v>
      </c>
      <c r="N365" s="88">
        <v>43012</v>
      </c>
      <c r="O365" s="88" t="str">
        <f>IF( Tabla1[[#This Row],[Fecha de entrega real]]="","NO CONCRETADO",IF(N365&lt;=M365,"CUMPLIÓ","NO CUMPLIÓ"))</f>
        <v>CUMPLIÓ</v>
      </c>
      <c r="P365" s="141">
        <f t="shared" si="10"/>
        <v>-6</v>
      </c>
      <c r="Q365" s="4" t="s">
        <v>13</v>
      </c>
      <c r="R365" s="4" t="s">
        <v>33</v>
      </c>
      <c r="S365" s="4" t="s">
        <v>334</v>
      </c>
      <c r="T365" s="1" t="s">
        <v>1323</v>
      </c>
      <c r="U365" s="107" t="s">
        <v>1324</v>
      </c>
      <c r="X365" s="1">
        <f>MONTH(Tabla1[[#This Row],[fecha
de
pedido]])</f>
        <v>9</v>
      </c>
      <c r="Y365" s="1">
        <f>YEAR(Tabla1[[#This Row],[fecha
de
pedido]])</f>
        <v>2017</v>
      </c>
    </row>
    <row r="366" spans="1:25" ht="25.5" customHeight="1" x14ac:dyDescent="0.2">
      <c r="A366" s="208">
        <v>43007</v>
      </c>
      <c r="B366" s="118" t="s">
        <v>487</v>
      </c>
      <c r="C366" s="4" t="s">
        <v>976</v>
      </c>
      <c r="D366" s="210" t="s">
        <v>33</v>
      </c>
      <c r="E366" s="209" t="s">
        <v>984</v>
      </c>
      <c r="F366" s="1" t="s">
        <v>1199</v>
      </c>
      <c r="G366" s="4" t="s">
        <v>1300</v>
      </c>
      <c r="H366" s="1">
        <v>10</v>
      </c>
      <c r="I366" s="1" t="s">
        <v>1302</v>
      </c>
      <c r="J366" s="4" t="s">
        <v>77</v>
      </c>
      <c r="K366" s="1">
        <v>1422.96</v>
      </c>
      <c r="L366" s="216">
        <f>Tabla1[[#This Row],[Costo Unitario]]*Tabla1[[#This Row],[cantidad]]</f>
        <v>14229.6</v>
      </c>
      <c r="M366" s="88">
        <v>43028</v>
      </c>
      <c r="N366" s="88">
        <v>43027</v>
      </c>
      <c r="O366" s="88" t="str">
        <f>IF( Tabla1[[#This Row],[Fecha de entrega real]]="","NO CONCRETADO",IF(N366&lt;=M366,"CUMPLIÓ","NO CUMPLIÓ"))</f>
        <v>CUMPLIÓ</v>
      </c>
      <c r="P366" s="141">
        <f t="shared" si="10"/>
        <v>-1</v>
      </c>
      <c r="Q366" s="4" t="s">
        <v>13</v>
      </c>
      <c r="R366" s="4" t="s">
        <v>775</v>
      </c>
      <c r="S366" s="4" t="s">
        <v>244</v>
      </c>
      <c r="T366" s="1" t="s">
        <v>1362</v>
      </c>
      <c r="U366" s="107" t="s">
        <v>1410</v>
      </c>
      <c r="X366" s="1">
        <f>MONTH(Tabla1[[#This Row],[fecha
de
pedido]])</f>
        <v>9</v>
      </c>
      <c r="Y366" s="1">
        <f>YEAR(Tabla1[[#This Row],[fecha
de
pedido]])</f>
        <v>2017</v>
      </c>
    </row>
    <row r="367" spans="1:25" ht="25.5" customHeight="1" x14ac:dyDescent="0.2">
      <c r="A367" s="208">
        <v>43007</v>
      </c>
      <c r="B367" s="118" t="s">
        <v>487</v>
      </c>
      <c r="C367" s="4" t="s">
        <v>1103</v>
      </c>
      <c r="D367" s="1" t="s">
        <v>33</v>
      </c>
      <c r="E367" s="4" t="s">
        <v>11</v>
      </c>
      <c r="F367" s="1" t="s">
        <v>772</v>
      </c>
      <c r="G367" s="4" t="s">
        <v>1307</v>
      </c>
      <c r="H367" s="1">
        <v>1</v>
      </c>
      <c r="I367" s="1" t="s">
        <v>912</v>
      </c>
      <c r="J367" s="4" t="s">
        <v>225</v>
      </c>
      <c r="K367" s="1">
        <v>1750</v>
      </c>
      <c r="L367" s="216">
        <f>Tabla1[[#This Row],[Costo Unitario]]*Tabla1[[#This Row],[cantidad]]</f>
        <v>1750</v>
      </c>
      <c r="M367" s="88">
        <v>43025</v>
      </c>
      <c r="N367" s="88">
        <v>43011</v>
      </c>
      <c r="O367" s="88" t="str">
        <f>IF( Tabla1[[#This Row],[Fecha de entrega real]]="","NO CONCRETADO",IF(N367&lt;=M367,"CUMPLIÓ","NO CUMPLIÓ"))</f>
        <v>CUMPLIÓ</v>
      </c>
      <c r="P367" s="141">
        <f t="shared" si="10"/>
        <v>-14</v>
      </c>
      <c r="Q367" s="4" t="s">
        <v>13</v>
      </c>
      <c r="R367" s="4" t="s">
        <v>33</v>
      </c>
      <c r="S367" s="4" t="s">
        <v>334</v>
      </c>
      <c r="T367" s="1" t="s">
        <v>1311</v>
      </c>
      <c r="U367" s="107" t="s">
        <v>1312</v>
      </c>
      <c r="X367" s="1">
        <f>MONTH(Tabla1[[#This Row],[fecha
de
pedido]])</f>
        <v>9</v>
      </c>
      <c r="Y367" s="1">
        <f>YEAR(Tabla1[[#This Row],[fecha
de
pedido]])</f>
        <v>2017</v>
      </c>
    </row>
    <row r="368" spans="1:25" ht="25.5" customHeight="1" x14ac:dyDescent="0.2">
      <c r="A368" s="233">
        <v>43012</v>
      </c>
      <c r="B368" s="118" t="s">
        <v>487</v>
      </c>
      <c r="C368" s="234" t="s">
        <v>984</v>
      </c>
      <c r="D368" s="235" t="s">
        <v>33</v>
      </c>
      <c r="E368" s="234" t="s">
        <v>984</v>
      </c>
      <c r="F368" s="235" t="s">
        <v>817</v>
      </c>
      <c r="G368" s="234" t="s">
        <v>1346</v>
      </c>
      <c r="H368" s="235">
        <v>1</v>
      </c>
      <c r="I368" s="235" t="s">
        <v>817</v>
      </c>
      <c r="J368" s="4" t="s">
        <v>225</v>
      </c>
      <c r="K368" s="235">
        <v>16395</v>
      </c>
      <c r="L368" s="216">
        <f>Tabla1[[#This Row],[Costo Unitario]]*Tabla1[[#This Row],[cantidad]]</f>
        <v>16395</v>
      </c>
      <c r="M368" s="236">
        <v>43034</v>
      </c>
      <c r="N368" s="236">
        <v>43033</v>
      </c>
      <c r="O368" s="236" t="str">
        <f>IF( Tabla1[[#This Row],[Fecha de entrega real]]="","NO CONCRETADO",IF(N368&lt;=M368,"CUMPLIÓ","NO CUMPLIÓ"))</f>
        <v>CUMPLIÓ</v>
      </c>
      <c r="P368" s="141">
        <f t="shared" si="10"/>
        <v>-1</v>
      </c>
      <c r="Q368" s="234" t="s">
        <v>13</v>
      </c>
      <c r="R368" s="4" t="s">
        <v>33</v>
      </c>
      <c r="S368" s="234" t="s">
        <v>334</v>
      </c>
      <c r="T368" s="235" t="s">
        <v>1347</v>
      </c>
      <c r="U368" s="237" t="s">
        <v>1348</v>
      </c>
      <c r="V368" s="235"/>
      <c r="W368" s="235"/>
      <c r="X368" s="235">
        <f>MONTH(Tabla1[[#This Row],[fecha
de
pedido]])</f>
        <v>10</v>
      </c>
      <c r="Y368" s="235">
        <f>YEAR(Tabla1[[#This Row],[fecha
de
pedido]])</f>
        <v>2017</v>
      </c>
    </row>
    <row r="369" spans="1:25" ht="25.5" customHeight="1" x14ac:dyDescent="0.2">
      <c r="A369" s="233">
        <v>43013</v>
      </c>
      <c r="B369" s="118" t="s">
        <v>487</v>
      </c>
      <c r="C369" s="234" t="s">
        <v>1313</v>
      </c>
      <c r="D369" s="1" t="s">
        <v>33</v>
      </c>
      <c r="E369" s="234" t="s">
        <v>984</v>
      </c>
      <c r="F369" s="1" t="s">
        <v>772</v>
      </c>
      <c r="G369" s="234" t="s">
        <v>1046</v>
      </c>
      <c r="H369" s="235">
        <v>150</v>
      </c>
      <c r="I369" s="235" t="s">
        <v>779</v>
      </c>
      <c r="J369" s="234" t="s">
        <v>12</v>
      </c>
      <c r="K369" s="235">
        <v>5</v>
      </c>
      <c r="L369" s="216">
        <f>Tabla1[[#This Row],[Costo Unitario]]*Tabla1[[#This Row],[cantidad]]</f>
        <v>750</v>
      </c>
      <c r="M369" s="236">
        <v>43014</v>
      </c>
      <c r="N369" s="236">
        <v>43014</v>
      </c>
      <c r="O369" s="236" t="str">
        <f>IF( Tabla1[[#This Row],[Fecha de entrega real]]="","NO CONCRETADO",IF(N369&lt;=M369,"CUMPLIÓ","NO CUMPLIÓ"))</f>
        <v>CUMPLIÓ</v>
      </c>
      <c r="P369" s="141">
        <f t="shared" si="10"/>
        <v>0</v>
      </c>
      <c r="Q369" s="4" t="s">
        <v>13</v>
      </c>
      <c r="R369" s="234" t="s">
        <v>33</v>
      </c>
      <c r="S369" s="4" t="s">
        <v>334</v>
      </c>
      <c r="T369" s="1" t="s">
        <v>1973</v>
      </c>
      <c r="U369" s="237" t="s">
        <v>1316</v>
      </c>
      <c r="V369" s="235"/>
      <c r="W369" s="235"/>
      <c r="X369" s="235">
        <f>MONTH(Tabla1[[#This Row],[fecha
de
pedido]])</f>
        <v>10</v>
      </c>
      <c r="Y369" s="235">
        <f>YEAR(Tabla1[[#This Row],[fecha
de
pedido]])</f>
        <v>2017</v>
      </c>
    </row>
    <row r="370" spans="1:25" ht="25.5" customHeight="1" x14ac:dyDescent="0.2">
      <c r="A370" s="233">
        <v>43013</v>
      </c>
      <c r="B370" s="118" t="s">
        <v>487</v>
      </c>
      <c r="C370" s="234" t="s">
        <v>33</v>
      </c>
      <c r="D370" s="1" t="s">
        <v>33</v>
      </c>
      <c r="E370" s="234" t="s">
        <v>984</v>
      </c>
      <c r="F370" s="1" t="s">
        <v>772</v>
      </c>
      <c r="G370" s="234" t="s">
        <v>204</v>
      </c>
      <c r="H370" s="235">
        <v>180</v>
      </c>
      <c r="I370" s="235" t="s">
        <v>779</v>
      </c>
      <c r="J370" s="234" t="s">
        <v>12</v>
      </c>
      <c r="K370" s="235">
        <v>5</v>
      </c>
      <c r="L370" s="216">
        <f>Tabla1[[#This Row],[Costo Unitario]]*Tabla1[[#This Row],[cantidad]]</f>
        <v>900</v>
      </c>
      <c r="M370" s="236">
        <v>43014</v>
      </c>
      <c r="N370" s="236">
        <v>43014</v>
      </c>
      <c r="O370" s="236" t="str">
        <f>IF( Tabla1[[#This Row],[Fecha de entrega real]]="","NO CONCRETADO",IF(N370&lt;=M370,"CUMPLIÓ","NO CUMPLIÓ"))</f>
        <v>CUMPLIÓ</v>
      </c>
      <c r="P370" s="141">
        <f t="shared" si="10"/>
        <v>0</v>
      </c>
      <c r="Q370" s="4" t="s">
        <v>13</v>
      </c>
      <c r="R370" s="234" t="s">
        <v>33</v>
      </c>
      <c r="S370" s="4" t="s">
        <v>1314</v>
      </c>
      <c r="T370" s="1" t="s">
        <v>1973</v>
      </c>
      <c r="U370" s="237" t="s">
        <v>1315</v>
      </c>
      <c r="V370" s="235"/>
      <c r="W370" s="235"/>
      <c r="X370" s="235">
        <f>MONTH(Tabla1[[#This Row],[fecha
de
pedido]])</f>
        <v>10</v>
      </c>
      <c r="Y370" s="235">
        <f>YEAR(Tabla1[[#This Row],[fecha
de
pedido]])</f>
        <v>2017</v>
      </c>
    </row>
    <row r="371" spans="1:25" ht="25.5" customHeight="1" x14ac:dyDescent="0.2">
      <c r="A371" s="233">
        <v>43017</v>
      </c>
      <c r="B371" s="118" t="s">
        <v>487</v>
      </c>
      <c r="C371" s="234" t="s">
        <v>33</v>
      </c>
      <c r="D371" s="235" t="s">
        <v>33</v>
      </c>
      <c r="E371" s="234" t="s">
        <v>11</v>
      </c>
      <c r="F371" s="235" t="s">
        <v>772</v>
      </c>
      <c r="G371" s="234" t="s">
        <v>1325</v>
      </c>
      <c r="H371" s="235">
        <v>3</v>
      </c>
      <c r="I371" s="235" t="s">
        <v>898</v>
      </c>
      <c r="J371" s="234" t="s">
        <v>225</v>
      </c>
      <c r="K371" s="235">
        <v>1510</v>
      </c>
      <c r="L371" s="216">
        <f>Tabla1[[#This Row],[Costo Unitario]]*Tabla1[[#This Row],[cantidad]]</f>
        <v>4530</v>
      </c>
      <c r="M371" s="236">
        <v>43049</v>
      </c>
      <c r="N371" s="236">
        <v>43075</v>
      </c>
      <c r="O371" s="236" t="str">
        <f>IF( Tabla1[[#This Row],[Fecha de entrega real]]="","NO CONCRETADO",IF(N371&lt;=M371,"CUMPLIÓ","NO CUMPLIÓ"))</f>
        <v>NO CUMPLIÓ</v>
      </c>
      <c r="P371" s="141">
        <f t="shared" si="10"/>
        <v>26</v>
      </c>
      <c r="Q371" s="4" t="s">
        <v>13</v>
      </c>
      <c r="R371" s="234" t="s">
        <v>33</v>
      </c>
      <c r="S371" s="4" t="s">
        <v>334</v>
      </c>
      <c r="T371" s="1" t="s">
        <v>1468</v>
      </c>
      <c r="U371" s="107" t="s">
        <v>1469</v>
      </c>
      <c r="V371" s="235"/>
      <c r="W371" s="235"/>
      <c r="X371" s="235">
        <f>MONTH(Tabla1[[#This Row],[fecha
de
pedido]])</f>
        <v>10</v>
      </c>
      <c r="Y371" s="235">
        <f>YEAR(Tabla1[[#This Row],[fecha
de
pedido]])</f>
        <v>2017</v>
      </c>
    </row>
    <row r="372" spans="1:25" ht="12.75" customHeight="1" x14ac:dyDescent="0.2">
      <c r="A372" s="233">
        <v>43017</v>
      </c>
      <c r="B372" s="118" t="s">
        <v>487</v>
      </c>
      <c r="C372" s="234"/>
      <c r="D372" s="235" t="s">
        <v>33</v>
      </c>
      <c r="E372" s="234" t="s">
        <v>11</v>
      </c>
      <c r="F372" s="235" t="s">
        <v>778</v>
      </c>
      <c r="G372" s="234" t="s">
        <v>1326</v>
      </c>
      <c r="H372" s="235">
        <v>1</v>
      </c>
      <c r="I372" s="235" t="s">
        <v>1018</v>
      </c>
      <c r="J372" s="234" t="s">
        <v>225</v>
      </c>
      <c r="K372" s="235">
        <v>405</v>
      </c>
      <c r="L372" s="216">
        <f>Tabla1[[#This Row],[Costo Unitario]]*Tabla1[[#This Row],[cantidad]]</f>
        <v>405</v>
      </c>
      <c r="M372" s="236">
        <v>43033</v>
      </c>
      <c r="N372" s="236">
        <v>43033</v>
      </c>
      <c r="O372" s="236" t="str">
        <f>IF( Tabla1[[#This Row],[Fecha de entrega real]]="","NO CONCRETADO",IF(N372&lt;=M372,"CUMPLIÓ","NO CUMPLIÓ"))</f>
        <v>CUMPLIÓ</v>
      </c>
      <c r="P372" s="141">
        <f t="shared" si="10"/>
        <v>0</v>
      </c>
      <c r="Q372" s="234" t="s">
        <v>13</v>
      </c>
      <c r="R372" s="234" t="s">
        <v>33</v>
      </c>
      <c r="S372" s="234" t="s">
        <v>334</v>
      </c>
      <c r="T372" s="235" t="s">
        <v>1344</v>
      </c>
      <c r="U372" s="237" t="s">
        <v>1345</v>
      </c>
      <c r="V372" s="235"/>
      <c r="W372" s="235"/>
      <c r="X372" s="235">
        <f>MONTH(Tabla1[[#This Row],[fecha
de
pedido]])</f>
        <v>10</v>
      </c>
      <c r="Y372" s="235">
        <f>YEAR(Tabla1[[#This Row],[fecha
de
pedido]])</f>
        <v>2017</v>
      </c>
    </row>
    <row r="373" spans="1:25" ht="12.75" customHeight="1" x14ac:dyDescent="0.2">
      <c r="A373" s="233">
        <v>43018</v>
      </c>
      <c r="B373" s="118" t="s">
        <v>487</v>
      </c>
      <c r="C373" s="234" t="s">
        <v>33</v>
      </c>
      <c r="D373" s="235" t="s">
        <v>33</v>
      </c>
      <c r="E373" s="234" t="s">
        <v>11</v>
      </c>
      <c r="F373" s="235" t="s">
        <v>1199</v>
      </c>
      <c r="G373" s="234" t="s">
        <v>777</v>
      </c>
      <c r="H373" s="235">
        <v>12</v>
      </c>
      <c r="I373" s="235" t="s">
        <v>779</v>
      </c>
      <c r="J373" s="234" t="s">
        <v>77</v>
      </c>
      <c r="K373" s="235">
        <f>298*1.21</f>
        <v>360.58</v>
      </c>
      <c r="L373" s="216">
        <f>Tabla1[[#This Row],[Costo Unitario]]*Tabla1[[#This Row],[cantidad]]</f>
        <v>4326.96</v>
      </c>
      <c r="M373" s="236">
        <v>43028</v>
      </c>
      <c r="N373" s="236">
        <v>43025</v>
      </c>
      <c r="O373" s="236" t="str">
        <f>IF( Tabla1[[#This Row],[Fecha de entrega real]]="","NO CONCRETADO",IF(N373&lt;=M373,"CUMPLIÓ","NO CUMPLIÓ"))</f>
        <v>CUMPLIÓ</v>
      </c>
      <c r="P373" s="141">
        <f t="shared" si="10"/>
        <v>-3</v>
      </c>
      <c r="Q373" s="234" t="s">
        <v>13</v>
      </c>
      <c r="R373" s="234" t="s">
        <v>33</v>
      </c>
      <c r="S373" s="234" t="s">
        <v>334</v>
      </c>
      <c r="T373" s="235" t="s">
        <v>1355</v>
      </c>
      <c r="U373" s="237" t="s">
        <v>1356</v>
      </c>
      <c r="V373" s="235"/>
      <c r="W373" s="235"/>
      <c r="X373" s="235">
        <f>MONTH(Tabla1[[#This Row],[fecha
de
pedido]])</f>
        <v>10</v>
      </c>
      <c r="Y373" s="235">
        <f>YEAR(Tabla1[[#This Row],[fecha
de
pedido]])</f>
        <v>2017</v>
      </c>
    </row>
    <row r="374" spans="1:25" ht="12.75" customHeight="1" x14ac:dyDescent="0.2">
      <c r="A374" s="233">
        <v>43018</v>
      </c>
      <c r="B374" s="118" t="s">
        <v>487</v>
      </c>
      <c r="C374" s="234" t="s">
        <v>906</v>
      </c>
      <c r="D374" s="235" t="s">
        <v>33</v>
      </c>
      <c r="E374" s="234" t="s">
        <v>11</v>
      </c>
      <c r="F374" s="235" t="s">
        <v>1199</v>
      </c>
      <c r="G374" s="234" t="s">
        <v>1327</v>
      </c>
      <c r="H374" s="235">
        <v>3</v>
      </c>
      <c r="I374" s="235" t="s">
        <v>779</v>
      </c>
      <c r="J374" s="234" t="s">
        <v>77</v>
      </c>
      <c r="K374" s="235">
        <f>172*1.21</f>
        <v>208.12</v>
      </c>
      <c r="L374" s="216">
        <f>Tabla1[[#This Row],[Costo Unitario]]*Tabla1[[#This Row],[cantidad]]</f>
        <v>624.36</v>
      </c>
      <c r="M374" s="236">
        <v>43028</v>
      </c>
      <c r="N374" s="236">
        <v>43025</v>
      </c>
      <c r="O374" s="236" t="str">
        <f>IF( Tabla1[[#This Row],[Fecha de entrega real]]="","NO CONCRETADO",IF(N374&lt;=M374,"CUMPLIÓ","NO CUMPLIÓ"))</f>
        <v>CUMPLIÓ</v>
      </c>
      <c r="P374" s="141">
        <f t="shared" si="10"/>
        <v>-3</v>
      </c>
      <c r="Q374" s="234" t="s">
        <v>13</v>
      </c>
      <c r="R374" s="234" t="s">
        <v>33</v>
      </c>
      <c r="S374" s="234" t="s">
        <v>334</v>
      </c>
      <c r="T374" s="235" t="s">
        <v>1355</v>
      </c>
      <c r="U374" s="237" t="s">
        <v>1356</v>
      </c>
      <c r="V374" s="235"/>
      <c r="W374" s="235"/>
      <c r="X374" s="235">
        <f>MONTH(Tabla1[[#This Row],[fecha
de
pedido]])</f>
        <v>10</v>
      </c>
      <c r="Y374" s="235">
        <f>YEAR(Tabla1[[#This Row],[fecha
de
pedido]])</f>
        <v>2017</v>
      </c>
    </row>
    <row r="375" spans="1:25" ht="49.5" customHeight="1" x14ac:dyDescent="0.2">
      <c r="A375" s="233">
        <v>43018</v>
      </c>
      <c r="B375" s="118" t="s">
        <v>487</v>
      </c>
      <c r="C375" s="234" t="s">
        <v>775</v>
      </c>
      <c r="D375" s="235" t="s">
        <v>33</v>
      </c>
      <c r="E375" s="234" t="s">
        <v>11</v>
      </c>
      <c r="F375" s="235" t="s">
        <v>1199</v>
      </c>
      <c r="G375" s="234" t="s">
        <v>777</v>
      </c>
      <c r="H375" s="235">
        <v>18</v>
      </c>
      <c r="I375" s="235" t="s">
        <v>779</v>
      </c>
      <c r="J375" s="234" t="s">
        <v>77</v>
      </c>
      <c r="K375" s="235">
        <v>360.58</v>
      </c>
      <c r="L375" s="216">
        <f>Tabla1[[#This Row],[Costo Unitario]]*Tabla1[[#This Row],[cantidad]]</f>
        <v>6490.44</v>
      </c>
      <c r="M375" s="236">
        <v>43028</v>
      </c>
      <c r="N375" s="236">
        <v>43042</v>
      </c>
      <c r="O375" s="236" t="str">
        <f>IF( Tabla1[[#This Row],[Fecha de entrega real]]="","NO CONCRETADO",IF(N375&lt;=M375,"CUMPLIÓ","NO CUMPLIÓ"))</f>
        <v>NO CUMPLIÓ</v>
      </c>
      <c r="P375" s="141">
        <f t="shared" si="10"/>
        <v>14</v>
      </c>
      <c r="Q375" s="234" t="s">
        <v>13</v>
      </c>
      <c r="R375" s="234" t="s">
        <v>33</v>
      </c>
      <c r="S375" s="4" t="s">
        <v>1981</v>
      </c>
      <c r="T375" s="235" t="s">
        <v>1359</v>
      </c>
      <c r="U375" s="237" t="s">
        <v>1360</v>
      </c>
      <c r="V375" s="235"/>
      <c r="W375" s="235"/>
      <c r="X375" s="235">
        <f>MONTH(Tabla1[[#This Row],[fecha
de
pedido]])</f>
        <v>10</v>
      </c>
      <c r="Y375" s="235">
        <f>YEAR(Tabla1[[#This Row],[fecha
de
pedido]])</f>
        <v>2017</v>
      </c>
    </row>
    <row r="376" spans="1:25" ht="25.5" customHeight="1" x14ac:dyDescent="0.2">
      <c r="A376" s="233">
        <v>43021</v>
      </c>
      <c r="B376" s="118" t="s">
        <v>487</v>
      </c>
      <c r="C376" s="234" t="s">
        <v>1091</v>
      </c>
      <c r="D376" s="235" t="s">
        <v>33</v>
      </c>
      <c r="E376" s="234" t="s">
        <v>31</v>
      </c>
      <c r="F376" s="235" t="s">
        <v>1045</v>
      </c>
      <c r="G376" s="234" t="s">
        <v>1328</v>
      </c>
      <c r="H376" s="235">
        <v>25</v>
      </c>
      <c r="I376" s="235" t="s">
        <v>784</v>
      </c>
      <c r="J376" s="234" t="s">
        <v>15</v>
      </c>
      <c r="K376" s="235">
        <v>332</v>
      </c>
      <c r="L376" s="216">
        <f>Tabla1[[#This Row],[Costo Unitario]]*Tabla1[[#This Row],[cantidad]]</f>
        <v>8300</v>
      </c>
      <c r="M376" s="236">
        <v>43034</v>
      </c>
      <c r="N376" s="236">
        <v>43075</v>
      </c>
      <c r="O376" s="236" t="str">
        <f>IF( Tabla1[[#This Row],[Fecha de entrega real]]="","NO CONCRETADO",IF(N376&lt;=M376,"CUMPLIÓ","NO CUMPLIÓ"))</f>
        <v>NO CUMPLIÓ</v>
      </c>
      <c r="P376" s="141">
        <f t="shared" si="10"/>
        <v>41</v>
      </c>
      <c r="Q376" s="234" t="s">
        <v>13</v>
      </c>
      <c r="R376" s="234" t="s">
        <v>33</v>
      </c>
      <c r="S376" s="4" t="s">
        <v>1465</v>
      </c>
      <c r="T376" s="4" t="s">
        <v>1466</v>
      </c>
      <c r="U376" s="148" t="s">
        <v>1467</v>
      </c>
      <c r="V376" s="235"/>
      <c r="W376" s="235"/>
      <c r="X376" s="235">
        <f>MONTH(Tabla1[[#This Row],[fecha
de
pedido]])</f>
        <v>10</v>
      </c>
      <c r="Y376" s="235">
        <f>YEAR(Tabla1[[#This Row],[fecha
de
pedido]])</f>
        <v>2017</v>
      </c>
    </row>
    <row r="377" spans="1:25" ht="12.75" customHeight="1" x14ac:dyDescent="0.2">
      <c r="A377" s="233">
        <v>43021</v>
      </c>
      <c r="B377" s="118" t="s">
        <v>487</v>
      </c>
      <c r="C377" s="234" t="s">
        <v>33</v>
      </c>
      <c r="D377" s="235" t="s">
        <v>33</v>
      </c>
      <c r="E377" s="234" t="s">
        <v>31</v>
      </c>
      <c r="F377" s="235" t="s">
        <v>1045</v>
      </c>
      <c r="G377" s="234" t="s">
        <v>1329</v>
      </c>
      <c r="H377" s="235">
        <v>5</v>
      </c>
      <c r="I377" s="235" t="s">
        <v>784</v>
      </c>
      <c r="J377" s="234" t="s">
        <v>15</v>
      </c>
      <c r="K377" s="235">
        <v>124</v>
      </c>
      <c r="L377" s="216">
        <f>Tabla1[[#This Row],[Costo Unitario]]*Tabla1[[#This Row],[cantidad]]</f>
        <v>620</v>
      </c>
      <c r="M377" s="236">
        <v>43039</v>
      </c>
      <c r="N377" s="236">
        <v>43053</v>
      </c>
      <c r="O377" s="236" t="str">
        <f>IF( Tabla1[[#This Row],[Fecha de entrega real]]="","NO CONCRETADO",IF(N377&lt;=M377,"CUMPLIÓ","NO CUMPLIÓ"))</f>
        <v>NO CUMPLIÓ</v>
      </c>
      <c r="P377" s="141">
        <f t="shared" si="10"/>
        <v>14</v>
      </c>
      <c r="Q377" s="234" t="s">
        <v>13</v>
      </c>
      <c r="R377" s="234" t="s">
        <v>33</v>
      </c>
      <c r="S377" s="234" t="s">
        <v>334</v>
      </c>
      <c r="T377" s="235" t="s">
        <v>1419</v>
      </c>
      <c r="U377" s="237" t="s">
        <v>1420</v>
      </c>
      <c r="V377" s="235"/>
      <c r="W377" s="235"/>
      <c r="X377" s="235">
        <f>MONTH(Tabla1[[#This Row],[fecha
de
pedido]])</f>
        <v>10</v>
      </c>
      <c r="Y377" s="235">
        <f>YEAR(Tabla1[[#This Row],[fecha
de
pedido]])</f>
        <v>2017</v>
      </c>
    </row>
    <row r="378" spans="1:25" ht="12.75" customHeight="1" x14ac:dyDescent="0.2">
      <c r="A378" s="233">
        <v>43021</v>
      </c>
      <c r="B378" s="118" t="s">
        <v>487</v>
      </c>
      <c r="C378" s="234" t="s">
        <v>33</v>
      </c>
      <c r="D378" s="235" t="s">
        <v>33</v>
      </c>
      <c r="E378" s="234" t="s">
        <v>31</v>
      </c>
      <c r="F378" s="235" t="s">
        <v>1045</v>
      </c>
      <c r="G378" s="234" t="s">
        <v>1330</v>
      </c>
      <c r="H378" s="235">
        <v>5</v>
      </c>
      <c r="I378" s="235" t="s">
        <v>784</v>
      </c>
      <c r="J378" s="234" t="s">
        <v>15</v>
      </c>
      <c r="K378" s="235">
        <v>106</v>
      </c>
      <c r="L378" s="216">
        <f>Tabla1[[#This Row],[Costo Unitario]]*Tabla1[[#This Row],[cantidad]]</f>
        <v>530</v>
      </c>
      <c r="M378" s="236">
        <v>43027</v>
      </c>
      <c r="N378" s="236">
        <v>43027</v>
      </c>
      <c r="O378" s="236" t="str">
        <f>IF( Tabla1[[#This Row],[Fecha de entrega real]]="","NO CONCRETADO",IF(N378&lt;=M378,"CUMPLIÓ","NO CUMPLIÓ"))</f>
        <v>CUMPLIÓ</v>
      </c>
      <c r="P378" s="141">
        <f t="shared" si="10"/>
        <v>0</v>
      </c>
      <c r="Q378" s="234" t="s">
        <v>13</v>
      </c>
      <c r="R378" s="234" t="s">
        <v>33</v>
      </c>
      <c r="S378" s="234" t="s">
        <v>334</v>
      </c>
      <c r="T378" s="235" t="s">
        <v>1340</v>
      </c>
      <c r="U378" s="237" t="s">
        <v>1341</v>
      </c>
      <c r="V378" s="235"/>
      <c r="W378" s="235"/>
      <c r="X378" s="235">
        <f>MONTH(Tabla1[[#This Row],[fecha
de
pedido]])</f>
        <v>10</v>
      </c>
      <c r="Y378" s="235">
        <f>YEAR(Tabla1[[#This Row],[fecha
de
pedido]])</f>
        <v>2017</v>
      </c>
    </row>
    <row r="379" spans="1:25" ht="12.75" customHeight="1" x14ac:dyDescent="0.2">
      <c r="A379" s="233">
        <v>43021</v>
      </c>
      <c r="B379" s="118" t="s">
        <v>487</v>
      </c>
      <c r="C379" s="234" t="s">
        <v>33</v>
      </c>
      <c r="D379" s="235" t="s">
        <v>33</v>
      </c>
      <c r="E379" s="234" t="s">
        <v>31</v>
      </c>
      <c r="F379" s="235" t="s">
        <v>1045</v>
      </c>
      <c r="G379" s="234" t="s">
        <v>1331</v>
      </c>
      <c r="H379" s="235">
        <v>10</v>
      </c>
      <c r="I379" s="235" t="s">
        <v>784</v>
      </c>
      <c r="J379" s="234" t="s">
        <v>15</v>
      </c>
      <c r="K379" s="235">
        <v>110</v>
      </c>
      <c r="L379" s="216">
        <f>Tabla1[[#This Row],[Costo Unitario]]*Tabla1[[#This Row],[cantidad]]</f>
        <v>1100</v>
      </c>
      <c r="M379" s="236">
        <v>43027</v>
      </c>
      <c r="N379" s="236">
        <v>43027</v>
      </c>
      <c r="O379" s="236" t="str">
        <f>IF( Tabla1[[#This Row],[Fecha de entrega real]]="","NO CONCRETADO",IF(N379&lt;=M379,"CUMPLIÓ","NO CUMPLIÓ"))</f>
        <v>CUMPLIÓ</v>
      </c>
      <c r="P379" s="141">
        <f t="shared" si="10"/>
        <v>0</v>
      </c>
      <c r="Q379" s="234" t="s">
        <v>13</v>
      </c>
      <c r="R379" s="234" t="s">
        <v>33</v>
      </c>
      <c r="S379" s="234" t="s">
        <v>334</v>
      </c>
      <c r="T379" s="235" t="s">
        <v>1340</v>
      </c>
      <c r="U379" s="237" t="s">
        <v>1341</v>
      </c>
      <c r="V379" s="235"/>
      <c r="W379" s="235"/>
      <c r="X379" s="235">
        <f>MONTH(Tabla1[[#This Row],[fecha
de
pedido]])</f>
        <v>10</v>
      </c>
      <c r="Y379" s="235">
        <f>YEAR(Tabla1[[#This Row],[fecha
de
pedido]])</f>
        <v>2017</v>
      </c>
    </row>
    <row r="380" spans="1:25" ht="12.75" customHeight="1" x14ac:dyDescent="0.2">
      <c r="A380" s="233">
        <v>43021</v>
      </c>
      <c r="B380" s="118" t="s">
        <v>487</v>
      </c>
      <c r="C380" s="234" t="s">
        <v>33</v>
      </c>
      <c r="D380" s="235" t="s">
        <v>33</v>
      </c>
      <c r="E380" s="234" t="s">
        <v>31</v>
      </c>
      <c r="F380" s="235" t="s">
        <v>1045</v>
      </c>
      <c r="G380" s="234" t="s">
        <v>1332</v>
      </c>
      <c r="H380" s="235">
        <v>5</v>
      </c>
      <c r="I380" s="235" t="s">
        <v>784</v>
      </c>
      <c r="J380" s="234" t="s">
        <v>15</v>
      </c>
      <c r="K380" s="235">
        <v>119</v>
      </c>
      <c r="L380" s="216">
        <f>Tabla1[[#This Row],[Costo Unitario]]*Tabla1[[#This Row],[cantidad]]</f>
        <v>595</v>
      </c>
      <c r="M380" s="236">
        <v>43027</v>
      </c>
      <c r="N380" s="236">
        <v>43027</v>
      </c>
      <c r="O380" s="236" t="str">
        <f>IF( Tabla1[[#This Row],[Fecha de entrega real]]="","NO CONCRETADO",IF(N380&lt;=M380,"CUMPLIÓ","NO CUMPLIÓ"))</f>
        <v>CUMPLIÓ</v>
      </c>
      <c r="P380" s="141">
        <f t="shared" si="10"/>
        <v>0</v>
      </c>
      <c r="Q380" s="234" t="s">
        <v>13</v>
      </c>
      <c r="R380" s="234" t="s">
        <v>33</v>
      </c>
      <c r="S380" s="234" t="s">
        <v>334</v>
      </c>
      <c r="T380" s="235" t="s">
        <v>1340</v>
      </c>
      <c r="U380" s="237" t="s">
        <v>1341</v>
      </c>
      <c r="V380" s="235"/>
      <c r="W380" s="235"/>
      <c r="X380" s="235">
        <f>MONTH(Tabla1[[#This Row],[fecha
de
pedido]])</f>
        <v>10</v>
      </c>
      <c r="Y380" s="235">
        <f>YEAR(Tabla1[[#This Row],[fecha
de
pedido]])</f>
        <v>2017</v>
      </c>
    </row>
    <row r="381" spans="1:25" ht="25.5" customHeight="1" x14ac:dyDescent="0.2">
      <c r="A381" s="233">
        <v>43021</v>
      </c>
      <c r="B381" s="118" t="s">
        <v>487</v>
      </c>
      <c r="C381" s="234" t="s">
        <v>935</v>
      </c>
      <c r="D381" s="235" t="s">
        <v>33</v>
      </c>
      <c r="E381" s="234" t="s">
        <v>277</v>
      </c>
      <c r="F381" s="235" t="s">
        <v>1045</v>
      </c>
      <c r="G381" s="234" t="s">
        <v>1367</v>
      </c>
      <c r="H381" s="235">
        <v>4</v>
      </c>
      <c r="I381" s="235" t="s">
        <v>784</v>
      </c>
      <c r="J381" s="234" t="s">
        <v>1368</v>
      </c>
      <c r="K381" s="235">
        <v>1017.61</v>
      </c>
      <c r="L381" s="216">
        <f>Tabla1[[#This Row],[Costo Unitario]]*Tabla1[[#This Row],[cantidad]]</f>
        <v>4070.44</v>
      </c>
      <c r="M381" s="236">
        <v>43032</v>
      </c>
      <c r="N381" s="236">
        <v>43034</v>
      </c>
      <c r="O381" s="236" t="str">
        <f>IF( Tabla1[[#This Row],[Fecha de entrega real]]="","NO CONCRETADO",IF(N381&lt;=M381,"CUMPLIÓ","NO CUMPLIÓ"))</f>
        <v>NO CUMPLIÓ</v>
      </c>
      <c r="P381" s="141">
        <f t="shared" si="10"/>
        <v>2</v>
      </c>
      <c r="Q381" s="234" t="s">
        <v>1404</v>
      </c>
      <c r="R381" s="234" t="s">
        <v>33</v>
      </c>
      <c r="S381" s="4" t="s">
        <v>1982</v>
      </c>
      <c r="T381" s="235" t="s">
        <v>1405</v>
      </c>
      <c r="U381" s="237" t="s">
        <v>1406</v>
      </c>
      <c r="V381" s="235"/>
      <c r="W381" s="235"/>
      <c r="X381" s="235">
        <f>MONTH(Tabla1[[#This Row],[fecha
de
pedido]])</f>
        <v>10</v>
      </c>
      <c r="Y381" s="235">
        <f>YEAR(Tabla1[[#This Row],[fecha
de
pedido]])</f>
        <v>2017</v>
      </c>
    </row>
    <row r="382" spans="1:25" ht="25.5" customHeight="1" x14ac:dyDescent="0.2">
      <c r="A382" s="233">
        <v>43021</v>
      </c>
      <c r="B382" s="118" t="s">
        <v>487</v>
      </c>
      <c r="C382" s="234" t="s">
        <v>935</v>
      </c>
      <c r="D382" s="235" t="s">
        <v>33</v>
      </c>
      <c r="E382" s="234" t="s">
        <v>277</v>
      </c>
      <c r="F382" s="235" t="s">
        <v>1045</v>
      </c>
      <c r="G382" s="234" t="s">
        <v>1369</v>
      </c>
      <c r="H382" s="235">
        <v>4</v>
      </c>
      <c r="I382" s="235" t="s">
        <v>784</v>
      </c>
      <c r="J382" s="234" t="s">
        <v>1368</v>
      </c>
      <c r="K382" s="235">
        <v>82.99</v>
      </c>
      <c r="L382" s="216">
        <f>Tabla1[[#This Row],[Costo Unitario]]*Tabla1[[#This Row],[cantidad]]</f>
        <v>331.96</v>
      </c>
      <c r="M382" s="236">
        <v>43032</v>
      </c>
      <c r="N382" s="236">
        <v>43034</v>
      </c>
      <c r="O382" s="236" t="str">
        <f>IF( Tabla1[[#This Row],[Fecha de entrega real]]="","NO CONCRETADO",IF(N382&lt;=M382,"CUMPLIÓ","NO CUMPLIÓ"))</f>
        <v>NO CUMPLIÓ</v>
      </c>
      <c r="P382" s="141">
        <f t="shared" si="10"/>
        <v>2</v>
      </c>
      <c r="Q382" s="234" t="s">
        <v>1404</v>
      </c>
      <c r="R382" s="234" t="s">
        <v>33</v>
      </c>
      <c r="S382" s="4" t="s">
        <v>1982</v>
      </c>
      <c r="T382" s="235" t="s">
        <v>1405</v>
      </c>
      <c r="U382" s="237" t="s">
        <v>1406</v>
      </c>
      <c r="V382" s="235"/>
      <c r="W382" s="235"/>
      <c r="X382" s="235">
        <f>MONTH(Tabla1[[#This Row],[fecha
de
pedido]])</f>
        <v>10</v>
      </c>
      <c r="Y382" s="235">
        <f>YEAR(Tabla1[[#This Row],[fecha
de
pedido]])</f>
        <v>2017</v>
      </c>
    </row>
    <row r="383" spans="1:25" ht="25.5" customHeight="1" x14ac:dyDescent="0.2">
      <c r="A383" s="233">
        <v>43021</v>
      </c>
      <c r="B383" s="118" t="s">
        <v>487</v>
      </c>
      <c r="C383" s="234" t="s">
        <v>935</v>
      </c>
      <c r="D383" s="235" t="s">
        <v>33</v>
      </c>
      <c r="E383" s="234" t="s">
        <v>277</v>
      </c>
      <c r="F383" s="235" t="s">
        <v>1045</v>
      </c>
      <c r="G383" s="234" t="s">
        <v>1370</v>
      </c>
      <c r="H383" s="235">
        <v>1</v>
      </c>
      <c r="I383" s="235" t="s">
        <v>488</v>
      </c>
      <c r="J383" s="234" t="s">
        <v>1368</v>
      </c>
      <c r="K383" s="235">
        <v>82.99</v>
      </c>
      <c r="L383" s="216">
        <f>Tabla1[[#This Row],[Costo Unitario]]*Tabla1[[#This Row],[cantidad]]</f>
        <v>82.99</v>
      </c>
      <c r="M383" s="236">
        <v>43032</v>
      </c>
      <c r="N383" s="236">
        <v>43034</v>
      </c>
      <c r="O383" s="236" t="str">
        <f>IF( Tabla1[[#This Row],[Fecha de entrega real]]="","NO CONCRETADO",IF(N383&lt;=M383,"CUMPLIÓ","NO CUMPLIÓ"))</f>
        <v>NO CUMPLIÓ</v>
      </c>
      <c r="P383" s="141">
        <f t="shared" si="10"/>
        <v>2</v>
      </c>
      <c r="Q383" s="234" t="s">
        <v>1404</v>
      </c>
      <c r="R383" s="234" t="s">
        <v>33</v>
      </c>
      <c r="S383" s="4" t="s">
        <v>1982</v>
      </c>
      <c r="T383" s="235" t="s">
        <v>1405</v>
      </c>
      <c r="U383" s="237" t="s">
        <v>1406</v>
      </c>
      <c r="V383" s="235"/>
      <c r="W383" s="235"/>
      <c r="X383" s="235">
        <f>MONTH(Tabla1[[#This Row],[fecha
de
pedido]])</f>
        <v>10</v>
      </c>
      <c r="Y383" s="235">
        <f>YEAR(Tabla1[[#This Row],[fecha
de
pedido]])</f>
        <v>2017</v>
      </c>
    </row>
    <row r="384" spans="1:25" ht="25.5" customHeight="1" x14ac:dyDescent="0.2">
      <c r="A384" s="233">
        <v>43021</v>
      </c>
      <c r="B384" s="118" t="s">
        <v>487</v>
      </c>
      <c r="C384" s="234" t="s">
        <v>935</v>
      </c>
      <c r="D384" s="235" t="s">
        <v>33</v>
      </c>
      <c r="E384" s="234" t="s">
        <v>277</v>
      </c>
      <c r="F384" s="235" t="s">
        <v>1045</v>
      </c>
      <c r="G384" s="234" t="s">
        <v>1371</v>
      </c>
      <c r="H384" s="235">
        <v>3</v>
      </c>
      <c r="I384" s="235" t="s">
        <v>784</v>
      </c>
      <c r="J384" s="234" t="s">
        <v>1368</v>
      </c>
      <c r="K384" s="235">
        <v>77.39</v>
      </c>
      <c r="L384" s="216">
        <f>Tabla1[[#This Row],[Costo Unitario]]*Tabla1[[#This Row],[cantidad]]</f>
        <v>232.17000000000002</v>
      </c>
      <c r="M384" s="236">
        <v>43032</v>
      </c>
      <c r="N384" s="236">
        <v>43034</v>
      </c>
      <c r="O384" s="236" t="str">
        <f>IF( Tabla1[[#This Row],[Fecha de entrega real]]="","NO CONCRETADO",IF(N384&lt;=M384,"CUMPLIÓ","NO CUMPLIÓ"))</f>
        <v>NO CUMPLIÓ</v>
      </c>
      <c r="P384" s="141">
        <f t="shared" si="10"/>
        <v>2</v>
      </c>
      <c r="Q384" s="234" t="s">
        <v>1404</v>
      </c>
      <c r="R384" s="234" t="s">
        <v>33</v>
      </c>
      <c r="S384" s="4" t="s">
        <v>1982</v>
      </c>
      <c r="T384" s="235" t="s">
        <v>1405</v>
      </c>
      <c r="U384" s="237" t="s">
        <v>1406</v>
      </c>
      <c r="V384" s="235"/>
      <c r="W384" s="235"/>
      <c r="X384" s="235">
        <f>MONTH(Tabla1[[#This Row],[fecha
de
pedido]])</f>
        <v>10</v>
      </c>
      <c r="Y384" s="235">
        <f>YEAR(Tabla1[[#This Row],[fecha
de
pedido]])</f>
        <v>2017</v>
      </c>
    </row>
    <row r="385" spans="1:25" ht="25.5" customHeight="1" x14ac:dyDescent="0.2">
      <c r="A385" s="233">
        <v>43021</v>
      </c>
      <c r="B385" s="118" t="s">
        <v>487</v>
      </c>
      <c r="C385" s="234" t="s">
        <v>935</v>
      </c>
      <c r="D385" s="235" t="s">
        <v>33</v>
      </c>
      <c r="E385" s="234" t="s">
        <v>277</v>
      </c>
      <c r="F385" s="235" t="s">
        <v>1045</v>
      </c>
      <c r="G385" s="234" t="s">
        <v>1372</v>
      </c>
      <c r="H385" s="235">
        <v>1</v>
      </c>
      <c r="I385" s="235" t="s">
        <v>784</v>
      </c>
      <c r="J385" s="234" t="s">
        <v>1368</v>
      </c>
      <c r="K385" s="235">
        <v>303</v>
      </c>
      <c r="L385" s="216">
        <f>Tabla1[[#This Row],[Costo Unitario]]*Tabla1[[#This Row],[cantidad]]</f>
        <v>303</v>
      </c>
      <c r="M385" s="236">
        <v>43032</v>
      </c>
      <c r="N385" s="236">
        <v>43034</v>
      </c>
      <c r="O385" s="236" t="str">
        <f>IF( Tabla1[[#This Row],[Fecha de entrega real]]="","NO CONCRETADO",IF(N385&lt;=M385,"CUMPLIÓ","NO CUMPLIÓ"))</f>
        <v>NO CUMPLIÓ</v>
      </c>
      <c r="P385" s="141">
        <f t="shared" si="10"/>
        <v>2</v>
      </c>
      <c r="Q385" s="234" t="s">
        <v>1404</v>
      </c>
      <c r="R385" s="234" t="s">
        <v>33</v>
      </c>
      <c r="S385" s="4" t="s">
        <v>1982</v>
      </c>
      <c r="T385" s="235" t="s">
        <v>1405</v>
      </c>
      <c r="U385" s="237" t="s">
        <v>1406</v>
      </c>
      <c r="V385" s="235"/>
      <c r="W385" s="235"/>
      <c r="X385" s="235">
        <f>MONTH(Tabla1[[#This Row],[fecha
de
pedido]])</f>
        <v>10</v>
      </c>
      <c r="Y385" s="235">
        <f>YEAR(Tabla1[[#This Row],[fecha
de
pedido]])</f>
        <v>2017</v>
      </c>
    </row>
    <row r="386" spans="1:25" ht="25.5" customHeight="1" x14ac:dyDescent="0.2">
      <c r="A386" s="233">
        <v>43021</v>
      </c>
      <c r="B386" s="118" t="s">
        <v>487</v>
      </c>
      <c r="C386" s="234" t="s">
        <v>935</v>
      </c>
      <c r="D386" s="235" t="s">
        <v>33</v>
      </c>
      <c r="E386" s="234" t="s">
        <v>277</v>
      </c>
      <c r="F386" s="235" t="s">
        <v>1045</v>
      </c>
      <c r="G386" s="234" t="s">
        <v>1373</v>
      </c>
      <c r="H386" s="235">
        <v>2</v>
      </c>
      <c r="I386" s="235" t="s">
        <v>784</v>
      </c>
      <c r="J386" s="234" t="s">
        <v>1368</v>
      </c>
      <c r="K386" s="235">
        <v>164.11</v>
      </c>
      <c r="L386" s="216">
        <f>Tabla1[[#This Row],[Costo Unitario]]*Tabla1[[#This Row],[cantidad]]</f>
        <v>328.22</v>
      </c>
      <c r="M386" s="236">
        <v>43032</v>
      </c>
      <c r="N386" s="236">
        <v>43034</v>
      </c>
      <c r="O386" s="236" t="str">
        <f>IF( Tabla1[[#This Row],[Fecha de entrega real]]="","NO CONCRETADO",IF(N386&lt;=M386,"CUMPLIÓ","NO CUMPLIÓ"))</f>
        <v>NO CUMPLIÓ</v>
      </c>
      <c r="P386" s="141">
        <f t="shared" si="10"/>
        <v>2</v>
      </c>
      <c r="Q386" s="234" t="s">
        <v>1404</v>
      </c>
      <c r="R386" s="234" t="s">
        <v>33</v>
      </c>
      <c r="S386" s="4" t="s">
        <v>1982</v>
      </c>
      <c r="T386" s="235" t="s">
        <v>1405</v>
      </c>
      <c r="U386" s="237" t="s">
        <v>1406</v>
      </c>
      <c r="V386" s="235"/>
      <c r="W386" s="235"/>
      <c r="X386" s="235">
        <f>MONTH(Tabla1[[#This Row],[fecha
de
pedido]])</f>
        <v>10</v>
      </c>
      <c r="Y386" s="235">
        <f>YEAR(Tabla1[[#This Row],[fecha
de
pedido]])</f>
        <v>2017</v>
      </c>
    </row>
    <row r="387" spans="1:25" ht="25.5" customHeight="1" x14ac:dyDescent="0.2">
      <c r="A387" s="233">
        <v>43021</v>
      </c>
      <c r="B387" s="118" t="s">
        <v>487</v>
      </c>
      <c r="C387" s="234" t="s">
        <v>935</v>
      </c>
      <c r="D387" s="235" t="s">
        <v>33</v>
      </c>
      <c r="E387" s="234" t="s">
        <v>277</v>
      </c>
      <c r="F387" s="235" t="s">
        <v>1045</v>
      </c>
      <c r="G387" s="234" t="s">
        <v>1374</v>
      </c>
      <c r="H387" s="235">
        <v>3</v>
      </c>
      <c r="I387" s="235" t="s">
        <v>784</v>
      </c>
      <c r="J387" s="234" t="s">
        <v>1368</v>
      </c>
      <c r="K387" s="235">
        <v>72.040000000000006</v>
      </c>
      <c r="L387" s="216">
        <f>Tabla1[[#This Row],[Costo Unitario]]*Tabla1[[#This Row],[cantidad]]</f>
        <v>216.12</v>
      </c>
      <c r="M387" s="236">
        <v>43032</v>
      </c>
      <c r="N387" s="236">
        <v>43034</v>
      </c>
      <c r="O387" s="236" t="str">
        <f>IF( Tabla1[[#This Row],[Fecha de entrega real]]="","NO CONCRETADO",IF(N387&lt;=M387,"CUMPLIÓ","NO CUMPLIÓ"))</f>
        <v>NO CUMPLIÓ</v>
      </c>
      <c r="P387" s="141">
        <f t="shared" si="10"/>
        <v>2</v>
      </c>
      <c r="Q387" s="234" t="s">
        <v>1404</v>
      </c>
      <c r="R387" s="234" t="s">
        <v>33</v>
      </c>
      <c r="S387" s="4" t="s">
        <v>1982</v>
      </c>
      <c r="T387" s="235" t="s">
        <v>1405</v>
      </c>
      <c r="U387" s="237" t="s">
        <v>1406</v>
      </c>
      <c r="V387" s="235"/>
      <c r="W387" s="235"/>
      <c r="X387" s="235">
        <f>MONTH(Tabla1[[#This Row],[fecha
de
pedido]])</f>
        <v>10</v>
      </c>
      <c r="Y387" s="235">
        <f>YEAR(Tabla1[[#This Row],[fecha
de
pedido]])</f>
        <v>2017</v>
      </c>
    </row>
    <row r="388" spans="1:25" ht="25.5" customHeight="1" x14ac:dyDescent="0.2">
      <c r="A388" s="233">
        <v>43021</v>
      </c>
      <c r="B388" s="118" t="s">
        <v>487</v>
      </c>
      <c r="C388" s="234" t="s">
        <v>935</v>
      </c>
      <c r="D388" s="235" t="s">
        <v>33</v>
      </c>
      <c r="E388" s="234" t="s">
        <v>277</v>
      </c>
      <c r="F388" s="235" t="s">
        <v>1045</v>
      </c>
      <c r="G388" s="234" t="s">
        <v>1375</v>
      </c>
      <c r="H388" s="235">
        <v>4</v>
      </c>
      <c r="I388" s="235" t="s">
        <v>784</v>
      </c>
      <c r="J388" s="234" t="s">
        <v>1368</v>
      </c>
      <c r="K388" s="235">
        <v>18.79</v>
      </c>
      <c r="L388" s="216">
        <f>Tabla1[[#This Row],[Costo Unitario]]*Tabla1[[#This Row],[cantidad]]</f>
        <v>75.16</v>
      </c>
      <c r="M388" s="236">
        <v>43032</v>
      </c>
      <c r="N388" s="236">
        <v>43034</v>
      </c>
      <c r="O388" s="236" t="str">
        <f>IF( Tabla1[[#This Row],[Fecha de entrega real]]="","NO CONCRETADO",IF(N388&lt;=M388,"CUMPLIÓ","NO CUMPLIÓ"))</f>
        <v>NO CUMPLIÓ</v>
      </c>
      <c r="P388" s="141">
        <f t="shared" si="10"/>
        <v>2</v>
      </c>
      <c r="Q388" s="234" t="s">
        <v>1404</v>
      </c>
      <c r="R388" s="234" t="s">
        <v>33</v>
      </c>
      <c r="S388" s="4" t="s">
        <v>1982</v>
      </c>
      <c r="T388" s="235" t="s">
        <v>1405</v>
      </c>
      <c r="U388" s="237" t="s">
        <v>1406</v>
      </c>
      <c r="V388" s="235"/>
      <c r="W388" s="235"/>
      <c r="X388" s="235">
        <f>MONTH(Tabla1[[#This Row],[fecha
de
pedido]])</f>
        <v>10</v>
      </c>
      <c r="Y388" s="235">
        <f>YEAR(Tabla1[[#This Row],[fecha
de
pedido]])</f>
        <v>2017</v>
      </c>
    </row>
    <row r="389" spans="1:25" ht="25.5" customHeight="1" x14ac:dyDescent="0.2">
      <c r="A389" s="233">
        <v>43021</v>
      </c>
      <c r="B389" s="118" t="s">
        <v>487</v>
      </c>
      <c r="C389" s="234" t="s">
        <v>935</v>
      </c>
      <c r="D389" s="235" t="s">
        <v>33</v>
      </c>
      <c r="E389" s="234" t="s">
        <v>277</v>
      </c>
      <c r="F389" s="235" t="s">
        <v>1045</v>
      </c>
      <c r="G389" s="234" t="s">
        <v>1376</v>
      </c>
      <c r="H389" s="235">
        <v>30</v>
      </c>
      <c r="I389" s="235" t="s">
        <v>784</v>
      </c>
      <c r="J389" s="234" t="s">
        <v>1368</v>
      </c>
      <c r="K389" s="235">
        <v>14.86</v>
      </c>
      <c r="L389" s="216">
        <f>Tabla1[[#This Row],[Costo Unitario]]*Tabla1[[#This Row],[cantidad]]</f>
        <v>445.79999999999995</v>
      </c>
      <c r="M389" s="236">
        <v>43032</v>
      </c>
      <c r="N389" s="236">
        <v>43034</v>
      </c>
      <c r="O389" s="236" t="str">
        <f>IF( Tabla1[[#This Row],[Fecha de entrega real]]="","NO CONCRETADO",IF(N389&lt;=M389,"CUMPLIÓ","NO CUMPLIÓ"))</f>
        <v>NO CUMPLIÓ</v>
      </c>
      <c r="P389" s="141">
        <f t="shared" si="10"/>
        <v>2</v>
      </c>
      <c r="Q389" s="234" t="s">
        <v>1404</v>
      </c>
      <c r="R389" s="234" t="s">
        <v>33</v>
      </c>
      <c r="S389" s="4" t="s">
        <v>1982</v>
      </c>
      <c r="T389" s="235" t="s">
        <v>1405</v>
      </c>
      <c r="U389" s="237" t="s">
        <v>1406</v>
      </c>
      <c r="V389" s="235"/>
      <c r="W389" s="235"/>
      <c r="X389" s="235">
        <f>MONTH(Tabla1[[#This Row],[fecha
de
pedido]])</f>
        <v>10</v>
      </c>
      <c r="Y389" s="235">
        <f>YEAR(Tabla1[[#This Row],[fecha
de
pedido]])</f>
        <v>2017</v>
      </c>
    </row>
    <row r="390" spans="1:25" ht="25.5" customHeight="1" x14ac:dyDescent="0.2">
      <c r="A390" s="233">
        <v>43021</v>
      </c>
      <c r="B390" s="118" t="s">
        <v>487</v>
      </c>
      <c r="C390" s="234" t="s">
        <v>935</v>
      </c>
      <c r="D390" s="235" t="s">
        <v>33</v>
      </c>
      <c r="E390" s="234" t="s">
        <v>277</v>
      </c>
      <c r="F390" s="235" t="s">
        <v>1045</v>
      </c>
      <c r="G390" s="234" t="s">
        <v>1377</v>
      </c>
      <c r="H390" s="235">
        <v>1</v>
      </c>
      <c r="I390" s="235" t="s">
        <v>488</v>
      </c>
      <c r="J390" s="234" t="s">
        <v>1368</v>
      </c>
      <c r="K390" s="235">
        <v>47.73</v>
      </c>
      <c r="L390" s="216">
        <f>Tabla1[[#This Row],[Costo Unitario]]*Tabla1[[#This Row],[cantidad]]</f>
        <v>47.73</v>
      </c>
      <c r="M390" s="236">
        <v>43032</v>
      </c>
      <c r="N390" s="236">
        <v>43034</v>
      </c>
      <c r="O390" s="236" t="str">
        <f>IF( Tabla1[[#This Row],[Fecha de entrega real]]="","NO CONCRETADO",IF(N390&lt;=M390,"CUMPLIÓ","NO CUMPLIÓ"))</f>
        <v>NO CUMPLIÓ</v>
      </c>
      <c r="P390" s="141">
        <f t="shared" si="10"/>
        <v>2</v>
      </c>
      <c r="Q390" s="234" t="s">
        <v>1404</v>
      </c>
      <c r="R390" s="234" t="s">
        <v>33</v>
      </c>
      <c r="S390" s="4" t="s">
        <v>1982</v>
      </c>
      <c r="T390" s="235" t="s">
        <v>1405</v>
      </c>
      <c r="U390" s="237" t="s">
        <v>1406</v>
      </c>
      <c r="V390" s="235"/>
      <c r="W390" s="235"/>
      <c r="X390" s="235">
        <f>MONTH(Tabla1[[#This Row],[fecha
de
pedido]])</f>
        <v>10</v>
      </c>
      <c r="Y390" s="235">
        <f>YEAR(Tabla1[[#This Row],[fecha
de
pedido]])</f>
        <v>2017</v>
      </c>
    </row>
    <row r="391" spans="1:25" ht="25.5" customHeight="1" x14ac:dyDescent="0.2">
      <c r="A391" s="233">
        <v>43021</v>
      </c>
      <c r="B391" s="118" t="s">
        <v>487</v>
      </c>
      <c r="C391" s="234" t="s">
        <v>935</v>
      </c>
      <c r="D391" s="235" t="s">
        <v>33</v>
      </c>
      <c r="E391" s="234" t="s">
        <v>277</v>
      </c>
      <c r="F391" s="235" t="s">
        <v>1045</v>
      </c>
      <c r="G391" s="234" t="s">
        <v>1378</v>
      </c>
      <c r="H391" s="235">
        <v>1</v>
      </c>
      <c r="I391" s="235" t="s">
        <v>488</v>
      </c>
      <c r="J391" s="234" t="s">
        <v>1368</v>
      </c>
      <c r="K391" s="235">
        <v>47.73</v>
      </c>
      <c r="L391" s="216">
        <f>Tabla1[[#This Row],[Costo Unitario]]*Tabla1[[#This Row],[cantidad]]</f>
        <v>47.73</v>
      </c>
      <c r="M391" s="236">
        <v>43032</v>
      </c>
      <c r="N391" s="236">
        <v>43034</v>
      </c>
      <c r="O391" s="236" t="str">
        <f>IF( Tabla1[[#This Row],[Fecha de entrega real]]="","NO CONCRETADO",IF(N391&lt;=M391,"CUMPLIÓ","NO CUMPLIÓ"))</f>
        <v>NO CUMPLIÓ</v>
      </c>
      <c r="P391" s="141">
        <f t="shared" si="10"/>
        <v>2</v>
      </c>
      <c r="Q391" s="234" t="s">
        <v>1404</v>
      </c>
      <c r="R391" s="234" t="s">
        <v>33</v>
      </c>
      <c r="S391" s="4" t="s">
        <v>1982</v>
      </c>
      <c r="T391" s="235" t="s">
        <v>1405</v>
      </c>
      <c r="U391" s="237" t="s">
        <v>1406</v>
      </c>
      <c r="V391" s="235"/>
      <c r="W391" s="235"/>
      <c r="X391" s="235">
        <f>MONTH(Tabla1[[#This Row],[fecha
de
pedido]])</f>
        <v>10</v>
      </c>
      <c r="Y391" s="235">
        <f>YEAR(Tabla1[[#This Row],[fecha
de
pedido]])</f>
        <v>2017</v>
      </c>
    </row>
    <row r="392" spans="1:25" ht="25.5" customHeight="1" x14ac:dyDescent="0.2">
      <c r="A392" s="233">
        <v>43021</v>
      </c>
      <c r="B392" s="118" t="s">
        <v>487</v>
      </c>
      <c r="C392" s="234" t="s">
        <v>935</v>
      </c>
      <c r="D392" s="235" t="s">
        <v>33</v>
      </c>
      <c r="E392" s="234" t="s">
        <v>277</v>
      </c>
      <c r="F392" s="235" t="s">
        <v>1045</v>
      </c>
      <c r="G392" s="234" t="s">
        <v>1379</v>
      </c>
      <c r="H392" s="235">
        <v>1</v>
      </c>
      <c r="I392" s="235" t="s">
        <v>488</v>
      </c>
      <c r="J392" s="234" t="s">
        <v>1368</v>
      </c>
      <c r="K392" s="235">
        <v>258.72000000000003</v>
      </c>
      <c r="L392" s="216">
        <f>Tabla1[[#This Row],[Costo Unitario]]*Tabla1[[#This Row],[cantidad]]</f>
        <v>258.72000000000003</v>
      </c>
      <c r="M392" s="236">
        <v>43032</v>
      </c>
      <c r="N392" s="236">
        <v>43034</v>
      </c>
      <c r="O392" s="236" t="str">
        <f>IF( Tabla1[[#This Row],[Fecha de entrega real]]="","NO CONCRETADO",IF(N392&lt;=M392,"CUMPLIÓ","NO CUMPLIÓ"))</f>
        <v>NO CUMPLIÓ</v>
      </c>
      <c r="P392" s="141">
        <f t="shared" si="10"/>
        <v>2</v>
      </c>
      <c r="Q392" s="234" t="s">
        <v>1404</v>
      </c>
      <c r="R392" s="234" t="s">
        <v>33</v>
      </c>
      <c r="S392" s="4" t="s">
        <v>1982</v>
      </c>
      <c r="T392" s="235" t="s">
        <v>1405</v>
      </c>
      <c r="U392" s="237" t="s">
        <v>1406</v>
      </c>
      <c r="V392" s="235"/>
      <c r="W392" s="235"/>
      <c r="X392" s="235">
        <f>MONTH(Tabla1[[#This Row],[fecha
de
pedido]])</f>
        <v>10</v>
      </c>
      <c r="Y392" s="235">
        <f>YEAR(Tabla1[[#This Row],[fecha
de
pedido]])</f>
        <v>2017</v>
      </c>
    </row>
    <row r="393" spans="1:25" ht="25.5" customHeight="1" x14ac:dyDescent="0.2">
      <c r="A393" s="233">
        <v>43021</v>
      </c>
      <c r="B393" s="118" t="s">
        <v>487</v>
      </c>
      <c r="C393" s="234" t="s">
        <v>935</v>
      </c>
      <c r="D393" s="235" t="s">
        <v>33</v>
      </c>
      <c r="E393" s="234" t="s">
        <v>277</v>
      </c>
      <c r="F393" s="235" t="s">
        <v>1045</v>
      </c>
      <c r="G393" s="234" t="s">
        <v>1380</v>
      </c>
      <c r="H393" s="235">
        <v>5</v>
      </c>
      <c r="I393" s="235" t="s">
        <v>784</v>
      </c>
      <c r="J393" s="234" t="s">
        <v>1368</v>
      </c>
      <c r="K393" s="235">
        <v>5.2</v>
      </c>
      <c r="L393" s="216">
        <f>Tabla1[[#This Row],[Costo Unitario]]*Tabla1[[#This Row],[cantidad]]</f>
        <v>26</v>
      </c>
      <c r="M393" s="236">
        <v>43032</v>
      </c>
      <c r="N393" s="236">
        <v>43034</v>
      </c>
      <c r="O393" s="236" t="str">
        <f>IF( Tabla1[[#This Row],[Fecha de entrega real]]="","NO CONCRETADO",IF(N393&lt;=M393,"CUMPLIÓ","NO CUMPLIÓ"))</f>
        <v>NO CUMPLIÓ</v>
      </c>
      <c r="P393" s="141">
        <f t="shared" si="10"/>
        <v>2</v>
      </c>
      <c r="Q393" s="234" t="s">
        <v>1404</v>
      </c>
      <c r="R393" s="234" t="s">
        <v>33</v>
      </c>
      <c r="S393" s="4" t="s">
        <v>1982</v>
      </c>
      <c r="T393" s="235" t="s">
        <v>1405</v>
      </c>
      <c r="U393" s="237" t="s">
        <v>1406</v>
      </c>
      <c r="V393" s="235"/>
      <c r="W393" s="235"/>
      <c r="X393" s="235">
        <f>MONTH(Tabla1[[#This Row],[fecha
de
pedido]])</f>
        <v>10</v>
      </c>
      <c r="Y393" s="235">
        <f>YEAR(Tabla1[[#This Row],[fecha
de
pedido]])</f>
        <v>2017</v>
      </c>
    </row>
    <row r="394" spans="1:25" ht="25.5" customHeight="1" x14ac:dyDescent="0.2">
      <c r="A394" s="233">
        <v>43021</v>
      </c>
      <c r="B394" s="118" t="s">
        <v>487</v>
      </c>
      <c r="C394" s="234" t="s">
        <v>935</v>
      </c>
      <c r="D394" s="235" t="s">
        <v>33</v>
      </c>
      <c r="E394" s="234" t="s">
        <v>277</v>
      </c>
      <c r="F394" s="235" t="s">
        <v>1045</v>
      </c>
      <c r="G394" s="234" t="s">
        <v>1381</v>
      </c>
      <c r="H394" s="235">
        <v>2</v>
      </c>
      <c r="I394" s="235" t="s">
        <v>784</v>
      </c>
      <c r="J394" s="234" t="s">
        <v>1368</v>
      </c>
      <c r="K394" s="235">
        <v>259.55</v>
      </c>
      <c r="L394" s="216">
        <f>Tabla1[[#This Row],[Costo Unitario]]*Tabla1[[#This Row],[cantidad]]</f>
        <v>519.1</v>
      </c>
      <c r="M394" s="236">
        <v>43032</v>
      </c>
      <c r="N394" s="236">
        <v>43034</v>
      </c>
      <c r="O394" s="236" t="str">
        <f>IF( Tabla1[[#This Row],[Fecha de entrega real]]="","NO CONCRETADO",IF(N394&lt;=M394,"CUMPLIÓ","NO CUMPLIÓ"))</f>
        <v>NO CUMPLIÓ</v>
      </c>
      <c r="P394" s="141">
        <f t="shared" si="10"/>
        <v>2</v>
      </c>
      <c r="Q394" s="234" t="s">
        <v>1404</v>
      </c>
      <c r="R394" s="234" t="s">
        <v>33</v>
      </c>
      <c r="S394" s="4" t="s">
        <v>1982</v>
      </c>
      <c r="T394" s="235" t="s">
        <v>1405</v>
      </c>
      <c r="U394" s="237" t="s">
        <v>1406</v>
      </c>
      <c r="V394" s="235"/>
      <c r="W394" s="235"/>
      <c r="X394" s="235">
        <f>MONTH(Tabla1[[#This Row],[fecha
de
pedido]])</f>
        <v>10</v>
      </c>
      <c r="Y394" s="235">
        <f>YEAR(Tabla1[[#This Row],[fecha
de
pedido]])</f>
        <v>2017</v>
      </c>
    </row>
    <row r="395" spans="1:25" ht="25.5" customHeight="1" x14ac:dyDescent="0.2">
      <c r="A395" s="233">
        <v>43021</v>
      </c>
      <c r="B395" s="118" t="s">
        <v>487</v>
      </c>
      <c r="C395" s="234" t="s">
        <v>935</v>
      </c>
      <c r="D395" s="235" t="s">
        <v>33</v>
      </c>
      <c r="E395" s="234" t="s">
        <v>277</v>
      </c>
      <c r="F395" s="235" t="s">
        <v>1045</v>
      </c>
      <c r="G395" s="234" t="s">
        <v>1382</v>
      </c>
      <c r="H395" s="235">
        <v>5</v>
      </c>
      <c r="I395" s="235" t="s">
        <v>784</v>
      </c>
      <c r="J395" s="234" t="s">
        <v>1368</v>
      </c>
      <c r="K395" s="235">
        <v>13.27</v>
      </c>
      <c r="L395" s="216">
        <f>Tabla1[[#This Row],[Costo Unitario]]*Tabla1[[#This Row],[cantidad]]</f>
        <v>66.349999999999994</v>
      </c>
      <c r="M395" s="236">
        <v>43032</v>
      </c>
      <c r="N395" s="236">
        <v>43034</v>
      </c>
      <c r="O395" s="236" t="str">
        <f>IF( Tabla1[[#This Row],[Fecha de entrega real]]="","NO CONCRETADO",IF(N395&lt;=M395,"CUMPLIÓ","NO CUMPLIÓ"))</f>
        <v>NO CUMPLIÓ</v>
      </c>
      <c r="P395" s="141">
        <f t="shared" si="10"/>
        <v>2</v>
      </c>
      <c r="Q395" s="234" t="s">
        <v>1404</v>
      </c>
      <c r="R395" s="234" t="s">
        <v>33</v>
      </c>
      <c r="S395" s="4" t="s">
        <v>1982</v>
      </c>
      <c r="T395" s="235" t="s">
        <v>1405</v>
      </c>
      <c r="U395" s="237" t="s">
        <v>1406</v>
      </c>
      <c r="V395" s="235"/>
      <c r="W395" s="235"/>
      <c r="X395" s="235">
        <f>MONTH(Tabla1[[#This Row],[fecha
de
pedido]])</f>
        <v>10</v>
      </c>
      <c r="Y395" s="235">
        <f>YEAR(Tabla1[[#This Row],[fecha
de
pedido]])</f>
        <v>2017</v>
      </c>
    </row>
    <row r="396" spans="1:25" ht="25.5" customHeight="1" x14ac:dyDescent="0.2">
      <c r="A396" s="233">
        <v>43021</v>
      </c>
      <c r="B396" s="118" t="s">
        <v>487</v>
      </c>
      <c r="C396" s="234" t="s">
        <v>935</v>
      </c>
      <c r="D396" s="235" t="s">
        <v>33</v>
      </c>
      <c r="E396" s="234" t="s">
        <v>277</v>
      </c>
      <c r="F396" s="235" t="s">
        <v>1045</v>
      </c>
      <c r="G396" s="234" t="s">
        <v>1383</v>
      </c>
      <c r="H396" s="235">
        <v>5</v>
      </c>
      <c r="I396" s="235" t="s">
        <v>784</v>
      </c>
      <c r="J396" s="234" t="s">
        <v>1368</v>
      </c>
      <c r="K396" s="235">
        <v>13.27</v>
      </c>
      <c r="L396" s="216">
        <f>Tabla1[[#This Row],[Costo Unitario]]*Tabla1[[#This Row],[cantidad]]</f>
        <v>66.349999999999994</v>
      </c>
      <c r="M396" s="236">
        <v>43032</v>
      </c>
      <c r="N396" s="236">
        <v>43034</v>
      </c>
      <c r="O396" s="236" t="str">
        <f>IF( Tabla1[[#This Row],[Fecha de entrega real]]="","NO CONCRETADO",IF(N396&lt;=M396,"CUMPLIÓ","NO CUMPLIÓ"))</f>
        <v>NO CUMPLIÓ</v>
      </c>
      <c r="P396" s="141">
        <f t="shared" si="10"/>
        <v>2</v>
      </c>
      <c r="Q396" s="234" t="s">
        <v>1404</v>
      </c>
      <c r="R396" s="234" t="s">
        <v>33</v>
      </c>
      <c r="S396" s="4" t="s">
        <v>1982</v>
      </c>
      <c r="T396" s="235" t="s">
        <v>1405</v>
      </c>
      <c r="U396" s="237" t="s">
        <v>1406</v>
      </c>
      <c r="V396" s="235"/>
      <c r="W396" s="235"/>
      <c r="X396" s="235">
        <f>MONTH(Tabla1[[#This Row],[fecha
de
pedido]])</f>
        <v>10</v>
      </c>
      <c r="Y396" s="235">
        <f>YEAR(Tabla1[[#This Row],[fecha
de
pedido]])</f>
        <v>2017</v>
      </c>
    </row>
    <row r="397" spans="1:25" ht="25.5" customHeight="1" x14ac:dyDescent="0.2">
      <c r="A397" s="233">
        <v>43021</v>
      </c>
      <c r="B397" s="118" t="s">
        <v>487</v>
      </c>
      <c r="C397" s="234" t="s">
        <v>935</v>
      </c>
      <c r="D397" s="235" t="s">
        <v>33</v>
      </c>
      <c r="E397" s="234" t="s">
        <v>277</v>
      </c>
      <c r="F397" s="235" t="s">
        <v>1045</v>
      </c>
      <c r="G397" s="234" t="s">
        <v>1384</v>
      </c>
      <c r="H397" s="235">
        <v>5</v>
      </c>
      <c r="I397" s="235" t="s">
        <v>784</v>
      </c>
      <c r="J397" s="234" t="s">
        <v>1368</v>
      </c>
      <c r="K397" s="235">
        <v>13.27</v>
      </c>
      <c r="L397" s="216">
        <f>Tabla1[[#This Row],[Costo Unitario]]*Tabla1[[#This Row],[cantidad]]</f>
        <v>66.349999999999994</v>
      </c>
      <c r="M397" s="236">
        <v>43032</v>
      </c>
      <c r="N397" s="236">
        <v>43034</v>
      </c>
      <c r="O397" s="236" t="str">
        <f>IF( Tabla1[[#This Row],[Fecha de entrega real]]="","NO CONCRETADO",IF(N397&lt;=M397,"CUMPLIÓ","NO CUMPLIÓ"))</f>
        <v>NO CUMPLIÓ</v>
      </c>
      <c r="P397" s="141">
        <f t="shared" si="10"/>
        <v>2</v>
      </c>
      <c r="Q397" s="234" t="s">
        <v>1404</v>
      </c>
      <c r="R397" s="234" t="s">
        <v>33</v>
      </c>
      <c r="S397" s="4" t="s">
        <v>1982</v>
      </c>
      <c r="T397" s="235" t="s">
        <v>1405</v>
      </c>
      <c r="U397" s="237" t="s">
        <v>1406</v>
      </c>
      <c r="V397" s="235"/>
      <c r="W397" s="235"/>
      <c r="X397" s="235">
        <f>MONTH(Tabla1[[#This Row],[fecha
de
pedido]])</f>
        <v>10</v>
      </c>
      <c r="Y397" s="235">
        <f>YEAR(Tabla1[[#This Row],[fecha
de
pedido]])</f>
        <v>2017</v>
      </c>
    </row>
    <row r="398" spans="1:25" ht="25.5" customHeight="1" x14ac:dyDescent="0.2">
      <c r="A398" s="233">
        <v>43021</v>
      </c>
      <c r="B398" s="118" t="s">
        <v>487</v>
      </c>
      <c r="C398" s="234" t="s">
        <v>935</v>
      </c>
      <c r="D398" s="235" t="s">
        <v>33</v>
      </c>
      <c r="E398" s="234" t="s">
        <v>277</v>
      </c>
      <c r="F398" s="235" t="s">
        <v>1045</v>
      </c>
      <c r="G398" s="234" t="s">
        <v>1385</v>
      </c>
      <c r="H398" s="235">
        <v>6</v>
      </c>
      <c r="I398" s="235" t="s">
        <v>784</v>
      </c>
      <c r="J398" s="234" t="s">
        <v>1368</v>
      </c>
      <c r="K398" s="235">
        <v>44.09</v>
      </c>
      <c r="L398" s="216">
        <f>Tabla1[[#This Row],[Costo Unitario]]*Tabla1[[#This Row],[cantidad]]</f>
        <v>264.54000000000002</v>
      </c>
      <c r="M398" s="236">
        <v>43032</v>
      </c>
      <c r="N398" s="236">
        <v>43034</v>
      </c>
      <c r="O398" s="236" t="str">
        <f>IF( Tabla1[[#This Row],[Fecha de entrega real]]="","NO CONCRETADO",IF(N398&lt;=M398,"CUMPLIÓ","NO CUMPLIÓ"))</f>
        <v>NO CUMPLIÓ</v>
      </c>
      <c r="P398" s="141">
        <f t="shared" si="10"/>
        <v>2</v>
      </c>
      <c r="Q398" s="234" t="s">
        <v>1404</v>
      </c>
      <c r="R398" s="234" t="s">
        <v>33</v>
      </c>
      <c r="S398" s="4" t="s">
        <v>1982</v>
      </c>
      <c r="T398" s="235" t="s">
        <v>1405</v>
      </c>
      <c r="U398" s="237" t="s">
        <v>1406</v>
      </c>
      <c r="V398" s="235"/>
      <c r="W398" s="235"/>
      <c r="X398" s="235">
        <f>MONTH(Tabla1[[#This Row],[fecha
de
pedido]])</f>
        <v>10</v>
      </c>
      <c r="Y398" s="235">
        <f>YEAR(Tabla1[[#This Row],[fecha
de
pedido]])</f>
        <v>2017</v>
      </c>
    </row>
    <row r="399" spans="1:25" ht="25.5" customHeight="1" x14ac:dyDescent="0.2">
      <c r="A399" s="233">
        <v>43021</v>
      </c>
      <c r="B399" s="118" t="s">
        <v>487</v>
      </c>
      <c r="C399" s="234" t="s">
        <v>935</v>
      </c>
      <c r="D399" s="235" t="s">
        <v>33</v>
      </c>
      <c r="E399" s="234" t="s">
        <v>277</v>
      </c>
      <c r="F399" s="235" t="s">
        <v>1045</v>
      </c>
      <c r="G399" s="234" t="s">
        <v>1386</v>
      </c>
      <c r="H399" s="235">
        <v>4</v>
      </c>
      <c r="I399" s="235" t="s">
        <v>784</v>
      </c>
      <c r="J399" s="234" t="s">
        <v>1368</v>
      </c>
      <c r="K399" s="235">
        <v>31.29</v>
      </c>
      <c r="L399" s="216">
        <f>Tabla1[[#This Row],[Costo Unitario]]*Tabla1[[#This Row],[cantidad]]</f>
        <v>125.16</v>
      </c>
      <c r="M399" s="236">
        <v>43032</v>
      </c>
      <c r="N399" s="236">
        <v>43034</v>
      </c>
      <c r="O399" s="236" t="str">
        <f>IF( Tabla1[[#This Row],[Fecha de entrega real]]="","NO CONCRETADO",IF(N399&lt;=M399,"CUMPLIÓ","NO CUMPLIÓ"))</f>
        <v>NO CUMPLIÓ</v>
      </c>
      <c r="P399" s="141">
        <f t="shared" si="10"/>
        <v>2</v>
      </c>
      <c r="Q399" s="234" t="s">
        <v>1404</v>
      </c>
      <c r="R399" s="234" t="s">
        <v>33</v>
      </c>
      <c r="S399" s="4" t="s">
        <v>1982</v>
      </c>
      <c r="T399" s="235" t="s">
        <v>1405</v>
      </c>
      <c r="U399" s="237" t="s">
        <v>1406</v>
      </c>
      <c r="V399" s="235"/>
      <c r="W399" s="235"/>
      <c r="X399" s="235">
        <f>MONTH(Tabla1[[#This Row],[fecha
de
pedido]])</f>
        <v>10</v>
      </c>
      <c r="Y399" s="235">
        <f>YEAR(Tabla1[[#This Row],[fecha
de
pedido]])</f>
        <v>2017</v>
      </c>
    </row>
    <row r="400" spans="1:25" ht="25.5" customHeight="1" x14ac:dyDescent="0.2">
      <c r="A400" s="233">
        <v>43021</v>
      </c>
      <c r="B400" s="118" t="s">
        <v>487</v>
      </c>
      <c r="C400" s="234" t="s">
        <v>935</v>
      </c>
      <c r="D400" s="235" t="s">
        <v>33</v>
      </c>
      <c r="E400" s="234" t="s">
        <v>277</v>
      </c>
      <c r="F400" s="235" t="s">
        <v>1045</v>
      </c>
      <c r="G400" s="234" t="s">
        <v>1387</v>
      </c>
      <c r="H400" s="235">
        <v>2</v>
      </c>
      <c r="I400" s="235" t="s">
        <v>784</v>
      </c>
      <c r="J400" s="234" t="s">
        <v>1368</v>
      </c>
      <c r="K400" s="235">
        <v>7.1</v>
      </c>
      <c r="L400" s="216">
        <f>Tabla1[[#This Row],[Costo Unitario]]*Tabla1[[#This Row],[cantidad]]</f>
        <v>14.2</v>
      </c>
      <c r="M400" s="236">
        <v>43032</v>
      </c>
      <c r="N400" s="236">
        <v>43034</v>
      </c>
      <c r="O400" s="236" t="str">
        <f>IF( Tabla1[[#This Row],[Fecha de entrega real]]="","NO CONCRETADO",IF(N400&lt;=M400,"CUMPLIÓ","NO CUMPLIÓ"))</f>
        <v>NO CUMPLIÓ</v>
      </c>
      <c r="P400" s="141">
        <f t="shared" si="10"/>
        <v>2</v>
      </c>
      <c r="Q400" s="234" t="s">
        <v>1404</v>
      </c>
      <c r="R400" s="234" t="s">
        <v>33</v>
      </c>
      <c r="S400" s="4" t="s">
        <v>1982</v>
      </c>
      <c r="T400" s="235" t="s">
        <v>1405</v>
      </c>
      <c r="U400" s="237" t="s">
        <v>1406</v>
      </c>
      <c r="V400" s="235"/>
      <c r="W400" s="235"/>
      <c r="X400" s="235">
        <f>MONTH(Tabla1[[#This Row],[fecha
de
pedido]])</f>
        <v>10</v>
      </c>
      <c r="Y400" s="235">
        <f>YEAR(Tabla1[[#This Row],[fecha
de
pedido]])</f>
        <v>2017</v>
      </c>
    </row>
    <row r="401" spans="1:25" ht="25.5" customHeight="1" x14ac:dyDescent="0.2">
      <c r="A401" s="233">
        <v>43021</v>
      </c>
      <c r="B401" s="118" t="s">
        <v>487</v>
      </c>
      <c r="C401" s="234" t="s">
        <v>935</v>
      </c>
      <c r="D401" s="235" t="s">
        <v>33</v>
      </c>
      <c r="E401" s="234" t="s">
        <v>277</v>
      </c>
      <c r="F401" s="235" t="s">
        <v>1045</v>
      </c>
      <c r="G401" s="234" t="s">
        <v>1388</v>
      </c>
      <c r="H401" s="235">
        <v>2</v>
      </c>
      <c r="I401" s="235" t="s">
        <v>784</v>
      </c>
      <c r="J401" s="234" t="s">
        <v>1368</v>
      </c>
      <c r="K401" s="235">
        <v>24.53</v>
      </c>
      <c r="L401" s="216">
        <f>Tabla1[[#This Row],[Costo Unitario]]*Tabla1[[#This Row],[cantidad]]</f>
        <v>49.06</v>
      </c>
      <c r="M401" s="236">
        <v>43032</v>
      </c>
      <c r="N401" s="236">
        <v>43034</v>
      </c>
      <c r="O401" s="236" t="str">
        <f>IF( Tabla1[[#This Row],[Fecha de entrega real]]="","NO CONCRETADO",IF(N401&lt;=M401,"CUMPLIÓ","NO CUMPLIÓ"))</f>
        <v>NO CUMPLIÓ</v>
      </c>
      <c r="P401" s="141">
        <f t="shared" si="10"/>
        <v>2</v>
      </c>
      <c r="Q401" s="234" t="s">
        <v>1404</v>
      </c>
      <c r="R401" s="234" t="s">
        <v>33</v>
      </c>
      <c r="S401" s="4" t="s">
        <v>1982</v>
      </c>
      <c r="T401" s="235" t="s">
        <v>1405</v>
      </c>
      <c r="U401" s="237" t="s">
        <v>1406</v>
      </c>
      <c r="V401" s="235"/>
      <c r="W401" s="235"/>
      <c r="X401" s="235">
        <f>MONTH(Tabla1[[#This Row],[fecha
de
pedido]])</f>
        <v>10</v>
      </c>
      <c r="Y401" s="235">
        <f>YEAR(Tabla1[[#This Row],[fecha
de
pedido]])</f>
        <v>2017</v>
      </c>
    </row>
    <row r="402" spans="1:25" ht="25.5" customHeight="1" x14ac:dyDescent="0.2">
      <c r="A402" s="233">
        <v>43021</v>
      </c>
      <c r="B402" s="118" t="s">
        <v>487</v>
      </c>
      <c r="C402" s="234" t="s">
        <v>935</v>
      </c>
      <c r="D402" s="235" t="s">
        <v>33</v>
      </c>
      <c r="E402" s="234" t="s">
        <v>277</v>
      </c>
      <c r="F402" s="235" t="s">
        <v>1045</v>
      </c>
      <c r="G402" s="234" t="s">
        <v>1389</v>
      </c>
      <c r="H402" s="235">
        <v>2</v>
      </c>
      <c r="I402" s="235" t="s">
        <v>784</v>
      </c>
      <c r="J402" s="234" t="s">
        <v>1368</v>
      </c>
      <c r="K402" s="235">
        <v>35.56</v>
      </c>
      <c r="L402" s="216">
        <f>Tabla1[[#This Row],[Costo Unitario]]*Tabla1[[#This Row],[cantidad]]</f>
        <v>71.12</v>
      </c>
      <c r="M402" s="236">
        <v>43032</v>
      </c>
      <c r="N402" s="236">
        <v>43034</v>
      </c>
      <c r="O402" s="236" t="str">
        <f>IF( Tabla1[[#This Row],[Fecha de entrega real]]="","NO CONCRETADO",IF(N402&lt;=M402,"CUMPLIÓ","NO CUMPLIÓ"))</f>
        <v>NO CUMPLIÓ</v>
      </c>
      <c r="P402" s="141">
        <f t="shared" si="10"/>
        <v>2</v>
      </c>
      <c r="Q402" s="234" t="s">
        <v>1404</v>
      </c>
      <c r="R402" s="234" t="s">
        <v>33</v>
      </c>
      <c r="S402" s="4" t="s">
        <v>1982</v>
      </c>
      <c r="T402" s="235" t="s">
        <v>1405</v>
      </c>
      <c r="U402" s="237" t="s">
        <v>1406</v>
      </c>
      <c r="V402" s="235"/>
      <c r="W402" s="235"/>
      <c r="X402" s="235">
        <f>MONTH(Tabla1[[#This Row],[fecha
de
pedido]])</f>
        <v>10</v>
      </c>
      <c r="Y402" s="235">
        <f>YEAR(Tabla1[[#This Row],[fecha
de
pedido]])</f>
        <v>2017</v>
      </c>
    </row>
    <row r="403" spans="1:25" ht="25.5" customHeight="1" x14ac:dyDescent="0.2">
      <c r="A403" s="233">
        <v>43021</v>
      </c>
      <c r="B403" s="118" t="s">
        <v>487</v>
      </c>
      <c r="C403" s="234" t="s">
        <v>935</v>
      </c>
      <c r="D403" s="235" t="s">
        <v>33</v>
      </c>
      <c r="E403" s="234" t="s">
        <v>277</v>
      </c>
      <c r="F403" s="235" t="s">
        <v>1045</v>
      </c>
      <c r="G403" s="234" t="s">
        <v>1390</v>
      </c>
      <c r="H403" s="235">
        <v>2</v>
      </c>
      <c r="I403" s="235" t="s">
        <v>784</v>
      </c>
      <c r="J403" s="234" t="s">
        <v>1368</v>
      </c>
      <c r="K403" s="235">
        <v>61.27</v>
      </c>
      <c r="L403" s="216">
        <f>Tabla1[[#This Row],[Costo Unitario]]*Tabla1[[#This Row],[cantidad]]</f>
        <v>122.54</v>
      </c>
      <c r="M403" s="236">
        <v>43032</v>
      </c>
      <c r="N403" s="236">
        <v>43034</v>
      </c>
      <c r="O403" s="236" t="str">
        <f>IF( Tabla1[[#This Row],[Fecha de entrega real]]="","NO CONCRETADO",IF(N403&lt;=M403,"CUMPLIÓ","NO CUMPLIÓ"))</f>
        <v>NO CUMPLIÓ</v>
      </c>
      <c r="P403" s="141">
        <f t="shared" si="10"/>
        <v>2</v>
      </c>
      <c r="Q403" s="234" t="s">
        <v>1404</v>
      </c>
      <c r="R403" s="234" t="s">
        <v>33</v>
      </c>
      <c r="S403" s="4" t="s">
        <v>1982</v>
      </c>
      <c r="T403" s="235" t="s">
        <v>1405</v>
      </c>
      <c r="U403" s="237" t="s">
        <v>1406</v>
      </c>
      <c r="V403" s="235"/>
      <c r="W403" s="235"/>
      <c r="X403" s="235">
        <f>MONTH(Tabla1[[#This Row],[fecha
de
pedido]])</f>
        <v>10</v>
      </c>
      <c r="Y403" s="235">
        <f>YEAR(Tabla1[[#This Row],[fecha
de
pedido]])</f>
        <v>2017</v>
      </c>
    </row>
    <row r="404" spans="1:25" ht="25.5" customHeight="1" x14ac:dyDescent="0.2">
      <c r="A404" s="233">
        <v>43021</v>
      </c>
      <c r="B404" s="118" t="s">
        <v>487</v>
      </c>
      <c r="C404" s="234" t="s">
        <v>935</v>
      </c>
      <c r="D404" s="235" t="s">
        <v>33</v>
      </c>
      <c r="E404" s="234" t="s">
        <v>277</v>
      </c>
      <c r="F404" s="235" t="s">
        <v>1045</v>
      </c>
      <c r="G404" s="234" t="s">
        <v>1391</v>
      </c>
      <c r="H404" s="235">
        <v>10</v>
      </c>
      <c r="I404" s="235" t="s">
        <v>784</v>
      </c>
      <c r="J404" s="234" t="s">
        <v>1368</v>
      </c>
      <c r="K404" s="235">
        <v>7.97</v>
      </c>
      <c r="L404" s="216">
        <f>Tabla1[[#This Row],[Costo Unitario]]*Tabla1[[#This Row],[cantidad]]</f>
        <v>79.7</v>
      </c>
      <c r="M404" s="236">
        <v>43032</v>
      </c>
      <c r="N404" s="236">
        <v>43034</v>
      </c>
      <c r="O404" s="236" t="str">
        <f>IF( Tabla1[[#This Row],[Fecha de entrega real]]="","NO CONCRETADO",IF(N404&lt;=M404,"CUMPLIÓ","NO CUMPLIÓ"))</f>
        <v>NO CUMPLIÓ</v>
      </c>
      <c r="P404" s="141">
        <f t="shared" si="10"/>
        <v>2</v>
      </c>
      <c r="Q404" s="234" t="s">
        <v>1404</v>
      </c>
      <c r="R404" s="234" t="s">
        <v>33</v>
      </c>
      <c r="S404" s="4" t="s">
        <v>1982</v>
      </c>
      <c r="T404" s="235" t="s">
        <v>1405</v>
      </c>
      <c r="U404" s="237" t="s">
        <v>1406</v>
      </c>
      <c r="V404" s="235"/>
      <c r="W404" s="235"/>
      <c r="X404" s="235">
        <f>MONTH(Tabla1[[#This Row],[fecha
de
pedido]])</f>
        <v>10</v>
      </c>
      <c r="Y404" s="235">
        <f>YEAR(Tabla1[[#This Row],[fecha
de
pedido]])</f>
        <v>2017</v>
      </c>
    </row>
    <row r="405" spans="1:25" ht="25.5" customHeight="1" x14ac:dyDescent="0.2">
      <c r="A405" s="233">
        <v>43021</v>
      </c>
      <c r="B405" s="118" t="s">
        <v>487</v>
      </c>
      <c r="C405" s="234" t="s">
        <v>935</v>
      </c>
      <c r="D405" s="235" t="s">
        <v>33</v>
      </c>
      <c r="E405" s="234" t="s">
        <v>277</v>
      </c>
      <c r="F405" s="235" t="s">
        <v>1045</v>
      </c>
      <c r="G405" s="234" t="s">
        <v>1392</v>
      </c>
      <c r="H405" s="235">
        <v>5</v>
      </c>
      <c r="I405" s="235" t="s">
        <v>784</v>
      </c>
      <c r="J405" s="234" t="s">
        <v>1368</v>
      </c>
      <c r="K405" s="235">
        <v>34.96</v>
      </c>
      <c r="L405" s="216">
        <f>Tabla1[[#This Row],[Costo Unitario]]*Tabla1[[#This Row],[cantidad]]</f>
        <v>174.8</v>
      </c>
      <c r="M405" s="236">
        <v>43032</v>
      </c>
      <c r="N405" s="236">
        <v>43034</v>
      </c>
      <c r="O405" s="236" t="str">
        <f>IF( Tabla1[[#This Row],[Fecha de entrega real]]="","NO CONCRETADO",IF(N405&lt;=M405,"CUMPLIÓ","NO CUMPLIÓ"))</f>
        <v>NO CUMPLIÓ</v>
      </c>
      <c r="P405" s="141">
        <f t="shared" si="10"/>
        <v>2</v>
      </c>
      <c r="Q405" s="234" t="s">
        <v>1404</v>
      </c>
      <c r="R405" s="234" t="s">
        <v>33</v>
      </c>
      <c r="S405" s="4" t="s">
        <v>1982</v>
      </c>
      <c r="T405" s="235" t="s">
        <v>1405</v>
      </c>
      <c r="U405" s="237" t="s">
        <v>1406</v>
      </c>
      <c r="V405" s="235"/>
      <c r="W405" s="235"/>
      <c r="X405" s="235">
        <f>MONTH(Tabla1[[#This Row],[fecha
de
pedido]])</f>
        <v>10</v>
      </c>
      <c r="Y405" s="235">
        <f>YEAR(Tabla1[[#This Row],[fecha
de
pedido]])</f>
        <v>2017</v>
      </c>
    </row>
    <row r="406" spans="1:25" ht="25.5" customHeight="1" x14ac:dyDescent="0.2">
      <c r="A406" s="233">
        <v>43021</v>
      </c>
      <c r="B406" s="118" t="s">
        <v>487</v>
      </c>
      <c r="C406" s="234" t="s">
        <v>935</v>
      </c>
      <c r="D406" s="235" t="s">
        <v>33</v>
      </c>
      <c r="E406" s="234" t="s">
        <v>277</v>
      </c>
      <c r="F406" s="235" t="s">
        <v>1045</v>
      </c>
      <c r="G406" s="234" t="s">
        <v>1393</v>
      </c>
      <c r="H406" s="235">
        <v>5</v>
      </c>
      <c r="I406" s="235" t="s">
        <v>784</v>
      </c>
      <c r="J406" s="234" t="s">
        <v>1368</v>
      </c>
      <c r="K406" s="235">
        <v>40.14</v>
      </c>
      <c r="L406" s="216">
        <f>Tabla1[[#This Row],[Costo Unitario]]*Tabla1[[#This Row],[cantidad]]</f>
        <v>200.7</v>
      </c>
      <c r="M406" s="236">
        <v>43032</v>
      </c>
      <c r="N406" s="236">
        <v>43034</v>
      </c>
      <c r="O406" s="236" t="str">
        <f>IF( Tabla1[[#This Row],[Fecha de entrega real]]="","NO CONCRETADO",IF(N406&lt;=M406,"CUMPLIÓ","NO CUMPLIÓ"))</f>
        <v>NO CUMPLIÓ</v>
      </c>
      <c r="P406" s="141">
        <f t="shared" si="10"/>
        <v>2</v>
      </c>
      <c r="Q406" s="234" t="s">
        <v>1404</v>
      </c>
      <c r="R406" s="234" t="s">
        <v>33</v>
      </c>
      <c r="S406" s="4" t="s">
        <v>1982</v>
      </c>
      <c r="T406" s="235" t="s">
        <v>1405</v>
      </c>
      <c r="U406" s="237" t="s">
        <v>1406</v>
      </c>
      <c r="V406" s="235"/>
      <c r="W406" s="235"/>
      <c r="X406" s="235">
        <f>MONTH(Tabla1[[#This Row],[fecha
de
pedido]])</f>
        <v>10</v>
      </c>
      <c r="Y406" s="235">
        <f>YEAR(Tabla1[[#This Row],[fecha
de
pedido]])</f>
        <v>2017</v>
      </c>
    </row>
    <row r="407" spans="1:25" ht="25.5" customHeight="1" x14ac:dyDescent="0.2">
      <c r="A407" s="233">
        <v>43021</v>
      </c>
      <c r="B407" s="118" t="s">
        <v>487</v>
      </c>
      <c r="C407" s="234" t="s">
        <v>935</v>
      </c>
      <c r="D407" s="235" t="s">
        <v>33</v>
      </c>
      <c r="E407" s="234" t="s">
        <v>277</v>
      </c>
      <c r="F407" s="235" t="s">
        <v>1045</v>
      </c>
      <c r="G407" s="234" t="s">
        <v>1394</v>
      </c>
      <c r="H407" s="235">
        <v>8</v>
      </c>
      <c r="I407" s="235" t="s">
        <v>784</v>
      </c>
      <c r="J407" s="234" t="s">
        <v>1368</v>
      </c>
      <c r="K407" s="235">
        <v>47.73</v>
      </c>
      <c r="L407" s="216">
        <f>Tabla1[[#This Row],[Costo Unitario]]*Tabla1[[#This Row],[cantidad]]</f>
        <v>381.84</v>
      </c>
      <c r="M407" s="236">
        <v>43032</v>
      </c>
      <c r="N407" s="236">
        <v>43034</v>
      </c>
      <c r="O407" s="236" t="str">
        <f>IF( Tabla1[[#This Row],[Fecha de entrega real]]="","NO CONCRETADO",IF(N407&lt;=M407,"CUMPLIÓ","NO CUMPLIÓ"))</f>
        <v>NO CUMPLIÓ</v>
      </c>
      <c r="P407" s="141">
        <f t="shared" si="10"/>
        <v>2</v>
      </c>
      <c r="Q407" s="234" t="s">
        <v>1404</v>
      </c>
      <c r="R407" s="234" t="s">
        <v>33</v>
      </c>
      <c r="S407" s="4" t="s">
        <v>1982</v>
      </c>
      <c r="T407" s="235" t="s">
        <v>1405</v>
      </c>
      <c r="U407" s="237" t="s">
        <v>1406</v>
      </c>
      <c r="V407" s="235"/>
      <c r="W407" s="235"/>
      <c r="X407" s="235">
        <f>MONTH(Tabla1[[#This Row],[fecha
de
pedido]])</f>
        <v>10</v>
      </c>
      <c r="Y407" s="235">
        <f>YEAR(Tabla1[[#This Row],[fecha
de
pedido]])</f>
        <v>2017</v>
      </c>
    </row>
    <row r="408" spans="1:25" ht="25.5" customHeight="1" x14ac:dyDescent="0.2">
      <c r="A408" s="233">
        <v>43021</v>
      </c>
      <c r="B408" s="118" t="s">
        <v>487</v>
      </c>
      <c r="C408" s="234" t="s">
        <v>935</v>
      </c>
      <c r="D408" s="235" t="s">
        <v>33</v>
      </c>
      <c r="E408" s="234" t="s">
        <v>277</v>
      </c>
      <c r="F408" s="235" t="s">
        <v>1045</v>
      </c>
      <c r="G408" s="234" t="s">
        <v>1395</v>
      </c>
      <c r="H408" s="235">
        <v>10</v>
      </c>
      <c r="I408" s="235" t="s">
        <v>784</v>
      </c>
      <c r="J408" s="234" t="s">
        <v>1368</v>
      </c>
      <c r="K408" s="235">
        <v>61.99</v>
      </c>
      <c r="L408" s="216">
        <f>Tabla1[[#This Row],[Costo Unitario]]*Tabla1[[#This Row],[cantidad]]</f>
        <v>619.9</v>
      </c>
      <c r="M408" s="236">
        <v>43032</v>
      </c>
      <c r="N408" s="236">
        <v>43034</v>
      </c>
      <c r="O408" s="236" t="str">
        <f>IF( Tabla1[[#This Row],[Fecha de entrega real]]="","NO CONCRETADO",IF(N408&lt;=M408,"CUMPLIÓ","NO CUMPLIÓ"))</f>
        <v>NO CUMPLIÓ</v>
      </c>
      <c r="P408" s="141">
        <f t="shared" si="10"/>
        <v>2</v>
      </c>
      <c r="Q408" s="234" t="s">
        <v>1404</v>
      </c>
      <c r="R408" s="234" t="s">
        <v>33</v>
      </c>
      <c r="S408" s="4" t="s">
        <v>1982</v>
      </c>
      <c r="T408" s="235" t="s">
        <v>1405</v>
      </c>
      <c r="U408" s="237" t="s">
        <v>1406</v>
      </c>
      <c r="V408" s="235"/>
      <c r="W408" s="235"/>
      <c r="X408" s="235">
        <f>MONTH(Tabla1[[#This Row],[fecha
de
pedido]])</f>
        <v>10</v>
      </c>
      <c r="Y408" s="235">
        <f>YEAR(Tabla1[[#This Row],[fecha
de
pedido]])</f>
        <v>2017</v>
      </c>
    </row>
    <row r="409" spans="1:25" ht="25.5" customHeight="1" x14ac:dyDescent="0.2">
      <c r="A409" s="233">
        <v>43021</v>
      </c>
      <c r="B409" s="118" t="s">
        <v>487</v>
      </c>
      <c r="C409" s="234" t="s">
        <v>935</v>
      </c>
      <c r="D409" s="235" t="s">
        <v>33</v>
      </c>
      <c r="E409" s="234" t="s">
        <v>277</v>
      </c>
      <c r="F409" s="235" t="s">
        <v>1045</v>
      </c>
      <c r="G409" s="234" t="s">
        <v>1396</v>
      </c>
      <c r="H409" s="235">
        <v>9</v>
      </c>
      <c r="I409" s="235" t="s">
        <v>784</v>
      </c>
      <c r="J409" s="234" t="s">
        <v>1368</v>
      </c>
      <c r="K409" s="235">
        <v>139.54</v>
      </c>
      <c r="L409" s="216">
        <f>Tabla1[[#This Row],[Costo Unitario]]*Tabla1[[#This Row],[cantidad]]</f>
        <v>1255.8599999999999</v>
      </c>
      <c r="M409" s="236">
        <v>43032</v>
      </c>
      <c r="N409" s="236">
        <v>43034</v>
      </c>
      <c r="O409" s="236" t="str">
        <f>IF( Tabla1[[#This Row],[Fecha de entrega real]]="","NO CONCRETADO",IF(N409&lt;=M409,"CUMPLIÓ","NO CUMPLIÓ"))</f>
        <v>NO CUMPLIÓ</v>
      </c>
      <c r="P409" s="141">
        <f t="shared" si="10"/>
        <v>2</v>
      </c>
      <c r="Q409" s="234" t="s">
        <v>1404</v>
      </c>
      <c r="R409" s="234" t="s">
        <v>33</v>
      </c>
      <c r="S409" s="4" t="s">
        <v>1982</v>
      </c>
      <c r="T409" s="235" t="s">
        <v>1405</v>
      </c>
      <c r="U409" s="237" t="s">
        <v>1406</v>
      </c>
      <c r="V409" s="235"/>
      <c r="W409" s="235"/>
      <c r="X409" s="235">
        <f>MONTH(Tabla1[[#This Row],[fecha
de
pedido]])</f>
        <v>10</v>
      </c>
      <c r="Y409" s="235">
        <f>YEAR(Tabla1[[#This Row],[fecha
de
pedido]])</f>
        <v>2017</v>
      </c>
    </row>
    <row r="410" spans="1:25" ht="25.5" customHeight="1" x14ac:dyDescent="0.2">
      <c r="A410" s="233">
        <v>43021</v>
      </c>
      <c r="B410" s="118" t="s">
        <v>487</v>
      </c>
      <c r="C410" s="234" t="s">
        <v>935</v>
      </c>
      <c r="D410" s="235" t="s">
        <v>33</v>
      </c>
      <c r="E410" s="234" t="s">
        <v>277</v>
      </c>
      <c r="F410" s="235" t="s">
        <v>1045</v>
      </c>
      <c r="G410" s="234" t="s">
        <v>1397</v>
      </c>
      <c r="H410" s="235">
        <v>1</v>
      </c>
      <c r="I410" s="235" t="s">
        <v>488</v>
      </c>
      <c r="J410" s="234" t="s">
        <v>1368</v>
      </c>
      <c r="K410" s="235">
        <v>18.68</v>
      </c>
      <c r="L410" s="216">
        <f>Tabla1[[#This Row],[Costo Unitario]]*Tabla1[[#This Row],[cantidad]]</f>
        <v>18.68</v>
      </c>
      <c r="M410" s="236">
        <v>43032</v>
      </c>
      <c r="N410" s="236">
        <v>43034</v>
      </c>
      <c r="O410" s="236" t="str">
        <f>IF( Tabla1[[#This Row],[Fecha de entrega real]]="","NO CONCRETADO",IF(N410&lt;=M410,"CUMPLIÓ","NO CUMPLIÓ"))</f>
        <v>NO CUMPLIÓ</v>
      </c>
      <c r="P410" s="141">
        <f t="shared" si="10"/>
        <v>2</v>
      </c>
      <c r="Q410" s="234" t="s">
        <v>1404</v>
      </c>
      <c r="R410" s="234" t="s">
        <v>33</v>
      </c>
      <c r="S410" s="4" t="s">
        <v>1982</v>
      </c>
      <c r="T410" s="235" t="s">
        <v>1405</v>
      </c>
      <c r="U410" s="237" t="s">
        <v>1406</v>
      </c>
      <c r="V410" s="235"/>
      <c r="W410" s="235"/>
      <c r="X410" s="235">
        <f>MONTH(Tabla1[[#This Row],[fecha
de
pedido]])</f>
        <v>10</v>
      </c>
      <c r="Y410" s="235">
        <f>YEAR(Tabla1[[#This Row],[fecha
de
pedido]])</f>
        <v>2017</v>
      </c>
    </row>
    <row r="411" spans="1:25" ht="25.5" customHeight="1" x14ac:dyDescent="0.2">
      <c r="A411" s="233">
        <v>43021</v>
      </c>
      <c r="B411" s="118" t="s">
        <v>487</v>
      </c>
      <c r="C411" s="234" t="s">
        <v>935</v>
      </c>
      <c r="D411" s="235" t="s">
        <v>33</v>
      </c>
      <c r="E411" s="234" t="s">
        <v>277</v>
      </c>
      <c r="F411" s="235" t="s">
        <v>1045</v>
      </c>
      <c r="G411" s="234" t="s">
        <v>1398</v>
      </c>
      <c r="H411" s="235">
        <v>2</v>
      </c>
      <c r="I411" s="235" t="s">
        <v>784</v>
      </c>
      <c r="J411" s="234" t="s">
        <v>1368</v>
      </c>
      <c r="K411" s="235">
        <v>48.28</v>
      </c>
      <c r="L411" s="216">
        <f>Tabla1[[#This Row],[Costo Unitario]]*Tabla1[[#This Row],[cantidad]]</f>
        <v>96.56</v>
      </c>
      <c r="M411" s="236">
        <v>43032</v>
      </c>
      <c r="N411" s="236">
        <v>43034</v>
      </c>
      <c r="O411" s="236" t="str">
        <f>IF( Tabla1[[#This Row],[Fecha de entrega real]]="","NO CONCRETADO",IF(N411&lt;=M411,"CUMPLIÓ","NO CUMPLIÓ"))</f>
        <v>NO CUMPLIÓ</v>
      </c>
      <c r="P411" s="141">
        <f t="shared" si="10"/>
        <v>2</v>
      </c>
      <c r="Q411" s="234" t="s">
        <v>1404</v>
      </c>
      <c r="R411" s="234" t="s">
        <v>33</v>
      </c>
      <c r="S411" s="4" t="s">
        <v>1982</v>
      </c>
      <c r="T411" s="235" t="s">
        <v>1405</v>
      </c>
      <c r="U411" s="237" t="s">
        <v>1406</v>
      </c>
      <c r="V411" s="235"/>
      <c r="W411" s="235"/>
      <c r="X411" s="235">
        <f>MONTH(Tabla1[[#This Row],[fecha
de
pedido]])</f>
        <v>10</v>
      </c>
      <c r="Y411" s="235">
        <f>YEAR(Tabla1[[#This Row],[fecha
de
pedido]])</f>
        <v>2017</v>
      </c>
    </row>
    <row r="412" spans="1:25" ht="25.5" customHeight="1" x14ac:dyDescent="0.2">
      <c r="A412" s="233">
        <v>43021</v>
      </c>
      <c r="B412" s="118" t="s">
        <v>487</v>
      </c>
      <c r="C412" s="234" t="s">
        <v>935</v>
      </c>
      <c r="D412" s="235" t="s">
        <v>33</v>
      </c>
      <c r="E412" s="234" t="s">
        <v>277</v>
      </c>
      <c r="F412" s="235" t="s">
        <v>1045</v>
      </c>
      <c r="G412" s="234" t="s">
        <v>1399</v>
      </c>
      <c r="H412" s="235">
        <v>10</v>
      </c>
      <c r="I412" s="235" t="s">
        <v>784</v>
      </c>
      <c r="J412" s="234" t="s">
        <v>1368</v>
      </c>
      <c r="K412" s="235">
        <v>2.38</v>
      </c>
      <c r="L412" s="216">
        <f>Tabla1[[#This Row],[Costo Unitario]]*Tabla1[[#This Row],[cantidad]]</f>
        <v>23.799999999999997</v>
      </c>
      <c r="M412" s="236">
        <v>43032</v>
      </c>
      <c r="N412" s="236">
        <v>43034</v>
      </c>
      <c r="O412" s="236" t="str">
        <f>IF( Tabla1[[#This Row],[Fecha de entrega real]]="","NO CONCRETADO",IF(N412&lt;=M412,"CUMPLIÓ","NO CUMPLIÓ"))</f>
        <v>NO CUMPLIÓ</v>
      </c>
      <c r="P412" s="141">
        <f t="shared" si="10"/>
        <v>2</v>
      </c>
      <c r="Q412" s="234" t="s">
        <v>1404</v>
      </c>
      <c r="R412" s="234" t="s">
        <v>33</v>
      </c>
      <c r="S412" s="4" t="s">
        <v>1982</v>
      </c>
      <c r="T412" s="235" t="s">
        <v>1405</v>
      </c>
      <c r="U412" s="237" t="s">
        <v>1406</v>
      </c>
      <c r="V412" s="235"/>
      <c r="W412" s="235"/>
      <c r="X412" s="235">
        <f>MONTH(Tabla1[[#This Row],[fecha
de
pedido]])</f>
        <v>10</v>
      </c>
      <c r="Y412" s="235">
        <f>YEAR(Tabla1[[#This Row],[fecha
de
pedido]])</f>
        <v>2017</v>
      </c>
    </row>
    <row r="413" spans="1:25" ht="25.5" customHeight="1" x14ac:dyDescent="0.2">
      <c r="A413" s="233">
        <v>43021</v>
      </c>
      <c r="B413" s="118" t="s">
        <v>487</v>
      </c>
      <c r="C413" s="234" t="s">
        <v>935</v>
      </c>
      <c r="D413" s="235" t="s">
        <v>33</v>
      </c>
      <c r="E413" s="234" t="s">
        <v>277</v>
      </c>
      <c r="F413" s="235" t="s">
        <v>1045</v>
      </c>
      <c r="G413" s="234" t="s">
        <v>1400</v>
      </c>
      <c r="H413" s="235">
        <v>1</v>
      </c>
      <c r="I413" s="235" t="s">
        <v>488</v>
      </c>
      <c r="J413" s="234" t="s">
        <v>1368</v>
      </c>
      <c r="K413" s="235">
        <v>81.680000000000007</v>
      </c>
      <c r="L413" s="216">
        <f>Tabla1[[#This Row],[Costo Unitario]]*Tabla1[[#This Row],[cantidad]]</f>
        <v>81.680000000000007</v>
      </c>
      <c r="M413" s="236">
        <v>43032</v>
      </c>
      <c r="N413" s="236">
        <v>43034</v>
      </c>
      <c r="O413" s="236" t="str">
        <f>IF( Tabla1[[#This Row],[Fecha de entrega real]]="","NO CONCRETADO",IF(N413&lt;=M413,"CUMPLIÓ","NO CUMPLIÓ"))</f>
        <v>NO CUMPLIÓ</v>
      </c>
      <c r="P413" s="141">
        <f t="shared" si="10"/>
        <v>2</v>
      </c>
      <c r="Q413" s="234" t="s">
        <v>1404</v>
      </c>
      <c r="R413" s="234" t="s">
        <v>33</v>
      </c>
      <c r="S413" s="4" t="s">
        <v>1982</v>
      </c>
      <c r="T413" s="235" t="s">
        <v>1405</v>
      </c>
      <c r="U413" s="237" t="s">
        <v>1406</v>
      </c>
      <c r="V413" s="235"/>
      <c r="W413" s="235"/>
      <c r="X413" s="235">
        <f>MONTH(Tabla1[[#This Row],[fecha
de
pedido]])</f>
        <v>10</v>
      </c>
      <c r="Y413" s="235">
        <f>YEAR(Tabla1[[#This Row],[fecha
de
pedido]])</f>
        <v>2017</v>
      </c>
    </row>
    <row r="414" spans="1:25" ht="25.5" customHeight="1" x14ac:dyDescent="0.2">
      <c r="A414" s="233">
        <v>43021</v>
      </c>
      <c r="B414" s="118" t="s">
        <v>487</v>
      </c>
      <c r="C414" s="234" t="s">
        <v>935</v>
      </c>
      <c r="D414" s="235" t="s">
        <v>33</v>
      </c>
      <c r="E414" s="234" t="s">
        <v>277</v>
      </c>
      <c r="F414" s="235" t="s">
        <v>1045</v>
      </c>
      <c r="G414" s="234" t="s">
        <v>1401</v>
      </c>
      <c r="H414" s="235">
        <v>5</v>
      </c>
      <c r="I414" s="235" t="s">
        <v>784</v>
      </c>
      <c r="J414" s="234" t="s">
        <v>1368</v>
      </c>
      <c r="K414" s="235">
        <v>18.59</v>
      </c>
      <c r="L414" s="216">
        <f>Tabla1[[#This Row],[Costo Unitario]]*Tabla1[[#This Row],[cantidad]]</f>
        <v>92.95</v>
      </c>
      <c r="M414" s="236">
        <v>43032</v>
      </c>
      <c r="N414" s="236">
        <v>43034</v>
      </c>
      <c r="O414" s="236" t="str">
        <f>IF( Tabla1[[#This Row],[Fecha de entrega real]]="","NO CONCRETADO",IF(N414&lt;=M414,"CUMPLIÓ","NO CUMPLIÓ"))</f>
        <v>NO CUMPLIÓ</v>
      </c>
      <c r="P414" s="141">
        <f t="shared" si="10"/>
        <v>2</v>
      </c>
      <c r="Q414" s="234" t="s">
        <v>1404</v>
      </c>
      <c r="R414" s="234" t="s">
        <v>33</v>
      </c>
      <c r="S414" s="4" t="s">
        <v>1982</v>
      </c>
      <c r="T414" s="235" t="s">
        <v>1405</v>
      </c>
      <c r="U414" s="237" t="s">
        <v>1406</v>
      </c>
      <c r="V414" s="235"/>
      <c r="W414" s="235"/>
      <c r="X414" s="235">
        <f>MONTH(Tabla1[[#This Row],[fecha
de
pedido]])</f>
        <v>10</v>
      </c>
      <c r="Y414" s="235">
        <f>YEAR(Tabla1[[#This Row],[fecha
de
pedido]])</f>
        <v>2017</v>
      </c>
    </row>
    <row r="415" spans="1:25" ht="25.5" customHeight="1" x14ac:dyDescent="0.2">
      <c r="A415" s="233">
        <v>43021</v>
      </c>
      <c r="B415" s="118" t="s">
        <v>487</v>
      </c>
      <c r="C415" s="234" t="s">
        <v>935</v>
      </c>
      <c r="D415" s="235" t="s">
        <v>33</v>
      </c>
      <c r="E415" s="234" t="s">
        <v>277</v>
      </c>
      <c r="F415" s="235" t="s">
        <v>1045</v>
      </c>
      <c r="G415" s="234" t="s">
        <v>1402</v>
      </c>
      <c r="H415" s="235">
        <v>5</v>
      </c>
      <c r="I415" s="235" t="s">
        <v>784</v>
      </c>
      <c r="J415" s="234" t="s">
        <v>1368</v>
      </c>
      <c r="K415" s="235">
        <v>10.95</v>
      </c>
      <c r="L415" s="216">
        <f>Tabla1[[#This Row],[Costo Unitario]]*Tabla1[[#This Row],[cantidad]]</f>
        <v>54.75</v>
      </c>
      <c r="M415" s="236">
        <v>43032</v>
      </c>
      <c r="N415" s="236">
        <v>43034</v>
      </c>
      <c r="O415" s="236" t="str">
        <f>IF( Tabla1[[#This Row],[Fecha de entrega real]]="","NO CONCRETADO",IF(N415&lt;=M415,"CUMPLIÓ","NO CUMPLIÓ"))</f>
        <v>NO CUMPLIÓ</v>
      </c>
      <c r="P415" s="141">
        <f t="shared" si="10"/>
        <v>2</v>
      </c>
      <c r="Q415" s="234" t="s">
        <v>1404</v>
      </c>
      <c r="R415" s="234" t="s">
        <v>33</v>
      </c>
      <c r="S415" s="4" t="s">
        <v>1982</v>
      </c>
      <c r="T415" s="235" t="s">
        <v>1405</v>
      </c>
      <c r="U415" s="237" t="s">
        <v>1406</v>
      </c>
      <c r="V415" s="235"/>
      <c r="W415" s="235"/>
      <c r="X415" s="235">
        <f>MONTH(Tabla1[[#This Row],[fecha
de
pedido]])</f>
        <v>10</v>
      </c>
      <c r="Y415" s="235">
        <f>YEAR(Tabla1[[#This Row],[fecha
de
pedido]])</f>
        <v>2017</v>
      </c>
    </row>
    <row r="416" spans="1:25" ht="25.5" customHeight="1" x14ac:dyDescent="0.2">
      <c r="A416" s="233">
        <v>43021</v>
      </c>
      <c r="B416" s="118" t="s">
        <v>487</v>
      </c>
      <c r="C416" s="234" t="s">
        <v>935</v>
      </c>
      <c r="D416" s="235" t="s">
        <v>33</v>
      </c>
      <c r="E416" s="234" t="s">
        <v>277</v>
      </c>
      <c r="F416" s="235" t="s">
        <v>1045</v>
      </c>
      <c r="G416" s="234" t="s">
        <v>1403</v>
      </c>
      <c r="H416" s="235">
        <v>6</v>
      </c>
      <c r="I416" s="235" t="s">
        <v>784</v>
      </c>
      <c r="J416" s="234" t="s">
        <v>1368</v>
      </c>
      <c r="K416" s="235">
        <v>16.75</v>
      </c>
      <c r="L416" s="216">
        <f>Tabla1[[#This Row],[Costo Unitario]]*Tabla1[[#This Row],[cantidad]]</f>
        <v>100.5</v>
      </c>
      <c r="M416" s="236">
        <v>43032</v>
      </c>
      <c r="N416" s="236">
        <v>43034</v>
      </c>
      <c r="O416" s="236" t="str">
        <f>IF( Tabla1[[#This Row],[Fecha de entrega real]]="","NO CONCRETADO",IF(N416&lt;=M416,"CUMPLIÓ","NO CUMPLIÓ"))</f>
        <v>NO CUMPLIÓ</v>
      </c>
      <c r="P416" s="141">
        <f t="shared" si="10"/>
        <v>2</v>
      </c>
      <c r="Q416" s="234" t="s">
        <v>1404</v>
      </c>
      <c r="R416" s="234" t="s">
        <v>33</v>
      </c>
      <c r="S416" s="4" t="s">
        <v>1982</v>
      </c>
      <c r="T416" s="235" t="s">
        <v>1405</v>
      </c>
      <c r="U416" s="237" t="s">
        <v>1406</v>
      </c>
      <c r="V416" s="235"/>
      <c r="W416" s="235"/>
      <c r="X416" s="235">
        <f>MONTH(Tabla1[[#This Row],[fecha
de
pedido]])</f>
        <v>10</v>
      </c>
      <c r="Y416" s="235">
        <f>YEAR(Tabla1[[#This Row],[fecha
de
pedido]])</f>
        <v>2017</v>
      </c>
    </row>
    <row r="417" spans="1:25" ht="25.5" customHeight="1" x14ac:dyDescent="0.2">
      <c r="A417" s="233">
        <v>43026</v>
      </c>
      <c r="B417" s="118" t="s">
        <v>487</v>
      </c>
      <c r="C417" s="234" t="s">
        <v>775</v>
      </c>
      <c r="D417" s="235" t="s">
        <v>33</v>
      </c>
      <c r="E417" s="234" t="s">
        <v>277</v>
      </c>
      <c r="F417" s="235" t="s">
        <v>1045</v>
      </c>
      <c r="G417" s="234" t="s">
        <v>1333</v>
      </c>
      <c r="H417" s="235">
        <v>8</v>
      </c>
      <c r="I417" s="235" t="s">
        <v>784</v>
      </c>
      <c r="J417" s="234" t="s">
        <v>1339</v>
      </c>
      <c r="K417" s="235">
        <v>183</v>
      </c>
      <c r="L417" s="235">
        <f>(Tabla1[[#This Row],[Costo Unitario]]*Tabla1[[#This Row],[cantidad]])*1.19</f>
        <v>1742.1599999999999</v>
      </c>
      <c r="M417" s="236">
        <v>43032</v>
      </c>
      <c r="N417" s="236">
        <v>43034</v>
      </c>
      <c r="O417" s="236" t="str">
        <f>IF( Tabla1[[#This Row],[Fecha de entrega real]]="","NO CONCRETADO",IF(N417&lt;=M417,"CUMPLIÓ","NO CUMPLIÓ"))</f>
        <v>NO CUMPLIÓ</v>
      </c>
      <c r="P417" s="141">
        <f t="shared" si="10"/>
        <v>2</v>
      </c>
      <c r="Q417" s="234" t="s">
        <v>1404</v>
      </c>
      <c r="R417" s="234" t="s">
        <v>33</v>
      </c>
      <c r="S417" s="4" t="s">
        <v>1982</v>
      </c>
      <c r="T417" s="235" t="s">
        <v>1405</v>
      </c>
      <c r="U417" s="237" t="s">
        <v>1406</v>
      </c>
      <c r="V417" s="235"/>
      <c r="W417" s="235"/>
      <c r="X417" s="235">
        <f>MONTH(Tabla1[[#This Row],[fecha
de
pedido]])</f>
        <v>10</v>
      </c>
      <c r="Y417" s="235">
        <f>YEAR(Tabla1[[#This Row],[fecha
de
pedido]])</f>
        <v>2017</v>
      </c>
    </row>
    <row r="418" spans="1:25" ht="25.5" customHeight="1" x14ac:dyDescent="0.2">
      <c r="A418" s="233">
        <v>43026</v>
      </c>
      <c r="B418" s="118" t="s">
        <v>487</v>
      </c>
      <c r="C418" s="234" t="s">
        <v>775</v>
      </c>
      <c r="D418" s="235" t="s">
        <v>33</v>
      </c>
      <c r="E418" s="234" t="s">
        <v>277</v>
      </c>
      <c r="F418" s="235" t="s">
        <v>1045</v>
      </c>
      <c r="G418" s="234" t="s">
        <v>1334</v>
      </c>
      <c r="H418" s="235">
        <v>4</v>
      </c>
      <c r="I418" s="235" t="s">
        <v>784</v>
      </c>
      <c r="J418" s="234" t="s">
        <v>1339</v>
      </c>
      <c r="K418" s="235">
        <v>83</v>
      </c>
      <c r="L418" s="235">
        <f>(Tabla1[[#This Row],[Costo Unitario]]*Tabla1[[#This Row],[cantidad]])*1.19</f>
        <v>395.08</v>
      </c>
      <c r="M418" s="236">
        <v>43032</v>
      </c>
      <c r="N418" s="236">
        <v>43034</v>
      </c>
      <c r="O418" s="236" t="str">
        <f>IF( Tabla1[[#This Row],[Fecha de entrega real]]="","NO CONCRETADO",IF(N418&lt;=M418,"CUMPLIÓ","NO CUMPLIÓ"))</f>
        <v>NO CUMPLIÓ</v>
      </c>
      <c r="P418" s="141">
        <f t="shared" si="10"/>
        <v>2</v>
      </c>
      <c r="Q418" s="234" t="s">
        <v>1404</v>
      </c>
      <c r="R418" s="234" t="s">
        <v>33</v>
      </c>
      <c r="S418" s="4" t="s">
        <v>1982</v>
      </c>
      <c r="T418" s="235" t="s">
        <v>1405</v>
      </c>
      <c r="U418" s="237" t="s">
        <v>1406</v>
      </c>
      <c r="V418" s="235"/>
      <c r="W418" s="235"/>
      <c r="X418" s="235">
        <f>MONTH(Tabla1[[#This Row],[fecha
de
pedido]])</f>
        <v>10</v>
      </c>
      <c r="Y418" s="235">
        <f>YEAR(Tabla1[[#This Row],[fecha
de
pedido]])</f>
        <v>2017</v>
      </c>
    </row>
    <row r="419" spans="1:25" ht="12.75" customHeight="1" x14ac:dyDescent="0.2">
      <c r="A419" s="233">
        <v>43026</v>
      </c>
      <c r="B419" s="118" t="s">
        <v>487</v>
      </c>
      <c r="C419" s="234" t="s">
        <v>775</v>
      </c>
      <c r="D419" s="235" t="s">
        <v>33</v>
      </c>
      <c r="E419" s="234" t="s">
        <v>277</v>
      </c>
      <c r="F419" s="235" t="s">
        <v>1045</v>
      </c>
      <c r="G419" s="234" t="s">
        <v>1335</v>
      </c>
      <c r="H419" s="235">
        <v>8</v>
      </c>
      <c r="I419" s="235" t="s">
        <v>784</v>
      </c>
      <c r="J419" s="234" t="s">
        <v>1339</v>
      </c>
      <c r="K419" s="235">
        <v>464</v>
      </c>
      <c r="L419" s="235">
        <f>(Tabla1[[#This Row],[Costo Unitario]]*Tabla1[[#This Row],[cantidad]])*1.19</f>
        <v>4417.28</v>
      </c>
      <c r="M419" s="236">
        <v>43032</v>
      </c>
      <c r="N419" s="236">
        <v>43034</v>
      </c>
      <c r="O419" s="236" t="str">
        <f>IF( Tabla1[[#This Row],[Fecha de entrega real]]="","NO CONCRETADO",IF(N419&lt;=M419,"CUMPLIÓ","NO CUMPLIÓ"))</f>
        <v>NO CUMPLIÓ</v>
      </c>
      <c r="P419" s="141">
        <f t="shared" si="10"/>
        <v>2</v>
      </c>
      <c r="Q419" s="234" t="s">
        <v>1404</v>
      </c>
      <c r="R419" s="234" t="s">
        <v>33</v>
      </c>
      <c r="S419" s="4" t="s">
        <v>1982</v>
      </c>
      <c r="T419" s="235" t="s">
        <v>1405</v>
      </c>
      <c r="U419" s="237" t="s">
        <v>1406</v>
      </c>
      <c r="V419" s="235"/>
      <c r="W419" s="235"/>
      <c r="X419" s="235">
        <f>MONTH(Tabla1[[#This Row],[fecha
de
pedido]])</f>
        <v>10</v>
      </c>
      <c r="Y419" s="235">
        <f>YEAR(Tabla1[[#This Row],[fecha
de
pedido]])</f>
        <v>2017</v>
      </c>
    </row>
    <row r="420" spans="1:25" ht="12.75" customHeight="1" x14ac:dyDescent="0.2">
      <c r="A420" s="233">
        <v>43026</v>
      </c>
      <c r="B420" s="118" t="s">
        <v>487</v>
      </c>
      <c r="C420" s="234" t="s">
        <v>775</v>
      </c>
      <c r="D420" s="235" t="s">
        <v>33</v>
      </c>
      <c r="E420" s="234" t="s">
        <v>277</v>
      </c>
      <c r="F420" s="235" t="s">
        <v>1045</v>
      </c>
      <c r="G420" s="234" t="s">
        <v>1336</v>
      </c>
      <c r="H420" s="235">
        <v>8</v>
      </c>
      <c r="I420" s="235" t="s">
        <v>784</v>
      </c>
      <c r="J420" s="234" t="s">
        <v>1339</v>
      </c>
      <c r="K420" s="235">
        <v>72</v>
      </c>
      <c r="L420" s="235">
        <f>(Tabla1[[#This Row],[Costo Unitario]]*Tabla1[[#This Row],[cantidad]])*1.19</f>
        <v>685.43999999999994</v>
      </c>
      <c r="M420" s="236">
        <v>43032</v>
      </c>
      <c r="N420" s="236">
        <v>43034</v>
      </c>
      <c r="O420" s="236" t="str">
        <f>IF( Tabla1[[#This Row],[Fecha de entrega real]]="","NO CONCRETADO",IF(N420&lt;=M420,"CUMPLIÓ","NO CUMPLIÓ"))</f>
        <v>NO CUMPLIÓ</v>
      </c>
      <c r="P420" s="141">
        <f t="shared" si="10"/>
        <v>2</v>
      </c>
      <c r="Q420" s="234" t="s">
        <v>1404</v>
      </c>
      <c r="R420" s="234" t="s">
        <v>33</v>
      </c>
      <c r="S420" s="4" t="s">
        <v>1982</v>
      </c>
      <c r="T420" s="235" t="s">
        <v>1405</v>
      </c>
      <c r="U420" s="237" t="s">
        <v>1406</v>
      </c>
      <c r="V420" s="235"/>
      <c r="W420" s="235"/>
      <c r="X420" s="235">
        <f>MONTH(Tabla1[[#This Row],[fecha
de
pedido]])</f>
        <v>10</v>
      </c>
      <c r="Y420" s="235">
        <f>YEAR(Tabla1[[#This Row],[fecha
de
pedido]])</f>
        <v>2017</v>
      </c>
    </row>
    <row r="421" spans="1:25" ht="38.25" customHeight="1" x14ac:dyDescent="0.2">
      <c r="A421" s="233">
        <v>43026</v>
      </c>
      <c r="B421" s="118" t="s">
        <v>487</v>
      </c>
      <c r="C421" s="234" t="s">
        <v>775</v>
      </c>
      <c r="D421" s="235" t="s">
        <v>33</v>
      </c>
      <c r="E421" s="234" t="s">
        <v>277</v>
      </c>
      <c r="F421" s="235" t="s">
        <v>1045</v>
      </c>
      <c r="G421" s="234" t="s">
        <v>1337</v>
      </c>
      <c r="H421" s="235">
        <v>1</v>
      </c>
      <c r="I421" s="235" t="s">
        <v>784</v>
      </c>
      <c r="J421" s="234" t="s">
        <v>1339</v>
      </c>
      <c r="K421" s="235">
        <v>1135</v>
      </c>
      <c r="L421" s="235">
        <f>(Tabla1[[#This Row],[Costo Unitario]]*Tabla1[[#This Row],[cantidad]])*1.19</f>
        <v>1350.6499999999999</v>
      </c>
      <c r="M421" s="236">
        <v>43032</v>
      </c>
      <c r="N421" s="236">
        <v>43034</v>
      </c>
      <c r="O421" s="236" t="str">
        <f>IF( Tabla1[[#This Row],[Fecha de entrega real]]="","NO CONCRETADO",IF(N421&lt;=M421,"CUMPLIÓ","NO CUMPLIÓ"))</f>
        <v>NO CUMPLIÓ</v>
      </c>
      <c r="P421" s="141">
        <f t="shared" si="10"/>
        <v>2</v>
      </c>
      <c r="Q421" s="234" t="s">
        <v>1404</v>
      </c>
      <c r="R421" s="234" t="s">
        <v>33</v>
      </c>
      <c r="S421" s="4" t="s">
        <v>1982</v>
      </c>
      <c r="T421" s="235" t="s">
        <v>1405</v>
      </c>
      <c r="U421" s="237" t="s">
        <v>1406</v>
      </c>
      <c r="V421" s="235"/>
      <c r="W421" s="235"/>
      <c r="X421" s="235">
        <f>MONTH(Tabla1[[#This Row],[fecha
de
pedido]])</f>
        <v>10</v>
      </c>
      <c r="Y421" s="235">
        <f>YEAR(Tabla1[[#This Row],[fecha
de
pedido]])</f>
        <v>2017</v>
      </c>
    </row>
    <row r="422" spans="1:25" ht="12.75" customHeight="1" x14ac:dyDescent="0.2">
      <c r="A422" s="233">
        <v>43026</v>
      </c>
      <c r="B422" s="118" t="s">
        <v>487</v>
      </c>
      <c r="C422" s="234" t="s">
        <v>775</v>
      </c>
      <c r="D422" s="235" t="s">
        <v>33</v>
      </c>
      <c r="E422" s="234" t="s">
        <v>277</v>
      </c>
      <c r="F422" s="235" t="s">
        <v>1045</v>
      </c>
      <c r="G422" s="234" t="s">
        <v>1338</v>
      </c>
      <c r="H422" s="235">
        <v>8</v>
      </c>
      <c r="I422" s="235" t="s">
        <v>784</v>
      </c>
      <c r="J422" s="234" t="s">
        <v>1339</v>
      </c>
      <c r="K422" s="235">
        <v>79</v>
      </c>
      <c r="L422" s="235">
        <f>(Tabla1[[#This Row],[Costo Unitario]]*Tabla1[[#This Row],[cantidad]])*1.19</f>
        <v>752.07999999999993</v>
      </c>
      <c r="M422" s="236">
        <v>43032</v>
      </c>
      <c r="N422" s="236">
        <v>43034</v>
      </c>
      <c r="O422" s="236" t="str">
        <f>IF( Tabla1[[#This Row],[Fecha de entrega real]]="","NO CONCRETADO",IF(N422&lt;=M422,"CUMPLIÓ","NO CUMPLIÓ"))</f>
        <v>NO CUMPLIÓ</v>
      </c>
      <c r="P422" s="141">
        <f t="shared" si="10"/>
        <v>2</v>
      </c>
      <c r="Q422" s="234" t="s">
        <v>1404</v>
      </c>
      <c r="R422" s="234" t="s">
        <v>33</v>
      </c>
      <c r="S422" s="4" t="s">
        <v>1982</v>
      </c>
      <c r="T422" s="235" t="s">
        <v>1405</v>
      </c>
      <c r="U422" s="237" t="s">
        <v>1406</v>
      </c>
      <c r="V422" s="235"/>
      <c r="W422" s="235"/>
      <c r="X422" s="235">
        <f>MONTH(Tabla1[[#This Row],[fecha
de
pedido]])</f>
        <v>10</v>
      </c>
      <c r="Y422" s="235">
        <f>YEAR(Tabla1[[#This Row],[fecha
de
pedido]])</f>
        <v>2017</v>
      </c>
    </row>
    <row r="423" spans="1:25" ht="25.5" customHeight="1" x14ac:dyDescent="0.2">
      <c r="A423" s="233">
        <v>43031</v>
      </c>
      <c r="B423" s="118" t="s">
        <v>487</v>
      </c>
      <c r="C423" s="234" t="s">
        <v>811</v>
      </c>
      <c r="D423" s="235" t="s">
        <v>33</v>
      </c>
      <c r="E423" s="234" t="s">
        <v>31</v>
      </c>
      <c r="F423" s="235" t="s">
        <v>1016</v>
      </c>
      <c r="G423" s="234" t="s">
        <v>1342</v>
      </c>
      <c r="H423" s="235">
        <v>3</v>
      </c>
      <c r="I423" s="235" t="s">
        <v>1254</v>
      </c>
      <c r="J423" s="234" t="s">
        <v>81</v>
      </c>
      <c r="K423" s="235">
        <v>4398.68</v>
      </c>
      <c r="L423" s="235">
        <v>4398.68</v>
      </c>
      <c r="M423" s="236">
        <v>43035</v>
      </c>
      <c r="N423" s="236">
        <v>43033</v>
      </c>
      <c r="O423" s="236" t="str">
        <f>IF( Tabla1[[#This Row],[Fecha de entrega real]]="","NO CONCRETADO",IF(N423&lt;=M423,"CUMPLIÓ","NO CUMPLIÓ"))</f>
        <v>CUMPLIÓ</v>
      </c>
      <c r="P423" s="141">
        <f t="shared" si="10"/>
        <v>-2</v>
      </c>
      <c r="Q423" s="234" t="s">
        <v>13</v>
      </c>
      <c r="R423" s="234" t="s">
        <v>775</v>
      </c>
      <c r="S423" s="234" t="s">
        <v>1343</v>
      </c>
      <c r="T423" s="235" t="s">
        <v>1349</v>
      </c>
      <c r="U423" s="237" t="s">
        <v>1421</v>
      </c>
      <c r="V423" s="235"/>
      <c r="W423" s="235"/>
      <c r="X423" s="235">
        <f>MONTH(Tabla1[[#This Row],[fecha
de
pedido]])</f>
        <v>10</v>
      </c>
      <c r="Y423" s="235">
        <f>YEAR(Tabla1[[#This Row],[fecha
de
pedido]])</f>
        <v>2017</v>
      </c>
    </row>
    <row r="424" spans="1:25" ht="12.75" customHeight="1" x14ac:dyDescent="0.2">
      <c r="A424" s="233">
        <v>43034</v>
      </c>
      <c r="B424" s="118" t="s">
        <v>487</v>
      </c>
      <c r="C424" s="234" t="s">
        <v>33</v>
      </c>
      <c r="D424" s="235" t="s">
        <v>33</v>
      </c>
      <c r="E424" s="234" t="s">
        <v>277</v>
      </c>
      <c r="F424" s="235" t="s">
        <v>1045</v>
      </c>
      <c r="G424" s="24" t="s">
        <v>314</v>
      </c>
      <c r="H424" s="235">
        <v>2</v>
      </c>
      <c r="I424" s="235" t="s">
        <v>1351</v>
      </c>
      <c r="J424" s="234" t="s">
        <v>771</v>
      </c>
      <c r="K424" s="235">
        <v>225</v>
      </c>
      <c r="L424" s="235">
        <f>(Tabla1[[#This Row],[Costo Unitario]]*Tabla1[[#This Row],[cantidad]])</f>
        <v>450</v>
      </c>
      <c r="M424" s="236">
        <v>43035</v>
      </c>
      <c r="N424" s="236">
        <v>43035</v>
      </c>
      <c r="O424" s="236" t="str">
        <f>IF( Tabla1[[#This Row],[Fecha de entrega real]]="","NO CONCRETADO",IF(N424&lt;=M424,"CUMPLIÓ","NO CUMPLIÓ"))</f>
        <v>CUMPLIÓ</v>
      </c>
      <c r="P424" s="141">
        <f t="shared" si="10"/>
        <v>0</v>
      </c>
      <c r="Q424" s="234" t="s">
        <v>13</v>
      </c>
      <c r="R424" s="4" t="s">
        <v>33</v>
      </c>
      <c r="S424" s="234" t="s">
        <v>334</v>
      </c>
      <c r="T424" s="1" t="s">
        <v>1973</v>
      </c>
      <c r="U424" s="237" t="s">
        <v>1353</v>
      </c>
      <c r="V424" s="235"/>
      <c r="W424" s="235"/>
      <c r="X424" s="235">
        <f>MONTH(Tabla1[[#This Row],[fecha
de
pedido]])</f>
        <v>10</v>
      </c>
      <c r="Y424" s="235">
        <f>YEAR(Tabla1[[#This Row],[fecha
de
pedido]])</f>
        <v>2017</v>
      </c>
    </row>
    <row r="425" spans="1:25" ht="12.75" customHeight="1" x14ac:dyDescent="0.2">
      <c r="A425" s="233">
        <v>43034</v>
      </c>
      <c r="B425" s="118" t="s">
        <v>487</v>
      </c>
      <c r="C425" s="234" t="s">
        <v>33</v>
      </c>
      <c r="D425" s="235" t="s">
        <v>33</v>
      </c>
      <c r="E425" s="234" t="s">
        <v>277</v>
      </c>
      <c r="F425" s="235" t="s">
        <v>1045</v>
      </c>
      <c r="G425" s="24" t="s">
        <v>333</v>
      </c>
      <c r="H425" s="235">
        <v>4</v>
      </c>
      <c r="I425" s="235" t="s">
        <v>1351</v>
      </c>
      <c r="J425" s="234" t="s">
        <v>771</v>
      </c>
      <c r="K425" s="235">
        <v>260</v>
      </c>
      <c r="L425" s="235">
        <f>(Tabla1[[#This Row],[Costo Unitario]]*Tabla1[[#This Row],[cantidad]])</f>
        <v>1040</v>
      </c>
      <c r="M425" s="236">
        <v>43035</v>
      </c>
      <c r="N425" s="236">
        <v>43035</v>
      </c>
      <c r="O425" s="236" t="str">
        <f>IF( Tabla1[[#This Row],[Fecha de entrega real]]="","NO CONCRETADO",IF(N425&lt;=M425,"CUMPLIÓ","NO CUMPLIÓ"))</f>
        <v>CUMPLIÓ</v>
      </c>
      <c r="P425" s="141">
        <f t="shared" si="10"/>
        <v>0</v>
      </c>
      <c r="Q425" s="234" t="s">
        <v>13</v>
      </c>
      <c r="R425" s="4" t="s">
        <v>33</v>
      </c>
      <c r="S425" s="234" t="s">
        <v>334</v>
      </c>
      <c r="T425" s="1" t="s">
        <v>1973</v>
      </c>
      <c r="U425" s="237" t="s">
        <v>1353</v>
      </c>
      <c r="V425" s="235"/>
      <c r="W425" s="235"/>
      <c r="X425" s="235">
        <f>MONTH(Tabla1[[#This Row],[fecha
de
pedido]])</f>
        <v>10</v>
      </c>
      <c r="Y425" s="235">
        <f>YEAR(Tabla1[[#This Row],[fecha
de
pedido]])</f>
        <v>2017</v>
      </c>
    </row>
    <row r="426" spans="1:25" ht="12.75" customHeight="1" x14ac:dyDescent="0.2">
      <c r="A426" s="233">
        <v>43034</v>
      </c>
      <c r="B426" s="118" t="s">
        <v>487</v>
      </c>
      <c r="C426" s="234" t="s">
        <v>775</v>
      </c>
      <c r="D426" s="235" t="s">
        <v>33</v>
      </c>
      <c r="E426" s="234" t="s">
        <v>277</v>
      </c>
      <c r="F426" s="235" t="s">
        <v>1045</v>
      </c>
      <c r="G426" s="24" t="s">
        <v>1350</v>
      </c>
      <c r="H426" s="235">
        <v>4</v>
      </c>
      <c r="I426" s="235" t="s">
        <v>1351</v>
      </c>
      <c r="J426" s="234" t="s">
        <v>771</v>
      </c>
      <c r="K426" s="235">
        <v>235</v>
      </c>
      <c r="L426" s="235">
        <f>(Tabla1[[#This Row],[Costo Unitario]]*Tabla1[[#This Row],[cantidad]])</f>
        <v>940</v>
      </c>
      <c r="M426" s="236">
        <v>43035</v>
      </c>
      <c r="N426" s="236">
        <v>43035</v>
      </c>
      <c r="O426" s="236" t="str">
        <f>IF( Tabla1[[#This Row],[Fecha de entrega real]]="","NO CONCRETADO",IF(N426&lt;=M426,"CUMPLIÓ","NO CUMPLIÓ"))</f>
        <v>CUMPLIÓ</v>
      </c>
      <c r="P426" s="141">
        <f t="shared" si="10"/>
        <v>0</v>
      </c>
      <c r="Q426" s="234" t="s">
        <v>13</v>
      </c>
      <c r="R426" s="4" t="s">
        <v>33</v>
      </c>
      <c r="S426" s="234" t="s">
        <v>334</v>
      </c>
      <c r="T426" s="1" t="s">
        <v>1973</v>
      </c>
      <c r="U426" s="237" t="s">
        <v>1353</v>
      </c>
      <c r="V426" s="235"/>
      <c r="W426" s="235"/>
      <c r="X426" s="235">
        <f>MONTH(Tabla1[[#This Row],[fecha
de
pedido]])</f>
        <v>10</v>
      </c>
      <c r="Y426" s="235">
        <f>YEAR(Tabla1[[#This Row],[fecha
de
pedido]])</f>
        <v>2017</v>
      </c>
    </row>
    <row r="427" spans="1:25" ht="12.75" customHeight="1" x14ac:dyDescent="0.2">
      <c r="A427" s="233">
        <v>43034</v>
      </c>
      <c r="B427" s="118" t="s">
        <v>487</v>
      </c>
      <c r="C427" s="234" t="s">
        <v>1354</v>
      </c>
      <c r="D427" s="235" t="s">
        <v>33</v>
      </c>
      <c r="E427" s="234" t="s">
        <v>277</v>
      </c>
      <c r="F427" s="235" t="s">
        <v>1045</v>
      </c>
      <c r="G427" s="234" t="s">
        <v>1352</v>
      </c>
      <c r="H427" s="235">
        <v>1</v>
      </c>
      <c r="I427" s="235" t="s">
        <v>1069</v>
      </c>
      <c r="J427" s="234" t="s">
        <v>771</v>
      </c>
      <c r="K427" s="235">
        <v>90</v>
      </c>
      <c r="L427" s="235">
        <f>(Tabla1[[#This Row],[Costo Unitario]]*Tabla1[[#This Row],[cantidad]])</f>
        <v>90</v>
      </c>
      <c r="M427" s="236">
        <v>43035</v>
      </c>
      <c r="N427" s="236">
        <v>43035</v>
      </c>
      <c r="O427" s="236" t="str">
        <f>IF( Tabla1[[#This Row],[Fecha de entrega real]]="","NO CONCRETADO",IF(N427&lt;=M427,"CUMPLIÓ","NO CUMPLIÓ"))</f>
        <v>CUMPLIÓ</v>
      </c>
      <c r="P427" s="141">
        <f t="shared" si="10"/>
        <v>0</v>
      </c>
      <c r="Q427" s="234" t="s">
        <v>13</v>
      </c>
      <c r="R427" s="4" t="s">
        <v>33</v>
      </c>
      <c r="S427" s="234" t="s">
        <v>334</v>
      </c>
      <c r="T427" s="1" t="s">
        <v>1973</v>
      </c>
      <c r="U427" s="237" t="s">
        <v>1353</v>
      </c>
      <c r="V427" s="235"/>
      <c r="W427" s="235"/>
      <c r="X427" s="235">
        <f>MONTH(Tabla1[[#This Row],[fecha
de
pedido]])</f>
        <v>10</v>
      </c>
      <c r="Y427" s="235">
        <f>YEAR(Tabla1[[#This Row],[fecha
de
pedido]])</f>
        <v>2017</v>
      </c>
    </row>
    <row r="428" spans="1:25" ht="25.5" customHeight="1" x14ac:dyDescent="0.2">
      <c r="A428" s="233">
        <v>43036</v>
      </c>
      <c r="B428" s="118" t="s">
        <v>487</v>
      </c>
      <c r="C428" s="234" t="s">
        <v>935</v>
      </c>
      <c r="D428" s="235" t="s">
        <v>33</v>
      </c>
      <c r="E428" s="234" t="s">
        <v>277</v>
      </c>
      <c r="F428" s="235" t="s">
        <v>1045</v>
      </c>
      <c r="G428" s="234" t="s">
        <v>1407</v>
      </c>
      <c r="H428" s="235">
        <v>1</v>
      </c>
      <c r="I428" s="235" t="s">
        <v>488</v>
      </c>
      <c r="J428" s="234" t="s">
        <v>1368</v>
      </c>
      <c r="K428" s="235">
        <v>139.53700000000001</v>
      </c>
      <c r="L428" s="238">
        <f>(Tabla1[[#This Row],[Costo Unitario]]*Tabla1[[#This Row],[cantidad]])</f>
        <v>139.53700000000001</v>
      </c>
      <c r="M428" s="236">
        <v>43036</v>
      </c>
      <c r="N428" s="236">
        <v>43036</v>
      </c>
      <c r="O428" s="236" t="str">
        <f>IF( Tabla1[[#This Row],[Fecha de entrega real]]="","NO CONCRETADO",IF(N428&lt;=M428,"CUMPLIÓ","NO CUMPLIÓ"))</f>
        <v>CUMPLIÓ</v>
      </c>
      <c r="P428" s="141">
        <f t="shared" si="10"/>
        <v>0</v>
      </c>
      <c r="Q428" s="234" t="s">
        <v>917</v>
      </c>
      <c r="R428" s="234" t="s">
        <v>33</v>
      </c>
      <c r="S428" s="234" t="s">
        <v>334</v>
      </c>
      <c r="T428" s="1" t="s">
        <v>1973</v>
      </c>
      <c r="U428" s="237" t="s">
        <v>1409</v>
      </c>
      <c r="V428" s="235"/>
      <c r="W428" s="235"/>
      <c r="X428" s="235">
        <f>MONTH(Tabla1[[#This Row],[fecha
de
pedido]])</f>
        <v>10</v>
      </c>
      <c r="Y428" s="235">
        <f>YEAR(Tabla1[[#This Row],[fecha
de
pedido]])</f>
        <v>2017</v>
      </c>
    </row>
    <row r="429" spans="1:25" ht="25.5" customHeight="1" x14ac:dyDescent="0.2">
      <c r="A429" s="233">
        <v>43036</v>
      </c>
      <c r="B429" s="118" t="s">
        <v>487</v>
      </c>
      <c r="C429" s="234" t="s">
        <v>935</v>
      </c>
      <c r="D429" s="235" t="s">
        <v>33</v>
      </c>
      <c r="E429" s="234" t="s">
        <v>277</v>
      </c>
      <c r="F429" s="235" t="s">
        <v>1045</v>
      </c>
      <c r="G429" s="234" t="s">
        <v>1408</v>
      </c>
      <c r="H429" s="235">
        <v>3</v>
      </c>
      <c r="I429" s="235" t="s">
        <v>784</v>
      </c>
      <c r="J429" s="234" t="s">
        <v>1368</v>
      </c>
      <c r="K429" s="235">
        <v>23.861000000000001</v>
      </c>
      <c r="L429" s="238">
        <f>(Tabla1[[#This Row],[Costo Unitario]]*Tabla1[[#This Row],[cantidad]])</f>
        <v>71.582999999999998</v>
      </c>
      <c r="M429" s="236">
        <v>43036</v>
      </c>
      <c r="N429" s="236">
        <v>43036</v>
      </c>
      <c r="O429" s="236" t="str">
        <f>IF( Tabla1[[#This Row],[Fecha de entrega real]]="","NO CONCRETADO",IF(N429&lt;=M429,"CUMPLIÓ","NO CUMPLIÓ"))</f>
        <v>CUMPLIÓ</v>
      </c>
      <c r="P429" s="141">
        <f t="shared" ref="P429:P478" si="11">IF(N429="","NO CONCRETADO",N429-M429)</f>
        <v>0</v>
      </c>
      <c r="Q429" s="234" t="s">
        <v>917</v>
      </c>
      <c r="R429" s="234" t="s">
        <v>33</v>
      </c>
      <c r="S429" s="234" t="s">
        <v>334</v>
      </c>
      <c r="T429" s="1" t="s">
        <v>1973</v>
      </c>
      <c r="U429" s="237" t="s">
        <v>1409</v>
      </c>
      <c r="V429" s="235"/>
      <c r="W429" s="235"/>
      <c r="X429" s="235">
        <f>MONTH(Tabla1[[#This Row],[fecha
de
pedido]])</f>
        <v>10</v>
      </c>
      <c r="Y429" s="235">
        <f>YEAR(Tabla1[[#This Row],[fecha
de
pedido]])</f>
        <v>2017</v>
      </c>
    </row>
    <row r="430" spans="1:25" ht="38.25" customHeight="1" x14ac:dyDescent="0.2">
      <c r="A430" s="233">
        <v>43038</v>
      </c>
      <c r="B430" s="118" t="s">
        <v>487</v>
      </c>
      <c r="C430" s="234" t="s">
        <v>1426</v>
      </c>
      <c r="D430" s="235" t="s">
        <v>33</v>
      </c>
      <c r="E430" s="234" t="s">
        <v>11</v>
      </c>
      <c r="F430" s="235" t="s">
        <v>1045</v>
      </c>
      <c r="G430" s="234" t="s">
        <v>1428</v>
      </c>
      <c r="H430" s="235">
        <v>1</v>
      </c>
      <c r="I430" s="235" t="s">
        <v>488</v>
      </c>
      <c r="J430" s="234" t="s">
        <v>1432</v>
      </c>
      <c r="K430" s="239">
        <v>30536.61</v>
      </c>
      <c r="L430" s="238">
        <f>(Tabla1[[#This Row],[Costo Unitario]]*Tabla1[[#This Row],[cantidad]])</f>
        <v>30536.61</v>
      </c>
      <c r="M430" s="236">
        <v>43052</v>
      </c>
      <c r="N430" s="236">
        <v>43056</v>
      </c>
      <c r="O430" s="236" t="str">
        <f>IF( Tabla1[[#This Row],[Fecha de entrega real]]="","NO CONCRETADO",IF(N430&lt;=M430,"CUMPLIÓ","NO CUMPLIÓ"))</f>
        <v>NO CUMPLIÓ</v>
      </c>
      <c r="P430" s="141">
        <f t="shared" si="11"/>
        <v>4</v>
      </c>
      <c r="Q430" s="234" t="s">
        <v>1034</v>
      </c>
      <c r="R430" s="4" t="s">
        <v>232</v>
      </c>
      <c r="S430" s="234" t="s">
        <v>244</v>
      </c>
      <c r="T430" s="235" t="s">
        <v>1433</v>
      </c>
      <c r="U430" s="237" t="s">
        <v>1434</v>
      </c>
      <c r="V430" s="235"/>
      <c r="W430" s="235"/>
      <c r="X430" s="235">
        <f>MONTH(Tabla1[[#This Row],[fecha
de
pedido]])</f>
        <v>10</v>
      </c>
      <c r="Y430" s="235">
        <f>YEAR(Tabla1[[#This Row],[fecha
de
pedido]])</f>
        <v>2017</v>
      </c>
    </row>
    <row r="431" spans="1:25" ht="38.25" customHeight="1" x14ac:dyDescent="0.2">
      <c r="A431" s="233">
        <v>43038</v>
      </c>
      <c r="B431" s="118" t="s">
        <v>487</v>
      </c>
      <c r="C431" s="234" t="s">
        <v>1426</v>
      </c>
      <c r="D431" s="235" t="s">
        <v>33</v>
      </c>
      <c r="E431" s="234" t="s">
        <v>11</v>
      </c>
      <c r="F431" s="235" t="s">
        <v>1045</v>
      </c>
      <c r="G431" s="234" t="s">
        <v>1429</v>
      </c>
      <c r="H431" s="235">
        <v>2</v>
      </c>
      <c r="I431" s="235" t="s">
        <v>784</v>
      </c>
      <c r="J431" s="234" t="s">
        <v>787</v>
      </c>
      <c r="K431" s="239">
        <v>1009.73</v>
      </c>
      <c r="L431" s="238">
        <f>(Tabla1[[#This Row],[Costo Unitario]]*Tabla1[[#This Row],[cantidad]])</f>
        <v>2019.46</v>
      </c>
      <c r="M431" s="236">
        <v>43052</v>
      </c>
      <c r="N431" s="236">
        <v>43056</v>
      </c>
      <c r="O431" s="236" t="str">
        <f>IF( Tabla1[[#This Row],[Fecha de entrega real]]="","NO CONCRETADO",IF(N431&lt;=M431,"CUMPLIÓ","NO CUMPLIÓ"))</f>
        <v>NO CUMPLIÓ</v>
      </c>
      <c r="P431" s="141">
        <f t="shared" si="11"/>
        <v>4</v>
      </c>
      <c r="Q431" s="234" t="s">
        <v>1034</v>
      </c>
      <c r="R431" s="4" t="s">
        <v>232</v>
      </c>
      <c r="S431" s="234" t="s">
        <v>244</v>
      </c>
      <c r="T431" s="235" t="s">
        <v>1433</v>
      </c>
      <c r="U431" s="237" t="s">
        <v>1434</v>
      </c>
      <c r="V431" s="235"/>
      <c r="W431" s="235"/>
      <c r="X431" s="235">
        <f>MONTH(Tabla1[[#This Row],[fecha
de
pedido]])</f>
        <v>10</v>
      </c>
      <c r="Y431" s="235">
        <f>YEAR(Tabla1[[#This Row],[fecha
de
pedido]])</f>
        <v>2017</v>
      </c>
    </row>
    <row r="432" spans="1:25" ht="38.25" customHeight="1" x14ac:dyDescent="0.2">
      <c r="A432" s="233">
        <v>43038</v>
      </c>
      <c r="B432" s="118" t="s">
        <v>487</v>
      </c>
      <c r="C432" s="234" t="s">
        <v>1426</v>
      </c>
      <c r="D432" s="235" t="s">
        <v>33</v>
      </c>
      <c r="E432" s="234" t="s">
        <v>11</v>
      </c>
      <c r="F432" s="235" t="s">
        <v>1045</v>
      </c>
      <c r="G432" s="234" t="s">
        <v>1430</v>
      </c>
      <c r="H432" s="235">
        <v>4</v>
      </c>
      <c r="I432" s="235" t="s">
        <v>784</v>
      </c>
      <c r="J432" s="234" t="s">
        <v>787</v>
      </c>
      <c r="K432" s="239">
        <v>1009.73</v>
      </c>
      <c r="L432" s="238">
        <f>(Tabla1[[#This Row],[Costo Unitario]]*Tabla1[[#This Row],[cantidad]])</f>
        <v>4038.92</v>
      </c>
      <c r="M432" s="236">
        <v>43052</v>
      </c>
      <c r="N432" s="236">
        <v>43056</v>
      </c>
      <c r="O432" s="236" t="str">
        <f>IF( Tabla1[[#This Row],[Fecha de entrega real]]="","NO CONCRETADO",IF(N432&lt;=M432,"CUMPLIÓ","NO CUMPLIÓ"))</f>
        <v>NO CUMPLIÓ</v>
      </c>
      <c r="P432" s="141">
        <f t="shared" si="11"/>
        <v>4</v>
      </c>
      <c r="Q432" s="234" t="s">
        <v>1034</v>
      </c>
      <c r="R432" s="4" t="s">
        <v>232</v>
      </c>
      <c r="S432" s="234" t="s">
        <v>244</v>
      </c>
      <c r="T432" s="235" t="s">
        <v>1433</v>
      </c>
      <c r="U432" s="237" t="s">
        <v>1434</v>
      </c>
      <c r="V432" s="235"/>
      <c r="W432" s="235"/>
      <c r="X432" s="235">
        <f>MONTH(Tabla1[[#This Row],[fecha
de
pedido]])</f>
        <v>10</v>
      </c>
      <c r="Y432" s="235">
        <f>YEAR(Tabla1[[#This Row],[fecha
de
pedido]])</f>
        <v>2017</v>
      </c>
    </row>
    <row r="433" spans="1:25" ht="38.25" customHeight="1" x14ac:dyDescent="0.2">
      <c r="A433" s="233">
        <v>43038</v>
      </c>
      <c r="B433" s="118" t="s">
        <v>487</v>
      </c>
      <c r="C433" s="234" t="s">
        <v>1426</v>
      </c>
      <c r="D433" s="235" t="s">
        <v>33</v>
      </c>
      <c r="E433" s="234" t="s">
        <v>11</v>
      </c>
      <c r="F433" s="235" t="s">
        <v>1045</v>
      </c>
      <c r="G433" s="234" t="s">
        <v>1431</v>
      </c>
      <c r="H433" s="235">
        <v>1</v>
      </c>
      <c r="I433" s="235" t="s">
        <v>488</v>
      </c>
      <c r="J433" s="234" t="s">
        <v>787</v>
      </c>
      <c r="K433" s="239">
        <v>2445.92</v>
      </c>
      <c r="L433" s="238">
        <f>(Tabla1[[#This Row],[Costo Unitario]]*Tabla1[[#This Row],[cantidad]])</f>
        <v>2445.92</v>
      </c>
      <c r="M433" s="236">
        <v>43052</v>
      </c>
      <c r="N433" s="236">
        <v>43056</v>
      </c>
      <c r="O433" s="236" t="str">
        <f>IF( Tabla1[[#This Row],[Fecha de entrega real]]="","NO CONCRETADO",IF(N433&lt;=M433,"CUMPLIÓ","NO CUMPLIÓ"))</f>
        <v>NO CUMPLIÓ</v>
      </c>
      <c r="P433" s="141">
        <f t="shared" si="11"/>
        <v>4</v>
      </c>
      <c r="Q433" s="234" t="s">
        <v>1034</v>
      </c>
      <c r="R433" s="4" t="s">
        <v>232</v>
      </c>
      <c r="S433" s="234" t="s">
        <v>244</v>
      </c>
      <c r="T433" s="235" t="s">
        <v>1433</v>
      </c>
      <c r="U433" s="237" t="s">
        <v>1434</v>
      </c>
      <c r="V433" s="235"/>
      <c r="W433" s="235"/>
      <c r="X433" s="235">
        <f>MONTH(Tabla1[[#This Row],[fecha
de
pedido]])</f>
        <v>10</v>
      </c>
      <c r="Y433" s="235">
        <f>YEAR(Tabla1[[#This Row],[fecha
de
pedido]])</f>
        <v>2017</v>
      </c>
    </row>
    <row r="434" spans="1:25" ht="38.25" customHeight="1" x14ac:dyDescent="0.2">
      <c r="A434" s="152">
        <v>43038</v>
      </c>
      <c r="B434" s="118" t="s">
        <v>487</v>
      </c>
      <c r="C434" s="4" t="s">
        <v>921</v>
      </c>
      <c r="D434" s="1" t="s">
        <v>921</v>
      </c>
      <c r="E434" s="4" t="s">
        <v>921</v>
      </c>
      <c r="F434" s="1" t="s">
        <v>1041</v>
      </c>
      <c r="G434" s="4" t="s">
        <v>1270</v>
      </c>
      <c r="H434" s="1">
        <v>1</v>
      </c>
      <c r="I434" s="1" t="s">
        <v>830</v>
      </c>
      <c r="J434" s="4" t="s">
        <v>1004</v>
      </c>
      <c r="K434" s="160">
        <v>588.04</v>
      </c>
      <c r="L434" s="238">
        <f>(Tabla1[[#This Row],[Costo Unitario]]*Tabla1[[#This Row],[cantidad]])</f>
        <v>588.04</v>
      </c>
      <c r="M434" s="88">
        <v>43056</v>
      </c>
      <c r="N434" s="88">
        <v>43056</v>
      </c>
      <c r="O434" s="88" t="str">
        <f>IF( Tabla1[[#This Row],[Fecha de entrega real]]="","NO CONCRETADO",IF(N434&lt;=M434,"CUMPLIÓ","NO CUMPLIÓ"))</f>
        <v>CUMPLIÓ</v>
      </c>
      <c r="P434" s="141">
        <f>IF(N434="","NO CONCRETADO",N434-M434)</f>
        <v>0</v>
      </c>
      <c r="Q434" s="234" t="s">
        <v>1034</v>
      </c>
      <c r="R434" s="4" t="s">
        <v>232</v>
      </c>
      <c r="S434" s="4" t="s">
        <v>1514</v>
      </c>
      <c r="T434" s="1" t="s">
        <v>1983</v>
      </c>
      <c r="U434" s="107" t="s">
        <v>1515</v>
      </c>
      <c r="X434" s="1">
        <f>MONTH(Tabla1[[#This Row],[fecha
de
pedido]])</f>
        <v>10</v>
      </c>
      <c r="Y434" s="1">
        <f>YEAR(Tabla1[[#This Row],[fecha
de
pedido]])</f>
        <v>2017</v>
      </c>
    </row>
    <row r="435" spans="1:25" ht="38.25" customHeight="1" x14ac:dyDescent="0.2">
      <c r="A435" s="245">
        <v>43048</v>
      </c>
      <c r="B435" s="118" t="s">
        <v>487</v>
      </c>
      <c r="C435" s="246" t="s">
        <v>33</v>
      </c>
      <c r="D435" s="247" t="s">
        <v>33</v>
      </c>
      <c r="E435" s="246" t="s">
        <v>11</v>
      </c>
      <c r="F435" s="247" t="s">
        <v>772</v>
      </c>
      <c r="G435" s="246" t="s">
        <v>1537</v>
      </c>
      <c r="H435" s="247">
        <v>3</v>
      </c>
      <c r="I435" s="247" t="s">
        <v>784</v>
      </c>
      <c r="J435" s="246" t="s">
        <v>82</v>
      </c>
      <c r="K435" s="250">
        <v>1120</v>
      </c>
      <c r="L435" s="238">
        <f>(Tabla1[[#This Row],[Costo Unitario]]*Tabla1[[#This Row],[cantidad]])</f>
        <v>3360</v>
      </c>
      <c r="M435" s="248">
        <v>43062</v>
      </c>
      <c r="N435" s="248">
        <v>43097</v>
      </c>
      <c r="O435" s="248" t="str">
        <f>IF( Tabla1[[#This Row],[Fecha de entrega real]]="","NO CONCRETADO",IF(N435&lt;=M435,"CUMPLIÓ","NO CUMPLIÓ"))</f>
        <v>NO CUMPLIÓ</v>
      </c>
      <c r="P435" s="141">
        <f>IF(N435="","NO CONCRETADO",N435-M435)</f>
        <v>35</v>
      </c>
      <c r="Q435" s="246" t="s">
        <v>13</v>
      </c>
      <c r="R435" s="4" t="s">
        <v>33</v>
      </c>
      <c r="S435" s="4" t="s">
        <v>1984</v>
      </c>
      <c r="T435" s="247" t="s">
        <v>1538</v>
      </c>
      <c r="U435" s="249" t="s">
        <v>1539</v>
      </c>
      <c r="V435" s="247"/>
      <c r="W435" s="247"/>
      <c r="X435" s="247">
        <f>MONTH(Tabla1[[#This Row],[fecha
de
pedido]])</f>
        <v>11</v>
      </c>
      <c r="Y435" s="247">
        <f>YEAR(Tabla1[[#This Row],[fecha
de
pedido]])</f>
        <v>2017</v>
      </c>
    </row>
    <row r="436" spans="1:25" ht="12.75" customHeight="1" x14ac:dyDescent="0.2">
      <c r="A436" s="233">
        <v>43049</v>
      </c>
      <c r="B436" s="118" t="s">
        <v>487</v>
      </c>
      <c r="C436" s="234" t="s">
        <v>1102</v>
      </c>
      <c r="D436" s="235" t="s">
        <v>33</v>
      </c>
      <c r="E436" s="234" t="s">
        <v>1044</v>
      </c>
      <c r="F436" s="235" t="s">
        <v>1016</v>
      </c>
      <c r="G436" s="234" t="s">
        <v>1414</v>
      </c>
      <c r="H436" s="235">
        <v>1</v>
      </c>
      <c r="I436" s="235" t="s">
        <v>1415</v>
      </c>
      <c r="J436" s="234" t="s">
        <v>81</v>
      </c>
      <c r="K436" s="235">
        <v>500.61</v>
      </c>
      <c r="L436" s="238">
        <f>(Tabla1[[#This Row],[Costo Unitario]]*Tabla1[[#This Row],[cantidad]])</f>
        <v>500.61</v>
      </c>
      <c r="M436" s="236">
        <v>43053</v>
      </c>
      <c r="N436" s="236">
        <v>43053</v>
      </c>
      <c r="O436" s="236" t="str">
        <f>IF( Tabla1[[#This Row],[Fecha de entrega real]]="","NO CONCRETADO",IF(N436&lt;=M436,"CUMPLIÓ","NO CUMPLIÓ"))</f>
        <v>CUMPLIÓ</v>
      </c>
      <c r="P436" s="141">
        <f t="shared" si="11"/>
        <v>0</v>
      </c>
      <c r="Q436" s="234" t="s">
        <v>13</v>
      </c>
      <c r="R436" s="4" t="s">
        <v>33</v>
      </c>
      <c r="S436" s="234" t="s">
        <v>334</v>
      </c>
      <c r="T436" s="235" t="s">
        <v>1416</v>
      </c>
      <c r="U436" s="237" t="s">
        <v>1417</v>
      </c>
      <c r="V436" s="235"/>
      <c r="W436" s="235"/>
      <c r="X436" s="235">
        <f>MONTH(Tabla1[[#This Row],[fecha
de
pedido]])</f>
        <v>11</v>
      </c>
      <c r="Y436" s="235">
        <f>YEAR(Tabla1[[#This Row],[fecha
de
pedido]])</f>
        <v>2017</v>
      </c>
    </row>
    <row r="437" spans="1:25" ht="12.75" customHeight="1" x14ac:dyDescent="0.2">
      <c r="A437" s="233">
        <v>43049</v>
      </c>
      <c r="B437" s="118" t="s">
        <v>487</v>
      </c>
      <c r="C437" s="234" t="s">
        <v>921</v>
      </c>
      <c r="D437" s="235" t="s">
        <v>921</v>
      </c>
      <c r="E437" s="234" t="s">
        <v>921</v>
      </c>
      <c r="F437" s="235" t="s">
        <v>1041</v>
      </c>
      <c r="G437" s="234" t="s">
        <v>1041</v>
      </c>
      <c r="H437" s="235">
        <v>1</v>
      </c>
      <c r="I437" s="235" t="s">
        <v>830</v>
      </c>
      <c r="J437" s="234" t="s">
        <v>1418</v>
      </c>
      <c r="K437" s="235">
        <v>121.51</v>
      </c>
      <c r="L437" s="238">
        <f>(Tabla1[[#This Row],[Costo Unitario]]*Tabla1[[#This Row],[cantidad]])</f>
        <v>121.51</v>
      </c>
      <c r="M437" s="236">
        <v>43053</v>
      </c>
      <c r="N437" s="236">
        <v>43053</v>
      </c>
      <c r="O437" s="236" t="str">
        <f>IF( Tabla1[[#This Row],[Fecha de entrega real]]="","NO CONCRETADO",IF(N437&lt;=M437,"CUMPLIÓ","NO CUMPLIÓ"))</f>
        <v>CUMPLIÓ</v>
      </c>
      <c r="P437" s="141">
        <f t="shared" si="11"/>
        <v>0</v>
      </c>
      <c r="Q437" s="234" t="s">
        <v>13</v>
      </c>
      <c r="R437" s="4" t="s">
        <v>33</v>
      </c>
      <c r="S437" s="234" t="s">
        <v>334</v>
      </c>
      <c r="T437" s="235" t="s">
        <v>1416</v>
      </c>
      <c r="U437" s="237" t="s">
        <v>1417</v>
      </c>
      <c r="V437" s="235"/>
      <c r="W437" s="235"/>
      <c r="X437" s="235">
        <f>MONTH(Tabla1[[#This Row],[fecha
de
pedido]])</f>
        <v>11</v>
      </c>
      <c r="Y437" s="235">
        <f>YEAR(Tabla1[[#This Row],[fecha
de
pedido]])</f>
        <v>2017</v>
      </c>
    </row>
    <row r="438" spans="1:25" ht="12.75" customHeight="1" x14ac:dyDescent="0.2">
      <c r="A438" s="233">
        <v>43053</v>
      </c>
      <c r="B438" s="118" t="s">
        <v>487</v>
      </c>
      <c r="C438" s="234" t="s">
        <v>33</v>
      </c>
      <c r="D438" s="235" t="s">
        <v>33</v>
      </c>
      <c r="E438" s="234" t="s">
        <v>277</v>
      </c>
      <c r="F438" s="235" t="s">
        <v>1045</v>
      </c>
      <c r="G438" s="234" t="s">
        <v>204</v>
      </c>
      <c r="H438" s="235">
        <v>160</v>
      </c>
      <c r="I438" s="235" t="s">
        <v>1411</v>
      </c>
      <c r="J438" s="234" t="s">
        <v>12</v>
      </c>
      <c r="K438" s="235">
        <v>6</v>
      </c>
      <c r="L438" s="238">
        <f>(Tabla1[[#This Row],[Costo Unitario]]*Tabla1[[#This Row],[cantidad]])</f>
        <v>960</v>
      </c>
      <c r="M438" s="236">
        <v>43054</v>
      </c>
      <c r="N438" s="236">
        <v>43055</v>
      </c>
      <c r="O438" s="236" t="str">
        <f>IF( Tabla1[[#This Row],[Fecha de entrega real]]="","NO CONCRETADO",IF(N438&lt;=M438,"CUMPLIÓ","NO CUMPLIÓ"))</f>
        <v>NO CUMPLIÓ</v>
      </c>
      <c r="P438" s="141">
        <f t="shared" si="11"/>
        <v>1</v>
      </c>
      <c r="Q438" s="234" t="s">
        <v>13</v>
      </c>
      <c r="R438" s="4" t="s">
        <v>33</v>
      </c>
      <c r="S438" s="4" t="s">
        <v>1979</v>
      </c>
      <c r="T438" s="1" t="s">
        <v>1973</v>
      </c>
      <c r="U438" s="237" t="s">
        <v>1413</v>
      </c>
      <c r="V438" s="235"/>
      <c r="W438" s="235"/>
      <c r="X438" s="235">
        <f>MONTH(Tabla1[[#This Row],[fecha
de
pedido]])</f>
        <v>11</v>
      </c>
      <c r="Y438" s="235">
        <f>YEAR(Tabla1[[#This Row],[fecha
de
pedido]])</f>
        <v>2017</v>
      </c>
    </row>
    <row r="439" spans="1:25" ht="12.75" customHeight="1" x14ac:dyDescent="0.2">
      <c r="A439" s="233">
        <v>43054</v>
      </c>
      <c r="B439" s="118" t="s">
        <v>487</v>
      </c>
      <c r="C439" s="234" t="s">
        <v>33</v>
      </c>
      <c r="D439" s="235" t="s">
        <v>33</v>
      </c>
      <c r="E439" s="234" t="s">
        <v>277</v>
      </c>
      <c r="F439" s="235" t="s">
        <v>1045</v>
      </c>
      <c r="G439" s="234" t="s">
        <v>1412</v>
      </c>
      <c r="H439" s="235">
        <v>2</v>
      </c>
      <c r="I439" s="235" t="s">
        <v>800</v>
      </c>
      <c r="J439" s="234" t="s">
        <v>12</v>
      </c>
      <c r="K439" s="235">
        <v>50</v>
      </c>
      <c r="L439" s="238">
        <f>(Tabla1[[#This Row],[Costo Unitario]]*Tabla1[[#This Row],[cantidad]])</f>
        <v>100</v>
      </c>
      <c r="M439" s="236">
        <v>43054</v>
      </c>
      <c r="N439" s="236">
        <v>43055</v>
      </c>
      <c r="O439" s="236" t="str">
        <f>IF( Tabla1[[#This Row],[Fecha de entrega real]]="","NO CONCRETADO",IF(N439&lt;=M439,"CUMPLIÓ","NO CUMPLIÓ"))</f>
        <v>NO CUMPLIÓ</v>
      </c>
      <c r="P439" s="141">
        <f t="shared" si="11"/>
        <v>1</v>
      </c>
      <c r="Q439" s="234" t="s">
        <v>13</v>
      </c>
      <c r="R439" s="4" t="s">
        <v>33</v>
      </c>
      <c r="S439" s="234" t="s">
        <v>334</v>
      </c>
      <c r="T439" s="1" t="s">
        <v>1973</v>
      </c>
      <c r="U439" s="237" t="s">
        <v>1413</v>
      </c>
      <c r="V439" s="235"/>
      <c r="W439" s="235"/>
      <c r="X439" s="235">
        <f>MONTH(Tabla1[[#This Row],[fecha
de
pedido]])</f>
        <v>11</v>
      </c>
      <c r="Y439" s="235">
        <f>YEAR(Tabla1[[#This Row],[fecha
de
pedido]])</f>
        <v>2017</v>
      </c>
    </row>
    <row r="440" spans="1:25" ht="12.75" customHeight="1" x14ac:dyDescent="0.2">
      <c r="A440" s="233">
        <v>43063</v>
      </c>
      <c r="B440" s="118" t="s">
        <v>487</v>
      </c>
      <c r="C440" s="234" t="s">
        <v>1186</v>
      </c>
      <c r="D440" s="235" t="s">
        <v>33</v>
      </c>
      <c r="E440" s="234" t="s">
        <v>277</v>
      </c>
      <c r="F440" s="235" t="s">
        <v>1045</v>
      </c>
      <c r="G440" s="234" t="s">
        <v>889</v>
      </c>
      <c r="H440" s="235">
        <v>150</v>
      </c>
      <c r="I440" s="235" t="s">
        <v>1411</v>
      </c>
      <c r="J440" s="234" t="s">
        <v>12</v>
      </c>
      <c r="K440" s="235">
        <v>6</v>
      </c>
      <c r="L440" s="238">
        <f>(Tabla1[[#This Row],[Costo Unitario]]*Tabla1[[#This Row],[cantidad]])</f>
        <v>900</v>
      </c>
      <c r="M440" s="236">
        <v>43066</v>
      </c>
      <c r="N440" s="236">
        <v>43055</v>
      </c>
      <c r="O440" s="236" t="str">
        <f>IF( Tabla1[[#This Row],[Fecha de entrega real]]="","NO CONCRETADO",IF(N440&lt;=M440,"CUMPLIÓ","NO CUMPLIÓ"))</f>
        <v>CUMPLIÓ</v>
      </c>
      <c r="P440" s="141">
        <f t="shared" si="11"/>
        <v>-11</v>
      </c>
      <c r="Q440" s="234" t="s">
        <v>13</v>
      </c>
      <c r="R440" s="234" t="s">
        <v>775</v>
      </c>
      <c r="S440" s="234" t="s">
        <v>334</v>
      </c>
      <c r="T440" s="1" t="s">
        <v>1973</v>
      </c>
      <c r="U440" s="237" t="s">
        <v>1985</v>
      </c>
      <c r="V440" s="235"/>
      <c r="W440" s="235"/>
      <c r="X440" s="235">
        <f>MONTH(Tabla1[[#This Row],[fecha
de
pedido]])</f>
        <v>11</v>
      </c>
      <c r="Y440" s="235">
        <f>YEAR(Tabla1[[#This Row],[fecha
de
pedido]])</f>
        <v>2017</v>
      </c>
    </row>
    <row r="441" spans="1:25" ht="12.75" customHeight="1" x14ac:dyDescent="0.2">
      <c r="A441" s="233">
        <v>43063</v>
      </c>
      <c r="B441" s="118" t="s">
        <v>487</v>
      </c>
      <c r="C441" s="234" t="s">
        <v>33</v>
      </c>
      <c r="D441" s="235" t="s">
        <v>33</v>
      </c>
      <c r="E441" s="234" t="s">
        <v>277</v>
      </c>
      <c r="F441" s="235" t="s">
        <v>1045</v>
      </c>
      <c r="G441" s="234" t="s">
        <v>1412</v>
      </c>
      <c r="H441" s="235">
        <v>3</v>
      </c>
      <c r="I441" s="235" t="s">
        <v>784</v>
      </c>
      <c r="J441" s="234" t="s">
        <v>12</v>
      </c>
      <c r="K441" s="235">
        <v>50</v>
      </c>
      <c r="L441" s="238">
        <f>(Tabla1[[#This Row],[Costo Unitario]]*Tabla1[[#This Row],[cantidad]])</f>
        <v>150</v>
      </c>
      <c r="M441" s="236">
        <v>43066</v>
      </c>
      <c r="N441" s="236">
        <v>43055</v>
      </c>
      <c r="O441" s="236" t="str">
        <f>IF( Tabla1[[#This Row],[Fecha de entrega real]]="","NO CONCRETADO",IF(N441&lt;=M441,"CUMPLIÓ","NO CUMPLIÓ"))</f>
        <v>CUMPLIÓ</v>
      </c>
      <c r="P441" s="141">
        <f t="shared" si="11"/>
        <v>-11</v>
      </c>
      <c r="Q441" s="234" t="s">
        <v>13</v>
      </c>
      <c r="R441" s="234" t="s">
        <v>775</v>
      </c>
      <c r="S441" s="234" t="s">
        <v>334</v>
      </c>
      <c r="T441" s="1" t="s">
        <v>1973</v>
      </c>
      <c r="U441" s="237" t="s">
        <v>1985</v>
      </c>
      <c r="V441" s="235"/>
      <c r="W441" s="235"/>
      <c r="X441" s="235">
        <f>MONTH(Tabla1[[#This Row],[fecha
de
pedido]])</f>
        <v>11</v>
      </c>
      <c r="Y441" s="235">
        <f>YEAR(Tabla1[[#This Row],[fecha
de
pedido]])</f>
        <v>2017</v>
      </c>
    </row>
    <row r="442" spans="1:25" ht="12.75" customHeight="1" x14ac:dyDescent="0.2">
      <c r="A442" s="233">
        <v>43063</v>
      </c>
      <c r="B442" s="118" t="s">
        <v>487</v>
      </c>
      <c r="C442" s="234" t="s">
        <v>1426</v>
      </c>
      <c r="D442" s="235" t="s">
        <v>33</v>
      </c>
      <c r="E442" s="234" t="s">
        <v>277</v>
      </c>
      <c r="F442" s="235" t="s">
        <v>1016</v>
      </c>
      <c r="G442" s="234" t="s">
        <v>1427</v>
      </c>
      <c r="H442" s="235">
        <v>2</v>
      </c>
      <c r="I442" s="235" t="s">
        <v>812</v>
      </c>
      <c r="J442" s="234" t="s">
        <v>81</v>
      </c>
      <c r="K442" s="235" t="s">
        <v>1448</v>
      </c>
      <c r="L442" s="238" t="s">
        <v>1449</v>
      </c>
      <c r="M442" s="236">
        <v>43067</v>
      </c>
      <c r="N442" s="236">
        <v>43066</v>
      </c>
      <c r="O442" s="236" t="str">
        <f>IF( Tabla1[[#This Row],[Fecha de entrega real]]="","NO CONCRETADO",IF(N442&lt;=M442,"CUMPLIÓ","NO CUMPLIÓ"))</f>
        <v>CUMPLIÓ</v>
      </c>
      <c r="P442" s="141">
        <f t="shared" si="11"/>
        <v>-1</v>
      </c>
      <c r="Q442" s="234" t="s">
        <v>13</v>
      </c>
      <c r="R442" s="234" t="s">
        <v>775</v>
      </c>
      <c r="S442" s="234" t="s">
        <v>334</v>
      </c>
      <c r="T442" s="235" t="s">
        <v>1447</v>
      </c>
      <c r="U442" s="237" t="s">
        <v>1446</v>
      </c>
      <c r="V442" s="235"/>
      <c r="W442" s="235"/>
      <c r="X442" s="235">
        <f>MONTH(Tabla1[[#This Row],[fecha
de
pedido]])</f>
        <v>11</v>
      </c>
      <c r="Y442" s="235">
        <f>YEAR(Tabla1[[#This Row],[fecha
de
pedido]])</f>
        <v>2017</v>
      </c>
    </row>
    <row r="443" spans="1:25" ht="12.75" customHeight="1" x14ac:dyDescent="0.2">
      <c r="A443" s="233">
        <v>43063</v>
      </c>
      <c r="B443" s="118" t="s">
        <v>487</v>
      </c>
      <c r="C443" s="234" t="s">
        <v>1426</v>
      </c>
      <c r="D443" s="235" t="s">
        <v>33</v>
      </c>
      <c r="E443" s="234" t="s">
        <v>277</v>
      </c>
      <c r="F443" s="235" t="s">
        <v>1016</v>
      </c>
      <c r="G443" s="234" t="s">
        <v>1253</v>
      </c>
      <c r="H443" s="235">
        <v>3</v>
      </c>
      <c r="I443" s="235" t="s">
        <v>812</v>
      </c>
      <c r="J443" s="234" t="s">
        <v>81</v>
      </c>
      <c r="K443" s="235" t="s">
        <v>1450</v>
      </c>
      <c r="L443" s="238" t="s">
        <v>1451</v>
      </c>
      <c r="M443" s="236">
        <v>43067</v>
      </c>
      <c r="N443" s="236">
        <v>43066</v>
      </c>
      <c r="O443" s="236" t="str">
        <f>IF( Tabla1[[#This Row],[Fecha de entrega real]]="","NO CONCRETADO",IF(N443&lt;=M443,"CUMPLIÓ","NO CUMPLIÓ"))</f>
        <v>CUMPLIÓ</v>
      </c>
      <c r="P443" s="141">
        <f t="shared" si="11"/>
        <v>-1</v>
      </c>
      <c r="Q443" s="234" t="s">
        <v>13</v>
      </c>
      <c r="R443" s="234" t="s">
        <v>775</v>
      </c>
      <c r="S443" s="234" t="s">
        <v>334</v>
      </c>
      <c r="T443" s="235" t="s">
        <v>1447</v>
      </c>
      <c r="U443" s="237" t="s">
        <v>1446</v>
      </c>
      <c r="V443" s="235"/>
      <c r="W443" s="235"/>
      <c r="X443" s="235">
        <f>MONTH(Tabla1[[#This Row],[fecha
de
pedido]])</f>
        <v>11</v>
      </c>
      <c r="Y443" s="235">
        <f>YEAR(Tabla1[[#This Row],[fecha
de
pedido]])</f>
        <v>2017</v>
      </c>
    </row>
    <row r="444" spans="1:25" ht="38.25" customHeight="1" x14ac:dyDescent="0.2">
      <c r="A444" s="233">
        <v>43066</v>
      </c>
      <c r="B444" s="118" t="s">
        <v>487</v>
      </c>
      <c r="C444" s="234" t="s">
        <v>775</v>
      </c>
      <c r="D444" s="235" t="s">
        <v>975</v>
      </c>
      <c r="E444" s="234" t="s">
        <v>11</v>
      </c>
      <c r="F444" s="235" t="s">
        <v>778</v>
      </c>
      <c r="G444" s="234" t="s">
        <v>1435</v>
      </c>
      <c r="H444" s="235">
        <v>2</v>
      </c>
      <c r="I444" s="235" t="s">
        <v>1260</v>
      </c>
      <c r="J444" s="234" t="s">
        <v>1436</v>
      </c>
      <c r="K444" s="235">
        <v>1185</v>
      </c>
      <c r="L444" s="238">
        <f>(Tabla1[[#This Row],[Costo Unitario]]*Tabla1[[#This Row],[cantidad]])</f>
        <v>2370</v>
      </c>
      <c r="M444" s="236">
        <v>43067</v>
      </c>
      <c r="N444" s="236">
        <v>43067</v>
      </c>
      <c r="O444" s="236" t="str">
        <f>IF( Tabla1[[#This Row],[Fecha de entrega real]]="","NO CONCRETADO",IF(N444&lt;=M444,"CUMPLIÓ","NO CUMPLIÓ"))</f>
        <v>CUMPLIÓ</v>
      </c>
      <c r="P444" s="141">
        <f t="shared" si="11"/>
        <v>0</v>
      </c>
      <c r="Q444" s="234" t="s">
        <v>1437</v>
      </c>
      <c r="R444" s="234" t="s">
        <v>33</v>
      </c>
      <c r="S444" s="234" t="s">
        <v>334</v>
      </c>
      <c r="T444" s="1" t="s">
        <v>1973</v>
      </c>
      <c r="U444" s="237" t="s">
        <v>1438</v>
      </c>
      <c r="V444" s="235"/>
      <c r="W444" s="235"/>
      <c r="X444" s="235">
        <f>MONTH(Tabla1[[#This Row],[fecha
de
pedido]])</f>
        <v>11</v>
      </c>
      <c r="Y444" s="235">
        <f>YEAR(Tabla1[[#This Row],[fecha
de
pedido]])</f>
        <v>2017</v>
      </c>
    </row>
    <row r="445" spans="1:25" ht="38.25" customHeight="1" x14ac:dyDescent="0.2">
      <c r="A445" s="152">
        <v>43067</v>
      </c>
      <c r="B445" s="118" t="s">
        <v>487</v>
      </c>
      <c r="C445" s="4" t="s">
        <v>1439</v>
      </c>
      <c r="D445" s="1" t="s">
        <v>33</v>
      </c>
      <c r="E445" s="4" t="s">
        <v>31</v>
      </c>
      <c r="F445" s="1" t="s">
        <v>778</v>
      </c>
      <c r="G445" s="4" t="s">
        <v>1440</v>
      </c>
      <c r="H445" s="1">
        <v>1</v>
      </c>
      <c r="I445" s="1" t="s">
        <v>821</v>
      </c>
      <c r="J445" s="4" t="s">
        <v>1441</v>
      </c>
      <c r="K445" s="1">
        <v>3956.47</v>
      </c>
      <c r="L445" s="238">
        <f>(Tabla1[[#This Row],[Costo Unitario]]*Tabla1[[#This Row],[cantidad]])</f>
        <v>3956.47</v>
      </c>
      <c r="M445" s="88">
        <v>43116</v>
      </c>
      <c r="N445" s="88">
        <v>43231</v>
      </c>
      <c r="O445" s="88" t="str">
        <f>IF( Tabla1[[#This Row],[Fecha de entrega real]]="","NO CONCRETADO",IF(N445&lt;=M445,"CUMPLIÓ","NO CUMPLIÓ"))</f>
        <v>NO CUMPLIÓ</v>
      </c>
      <c r="P445" s="141">
        <f t="shared" si="11"/>
        <v>115</v>
      </c>
      <c r="Q445" s="4" t="s">
        <v>1561</v>
      </c>
      <c r="R445" s="234" t="s">
        <v>33</v>
      </c>
      <c r="S445" s="4" t="s">
        <v>1987</v>
      </c>
      <c r="T445" s="1" t="s">
        <v>1562</v>
      </c>
      <c r="X445" s="1">
        <f>MONTH(Tabla1[[#This Row],[fecha
de
pedido]])</f>
        <v>11</v>
      </c>
      <c r="Y445" s="1">
        <f>YEAR(Tabla1[[#This Row],[fecha
de
pedido]])</f>
        <v>2017</v>
      </c>
    </row>
    <row r="446" spans="1:25" ht="38.25" customHeight="1" x14ac:dyDescent="0.2">
      <c r="A446" s="152">
        <v>43067</v>
      </c>
      <c r="B446" s="118" t="s">
        <v>487</v>
      </c>
      <c r="C446" s="4" t="s">
        <v>33</v>
      </c>
      <c r="D446" s="1" t="s">
        <v>33</v>
      </c>
      <c r="E446" s="4" t="s">
        <v>11</v>
      </c>
      <c r="F446" s="1" t="s">
        <v>1199</v>
      </c>
      <c r="G446" s="4" t="s">
        <v>1442</v>
      </c>
      <c r="H446" s="1">
        <v>48</v>
      </c>
      <c r="I446" s="1" t="s">
        <v>779</v>
      </c>
      <c r="J446" s="4" t="s">
        <v>1280</v>
      </c>
      <c r="K446" s="1">
        <v>10.25</v>
      </c>
      <c r="L446" s="238">
        <f>(Tabla1[[#This Row],[Costo Unitario]]*Tabla1[[#This Row],[cantidad]])</f>
        <v>492</v>
      </c>
      <c r="M446" s="88">
        <v>43098</v>
      </c>
      <c r="N446" s="88">
        <v>43082</v>
      </c>
      <c r="O446" s="88" t="str">
        <f>IF( Tabla1[[#This Row],[Fecha de entrega real]]="","NO CONCRETADO",IF(N446&lt;=M446,"CUMPLIÓ","NO CUMPLIÓ"))</f>
        <v>CUMPLIÓ</v>
      </c>
      <c r="P446" s="141">
        <f t="shared" si="11"/>
        <v>-16</v>
      </c>
      <c r="Q446" s="4" t="s">
        <v>1034</v>
      </c>
      <c r="R446" s="4" t="s">
        <v>232</v>
      </c>
      <c r="S446" s="4" t="s">
        <v>1986</v>
      </c>
      <c r="T446" s="1" t="s">
        <v>1505</v>
      </c>
      <c r="U446" s="107" t="s">
        <v>1506</v>
      </c>
      <c r="X446" s="1">
        <f>MONTH(Tabla1[[#This Row],[fecha
de
pedido]])</f>
        <v>11</v>
      </c>
      <c r="Y446" s="1">
        <f>YEAR(Tabla1[[#This Row],[fecha
de
pedido]])</f>
        <v>2017</v>
      </c>
    </row>
    <row r="447" spans="1:25" ht="38.25" customHeight="1" x14ac:dyDescent="0.2">
      <c r="A447" s="152">
        <v>43067</v>
      </c>
      <c r="B447" s="118" t="s">
        <v>487</v>
      </c>
      <c r="C447" s="4" t="s">
        <v>33</v>
      </c>
      <c r="D447" s="1" t="s">
        <v>33</v>
      </c>
      <c r="E447" s="4" t="s">
        <v>11</v>
      </c>
      <c r="F447" s="1" t="s">
        <v>1199</v>
      </c>
      <c r="G447" s="4" t="s">
        <v>1443</v>
      </c>
      <c r="H447" s="1">
        <v>36</v>
      </c>
      <c r="I447" s="1" t="s">
        <v>779</v>
      </c>
      <c r="J447" s="4" t="s">
        <v>1280</v>
      </c>
      <c r="K447" s="1">
        <v>11.27</v>
      </c>
      <c r="L447" s="238">
        <f>(Tabla1[[#This Row],[Costo Unitario]]*Tabla1[[#This Row],[cantidad]])</f>
        <v>405.71999999999997</v>
      </c>
      <c r="M447" s="88">
        <v>43098</v>
      </c>
      <c r="N447" s="88">
        <v>43082</v>
      </c>
      <c r="O447" s="88" t="str">
        <f>IF( Tabla1[[#This Row],[Fecha de entrega real]]="","NO CONCRETADO",IF(N447&lt;=M447,"CUMPLIÓ","NO CUMPLIÓ"))</f>
        <v>CUMPLIÓ</v>
      </c>
      <c r="P447" s="141">
        <f t="shared" si="11"/>
        <v>-16</v>
      </c>
      <c r="Q447" s="4" t="s">
        <v>1034</v>
      </c>
      <c r="R447" s="4" t="s">
        <v>232</v>
      </c>
      <c r="S447" s="4" t="s">
        <v>1986</v>
      </c>
      <c r="T447" s="1" t="s">
        <v>1505</v>
      </c>
      <c r="U447" s="107" t="s">
        <v>1506</v>
      </c>
      <c r="X447" s="1">
        <f>MONTH(Tabla1[[#This Row],[fecha
de
pedido]])</f>
        <v>11</v>
      </c>
      <c r="Y447" s="1">
        <f>YEAR(Tabla1[[#This Row],[fecha
de
pedido]])</f>
        <v>2017</v>
      </c>
    </row>
    <row r="448" spans="1:25" ht="38.25" customHeight="1" x14ac:dyDescent="0.2">
      <c r="A448" s="152">
        <v>43067</v>
      </c>
      <c r="B448" s="118" t="s">
        <v>487</v>
      </c>
      <c r="C448" s="4" t="s">
        <v>33</v>
      </c>
      <c r="D448" s="1" t="s">
        <v>33</v>
      </c>
      <c r="E448" s="4" t="s">
        <v>11</v>
      </c>
      <c r="F448" s="1" t="s">
        <v>1199</v>
      </c>
      <c r="G448" s="4" t="s">
        <v>1444</v>
      </c>
      <c r="H448" s="1">
        <v>24</v>
      </c>
      <c r="I448" s="1" t="s">
        <v>779</v>
      </c>
      <c r="J448" s="4" t="s">
        <v>1280</v>
      </c>
      <c r="K448" s="1">
        <v>9.65</v>
      </c>
      <c r="L448" s="238">
        <f>(Tabla1[[#This Row],[Costo Unitario]]*Tabla1[[#This Row],[cantidad]])</f>
        <v>231.60000000000002</v>
      </c>
      <c r="M448" s="88">
        <v>43098</v>
      </c>
      <c r="N448" s="88">
        <v>43082</v>
      </c>
      <c r="O448" s="88" t="str">
        <f>IF( Tabla1[[#This Row],[Fecha de entrega real]]="","NO CONCRETADO",IF(N448&lt;=M448,"CUMPLIÓ","NO CUMPLIÓ"))</f>
        <v>CUMPLIÓ</v>
      </c>
      <c r="P448" s="141">
        <f t="shared" si="11"/>
        <v>-16</v>
      </c>
      <c r="Q448" s="4" t="s">
        <v>1034</v>
      </c>
      <c r="R448" s="4" t="s">
        <v>232</v>
      </c>
      <c r="S448" s="4" t="s">
        <v>1986</v>
      </c>
      <c r="T448" s="1" t="s">
        <v>1505</v>
      </c>
      <c r="U448" s="107" t="s">
        <v>1506</v>
      </c>
      <c r="X448" s="1">
        <f>MONTH(Tabla1[[#This Row],[fecha
de
pedido]])</f>
        <v>11</v>
      </c>
      <c r="Y448" s="1">
        <f>YEAR(Tabla1[[#This Row],[fecha
de
pedido]])</f>
        <v>2017</v>
      </c>
    </row>
    <row r="449" spans="1:25" ht="38.25" customHeight="1" x14ac:dyDescent="0.2">
      <c r="A449" s="152">
        <v>43067</v>
      </c>
      <c r="B449" s="118" t="s">
        <v>487</v>
      </c>
      <c r="C449" s="4" t="s">
        <v>921</v>
      </c>
      <c r="D449" s="4" t="s">
        <v>921</v>
      </c>
      <c r="E449" s="4" t="s">
        <v>921</v>
      </c>
      <c r="F449" s="1" t="s">
        <v>1041</v>
      </c>
      <c r="G449" s="4" t="s">
        <v>1270</v>
      </c>
      <c r="H449" s="1">
        <v>1</v>
      </c>
      <c r="I449" s="1" t="s">
        <v>830</v>
      </c>
      <c r="J449" s="4" t="s">
        <v>1004</v>
      </c>
      <c r="K449" s="1">
        <v>1433.05</v>
      </c>
      <c r="L449" s="238">
        <f>(Tabla1[[#This Row],[Costo Unitario]]*Tabla1[[#This Row],[cantidad]])</f>
        <v>1433.05</v>
      </c>
      <c r="M449" s="88">
        <v>43082</v>
      </c>
      <c r="N449" s="88">
        <v>43082</v>
      </c>
      <c r="O449" s="88" t="str">
        <f>IF( Tabla1[[#This Row],[Fecha de entrega real]]="","NO CONCRETADO",IF(N449&lt;=M449,"CUMPLIÓ","NO CUMPLIÓ"))</f>
        <v>CUMPLIÓ</v>
      </c>
      <c r="P449" s="141">
        <f t="shared" si="11"/>
        <v>0</v>
      </c>
      <c r="Q449" s="4" t="s">
        <v>1034</v>
      </c>
      <c r="R449" s="4" t="s">
        <v>1504</v>
      </c>
      <c r="S449" s="4" t="s">
        <v>1507</v>
      </c>
      <c r="T449" s="1" t="s">
        <v>1942</v>
      </c>
      <c r="U449" s="107" t="s">
        <v>1508</v>
      </c>
      <c r="X449" s="1">
        <f>MONTH(Tabla1[[#This Row],[fecha
de
pedido]])</f>
        <v>11</v>
      </c>
      <c r="Y449" s="1">
        <f>YEAR(Tabla1[[#This Row],[fecha
de
pedido]])</f>
        <v>2017</v>
      </c>
    </row>
    <row r="450" spans="1:25" ht="25.5" customHeight="1" x14ac:dyDescent="0.2">
      <c r="A450" s="152">
        <v>43067</v>
      </c>
      <c r="B450" s="118" t="s">
        <v>487</v>
      </c>
      <c r="C450" s="4" t="s">
        <v>825</v>
      </c>
      <c r="D450" s="1" t="s">
        <v>33</v>
      </c>
      <c r="E450" s="4" t="s">
        <v>11</v>
      </c>
      <c r="F450" s="1" t="s">
        <v>778</v>
      </c>
      <c r="G450" s="4" t="s">
        <v>1445</v>
      </c>
      <c r="H450" s="1">
        <v>60</v>
      </c>
      <c r="I450" s="1" t="s">
        <v>779</v>
      </c>
      <c r="J450" s="4" t="s">
        <v>1280</v>
      </c>
      <c r="K450" s="1">
        <v>34.5</v>
      </c>
      <c r="L450" s="238">
        <f>(Tabla1[[#This Row],[Costo Unitario]]*Tabla1[[#This Row],[cantidad]])</f>
        <v>2070</v>
      </c>
      <c r="M450" s="88">
        <v>43098</v>
      </c>
      <c r="N450" s="88">
        <v>43082</v>
      </c>
      <c r="O450" s="88" t="str">
        <f>IF( Tabla1[[#This Row],[Fecha de entrega real]]="","NO CONCRETADO",IF(N450&lt;=M450,"CUMPLIÓ","NO CUMPLIÓ"))</f>
        <v>CUMPLIÓ</v>
      </c>
      <c r="P450" s="141">
        <f t="shared" si="11"/>
        <v>-16</v>
      </c>
      <c r="Q450" s="4" t="s">
        <v>1034</v>
      </c>
      <c r="R450" s="4" t="s">
        <v>232</v>
      </c>
      <c r="S450" s="4" t="s">
        <v>244</v>
      </c>
      <c r="T450" s="1" t="s">
        <v>2010</v>
      </c>
      <c r="U450" s="107" t="s">
        <v>2011</v>
      </c>
      <c r="X450" s="1">
        <f>MONTH(Tabla1[[#This Row],[fecha
de
pedido]])</f>
        <v>11</v>
      </c>
      <c r="Y450" s="1">
        <f>YEAR(Tabla1[[#This Row],[fecha
de
pedido]])</f>
        <v>2017</v>
      </c>
    </row>
    <row r="451" spans="1:25" ht="25.5" customHeight="1" x14ac:dyDescent="0.2">
      <c r="A451" s="152">
        <v>43068</v>
      </c>
      <c r="B451" s="118" t="s">
        <v>487</v>
      </c>
      <c r="C451" s="4" t="s">
        <v>775</v>
      </c>
      <c r="D451" s="1" t="s">
        <v>33</v>
      </c>
      <c r="E451" s="4" t="s">
        <v>11</v>
      </c>
      <c r="F451" s="1" t="s">
        <v>1199</v>
      </c>
      <c r="G451" s="4" t="s">
        <v>1452</v>
      </c>
      <c r="H451" s="1">
        <v>30</v>
      </c>
      <c r="I451" s="1" t="s">
        <v>779</v>
      </c>
      <c r="J451" s="4" t="s">
        <v>225</v>
      </c>
      <c r="K451" s="1">
        <v>230</v>
      </c>
      <c r="L451" s="238">
        <f>(Tabla1[[#This Row],[Costo Unitario]]*Tabla1[[#This Row],[cantidad]])</f>
        <v>6900</v>
      </c>
      <c r="M451" s="88">
        <v>43098</v>
      </c>
      <c r="N451" s="88">
        <v>43091</v>
      </c>
      <c r="O451" s="88" t="str">
        <f>IF( Tabla1[[#This Row],[Fecha de entrega real]]="","NO CONCRETADO",IF(N451&lt;=M451,"CUMPLIÓ","NO CUMPLIÓ"))</f>
        <v>CUMPLIÓ</v>
      </c>
      <c r="P451" s="141">
        <f t="shared" si="11"/>
        <v>-7</v>
      </c>
      <c r="Q451" s="4" t="s">
        <v>13</v>
      </c>
      <c r="R451" s="4" t="s">
        <v>893</v>
      </c>
      <c r="S451" s="4" t="s">
        <v>244</v>
      </c>
      <c r="T451" s="1" t="s">
        <v>1989</v>
      </c>
      <c r="U451" s="107" t="s">
        <v>1988</v>
      </c>
      <c r="X451" s="1">
        <f>MONTH(Tabla1[[#This Row],[fecha
de
pedido]])</f>
        <v>11</v>
      </c>
      <c r="Y451" s="1">
        <f>YEAR(Tabla1[[#This Row],[fecha
de
pedido]])</f>
        <v>2017</v>
      </c>
    </row>
    <row r="452" spans="1:25" ht="12.75" customHeight="1" x14ac:dyDescent="0.2">
      <c r="A452" s="152">
        <v>43068</v>
      </c>
      <c r="B452" s="118" t="s">
        <v>487</v>
      </c>
      <c r="C452" s="4" t="s">
        <v>775</v>
      </c>
      <c r="D452" s="1" t="s">
        <v>33</v>
      </c>
      <c r="E452" s="4" t="s">
        <v>11</v>
      </c>
      <c r="F452" s="1" t="s">
        <v>1199</v>
      </c>
      <c r="G452" s="4" t="s">
        <v>1454</v>
      </c>
      <c r="H452" s="1">
        <v>4</v>
      </c>
      <c r="I452" s="1" t="s">
        <v>1453</v>
      </c>
      <c r="J452" s="4" t="s">
        <v>225</v>
      </c>
      <c r="K452" s="1">
        <v>460</v>
      </c>
      <c r="L452" s="238">
        <f>(Tabla1[[#This Row],[Costo Unitario]]*Tabla1[[#This Row],[cantidad]])</f>
        <v>1840</v>
      </c>
      <c r="M452" s="88">
        <v>43080</v>
      </c>
      <c r="N452" s="88">
        <v>43082</v>
      </c>
      <c r="O452" s="88" t="str">
        <f>IF( Tabla1[[#This Row],[Fecha de entrega real]]="","NO CONCRETADO",IF(N452&lt;=M452,"CUMPLIÓ","NO CUMPLIÓ"))</f>
        <v>NO CUMPLIÓ</v>
      </c>
      <c r="P452" s="141">
        <f t="shared" si="11"/>
        <v>2</v>
      </c>
      <c r="Q452" s="4" t="s">
        <v>13</v>
      </c>
      <c r="R452" s="4" t="s">
        <v>33</v>
      </c>
      <c r="S452" s="4" t="s">
        <v>334</v>
      </c>
      <c r="T452" s="1" t="s">
        <v>1502</v>
      </c>
      <c r="U452" s="107" t="s">
        <v>1503</v>
      </c>
      <c r="X452" s="1">
        <f>MONTH(Tabla1[[#This Row],[fecha
de
pedido]])</f>
        <v>11</v>
      </c>
      <c r="Y452" s="1">
        <f>YEAR(Tabla1[[#This Row],[fecha
de
pedido]])</f>
        <v>2017</v>
      </c>
    </row>
    <row r="453" spans="1:25" ht="25.5" customHeight="1" x14ac:dyDescent="0.2">
      <c r="A453" s="152">
        <v>43068</v>
      </c>
      <c r="B453" s="118" t="s">
        <v>487</v>
      </c>
      <c r="C453" s="4" t="s">
        <v>775</v>
      </c>
      <c r="D453" s="1" t="s">
        <v>33</v>
      </c>
      <c r="E453" s="4" t="s">
        <v>11</v>
      </c>
      <c r="F453" s="1" t="s">
        <v>772</v>
      </c>
      <c r="G453" s="4" t="s">
        <v>1455</v>
      </c>
      <c r="H453" s="1">
        <v>50</v>
      </c>
      <c r="I453" s="1" t="s">
        <v>929</v>
      </c>
      <c r="J453" s="4" t="s">
        <v>225</v>
      </c>
      <c r="K453" s="1">
        <v>35</v>
      </c>
      <c r="L453" s="238">
        <f>(Tabla1[[#This Row],[Costo Unitario]]*Tabla1[[#This Row],[cantidad]])</f>
        <v>1750</v>
      </c>
      <c r="M453" s="88">
        <v>43080</v>
      </c>
      <c r="N453" s="88">
        <v>43070</v>
      </c>
      <c r="O453" s="88" t="str">
        <f>IF( Tabla1[[#This Row],[Fecha de entrega real]]="","NO CONCRETADO",IF(N453&lt;=M453,"CUMPLIÓ","NO CUMPLIÓ"))</f>
        <v>CUMPLIÓ</v>
      </c>
      <c r="P453" s="141">
        <f t="shared" si="11"/>
        <v>-10</v>
      </c>
      <c r="Q453" s="4" t="s">
        <v>13</v>
      </c>
      <c r="R453" s="4" t="s">
        <v>33</v>
      </c>
      <c r="S453" s="4" t="s">
        <v>1458</v>
      </c>
      <c r="T453" s="1" t="s">
        <v>1459</v>
      </c>
      <c r="U453" s="107" t="s">
        <v>1460</v>
      </c>
      <c r="X453" s="1">
        <f>MONTH(Tabla1[[#This Row],[fecha
de
pedido]])</f>
        <v>11</v>
      </c>
      <c r="Y453" s="1">
        <f>YEAR(Tabla1[[#This Row],[fecha
de
pedido]])</f>
        <v>2017</v>
      </c>
    </row>
    <row r="454" spans="1:25" ht="12.75" customHeight="1" x14ac:dyDescent="0.2">
      <c r="A454" s="240">
        <v>43069</v>
      </c>
      <c r="B454" s="118" t="s">
        <v>487</v>
      </c>
      <c r="C454" s="241" t="s">
        <v>957</v>
      </c>
      <c r="D454" s="242" t="s">
        <v>33</v>
      </c>
      <c r="E454" s="241" t="s">
        <v>285</v>
      </c>
      <c r="F454" s="242" t="s">
        <v>772</v>
      </c>
      <c r="G454" s="241" t="s">
        <v>204</v>
      </c>
      <c r="H454" s="242">
        <v>210</v>
      </c>
      <c r="I454" s="242" t="s">
        <v>779</v>
      </c>
      <c r="J454" s="241" t="s">
        <v>12</v>
      </c>
      <c r="K454" s="242">
        <v>6</v>
      </c>
      <c r="L454" s="238">
        <f>(Tabla1[[#This Row],[Costo Unitario]]*Tabla1[[#This Row],[cantidad]])</f>
        <v>1260</v>
      </c>
      <c r="M454" s="243">
        <v>43070</v>
      </c>
      <c r="N454" s="243">
        <v>43070</v>
      </c>
      <c r="O454" s="243" t="str">
        <f>IF( Tabla1[[#This Row],[Fecha de entrega real]]="","NO CONCRETADO",IF(N454&lt;=M454,"CUMPLIÓ","NO CUMPLIÓ"))</f>
        <v>CUMPLIÓ</v>
      </c>
      <c r="P454" s="141">
        <f t="shared" si="11"/>
        <v>0</v>
      </c>
      <c r="Q454" s="241" t="s">
        <v>13</v>
      </c>
      <c r="R454" s="241" t="s">
        <v>33</v>
      </c>
      <c r="S454" s="241" t="s">
        <v>1456</v>
      </c>
      <c r="T454" s="242"/>
      <c r="U454" s="244" t="s">
        <v>1457</v>
      </c>
      <c r="V454" s="242"/>
      <c r="W454" s="242"/>
      <c r="X454" s="242">
        <f>MONTH(Tabla1[[#This Row],[fecha
de
pedido]])</f>
        <v>11</v>
      </c>
      <c r="Y454" s="242">
        <f>YEAR(Tabla1[[#This Row],[fecha
de
pedido]])</f>
        <v>2017</v>
      </c>
    </row>
    <row r="455" spans="1:25" ht="38.25" customHeight="1" x14ac:dyDescent="0.2">
      <c r="A455" s="152">
        <v>43069</v>
      </c>
      <c r="B455" s="118" t="s">
        <v>487</v>
      </c>
      <c r="C455" s="4" t="s">
        <v>1480</v>
      </c>
      <c r="D455" s="242" t="s">
        <v>33</v>
      </c>
      <c r="E455" s="4" t="s">
        <v>277</v>
      </c>
      <c r="F455" s="242" t="s">
        <v>772</v>
      </c>
      <c r="G455" s="4" t="s">
        <v>1481</v>
      </c>
      <c r="H455" s="1">
        <v>2</v>
      </c>
      <c r="I455" s="1" t="s">
        <v>784</v>
      </c>
      <c r="J455" s="4" t="s">
        <v>48</v>
      </c>
      <c r="K455" s="160">
        <v>30108.93</v>
      </c>
      <c r="L455" s="238">
        <f>(Tabla1[[#This Row],[Costo Unitario]]*Tabla1[[#This Row],[cantidad]])</f>
        <v>60217.86</v>
      </c>
      <c r="M455" s="88">
        <v>43083</v>
      </c>
      <c r="N455" s="88">
        <v>43095</v>
      </c>
      <c r="O455" s="88" t="str">
        <f>IF( Tabla1[[#This Row],[Fecha de entrega real]]="","NO CONCRETADO",IF(N455&lt;=M455,"CUMPLIÓ","NO CUMPLIÓ"))</f>
        <v>NO CUMPLIÓ</v>
      </c>
      <c r="P455" s="141">
        <f t="shared" si="11"/>
        <v>12</v>
      </c>
      <c r="Q455" s="4" t="s">
        <v>1034</v>
      </c>
      <c r="R455" s="4" t="s">
        <v>232</v>
      </c>
      <c r="S455" s="4" t="s">
        <v>1986</v>
      </c>
      <c r="T455" s="1" t="s">
        <v>1529</v>
      </c>
      <c r="U455" s="107" t="s">
        <v>1534</v>
      </c>
      <c r="X455" s="1">
        <f>MONTH(Tabla1[[#This Row],[fecha
de
pedido]])</f>
        <v>11</v>
      </c>
      <c r="Y455" s="1">
        <f>YEAR(Tabla1[[#This Row],[fecha
de
pedido]])</f>
        <v>2017</v>
      </c>
    </row>
    <row r="456" spans="1:25" ht="63.75" customHeight="1" x14ac:dyDescent="0.2">
      <c r="A456" s="152">
        <v>43069</v>
      </c>
      <c r="B456" s="118" t="s">
        <v>487</v>
      </c>
      <c r="C456" s="4" t="s">
        <v>1480</v>
      </c>
      <c r="D456" s="242" t="s">
        <v>33</v>
      </c>
      <c r="E456" s="4" t="s">
        <v>277</v>
      </c>
      <c r="F456" s="242" t="s">
        <v>772</v>
      </c>
      <c r="G456" s="4" t="s">
        <v>1482</v>
      </c>
      <c r="H456" s="1">
        <v>6</v>
      </c>
      <c r="I456" s="1" t="s">
        <v>784</v>
      </c>
      <c r="J456" s="4" t="s">
        <v>48</v>
      </c>
      <c r="K456" s="1">
        <v>995.59</v>
      </c>
      <c r="L456" s="238">
        <f>(Tabla1[[#This Row],[Costo Unitario]]*Tabla1[[#This Row],[cantidad]])</f>
        <v>5973.54</v>
      </c>
      <c r="M456" s="88">
        <v>43083</v>
      </c>
      <c r="N456" s="88">
        <v>43095</v>
      </c>
      <c r="O456" s="88" t="str">
        <f>IF( Tabla1[[#This Row],[Fecha de entrega real]]="","NO CONCRETADO",IF(N456&lt;=M456,"CUMPLIÓ","NO CUMPLIÓ"))</f>
        <v>NO CUMPLIÓ</v>
      </c>
      <c r="P456" s="141">
        <f t="shared" si="11"/>
        <v>12</v>
      </c>
      <c r="Q456" s="4" t="s">
        <v>1034</v>
      </c>
      <c r="R456" s="4" t="s">
        <v>232</v>
      </c>
      <c r="S456" s="4" t="s">
        <v>1986</v>
      </c>
      <c r="T456" s="1" t="s">
        <v>1529</v>
      </c>
      <c r="U456" s="107" t="s">
        <v>1534</v>
      </c>
      <c r="X456" s="1">
        <f>MONTH(Tabla1[[#This Row],[fecha
de
pedido]])</f>
        <v>11</v>
      </c>
      <c r="Y456" s="1">
        <f>YEAR(Tabla1[[#This Row],[fecha
de
pedido]])</f>
        <v>2017</v>
      </c>
    </row>
    <row r="457" spans="1:25" ht="38.25" customHeight="1" x14ac:dyDescent="0.2">
      <c r="A457" s="152">
        <v>43069</v>
      </c>
      <c r="B457" s="118" t="s">
        <v>487</v>
      </c>
      <c r="C457" s="4" t="s">
        <v>921</v>
      </c>
      <c r="D457" s="1" t="s">
        <v>48</v>
      </c>
      <c r="E457" s="4" t="s">
        <v>921</v>
      </c>
      <c r="F457" s="1" t="s">
        <v>1041</v>
      </c>
      <c r="G457" s="4" t="s">
        <v>1109</v>
      </c>
      <c r="H457" s="1">
        <v>1</v>
      </c>
      <c r="I457" s="1" t="s">
        <v>830</v>
      </c>
      <c r="J457" s="4" t="s">
        <v>1004</v>
      </c>
      <c r="K457" s="1">
        <v>829.18</v>
      </c>
      <c r="L457" s="238">
        <f>(Tabla1[[#This Row],[Costo Unitario]]*Tabla1[[#This Row],[cantidad]])</f>
        <v>829.18</v>
      </c>
      <c r="M457" s="88">
        <v>43095</v>
      </c>
      <c r="N457" s="88">
        <v>43095</v>
      </c>
      <c r="O457" s="88" t="str">
        <f>IF( Tabla1[[#This Row],[Fecha de entrega real]]="","NO CONCRETADO",IF(N457&lt;=M457,"CUMPLIÓ","NO CUMPLIÓ"))</f>
        <v>CUMPLIÓ</v>
      </c>
      <c r="P457" s="141">
        <f t="shared" si="11"/>
        <v>0</v>
      </c>
      <c r="Q457" s="4" t="s">
        <v>1034</v>
      </c>
      <c r="R457" s="4" t="s">
        <v>232</v>
      </c>
      <c r="S457" s="4" t="s">
        <v>1986</v>
      </c>
      <c r="T457" s="1" t="s">
        <v>1529</v>
      </c>
      <c r="U457" s="107" t="s">
        <v>1528</v>
      </c>
      <c r="X457" s="1">
        <f>MONTH(Tabla1[[#This Row],[fecha
de
pedido]])</f>
        <v>11</v>
      </c>
      <c r="Y457" s="1">
        <f>YEAR(Tabla1[[#This Row],[fecha
de
pedido]])</f>
        <v>2017</v>
      </c>
    </row>
    <row r="458" spans="1:25" ht="38.25" customHeight="1" x14ac:dyDescent="0.2">
      <c r="A458" s="152">
        <v>43073</v>
      </c>
      <c r="B458" s="118" t="s">
        <v>487</v>
      </c>
      <c r="C458" s="4" t="s">
        <v>33</v>
      </c>
      <c r="D458" s="242" t="s">
        <v>33</v>
      </c>
      <c r="E458" s="4" t="s">
        <v>11</v>
      </c>
      <c r="F458" s="1" t="s">
        <v>1483</v>
      </c>
      <c r="G458" s="4" t="s">
        <v>1484</v>
      </c>
      <c r="H458" s="1">
        <v>1</v>
      </c>
      <c r="I458" s="1" t="s">
        <v>1486</v>
      </c>
      <c r="J458" s="4" t="s">
        <v>82</v>
      </c>
      <c r="K458" s="1">
        <v>1934.79</v>
      </c>
      <c r="L458" s="238">
        <f>(Tabla1[[#This Row],[Costo Unitario]]*Tabla1[[#This Row],[cantidad]])</f>
        <v>1934.79</v>
      </c>
      <c r="M458" s="88">
        <v>43080</v>
      </c>
      <c r="N458" s="88">
        <v>43087</v>
      </c>
      <c r="O458" s="88" t="str">
        <f>IF( Tabla1[[#This Row],[Fecha de entrega real]]="","NO CONCRETADO",IF(N458&lt;=M458,"CUMPLIÓ","NO CUMPLIÓ"))</f>
        <v>NO CUMPLIÓ</v>
      </c>
      <c r="P458" s="141">
        <f t="shared" si="11"/>
        <v>7</v>
      </c>
      <c r="Q458" s="4" t="s">
        <v>13</v>
      </c>
      <c r="R458" s="4" t="s">
        <v>33</v>
      </c>
      <c r="S458" s="4" t="s">
        <v>1487</v>
      </c>
      <c r="T458" s="4" t="s">
        <v>1489</v>
      </c>
      <c r="U458" s="148" t="s">
        <v>1488</v>
      </c>
      <c r="X458" s="1">
        <f>MONTH(Tabla1[[#This Row],[fecha
de
pedido]])</f>
        <v>12</v>
      </c>
      <c r="Y458" s="1">
        <f>YEAR(Tabla1[[#This Row],[fecha
de
pedido]])</f>
        <v>2017</v>
      </c>
    </row>
    <row r="459" spans="1:25" ht="38.25" customHeight="1" x14ac:dyDescent="0.2">
      <c r="A459" s="152">
        <v>43073</v>
      </c>
      <c r="B459" s="118" t="s">
        <v>487</v>
      </c>
      <c r="C459" s="4" t="s">
        <v>33</v>
      </c>
      <c r="D459" s="242" t="s">
        <v>33</v>
      </c>
      <c r="E459" s="4" t="s">
        <v>11</v>
      </c>
      <c r="F459" s="1" t="s">
        <v>807</v>
      </c>
      <c r="G459" s="4" t="s">
        <v>1485</v>
      </c>
      <c r="H459" s="1">
        <v>2</v>
      </c>
      <c r="I459" s="1" t="s">
        <v>784</v>
      </c>
      <c r="J459" s="4" t="s">
        <v>82</v>
      </c>
      <c r="K459" s="1">
        <v>213.6</v>
      </c>
      <c r="L459" s="238">
        <f>(Tabla1[[#This Row],[Costo Unitario]]*Tabla1[[#This Row],[cantidad]])</f>
        <v>427.2</v>
      </c>
      <c r="M459" s="88">
        <v>43080</v>
      </c>
      <c r="N459" s="88">
        <v>43087</v>
      </c>
      <c r="O459" s="88" t="str">
        <f>IF( Tabla1[[#This Row],[Fecha de entrega real]]="","NO CONCRETADO",IF(N459&lt;=M459,"CUMPLIÓ","NO CUMPLIÓ"))</f>
        <v>NO CUMPLIÓ</v>
      </c>
      <c r="P459" s="141">
        <f t="shared" si="11"/>
        <v>7</v>
      </c>
      <c r="Q459" s="4" t="s">
        <v>13</v>
      </c>
      <c r="R459" s="4" t="s">
        <v>33</v>
      </c>
      <c r="S459" s="4" t="s">
        <v>1487</v>
      </c>
      <c r="T459" s="4" t="s">
        <v>1489</v>
      </c>
      <c r="U459" s="148" t="s">
        <v>1488</v>
      </c>
      <c r="X459" s="1">
        <f>MONTH(Tabla1[[#This Row],[fecha
de
pedido]])</f>
        <v>12</v>
      </c>
      <c r="Y459" s="1">
        <f>YEAR(Tabla1[[#This Row],[fecha
de
pedido]])</f>
        <v>2017</v>
      </c>
    </row>
    <row r="460" spans="1:25" ht="25.5" customHeight="1" x14ac:dyDescent="0.2">
      <c r="A460" s="152">
        <v>43073</v>
      </c>
      <c r="B460" s="118" t="s">
        <v>487</v>
      </c>
      <c r="C460" s="4" t="s">
        <v>1490</v>
      </c>
      <c r="D460" s="242" t="s">
        <v>33</v>
      </c>
      <c r="E460" s="4" t="s">
        <v>11</v>
      </c>
      <c r="F460" s="1" t="s">
        <v>807</v>
      </c>
      <c r="G460" s="4" t="s">
        <v>1491</v>
      </c>
      <c r="H460" s="1">
        <v>1</v>
      </c>
      <c r="I460" s="1" t="s">
        <v>488</v>
      </c>
      <c r="J460" s="4" t="s">
        <v>77</v>
      </c>
      <c r="K460" s="1">
        <v>5327</v>
      </c>
      <c r="L460" s="238">
        <f>(Tabla1[[#This Row],[Costo Unitario]]*Tabla1[[#This Row],[cantidad]])</f>
        <v>5327</v>
      </c>
      <c r="M460" s="88">
        <v>43153</v>
      </c>
      <c r="N460" s="88">
        <v>43086</v>
      </c>
      <c r="O460" s="88" t="str">
        <f>IF( Tabla1[[#This Row],[Fecha de entrega real]]="","NO CONCRETADO",IF(N460&lt;=M460,"CUMPLIÓ","NO CUMPLIÓ"))</f>
        <v>CUMPLIÓ</v>
      </c>
      <c r="P460" s="141">
        <f t="shared" si="11"/>
        <v>-67</v>
      </c>
      <c r="Q460" s="4" t="s">
        <v>1622</v>
      </c>
      <c r="R460" s="4" t="s">
        <v>33</v>
      </c>
      <c r="S460" s="4" t="s">
        <v>1990</v>
      </c>
      <c r="T460" s="4" t="s">
        <v>1624</v>
      </c>
      <c r="U460" s="148" t="s">
        <v>1623</v>
      </c>
      <c r="X460" s="1">
        <f>MONTH(Tabla1[[#This Row],[fecha
de
pedido]])</f>
        <v>12</v>
      </c>
      <c r="Y460" s="1">
        <f>YEAR(Tabla1[[#This Row],[fecha
de
pedido]])</f>
        <v>2017</v>
      </c>
    </row>
    <row r="461" spans="1:25" ht="40.5" customHeight="1" x14ac:dyDescent="0.2">
      <c r="A461" s="152">
        <v>43073</v>
      </c>
      <c r="B461" s="118" t="s">
        <v>487</v>
      </c>
      <c r="C461" s="4" t="s">
        <v>1490</v>
      </c>
      <c r="D461" s="242" t="s">
        <v>33</v>
      </c>
      <c r="E461" s="4" t="s">
        <v>11</v>
      </c>
      <c r="F461" s="1" t="s">
        <v>807</v>
      </c>
      <c r="G461" s="4" t="s">
        <v>1491</v>
      </c>
      <c r="H461" s="1">
        <v>1</v>
      </c>
      <c r="I461" s="1" t="s">
        <v>488</v>
      </c>
      <c r="J461" s="4" t="s">
        <v>77</v>
      </c>
      <c r="K461" s="1">
        <v>5327</v>
      </c>
      <c r="L461" s="238">
        <f>(Tabla1[[#This Row],[Costo Unitario]]*Tabla1[[#This Row],[cantidad]])</f>
        <v>5327</v>
      </c>
      <c r="M461" s="88">
        <v>43153</v>
      </c>
      <c r="N461" s="88">
        <v>43086</v>
      </c>
      <c r="O461" s="88" t="str">
        <f>IF( Tabla1[[#This Row],[Fecha de entrega real]]="","NO CONCRETADO",IF(N461&lt;=M461,"CUMPLIÓ","NO CUMPLIÓ"))</f>
        <v>CUMPLIÓ</v>
      </c>
      <c r="P461" s="141">
        <f t="shared" si="11"/>
        <v>-67</v>
      </c>
      <c r="Q461" s="4" t="s">
        <v>1622</v>
      </c>
      <c r="R461" s="4" t="s">
        <v>33</v>
      </c>
      <c r="S461" s="4" t="s">
        <v>1991</v>
      </c>
      <c r="T461" s="4" t="s">
        <v>1630</v>
      </c>
      <c r="U461" s="148" t="s">
        <v>1629</v>
      </c>
      <c r="X461" s="1">
        <f>MONTH(Tabla1[[#This Row],[fecha
de
pedido]])</f>
        <v>12</v>
      </c>
      <c r="Y461" s="1">
        <f>YEAR(Tabla1[[#This Row],[fecha
de
pedido]])</f>
        <v>2017</v>
      </c>
    </row>
    <row r="462" spans="1:25" ht="40.5" customHeight="1" x14ac:dyDescent="0.2">
      <c r="A462" s="152">
        <v>43073</v>
      </c>
      <c r="B462" s="118" t="s">
        <v>487</v>
      </c>
      <c r="C462" s="4" t="s">
        <v>1490</v>
      </c>
      <c r="D462" s="242" t="s">
        <v>33</v>
      </c>
      <c r="E462" s="4" t="s">
        <v>11</v>
      </c>
      <c r="F462" s="1" t="s">
        <v>807</v>
      </c>
      <c r="G462" s="4" t="s">
        <v>1491</v>
      </c>
      <c r="H462" s="1">
        <v>1</v>
      </c>
      <c r="I462" s="1" t="s">
        <v>488</v>
      </c>
      <c r="J462" s="4" t="s">
        <v>77</v>
      </c>
      <c r="K462" s="1">
        <v>5327</v>
      </c>
      <c r="L462" s="238">
        <f>(Tabla1[[#This Row],[Costo Unitario]]*Tabla1[[#This Row],[cantidad]])</f>
        <v>5327</v>
      </c>
      <c r="M462" s="88">
        <v>43153</v>
      </c>
      <c r="N462" s="88">
        <v>43086</v>
      </c>
      <c r="O462" s="88" t="str">
        <f>IF( Tabla1[[#This Row],[Fecha de entrega real]]="","NO CONCRETADO",IF(N462&lt;=M462,"CUMPLIÓ","NO CUMPLIÓ"))</f>
        <v>CUMPLIÓ</v>
      </c>
      <c r="P462" s="141">
        <f t="shared" si="11"/>
        <v>-67</v>
      </c>
      <c r="Q462" s="4" t="s">
        <v>1622</v>
      </c>
      <c r="R462" s="4" t="s">
        <v>33</v>
      </c>
      <c r="S462" s="4" t="s">
        <v>1992</v>
      </c>
      <c r="T462" s="4" t="s">
        <v>1631</v>
      </c>
      <c r="U462" s="148" t="s">
        <v>1628</v>
      </c>
      <c r="X462" s="1">
        <f>MONTH(Tabla1[[#This Row],[fecha
de
pedido]])</f>
        <v>12</v>
      </c>
      <c r="Y462" s="1">
        <f>YEAR(Tabla1[[#This Row],[fecha
de
pedido]])</f>
        <v>2017</v>
      </c>
    </row>
    <row r="463" spans="1:25" ht="39.75" customHeight="1" x14ac:dyDescent="0.2">
      <c r="A463" s="152">
        <v>43073</v>
      </c>
      <c r="B463" s="118" t="s">
        <v>487</v>
      </c>
      <c r="C463" s="4" t="s">
        <v>1490</v>
      </c>
      <c r="D463" s="242" t="s">
        <v>33</v>
      </c>
      <c r="E463" s="4" t="s">
        <v>11</v>
      </c>
      <c r="F463" s="1" t="s">
        <v>807</v>
      </c>
      <c r="G463" s="4" t="s">
        <v>1491</v>
      </c>
      <c r="H463" s="1">
        <v>1</v>
      </c>
      <c r="I463" s="1" t="s">
        <v>488</v>
      </c>
      <c r="J463" s="4" t="s">
        <v>77</v>
      </c>
      <c r="K463" s="1">
        <v>5327</v>
      </c>
      <c r="L463" s="238">
        <f>(Tabla1[[#This Row],[Costo Unitario]]*Tabla1[[#This Row],[cantidad]])</f>
        <v>5327</v>
      </c>
      <c r="M463" s="88">
        <v>43153</v>
      </c>
      <c r="N463" s="88">
        <v>43086</v>
      </c>
      <c r="O463" s="88" t="str">
        <f>IF( Tabla1[[#This Row],[Fecha de entrega real]]="","NO CONCRETADO",IF(N463&lt;=M463,"CUMPLIÓ","NO CUMPLIÓ"))</f>
        <v>CUMPLIÓ</v>
      </c>
      <c r="P463" s="141">
        <f t="shared" si="11"/>
        <v>-67</v>
      </c>
      <c r="Q463" s="4" t="s">
        <v>1622</v>
      </c>
      <c r="R463" s="4" t="s">
        <v>33</v>
      </c>
      <c r="S463" s="4" t="s">
        <v>1993</v>
      </c>
      <c r="T463" s="4" t="s">
        <v>1632</v>
      </c>
      <c r="U463" s="148" t="s">
        <v>1633</v>
      </c>
      <c r="X463" s="1">
        <f>MONTH(Tabla1[[#This Row],[fecha
de
pedido]])</f>
        <v>12</v>
      </c>
      <c r="Y463" s="1">
        <f>YEAR(Tabla1[[#This Row],[fecha
de
pedido]])</f>
        <v>2017</v>
      </c>
    </row>
    <row r="464" spans="1:25" ht="75.75" customHeight="1" x14ac:dyDescent="0.2">
      <c r="A464" s="152">
        <v>43074</v>
      </c>
      <c r="B464" s="118" t="s">
        <v>487</v>
      </c>
      <c r="C464" s="4" t="s">
        <v>30</v>
      </c>
      <c r="D464" s="242" t="s">
        <v>33</v>
      </c>
      <c r="E464" s="4" t="s">
        <v>277</v>
      </c>
      <c r="F464" s="1" t="s">
        <v>772</v>
      </c>
      <c r="G464" s="4" t="s">
        <v>1492</v>
      </c>
      <c r="H464" s="1">
        <v>1</v>
      </c>
      <c r="I464" s="1" t="s">
        <v>1298</v>
      </c>
      <c r="J464" s="4" t="s">
        <v>1493</v>
      </c>
      <c r="K464" s="1">
        <v>124.03</v>
      </c>
      <c r="L464" s="238">
        <f>(Tabla1[[#This Row],[Costo Unitario]]*Tabla1[[#This Row],[cantidad]])</f>
        <v>124.03</v>
      </c>
      <c r="M464" s="88" t="s">
        <v>1494</v>
      </c>
      <c r="N464" s="88">
        <v>43248</v>
      </c>
      <c r="O464" s="88" t="str">
        <f>IF( Tabla1[[#This Row],[Fecha de entrega real]]="","NO CONCRETADO",IF(N464&lt;=M464,"CUMPLIÓ","NO CUMPLIÓ"))</f>
        <v>CUMPLIÓ</v>
      </c>
      <c r="P464" s="141" t="e">
        <f t="shared" si="11"/>
        <v>#VALUE!</v>
      </c>
      <c r="Q464" s="4" t="s">
        <v>1622</v>
      </c>
      <c r="R464" s="4" t="s">
        <v>33</v>
      </c>
      <c r="S464" s="4" t="s">
        <v>2027</v>
      </c>
      <c r="T464" s="4" t="s">
        <v>2028</v>
      </c>
      <c r="U464" s="148" t="s">
        <v>1919</v>
      </c>
      <c r="X464" s="1">
        <f>MONTH(Tabla1[[#This Row],[fecha
de
pedido]])</f>
        <v>12</v>
      </c>
      <c r="Y464" s="1">
        <f>YEAR(Tabla1[[#This Row],[fecha
de
pedido]])</f>
        <v>2017</v>
      </c>
    </row>
    <row r="465" spans="1:25" ht="36.75" customHeight="1" x14ac:dyDescent="0.2">
      <c r="A465" s="417">
        <v>43248</v>
      </c>
      <c r="B465" s="417" t="s">
        <v>487</v>
      </c>
      <c r="C465" s="413" t="s">
        <v>33</v>
      </c>
      <c r="D465" s="414" t="s">
        <v>33</v>
      </c>
      <c r="E465" s="413" t="s">
        <v>277</v>
      </c>
      <c r="F465" s="414" t="s">
        <v>1041</v>
      </c>
      <c r="G465" s="413" t="s">
        <v>1003</v>
      </c>
      <c r="H465" s="414">
        <v>1</v>
      </c>
      <c r="I465" s="414" t="s">
        <v>830</v>
      </c>
      <c r="J465" s="413" t="s">
        <v>1231</v>
      </c>
      <c r="K465" s="414">
        <v>1588.58</v>
      </c>
      <c r="L465" s="238">
        <f>(Tabla1[[#This Row],[Costo Unitario]]*Tabla1[[#This Row],[cantidad]])</f>
        <v>1588.58</v>
      </c>
      <c r="M465" s="415">
        <v>43248</v>
      </c>
      <c r="N465" s="415">
        <v>43248</v>
      </c>
      <c r="O465" s="415" t="str">
        <f>IF( Tabla1[[#This Row],[Fecha de entrega real]]="","NO CONCRETADO",IF(N465&lt;=M465,"CUMPLIÓ","NO CUMPLIÓ"))</f>
        <v>CUMPLIÓ</v>
      </c>
      <c r="P465" s="141">
        <f t="shared" si="11"/>
        <v>0</v>
      </c>
      <c r="Q465" s="413" t="s">
        <v>13</v>
      </c>
      <c r="R465" s="413" t="s">
        <v>33</v>
      </c>
      <c r="S465" s="413" t="s">
        <v>334</v>
      </c>
      <c r="T465" s="413"/>
      <c r="U465" s="432" t="s">
        <v>2029</v>
      </c>
      <c r="V465" s="414"/>
      <c r="W465" s="414"/>
      <c r="X465" s="414">
        <f>MONTH(Tabla1[[#This Row],[fecha
de
pedido]])</f>
        <v>5</v>
      </c>
      <c r="Y465" s="414">
        <f>YEAR(Tabla1[[#This Row],[fecha
de
pedido]])</f>
        <v>2018</v>
      </c>
    </row>
    <row r="466" spans="1:25" ht="38.25" customHeight="1" x14ac:dyDescent="0.2">
      <c r="A466" s="152">
        <v>43074</v>
      </c>
      <c r="B466" s="118" t="s">
        <v>487</v>
      </c>
      <c r="C466" s="4" t="s">
        <v>1470</v>
      </c>
      <c r="D466" s="242" t="s">
        <v>33</v>
      </c>
      <c r="E466" s="4" t="s">
        <v>277</v>
      </c>
      <c r="F466" s="1" t="s">
        <v>1021</v>
      </c>
      <c r="G466" s="4" t="s">
        <v>1472</v>
      </c>
      <c r="H466" s="1">
        <v>1</v>
      </c>
      <c r="I466" s="1" t="s">
        <v>488</v>
      </c>
      <c r="J466" s="4" t="s">
        <v>1023</v>
      </c>
      <c r="K466" s="1">
        <v>47.19</v>
      </c>
      <c r="L466" s="238">
        <f>(Tabla1[[#This Row],[Costo Unitario]]*Tabla1[[#This Row],[cantidad]])</f>
        <v>47.19</v>
      </c>
      <c r="M466" s="88">
        <v>43165</v>
      </c>
      <c r="N466" s="88">
        <v>43153</v>
      </c>
      <c r="O466" s="88" t="str">
        <f>IF( Tabla1[[#This Row],[Fecha de entrega real]]="","NO CONCRETADO",IF(N466&lt;=M466,"CUMPLIÓ","NO CUMPLIÓ"))</f>
        <v>CUMPLIÓ</v>
      </c>
      <c r="P466" s="141">
        <f t="shared" si="11"/>
        <v>-12</v>
      </c>
      <c r="Q466" s="4" t="s">
        <v>1618</v>
      </c>
      <c r="R466" s="4" t="s">
        <v>1980</v>
      </c>
      <c r="S466" s="4" t="s">
        <v>1994</v>
      </c>
      <c r="T466" s="1" t="s">
        <v>1619</v>
      </c>
      <c r="U466" s="107" t="s">
        <v>1620</v>
      </c>
      <c r="X466" s="1">
        <f>MONTH(Tabla1[[#This Row],[fecha
de
pedido]])</f>
        <v>12</v>
      </c>
      <c r="Y466" s="1">
        <f>YEAR(Tabla1[[#This Row],[fecha
de
pedido]])</f>
        <v>2017</v>
      </c>
    </row>
    <row r="467" spans="1:25" ht="25.5" customHeight="1" x14ac:dyDescent="0.2">
      <c r="A467" s="152">
        <v>43074</v>
      </c>
      <c r="B467" s="118" t="s">
        <v>487</v>
      </c>
      <c r="C467" s="4" t="s">
        <v>1470</v>
      </c>
      <c r="D467" s="242" t="s">
        <v>33</v>
      </c>
      <c r="E467" s="4" t="s">
        <v>277</v>
      </c>
      <c r="F467" s="1" t="s">
        <v>1021</v>
      </c>
      <c r="G467" s="4" t="s">
        <v>1471</v>
      </c>
      <c r="H467" s="1">
        <v>1</v>
      </c>
      <c r="I467" s="1" t="s">
        <v>488</v>
      </c>
      <c r="J467" s="4" t="s">
        <v>1023</v>
      </c>
      <c r="K467" s="1">
        <v>50.82</v>
      </c>
      <c r="L467" s="238">
        <f>(Tabla1[[#This Row],[Costo Unitario]]*Tabla1[[#This Row],[cantidad]])</f>
        <v>50.82</v>
      </c>
      <c r="M467" s="88">
        <v>43165</v>
      </c>
      <c r="N467" s="88">
        <v>43153</v>
      </c>
      <c r="O467" s="88" t="str">
        <f>IF( Tabla1[[#This Row],[Fecha de entrega real]]="","NO CONCRETADO",IF(N467&lt;=M467,"CUMPLIÓ","NO CUMPLIÓ"))</f>
        <v>CUMPLIÓ</v>
      </c>
      <c r="P467" s="141">
        <f t="shared" si="11"/>
        <v>-12</v>
      </c>
      <c r="Q467" s="4" t="s">
        <v>1618</v>
      </c>
      <c r="R467" s="4" t="s">
        <v>1980</v>
      </c>
      <c r="S467" s="4" t="s">
        <v>1994</v>
      </c>
      <c r="T467" s="1" t="s">
        <v>1619</v>
      </c>
      <c r="U467" s="107" t="s">
        <v>1620</v>
      </c>
      <c r="X467" s="1">
        <f>MONTH(Tabla1[[#This Row],[fecha
de
pedido]])</f>
        <v>12</v>
      </c>
      <c r="Y467" s="1">
        <f>YEAR(Tabla1[[#This Row],[fecha
de
pedido]])</f>
        <v>2017</v>
      </c>
    </row>
    <row r="468" spans="1:25" ht="51" customHeight="1" x14ac:dyDescent="0.2">
      <c r="A468" s="152">
        <v>43074</v>
      </c>
      <c r="B468" s="118" t="s">
        <v>487</v>
      </c>
      <c r="C468" s="4" t="s">
        <v>1470</v>
      </c>
      <c r="D468" s="242" t="s">
        <v>33</v>
      </c>
      <c r="E468" s="4" t="s">
        <v>277</v>
      </c>
      <c r="F468" s="1" t="s">
        <v>1021</v>
      </c>
      <c r="G468" s="4" t="s">
        <v>1473</v>
      </c>
      <c r="H468" s="1">
        <v>1</v>
      </c>
      <c r="I468" s="1" t="s">
        <v>488</v>
      </c>
      <c r="J468" s="4" t="s">
        <v>1023</v>
      </c>
      <c r="K468" s="1">
        <v>50.82</v>
      </c>
      <c r="L468" s="238">
        <f>(Tabla1[[#This Row],[Costo Unitario]]*Tabla1[[#This Row],[cantidad]])</f>
        <v>50.82</v>
      </c>
      <c r="M468" s="88">
        <v>43165</v>
      </c>
      <c r="N468" s="88">
        <v>43153</v>
      </c>
      <c r="O468" s="88" t="str">
        <f>IF( Tabla1[[#This Row],[Fecha de entrega real]]="","NO CONCRETADO",IF(N468&lt;=M468,"CUMPLIÓ","NO CUMPLIÓ"))</f>
        <v>CUMPLIÓ</v>
      </c>
      <c r="P468" s="141">
        <f t="shared" si="11"/>
        <v>-12</v>
      </c>
      <c r="Q468" s="4" t="s">
        <v>1618</v>
      </c>
      <c r="R468" s="4" t="s">
        <v>1980</v>
      </c>
      <c r="S468" s="4" t="s">
        <v>1994</v>
      </c>
      <c r="T468" s="1" t="s">
        <v>1619</v>
      </c>
      <c r="U468" s="107" t="s">
        <v>1620</v>
      </c>
      <c r="X468" s="1">
        <f>MONTH(Tabla1[[#This Row],[fecha
de
pedido]])</f>
        <v>12</v>
      </c>
      <c r="Y468" s="1">
        <f>YEAR(Tabla1[[#This Row],[fecha
de
pedido]])</f>
        <v>2017</v>
      </c>
    </row>
    <row r="469" spans="1:25" ht="25.5" customHeight="1" x14ac:dyDescent="0.2">
      <c r="A469" s="152">
        <v>43074</v>
      </c>
      <c r="B469" s="118" t="s">
        <v>487</v>
      </c>
      <c r="C469" s="4" t="s">
        <v>1470</v>
      </c>
      <c r="D469" s="242" t="s">
        <v>33</v>
      </c>
      <c r="E469" s="4" t="s">
        <v>277</v>
      </c>
      <c r="F469" s="1" t="s">
        <v>1021</v>
      </c>
      <c r="G469" s="4" t="s">
        <v>1474</v>
      </c>
      <c r="H469" s="1">
        <v>1</v>
      </c>
      <c r="I469" s="1" t="s">
        <v>488</v>
      </c>
      <c r="J469" s="4" t="s">
        <v>1023</v>
      </c>
      <c r="K469" s="1">
        <v>50.82</v>
      </c>
      <c r="L469" s="238">
        <f>(Tabla1[[#This Row],[Costo Unitario]]*Tabla1[[#This Row],[cantidad]])</f>
        <v>50.82</v>
      </c>
      <c r="M469" s="88">
        <v>43165</v>
      </c>
      <c r="N469" s="88">
        <v>43153</v>
      </c>
      <c r="O469" s="88" t="str">
        <f>IF( Tabla1[[#This Row],[Fecha de entrega real]]="","NO CONCRETADO",IF(N469&lt;=M469,"CUMPLIÓ","NO CUMPLIÓ"))</f>
        <v>CUMPLIÓ</v>
      </c>
      <c r="P469" s="141">
        <f t="shared" si="11"/>
        <v>-12</v>
      </c>
      <c r="Q469" s="4" t="s">
        <v>1618</v>
      </c>
      <c r="R469" s="4" t="s">
        <v>1980</v>
      </c>
      <c r="S469" s="4" t="s">
        <v>1994</v>
      </c>
      <c r="T469" s="1" t="s">
        <v>1619</v>
      </c>
      <c r="U469" s="107" t="s">
        <v>1620</v>
      </c>
      <c r="X469" s="1">
        <f>MONTH(Tabla1[[#This Row],[fecha
de
pedido]])</f>
        <v>12</v>
      </c>
      <c r="Y469" s="1">
        <f>YEAR(Tabla1[[#This Row],[fecha
de
pedido]])</f>
        <v>2017</v>
      </c>
    </row>
    <row r="470" spans="1:25" ht="25.5" customHeight="1" x14ac:dyDescent="0.2">
      <c r="A470" s="152">
        <v>43074</v>
      </c>
      <c r="B470" s="118" t="s">
        <v>487</v>
      </c>
      <c r="C470" s="4" t="s">
        <v>1470</v>
      </c>
      <c r="D470" s="242" t="s">
        <v>33</v>
      </c>
      <c r="E470" s="4" t="s">
        <v>277</v>
      </c>
      <c r="F470" s="1" t="s">
        <v>1021</v>
      </c>
      <c r="G470" s="4" t="s">
        <v>1475</v>
      </c>
      <c r="H470" s="1">
        <v>1</v>
      </c>
      <c r="I470" s="1" t="s">
        <v>488</v>
      </c>
      <c r="J470" s="4" t="s">
        <v>1023</v>
      </c>
      <c r="K470" s="1">
        <v>50.82</v>
      </c>
      <c r="L470" s="238">
        <f>(Tabla1[[#This Row],[Costo Unitario]]*Tabla1[[#This Row],[cantidad]])</f>
        <v>50.82</v>
      </c>
      <c r="M470" s="88">
        <v>43165</v>
      </c>
      <c r="N470" s="88">
        <v>43153</v>
      </c>
      <c r="O470" s="88" t="str">
        <f>IF( Tabla1[[#This Row],[Fecha de entrega real]]="","NO CONCRETADO",IF(N470&lt;=M470,"CUMPLIÓ","NO CUMPLIÓ"))</f>
        <v>CUMPLIÓ</v>
      </c>
      <c r="P470" s="141">
        <f t="shared" si="11"/>
        <v>-12</v>
      </c>
      <c r="Q470" s="4" t="s">
        <v>1618</v>
      </c>
      <c r="R470" s="4" t="s">
        <v>1980</v>
      </c>
      <c r="S470" s="4" t="s">
        <v>1994</v>
      </c>
      <c r="T470" s="1" t="s">
        <v>1619</v>
      </c>
      <c r="U470" s="107" t="s">
        <v>1620</v>
      </c>
      <c r="X470" s="1">
        <f>MONTH(Tabla1[[#This Row],[fecha
de
pedido]])</f>
        <v>12</v>
      </c>
      <c r="Y470" s="1">
        <f>YEAR(Tabla1[[#This Row],[fecha
de
pedido]])</f>
        <v>2017</v>
      </c>
    </row>
    <row r="471" spans="1:25" ht="25.5" customHeight="1" x14ac:dyDescent="0.2">
      <c r="A471" s="152">
        <v>43074</v>
      </c>
      <c r="B471" s="118" t="s">
        <v>487</v>
      </c>
      <c r="C471" s="4" t="s">
        <v>1470</v>
      </c>
      <c r="D471" s="242" t="s">
        <v>33</v>
      </c>
      <c r="E471" s="4" t="s">
        <v>277</v>
      </c>
      <c r="F471" s="1" t="s">
        <v>1021</v>
      </c>
      <c r="G471" s="4" t="s">
        <v>1476</v>
      </c>
      <c r="H471" s="1">
        <v>1</v>
      </c>
      <c r="I471" s="1" t="s">
        <v>488</v>
      </c>
      <c r="J471" s="4" t="s">
        <v>1023</v>
      </c>
      <c r="K471" s="1">
        <v>47.19</v>
      </c>
      <c r="L471" s="238">
        <f>(Tabla1[[#This Row],[Costo Unitario]]*Tabla1[[#This Row],[cantidad]])</f>
        <v>47.19</v>
      </c>
      <c r="M471" s="88">
        <v>43165</v>
      </c>
      <c r="N471" s="88">
        <v>43153</v>
      </c>
      <c r="O471" s="88" t="str">
        <f>IF( Tabla1[[#This Row],[Fecha de entrega real]]="","NO CONCRETADO",IF(N471&lt;=M471,"CUMPLIÓ","NO CUMPLIÓ"))</f>
        <v>CUMPLIÓ</v>
      </c>
      <c r="P471" s="141">
        <f t="shared" si="11"/>
        <v>-12</v>
      </c>
      <c r="Q471" s="4" t="s">
        <v>1618</v>
      </c>
      <c r="R471" s="4" t="s">
        <v>1980</v>
      </c>
      <c r="S471" s="4" t="s">
        <v>1994</v>
      </c>
      <c r="T471" s="1" t="s">
        <v>1619</v>
      </c>
      <c r="U471" s="107" t="s">
        <v>1620</v>
      </c>
      <c r="X471" s="1">
        <f>MONTH(Tabla1[[#This Row],[fecha
de
pedido]])</f>
        <v>12</v>
      </c>
      <c r="Y471" s="1">
        <f>YEAR(Tabla1[[#This Row],[fecha
de
pedido]])</f>
        <v>2017</v>
      </c>
    </row>
    <row r="472" spans="1:25" ht="25.5" customHeight="1" x14ac:dyDescent="0.2">
      <c r="A472" s="152">
        <v>43074</v>
      </c>
      <c r="B472" s="118" t="s">
        <v>487</v>
      </c>
      <c r="C472" s="4" t="s">
        <v>1470</v>
      </c>
      <c r="D472" s="242" t="s">
        <v>33</v>
      </c>
      <c r="E472" s="4" t="s">
        <v>277</v>
      </c>
      <c r="F472" s="1" t="s">
        <v>1021</v>
      </c>
      <c r="G472" s="4" t="s">
        <v>1477</v>
      </c>
      <c r="H472" s="1">
        <v>1</v>
      </c>
      <c r="I472" s="1" t="s">
        <v>488</v>
      </c>
      <c r="J472" s="4" t="s">
        <v>1023</v>
      </c>
      <c r="K472" s="1">
        <v>47.19</v>
      </c>
      <c r="L472" s="238">
        <f>(Tabla1[[#This Row],[Costo Unitario]]*Tabla1[[#This Row],[cantidad]])</f>
        <v>47.19</v>
      </c>
      <c r="M472" s="88">
        <v>43165</v>
      </c>
      <c r="N472" s="88">
        <v>43153</v>
      </c>
      <c r="O472" s="88" t="str">
        <f>IF( Tabla1[[#This Row],[Fecha de entrega real]]="","NO CONCRETADO",IF(N472&lt;=M472,"CUMPLIÓ","NO CUMPLIÓ"))</f>
        <v>CUMPLIÓ</v>
      </c>
      <c r="P472" s="141">
        <f t="shared" si="11"/>
        <v>-12</v>
      </c>
      <c r="Q472" s="4" t="s">
        <v>1618</v>
      </c>
      <c r="R472" s="4" t="s">
        <v>1980</v>
      </c>
      <c r="S472" s="4" t="s">
        <v>1994</v>
      </c>
      <c r="T472" s="1" t="s">
        <v>1619</v>
      </c>
      <c r="U472" s="107" t="s">
        <v>1620</v>
      </c>
      <c r="X472" s="1">
        <f>MONTH(Tabla1[[#This Row],[fecha
de
pedido]])</f>
        <v>12</v>
      </c>
      <c r="Y472" s="1">
        <f>YEAR(Tabla1[[#This Row],[fecha
de
pedido]])</f>
        <v>2017</v>
      </c>
    </row>
    <row r="473" spans="1:25" ht="25.5" customHeight="1" x14ac:dyDescent="0.2">
      <c r="A473" s="152">
        <v>43074</v>
      </c>
      <c r="B473" s="118" t="s">
        <v>487</v>
      </c>
      <c r="C473" s="4" t="s">
        <v>1470</v>
      </c>
      <c r="D473" s="242" t="s">
        <v>33</v>
      </c>
      <c r="E473" s="4" t="s">
        <v>277</v>
      </c>
      <c r="F473" s="1" t="s">
        <v>1021</v>
      </c>
      <c r="G473" s="4" t="s">
        <v>1478</v>
      </c>
      <c r="H473" s="1">
        <v>1</v>
      </c>
      <c r="I473" s="1" t="s">
        <v>488</v>
      </c>
      <c r="J473" s="4" t="s">
        <v>1023</v>
      </c>
      <c r="K473" s="1">
        <v>47.19</v>
      </c>
      <c r="L473" s="238">
        <f>(Tabla1[[#This Row],[Costo Unitario]]*Tabla1[[#This Row],[cantidad]])</f>
        <v>47.19</v>
      </c>
      <c r="M473" s="88">
        <v>43165</v>
      </c>
      <c r="N473" s="88">
        <v>43153</v>
      </c>
      <c r="O473" s="88" t="str">
        <f>IF( Tabla1[[#This Row],[Fecha de entrega real]]="","NO CONCRETADO",IF(N473&lt;=M473,"CUMPLIÓ","NO CUMPLIÓ"))</f>
        <v>CUMPLIÓ</v>
      </c>
      <c r="P473" s="141">
        <f t="shared" si="11"/>
        <v>-12</v>
      </c>
      <c r="Q473" s="4" t="s">
        <v>1618</v>
      </c>
      <c r="R473" s="4" t="s">
        <v>1980</v>
      </c>
      <c r="S473" s="4" t="s">
        <v>1994</v>
      </c>
      <c r="T473" s="1" t="s">
        <v>1619</v>
      </c>
      <c r="U473" s="107" t="s">
        <v>1620</v>
      </c>
      <c r="X473" s="1">
        <f>MONTH(Tabla1[[#This Row],[fecha
de
pedido]])</f>
        <v>12</v>
      </c>
      <c r="Y473" s="1">
        <f>YEAR(Tabla1[[#This Row],[fecha
de
pedido]])</f>
        <v>2017</v>
      </c>
    </row>
    <row r="474" spans="1:25" ht="25.5" customHeight="1" x14ac:dyDescent="0.2">
      <c r="A474" s="152">
        <v>43074</v>
      </c>
      <c r="B474" s="118" t="s">
        <v>487</v>
      </c>
      <c r="C474" s="4" t="s">
        <v>1470</v>
      </c>
      <c r="D474" s="242" t="s">
        <v>33</v>
      </c>
      <c r="E474" s="4" t="s">
        <v>277</v>
      </c>
      <c r="F474" s="1" t="s">
        <v>1021</v>
      </c>
      <c r="G474" s="4" t="s">
        <v>1479</v>
      </c>
      <c r="H474" s="1">
        <v>1</v>
      </c>
      <c r="I474" s="1" t="s">
        <v>488</v>
      </c>
      <c r="J474" s="4" t="s">
        <v>1023</v>
      </c>
      <c r="K474" s="1">
        <v>62.92</v>
      </c>
      <c r="L474" s="238">
        <f>(Tabla1[[#This Row],[Costo Unitario]]*Tabla1[[#This Row],[cantidad]])</f>
        <v>62.92</v>
      </c>
      <c r="M474" s="88">
        <v>43165</v>
      </c>
      <c r="N474" s="88">
        <v>43153</v>
      </c>
      <c r="O474" s="88" t="str">
        <f>IF( Tabla1[[#This Row],[Fecha de entrega real]]="","NO CONCRETADO",IF(N474&lt;=M474,"CUMPLIÓ","NO CUMPLIÓ"))</f>
        <v>CUMPLIÓ</v>
      </c>
      <c r="P474" s="141">
        <f t="shared" si="11"/>
        <v>-12</v>
      </c>
      <c r="Q474" s="4" t="s">
        <v>1618</v>
      </c>
      <c r="R474" s="4" t="s">
        <v>1980</v>
      </c>
      <c r="S474" s="4" t="s">
        <v>1994</v>
      </c>
      <c r="T474" s="1" t="s">
        <v>1619</v>
      </c>
      <c r="U474" s="107" t="s">
        <v>1620</v>
      </c>
      <c r="X474" s="1">
        <f>MONTH(Tabla1[[#This Row],[fecha
de
pedido]])</f>
        <v>12</v>
      </c>
      <c r="Y474" s="1">
        <f>YEAR(Tabla1[[#This Row],[fecha
de
pedido]])</f>
        <v>2017</v>
      </c>
    </row>
    <row r="475" spans="1:25" ht="25.5" customHeight="1" x14ac:dyDescent="0.2">
      <c r="A475" s="152">
        <v>43074</v>
      </c>
      <c r="B475" s="118" t="s">
        <v>487</v>
      </c>
      <c r="C475" s="246" t="s">
        <v>1023</v>
      </c>
      <c r="D475" s="247" t="s">
        <v>921</v>
      </c>
      <c r="E475" s="247" t="s">
        <v>921</v>
      </c>
      <c r="F475" s="247" t="s">
        <v>1041</v>
      </c>
      <c r="G475" s="246" t="s">
        <v>1041</v>
      </c>
      <c r="H475" s="247">
        <v>1</v>
      </c>
      <c r="I475" s="247" t="s">
        <v>830</v>
      </c>
      <c r="J475" s="246" t="s">
        <v>1231</v>
      </c>
      <c r="K475" s="247">
        <v>412.16</v>
      </c>
      <c r="L475" s="238">
        <f>(Tabla1[[#This Row],[Costo Unitario]]*Tabla1[[#This Row],[cantidad]])</f>
        <v>412.16</v>
      </c>
      <c r="M475" s="248">
        <v>43153</v>
      </c>
      <c r="N475" s="248">
        <v>43153</v>
      </c>
      <c r="O475" s="248" t="str">
        <f>IF( Tabla1[[#This Row],[Fecha de entrega real]]="","NO CONCRETADO",IF(N475&lt;=M475,"CUMPLIÓ","NO CUMPLIÓ"))</f>
        <v>CUMPLIÓ</v>
      </c>
      <c r="P475" s="141">
        <f t="shared" si="11"/>
        <v>0</v>
      </c>
      <c r="Q475" s="4" t="s">
        <v>1618</v>
      </c>
      <c r="R475" s="4" t="s">
        <v>33</v>
      </c>
      <c r="S475" s="4" t="s">
        <v>244</v>
      </c>
      <c r="T475" s="1" t="s">
        <v>1973</v>
      </c>
      <c r="U475" s="249" t="s">
        <v>1621</v>
      </c>
      <c r="V475" s="247"/>
      <c r="W475" s="247"/>
      <c r="X475" s="247">
        <f>MONTH(Tabla1[[#This Row],[fecha
de
pedido]])</f>
        <v>12</v>
      </c>
      <c r="Y475" s="247">
        <f>YEAR(Tabla1[[#This Row],[fecha
de
pedido]])</f>
        <v>2017</v>
      </c>
    </row>
    <row r="476" spans="1:25" ht="12.75" customHeight="1" x14ac:dyDescent="0.2">
      <c r="A476" s="152">
        <v>43080</v>
      </c>
      <c r="B476" s="118" t="s">
        <v>487</v>
      </c>
      <c r="C476" s="4" t="s">
        <v>33</v>
      </c>
      <c r="D476" s="242" t="s">
        <v>33</v>
      </c>
      <c r="E476" s="4" t="s">
        <v>277</v>
      </c>
      <c r="F476" s="1" t="s">
        <v>772</v>
      </c>
      <c r="G476" s="4" t="s">
        <v>333</v>
      </c>
      <c r="H476" s="1">
        <v>8</v>
      </c>
      <c r="I476" s="1" t="s">
        <v>1351</v>
      </c>
      <c r="J476" s="4" t="s">
        <v>771</v>
      </c>
      <c r="K476" s="1">
        <v>260</v>
      </c>
      <c r="L476" s="238">
        <f>(Tabla1[[#This Row],[Costo Unitario]]*Tabla1[[#This Row],[cantidad]])</f>
        <v>2080</v>
      </c>
      <c r="M476" s="88">
        <v>43081</v>
      </c>
      <c r="N476" s="88">
        <v>43081</v>
      </c>
      <c r="O476" s="88" t="str">
        <f>IF( Tabla1[[#This Row],[Fecha de entrega real]]="","NO CONCRETADO",IF(N476&lt;=M476,"CUMPLIÓ","NO CUMPLIÓ"))</f>
        <v>CUMPLIÓ</v>
      </c>
      <c r="P476" s="141">
        <f t="shared" si="11"/>
        <v>0</v>
      </c>
      <c r="Q476" s="4" t="s">
        <v>13</v>
      </c>
      <c r="R476" s="4" t="s">
        <v>33</v>
      </c>
      <c r="S476" s="4" t="s">
        <v>334</v>
      </c>
      <c r="T476" s="1" t="s">
        <v>1973</v>
      </c>
      <c r="U476" s="107" t="s">
        <v>1499</v>
      </c>
      <c r="X476" s="1">
        <f>MONTH(Tabla1[[#This Row],[fecha
de
pedido]])</f>
        <v>12</v>
      </c>
      <c r="Y476" s="1">
        <f>YEAR(Tabla1[[#This Row],[fecha
de
pedido]])</f>
        <v>2017</v>
      </c>
    </row>
    <row r="477" spans="1:25" ht="25.5" customHeight="1" x14ac:dyDescent="0.2">
      <c r="A477" s="152">
        <v>43080</v>
      </c>
      <c r="B477" s="118" t="s">
        <v>487</v>
      </c>
      <c r="C477" s="4" t="s">
        <v>775</v>
      </c>
      <c r="D477" s="242" t="s">
        <v>33</v>
      </c>
      <c r="E477" s="4" t="s">
        <v>277</v>
      </c>
      <c r="F477" s="1" t="s">
        <v>772</v>
      </c>
      <c r="G477" s="4" t="s">
        <v>1046</v>
      </c>
      <c r="H477" s="1">
        <v>100</v>
      </c>
      <c r="I477" s="1" t="s">
        <v>779</v>
      </c>
      <c r="J477" s="4" t="s">
        <v>12</v>
      </c>
      <c r="K477" s="1">
        <v>6</v>
      </c>
      <c r="L477" s="238">
        <f>(Tabla1[[#This Row],[Costo Unitario]]*Tabla1[[#This Row],[cantidad]])</f>
        <v>600</v>
      </c>
      <c r="M477" s="88">
        <v>43081</v>
      </c>
      <c r="N477" s="88">
        <v>43081</v>
      </c>
      <c r="O477" s="88" t="str">
        <f>IF( Tabla1[[#This Row],[Fecha de entrega real]]="","NO CONCRETADO",IF(N477&lt;=M477,"CUMPLIÓ","NO CUMPLIÓ"))</f>
        <v>CUMPLIÓ</v>
      </c>
      <c r="P477" s="141">
        <f t="shared" si="11"/>
        <v>0</v>
      </c>
      <c r="Q477" s="4" t="s">
        <v>13</v>
      </c>
      <c r="R477" s="4" t="s">
        <v>1048</v>
      </c>
      <c r="S477" s="4" t="s">
        <v>244</v>
      </c>
      <c r="T477" s="1" t="s">
        <v>1973</v>
      </c>
      <c r="U477" s="107" t="s">
        <v>1500</v>
      </c>
      <c r="X477" s="1">
        <f>MONTH(Tabla1[[#This Row],[fecha
de
pedido]])</f>
        <v>12</v>
      </c>
      <c r="Y477" s="1">
        <f>YEAR(Tabla1[[#This Row],[fecha
de
pedido]])</f>
        <v>2017</v>
      </c>
    </row>
    <row r="478" spans="1:25" ht="25.5" customHeight="1" x14ac:dyDescent="0.2">
      <c r="A478" s="152">
        <v>43080</v>
      </c>
      <c r="B478" s="118" t="s">
        <v>487</v>
      </c>
      <c r="C478" s="4" t="s">
        <v>33</v>
      </c>
      <c r="D478" s="242" t="s">
        <v>33</v>
      </c>
      <c r="E478" s="4" t="s">
        <v>277</v>
      </c>
      <c r="F478" s="1" t="s">
        <v>772</v>
      </c>
      <c r="G478" s="4" t="s">
        <v>204</v>
      </c>
      <c r="H478" s="1">
        <v>100</v>
      </c>
      <c r="I478" s="1" t="s">
        <v>779</v>
      </c>
      <c r="J478" s="4" t="s">
        <v>12</v>
      </c>
      <c r="K478" s="1">
        <v>6</v>
      </c>
      <c r="L478" s="238">
        <f>(Tabla1[[#This Row],[Costo Unitario]]*Tabla1[[#This Row],[cantidad]])</f>
        <v>600</v>
      </c>
      <c r="M478" s="88">
        <v>43081</v>
      </c>
      <c r="N478" s="88">
        <v>43081</v>
      </c>
      <c r="O478" s="88" t="str">
        <f>IF( Tabla1[[#This Row],[Fecha de entrega real]]="","NO CONCRETADO",IF(N478&lt;=M478,"CUMPLIÓ","NO CUMPLIÓ"))</f>
        <v>CUMPLIÓ</v>
      </c>
      <c r="P478" s="141">
        <f t="shared" si="11"/>
        <v>0</v>
      </c>
      <c r="Q478" s="4" t="s">
        <v>13</v>
      </c>
      <c r="R478" s="4" t="s">
        <v>1996</v>
      </c>
      <c r="S478" s="4" t="s">
        <v>1995</v>
      </c>
      <c r="T478" s="1" t="s">
        <v>1973</v>
      </c>
      <c r="U478" s="107" t="s">
        <v>1501</v>
      </c>
      <c r="X478" s="1">
        <f>MONTH(Tabla1[[#This Row],[fecha
de
pedido]])</f>
        <v>12</v>
      </c>
      <c r="Y478" s="1">
        <f>YEAR(Tabla1[[#This Row],[fecha
de
pedido]])</f>
        <v>2017</v>
      </c>
    </row>
    <row r="479" spans="1:25" ht="12.75" customHeight="1" x14ac:dyDescent="0.2">
      <c r="A479" s="152">
        <v>43081</v>
      </c>
      <c r="B479" s="118" t="s">
        <v>487</v>
      </c>
      <c r="C479" s="241" t="s">
        <v>976</v>
      </c>
      <c r="D479" s="242" t="s">
        <v>33</v>
      </c>
      <c r="E479" s="4" t="s">
        <v>277</v>
      </c>
      <c r="F479" s="242" t="s">
        <v>778</v>
      </c>
      <c r="G479" s="241" t="s">
        <v>979</v>
      </c>
      <c r="H479" s="242">
        <v>500</v>
      </c>
      <c r="I479" s="242" t="s">
        <v>1516</v>
      </c>
      <c r="J479" s="241" t="s">
        <v>77</v>
      </c>
      <c r="K479" s="242"/>
      <c r="L479" s="238">
        <f>(Tabla1[[#This Row],[Costo Unitario]]*Tabla1[[#This Row],[cantidad]])</f>
        <v>0</v>
      </c>
      <c r="M479" s="243">
        <v>43082</v>
      </c>
      <c r="N479" s="243">
        <v>43082</v>
      </c>
      <c r="O479" s="243" t="str">
        <f>IF( Tabla1[[#This Row],[Fecha de entrega real]]="","NO CONCRETADO",IF(N479&lt;=M479,"CUMPLIÓ","NO CUMPLIÓ"))</f>
        <v>CUMPLIÓ</v>
      </c>
      <c r="P479" s="141">
        <f>IF(N479="","NO CONCRETADO",N479-M479)</f>
        <v>0</v>
      </c>
      <c r="Q479" s="4" t="s">
        <v>13</v>
      </c>
      <c r="R479" s="241" t="s">
        <v>1186</v>
      </c>
      <c r="S479" s="241" t="s">
        <v>244</v>
      </c>
      <c r="T479" s="242" t="s">
        <v>1517</v>
      </c>
      <c r="U479" s="244"/>
      <c r="V479" s="242"/>
      <c r="W479" s="242"/>
      <c r="X479" s="242">
        <f>MONTH(Tabla1[[#This Row],[fecha
de
pedido]])</f>
        <v>12</v>
      </c>
      <c r="Y479" s="242">
        <f>YEAR(Tabla1[[#This Row],[fecha
de
pedido]])</f>
        <v>2017</v>
      </c>
    </row>
    <row r="480" spans="1:25" ht="12.75" customHeight="1" x14ac:dyDescent="0.2">
      <c r="A480" s="240">
        <v>43084</v>
      </c>
      <c r="B480" s="118" t="s">
        <v>487</v>
      </c>
      <c r="C480" s="241" t="s">
        <v>1480</v>
      </c>
      <c r="D480" s="242" t="s">
        <v>33</v>
      </c>
      <c r="E480" s="4" t="s">
        <v>277</v>
      </c>
      <c r="F480" s="242" t="s">
        <v>1016</v>
      </c>
      <c r="G480" s="241" t="s">
        <v>1253</v>
      </c>
      <c r="H480" s="242">
        <v>3</v>
      </c>
      <c r="I480" s="242" t="s">
        <v>812</v>
      </c>
      <c r="J480" s="241" t="s">
        <v>81</v>
      </c>
      <c r="K480" s="242"/>
      <c r="L480" s="238">
        <f>(Tabla1[[#This Row],[Costo Unitario]]*Tabla1[[#This Row],[cantidad]])</f>
        <v>0</v>
      </c>
      <c r="M480" s="243">
        <v>43087</v>
      </c>
      <c r="N480" s="243">
        <v>43087</v>
      </c>
      <c r="O480" s="243" t="str">
        <f>IF( Tabla1[[#This Row],[Fecha de entrega real]]="","NO CONCRETADO",IF(N480&lt;=M480,"CUMPLIÓ","NO CUMPLIÓ"))</f>
        <v>CUMPLIÓ</v>
      </c>
      <c r="P480" s="141">
        <f>IF(N480="","NO CONCRETADO",N480-M480)</f>
        <v>0</v>
      </c>
      <c r="Q480" s="4" t="s">
        <v>13</v>
      </c>
      <c r="R480" s="241" t="s">
        <v>1186</v>
      </c>
      <c r="S480" s="241" t="s">
        <v>244</v>
      </c>
      <c r="T480" s="242" t="s">
        <v>1520</v>
      </c>
      <c r="U480" s="244"/>
      <c r="V480" s="242"/>
      <c r="W480" s="242"/>
      <c r="X480" s="242">
        <f>MONTH(Tabla1[[#This Row],[fecha
de
pedido]])</f>
        <v>12</v>
      </c>
      <c r="Y480" s="242">
        <f>YEAR(Tabla1[[#This Row],[fecha
de
pedido]])</f>
        <v>2017</v>
      </c>
    </row>
    <row r="481" spans="1:25" ht="12.75" customHeight="1" x14ac:dyDescent="0.2">
      <c r="A481" s="240">
        <v>43084</v>
      </c>
      <c r="B481" s="118" t="s">
        <v>487</v>
      </c>
      <c r="C481" s="241" t="s">
        <v>1480</v>
      </c>
      <c r="D481" s="242" t="s">
        <v>33</v>
      </c>
      <c r="E481" s="4" t="s">
        <v>277</v>
      </c>
      <c r="F481" s="242" t="s">
        <v>1016</v>
      </c>
      <c r="G481" s="241" t="s">
        <v>1518</v>
      </c>
      <c r="H481" s="242">
        <v>1</v>
      </c>
      <c r="I481" s="242" t="s">
        <v>1415</v>
      </c>
      <c r="J481" s="241" t="s">
        <v>81</v>
      </c>
      <c r="K481" s="242"/>
      <c r="L481" s="238">
        <f>(Tabla1[[#This Row],[Costo Unitario]]*Tabla1[[#This Row],[cantidad]])</f>
        <v>0</v>
      </c>
      <c r="M481" s="243">
        <v>43087</v>
      </c>
      <c r="N481" s="243">
        <v>43087</v>
      </c>
      <c r="O481" s="243" t="str">
        <f>IF( Tabla1[[#This Row],[Fecha de entrega real]]="","NO CONCRETADO",IF(N481&lt;=M481,"CUMPLIÓ","NO CUMPLIÓ"))</f>
        <v>CUMPLIÓ</v>
      </c>
      <c r="P481" s="141">
        <f>IF(N481="","NO CONCRETADO",N481-M481)</f>
        <v>0</v>
      </c>
      <c r="Q481" s="4" t="s">
        <v>13</v>
      </c>
      <c r="R481" s="241" t="s">
        <v>1186</v>
      </c>
      <c r="S481" s="241" t="s">
        <v>244</v>
      </c>
      <c r="T481" s="242" t="s">
        <v>1520</v>
      </c>
      <c r="U481" s="244"/>
      <c r="V481" s="242"/>
      <c r="W481" s="242"/>
      <c r="X481" s="242">
        <f>MONTH(Tabla1[[#This Row],[fecha
de
pedido]])</f>
        <v>12</v>
      </c>
      <c r="Y481" s="242">
        <f>YEAR(Tabla1[[#This Row],[fecha
de
pedido]])</f>
        <v>2017</v>
      </c>
    </row>
    <row r="482" spans="1:25" ht="28.5" customHeight="1" x14ac:dyDescent="0.2">
      <c r="A482" s="240">
        <v>43084</v>
      </c>
      <c r="B482" s="118" t="s">
        <v>487</v>
      </c>
      <c r="C482" s="241" t="s">
        <v>1480</v>
      </c>
      <c r="D482" s="242" t="s">
        <v>33</v>
      </c>
      <c r="E482" s="4" t="s">
        <v>277</v>
      </c>
      <c r="F482" s="242" t="s">
        <v>1016</v>
      </c>
      <c r="G482" s="241" t="s">
        <v>1519</v>
      </c>
      <c r="H482" s="242">
        <v>1</v>
      </c>
      <c r="I482" s="242" t="s">
        <v>1415</v>
      </c>
      <c r="J482" s="241" t="s">
        <v>81</v>
      </c>
      <c r="K482" s="242"/>
      <c r="L482" s="238">
        <f>(Tabla1[[#This Row],[Costo Unitario]]*Tabla1[[#This Row],[cantidad]])</f>
        <v>0</v>
      </c>
      <c r="M482" s="243">
        <v>43087</v>
      </c>
      <c r="N482" s="243">
        <v>43087</v>
      </c>
      <c r="O482" s="243" t="str">
        <f>IF( Tabla1[[#This Row],[Fecha de entrega real]]="","NO CONCRETADO",IF(N482&lt;=M482,"CUMPLIÓ","NO CUMPLIÓ"))</f>
        <v>CUMPLIÓ</v>
      </c>
      <c r="P482" s="141">
        <f>IF(N482="","NO CONCRETADO",N482-M482)</f>
        <v>0</v>
      </c>
      <c r="Q482" s="4" t="s">
        <v>13</v>
      </c>
      <c r="R482" s="241" t="s">
        <v>1186</v>
      </c>
      <c r="S482" s="241" t="s">
        <v>244</v>
      </c>
      <c r="T482" s="242" t="s">
        <v>1520</v>
      </c>
      <c r="U482" s="244"/>
      <c r="V482" s="242"/>
      <c r="W482" s="242"/>
      <c r="X482" s="242">
        <f>MONTH(Tabla1[[#This Row],[fecha
de
pedido]])</f>
        <v>12</v>
      </c>
      <c r="Y482" s="242">
        <f>YEAR(Tabla1[[#This Row],[fecha
de
pedido]])</f>
        <v>2017</v>
      </c>
    </row>
    <row r="483" spans="1:25" ht="24" customHeight="1" x14ac:dyDescent="0.2">
      <c r="A483" s="240">
        <v>43087</v>
      </c>
      <c r="B483" s="118" t="s">
        <v>487</v>
      </c>
      <c r="C483" s="241" t="s">
        <v>1521</v>
      </c>
      <c r="D483" s="242" t="s">
        <v>33</v>
      </c>
      <c r="E483" s="241" t="s">
        <v>11</v>
      </c>
      <c r="F483" s="242" t="s">
        <v>1045</v>
      </c>
      <c r="G483" s="241" t="s">
        <v>1522</v>
      </c>
      <c r="H483" s="242">
        <v>4</v>
      </c>
      <c r="I483" s="242" t="s">
        <v>1523</v>
      </c>
      <c r="J483" s="241" t="s">
        <v>225</v>
      </c>
      <c r="K483" s="242">
        <v>439</v>
      </c>
      <c r="L483" s="238">
        <f>(Tabla1[[#This Row],[Costo Unitario]]*Tabla1[[#This Row],[cantidad]])</f>
        <v>1756</v>
      </c>
      <c r="M483" s="243">
        <v>43109</v>
      </c>
      <c r="N483" s="243">
        <v>43109</v>
      </c>
      <c r="O483" s="243" t="str">
        <f>IF( Tabla1[[#This Row],[Fecha de entrega real]]="","NO CONCRETADO",IF(N483&lt;=M483,"CUMPLIÓ","NO CUMPLIÓ"))</f>
        <v>CUMPLIÓ</v>
      </c>
      <c r="P483" s="141">
        <f t="shared" ref="P483:P549" si="12">IF(N483="","NO CONCRETADO",N483-M483)</f>
        <v>0</v>
      </c>
      <c r="Q483" s="4" t="s">
        <v>13</v>
      </c>
      <c r="R483" s="4" t="s">
        <v>33</v>
      </c>
      <c r="S483" s="4" t="s">
        <v>1542</v>
      </c>
      <c r="T483" s="1" t="s">
        <v>1540</v>
      </c>
      <c r="U483" s="107" t="s">
        <v>1541</v>
      </c>
      <c r="V483" s="242"/>
      <c r="W483" s="242"/>
      <c r="X483" s="242">
        <f>MONTH(Tabla1[[#This Row],[fecha
de
pedido]])</f>
        <v>12</v>
      </c>
      <c r="Y483" s="242">
        <f>YEAR(Tabla1[[#This Row],[fecha
de
pedido]])</f>
        <v>2017</v>
      </c>
    </row>
    <row r="484" spans="1:25" ht="21" customHeight="1" x14ac:dyDescent="0.2">
      <c r="A484" s="240">
        <v>43088</v>
      </c>
      <c r="B484" s="118" t="s">
        <v>487</v>
      </c>
      <c r="C484" s="241" t="s">
        <v>775</v>
      </c>
      <c r="D484" s="242" t="s">
        <v>33</v>
      </c>
      <c r="E484" s="241" t="s">
        <v>11</v>
      </c>
      <c r="F484" s="242" t="s">
        <v>1199</v>
      </c>
      <c r="G484" s="241" t="s">
        <v>1524</v>
      </c>
      <c r="H484" s="242">
        <v>8</v>
      </c>
      <c r="I484" s="242" t="s">
        <v>1302</v>
      </c>
      <c r="J484" s="241" t="s">
        <v>225</v>
      </c>
      <c r="K484" s="242">
        <v>860</v>
      </c>
      <c r="L484" s="238">
        <f>(Tabla1[[#This Row],[Costo Unitario]]*Tabla1[[#This Row],[cantidad]])</f>
        <v>6880</v>
      </c>
      <c r="M484" s="243">
        <v>43098</v>
      </c>
      <c r="N484" s="243">
        <v>43103</v>
      </c>
      <c r="O484" s="243" t="str">
        <f>IF( Tabla1[[#This Row],[Fecha de entrega real]]="","NO CONCRETADO",IF(N484&lt;=M484,"CUMPLIÓ","NO CUMPLIÓ"))</f>
        <v>NO CUMPLIÓ</v>
      </c>
      <c r="P484" s="141">
        <f t="shared" si="12"/>
        <v>5</v>
      </c>
      <c r="Q484" s="241"/>
      <c r="R484" s="241"/>
      <c r="S484" s="241"/>
      <c r="T484" s="242"/>
      <c r="U484" s="244"/>
      <c r="V484" s="242"/>
      <c r="W484" s="242"/>
      <c r="X484" s="242">
        <f>MONTH(Tabla1[[#This Row],[fecha
de
pedido]])</f>
        <v>12</v>
      </c>
      <c r="Y484" s="242">
        <f>YEAR(Tabla1[[#This Row],[fecha
de
pedido]])</f>
        <v>2017</v>
      </c>
    </row>
    <row r="485" spans="1:25" ht="15.75" customHeight="1" x14ac:dyDescent="0.2">
      <c r="A485" s="240">
        <v>43088</v>
      </c>
      <c r="B485" s="118" t="s">
        <v>487</v>
      </c>
      <c r="C485" s="241" t="s">
        <v>33</v>
      </c>
      <c r="D485" s="242" t="s">
        <v>33</v>
      </c>
      <c r="E485" s="241" t="s">
        <v>11</v>
      </c>
      <c r="F485" s="242" t="s">
        <v>1199</v>
      </c>
      <c r="G485" s="241" t="s">
        <v>1524</v>
      </c>
      <c r="H485" s="242">
        <v>4</v>
      </c>
      <c r="I485" s="242" t="s">
        <v>1302</v>
      </c>
      <c r="J485" s="241" t="s">
        <v>225</v>
      </c>
      <c r="K485" s="242">
        <v>860</v>
      </c>
      <c r="L485" s="238">
        <f>(Tabla1[[#This Row],[Costo Unitario]]*Tabla1[[#This Row],[cantidad]])</f>
        <v>3440</v>
      </c>
      <c r="M485" s="243">
        <v>43098</v>
      </c>
      <c r="N485" s="243">
        <v>43103</v>
      </c>
      <c r="O485" s="243" t="str">
        <f>IF( Tabla1[[#This Row],[Fecha de entrega real]]="","NO CONCRETADO",IF(N485&lt;=M485,"CUMPLIÓ","NO CUMPLIÓ"))</f>
        <v>NO CUMPLIÓ</v>
      </c>
      <c r="P485" s="141">
        <f t="shared" si="12"/>
        <v>5</v>
      </c>
      <c r="Q485" s="4" t="s">
        <v>13</v>
      </c>
      <c r="R485" s="4" t="s">
        <v>33</v>
      </c>
      <c r="S485" s="4" t="s">
        <v>244</v>
      </c>
      <c r="T485" s="1" t="s">
        <v>1998</v>
      </c>
      <c r="U485" s="107" t="s">
        <v>1997</v>
      </c>
      <c r="V485" s="242"/>
      <c r="W485" s="242"/>
      <c r="X485" s="242">
        <f>MONTH(Tabla1[[#This Row],[fecha
de
pedido]])</f>
        <v>12</v>
      </c>
      <c r="Y485" s="242">
        <f>YEAR(Tabla1[[#This Row],[fecha
de
pedido]])</f>
        <v>2017</v>
      </c>
    </row>
    <row r="486" spans="1:25" ht="15.75" customHeight="1" x14ac:dyDescent="0.2">
      <c r="A486" s="240">
        <v>43088</v>
      </c>
      <c r="B486" s="118" t="s">
        <v>487</v>
      </c>
      <c r="C486" s="4" t="s">
        <v>1527</v>
      </c>
      <c r="D486" s="242" t="s">
        <v>33</v>
      </c>
      <c r="E486" s="241" t="s">
        <v>11</v>
      </c>
      <c r="F486" s="242" t="s">
        <v>1199</v>
      </c>
      <c r="G486" s="241" t="s">
        <v>1525</v>
      </c>
      <c r="H486" s="242">
        <v>1</v>
      </c>
      <c r="I486" s="242" t="s">
        <v>1526</v>
      </c>
      <c r="J486" s="241" t="s">
        <v>77</v>
      </c>
      <c r="K486" s="242">
        <v>217.8</v>
      </c>
      <c r="L486" s="238">
        <f>(Tabla1[[#This Row],[Costo Unitario]]*Tabla1[[#This Row],[cantidad]])</f>
        <v>217.8</v>
      </c>
      <c r="M486" s="243">
        <v>43098</v>
      </c>
      <c r="N486" s="243">
        <v>43098</v>
      </c>
      <c r="O486" s="243" t="str">
        <f>IF( Tabla1[[#This Row],[Fecha de entrega real]]="","NO CONCRETADO",IF(N486&lt;=M486,"CUMPLIÓ","NO CUMPLIÓ"))</f>
        <v>CUMPLIÓ</v>
      </c>
      <c r="P486" s="141">
        <f t="shared" si="12"/>
        <v>0</v>
      </c>
      <c r="Q486" s="4" t="s">
        <v>13</v>
      </c>
      <c r="R486" s="4" t="s">
        <v>33</v>
      </c>
      <c r="S486" s="4" t="s">
        <v>334</v>
      </c>
      <c r="T486" s="1" t="s">
        <v>1560</v>
      </c>
      <c r="U486" s="107" t="s">
        <v>1559</v>
      </c>
      <c r="V486" s="242"/>
      <c r="W486" s="242"/>
      <c r="X486" s="242">
        <f>MONTH(Tabla1[[#This Row],[fecha
de
pedido]])</f>
        <v>12</v>
      </c>
      <c r="Y486" s="242">
        <f>YEAR(Tabla1[[#This Row],[fecha
de
pedido]])</f>
        <v>2017</v>
      </c>
    </row>
    <row r="487" spans="1:25" ht="18" customHeight="1" x14ac:dyDescent="0.2">
      <c r="A487" s="240">
        <v>43089</v>
      </c>
      <c r="B487" s="118" t="s">
        <v>487</v>
      </c>
      <c r="C487" s="246" t="s">
        <v>906</v>
      </c>
      <c r="D487" s="247" t="s">
        <v>33</v>
      </c>
      <c r="E487" s="246" t="s">
        <v>888</v>
      </c>
      <c r="F487" s="247" t="s">
        <v>772</v>
      </c>
      <c r="G487" s="246" t="s">
        <v>204</v>
      </c>
      <c r="H487" s="247">
        <v>150</v>
      </c>
      <c r="I487" s="247" t="s">
        <v>779</v>
      </c>
      <c r="J487" s="246" t="s">
        <v>12</v>
      </c>
      <c r="K487" s="247">
        <v>6</v>
      </c>
      <c r="L487" s="238">
        <f>(Tabla1[[#This Row],[Costo Unitario]]*Tabla1[[#This Row],[cantidad]])</f>
        <v>900</v>
      </c>
      <c r="M487" s="248">
        <v>43097</v>
      </c>
      <c r="N487" s="248">
        <v>43097</v>
      </c>
      <c r="O487" s="248" t="str">
        <f>IF( Tabla1[[#This Row],[Fecha de entrega real]]="","NO CONCRETADO",IF(N487&lt;=M487,"CUMPLIÓ","NO CUMPLIÓ"))</f>
        <v>CUMPLIÓ</v>
      </c>
      <c r="P487" s="141">
        <f t="shared" si="12"/>
        <v>0</v>
      </c>
      <c r="Q487" s="246" t="s">
        <v>13</v>
      </c>
      <c r="R487" s="246" t="s">
        <v>33</v>
      </c>
      <c r="S487" s="246" t="s">
        <v>1535</v>
      </c>
      <c r="T487" s="1" t="s">
        <v>1973</v>
      </c>
      <c r="U487" s="249" t="s">
        <v>1536</v>
      </c>
      <c r="V487" s="247"/>
      <c r="W487" s="247"/>
      <c r="X487" s="247">
        <f>MONTH(Tabla1[[#This Row],[fecha
de
pedido]])</f>
        <v>12</v>
      </c>
      <c r="Y487" s="247">
        <f>YEAR(Tabla1[[#This Row],[fecha
de
pedido]])</f>
        <v>2017</v>
      </c>
    </row>
    <row r="488" spans="1:25" ht="32.25" customHeight="1" x14ac:dyDescent="0.2">
      <c r="A488" s="240">
        <v>43095</v>
      </c>
      <c r="B488" s="118" t="s">
        <v>487</v>
      </c>
      <c r="C488" s="4" t="s">
        <v>33</v>
      </c>
      <c r="D488" s="242" t="s">
        <v>33</v>
      </c>
      <c r="E488" s="4" t="s">
        <v>277</v>
      </c>
      <c r="F488" s="1" t="s">
        <v>772</v>
      </c>
      <c r="G488" s="241" t="s">
        <v>1530</v>
      </c>
      <c r="H488" s="242">
        <v>4</v>
      </c>
      <c r="I488" s="1" t="s">
        <v>897</v>
      </c>
      <c r="J488" s="4" t="s">
        <v>225</v>
      </c>
      <c r="K488" s="242">
        <v>550</v>
      </c>
      <c r="L488" s="238">
        <f>(Tabla1[[#This Row],[Costo Unitario]]*Tabla1[[#This Row],[cantidad]])</f>
        <v>2200</v>
      </c>
      <c r="M488" s="243">
        <v>43110</v>
      </c>
      <c r="N488" s="243">
        <v>43103</v>
      </c>
      <c r="O488" s="243" t="str">
        <f>IF( Tabla1[[#This Row],[Fecha de entrega real]]="","NO CONCRETADO",IF(N488&lt;=M488,"CUMPLIÓ","NO CUMPLIÓ"))</f>
        <v>CUMPLIÓ</v>
      </c>
      <c r="P488" s="141">
        <f t="shared" si="12"/>
        <v>-7</v>
      </c>
      <c r="Q488" s="246" t="s">
        <v>13</v>
      </c>
      <c r="R488" s="246" t="s">
        <v>33</v>
      </c>
      <c r="S488" s="4" t="s">
        <v>334</v>
      </c>
      <c r="T488" s="1" t="s">
        <v>1999</v>
      </c>
      <c r="U488" s="107" t="s">
        <v>2000</v>
      </c>
      <c r="V488" s="242"/>
      <c r="W488" s="242"/>
      <c r="X488" s="242">
        <f>MONTH(Tabla1[[#This Row],[fecha
de
pedido]])</f>
        <v>12</v>
      </c>
      <c r="Y488" s="242">
        <f>YEAR(Tabla1[[#This Row],[fecha
de
pedido]])</f>
        <v>2017</v>
      </c>
    </row>
    <row r="489" spans="1:25" ht="32.25" customHeight="1" x14ac:dyDescent="0.2">
      <c r="A489" s="152">
        <v>43095</v>
      </c>
      <c r="B489" s="118" t="s">
        <v>487</v>
      </c>
      <c r="C489" s="4" t="s">
        <v>33</v>
      </c>
      <c r="D489" s="242" t="s">
        <v>33</v>
      </c>
      <c r="E489" s="4" t="s">
        <v>277</v>
      </c>
      <c r="F489" s="1" t="s">
        <v>772</v>
      </c>
      <c r="G489" s="4" t="s">
        <v>1531</v>
      </c>
      <c r="H489" s="1">
        <v>4</v>
      </c>
      <c r="I489" s="1" t="s">
        <v>897</v>
      </c>
      <c r="J489" s="4" t="s">
        <v>225</v>
      </c>
      <c r="K489" s="1">
        <v>550</v>
      </c>
      <c r="L489" s="238">
        <f>(Tabla1[[#This Row],[Costo Unitario]]*Tabla1[[#This Row],[cantidad]])</f>
        <v>2200</v>
      </c>
      <c r="M489" s="88">
        <v>43110</v>
      </c>
      <c r="N489" s="243">
        <v>43103</v>
      </c>
      <c r="O489" s="88" t="str">
        <f>IF( Tabla1[[#This Row],[Fecha de entrega real]]="","NO CONCRETADO",IF(N489&lt;=M489,"CUMPLIÓ","NO CUMPLIÓ"))</f>
        <v>CUMPLIÓ</v>
      </c>
      <c r="P489" s="141">
        <f t="shared" si="12"/>
        <v>-7</v>
      </c>
      <c r="Q489" s="246" t="s">
        <v>13</v>
      </c>
      <c r="R489" s="246" t="s">
        <v>33</v>
      </c>
      <c r="S489" s="4" t="s">
        <v>334</v>
      </c>
      <c r="T489" s="1" t="s">
        <v>1999</v>
      </c>
      <c r="U489" s="107" t="s">
        <v>2000</v>
      </c>
      <c r="X489" s="1">
        <f>MONTH(Tabla1[[#This Row],[fecha
de
pedido]])</f>
        <v>12</v>
      </c>
      <c r="Y489" s="1">
        <f>YEAR(Tabla1[[#This Row],[fecha
de
pedido]])</f>
        <v>2017</v>
      </c>
    </row>
    <row r="490" spans="1:25" ht="25.5" customHeight="1" x14ac:dyDescent="0.2">
      <c r="A490" s="240">
        <v>43095</v>
      </c>
      <c r="B490" s="118" t="s">
        <v>487</v>
      </c>
      <c r="C490" s="4" t="s">
        <v>33</v>
      </c>
      <c r="D490" s="242" t="s">
        <v>33</v>
      </c>
      <c r="E490" s="4" t="s">
        <v>277</v>
      </c>
      <c r="F490" s="1" t="s">
        <v>772</v>
      </c>
      <c r="G490" s="4" t="s">
        <v>1532</v>
      </c>
      <c r="H490" s="1">
        <v>4</v>
      </c>
      <c r="I490" s="1" t="s">
        <v>897</v>
      </c>
      <c r="J490" s="4" t="s">
        <v>225</v>
      </c>
      <c r="K490" s="1">
        <v>550</v>
      </c>
      <c r="L490" s="238">
        <f>(Tabla1[[#This Row],[Costo Unitario]]*Tabla1[[#This Row],[cantidad]])</f>
        <v>2200</v>
      </c>
      <c r="M490" s="88">
        <v>43110</v>
      </c>
      <c r="N490" s="243">
        <v>43103</v>
      </c>
      <c r="O490" s="88" t="str">
        <f>IF( Tabla1[[#This Row],[Fecha de entrega real]]="","NO CONCRETADO",IF(N490&lt;=M490,"CUMPLIÓ","NO CUMPLIÓ"))</f>
        <v>CUMPLIÓ</v>
      </c>
      <c r="P490" s="141">
        <f t="shared" si="12"/>
        <v>-7</v>
      </c>
      <c r="Q490" s="246" t="s">
        <v>13</v>
      </c>
      <c r="R490" s="246" t="s">
        <v>33</v>
      </c>
      <c r="S490" s="4" t="s">
        <v>334</v>
      </c>
      <c r="T490" s="1" t="s">
        <v>1999</v>
      </c>
      <c r="U490" s="107" t="s">
        <v>2000</v>
      </c>
      <c r="X490" s="1">
        <f>MONTH(Tabla1[[#This Row],[fecha
de
pedido]])</f>
        <v>12</v>
      </c>
      <c r="Y490" s="1">
        <f>YEAR(Tabla1[[#This Row],[fecha
de
pedido]])</f>
        <v>2017</v>
      </c>
    </row>
    <row r="491" spans="1:25" ht="12.75" customHeight="1" x14ac:dyDescent="0.2">
      <c r="A491" s="152">
        <v>43095</v>
      </c>
      <c r="B491" s="118" t="s">
        <v>487</v>
      </c>
      <c r="C491" s="4" t="s">
        <v>33</v>
      </c>
      <c r="D491" s="242" t="s">
        <v>33</v>
      </c>
      <c r="E491" s="4" t="s">
        <v>277</v>
      </c>
      <c r="F491" s="1" t="s">
        <v>772</v>
      </c>
      <c r="G491" s="4" t="s">
        <v>1533</v>
      </c>
      <c r="H491" s="1">
        <v>3</v>
      </c>
      <c r="I491" s="1" t="s">
        <v>784</v>
      </c>
      <c r="J491" s="4" t="s">
        <v>225</v>
      </c>
      <c r="K491" s="1">
        <v>490</v>
      </c>
      <c r="L491" s="238">
        <f>(Tabla1[[#This Row],[Costo Unitario]]*Tabla1[[#This Row],[cantidad]])</f>
        <v>1470</v>
      </c>
      <c r="M491" s="88">
        <v>43138</v>
      </c>
      <c r="N491" s="88">
        <v>43137</v>
      </c>
      <c r="O491" s="88" t="str">
        <f>IF( Tabla1[[#This Row],[Fecha de entrega real]]="","NO CONCRETADO",IF(N491&lt;=M491,"CUMPLIÓ","NO CUMPLIÓ"))</f>
        <v>CUMPLIÓ</v>
      </c>
      <c r="P491" s="141">
        <f t="shared" si="12"/>
        <v>-1</v>
      </c>
      <c r="Q491" s="4" t="s">
        <v>13</v>
      </c>
      <c r="R491" s="4" t="s">
        <v>33</v>
      </c>
      <c r="S491" s="4" t="s">
        <v>1543</v>
      </c>
      <c r="T491" s="1" t="s">
        <v>1544</v>
      </c>
      <c r="U491" s="107" t="s">
        <v>1545</v>
      </c>
      <c r="X491" s="1">
        <f>MONTH(Tabla1[[#This Row],[fecha
de
pedido]])</f>
        <v>12</v>
      </c>
      <c r="Y491" s="1">
        <f>YEAR(Tabla1[[#This Row],[fecha
de
pedido]])</f>
        <v>2017</v>
      </c>
    </row>
    <row r="492" spans="1:25" ht="12.75" customHeight="1" x14ac:dyDescent="0.2">
      <c r="A492" s="152">
        <v>43097</v>
      </c>
      <c r="B492" s="118" t="s">
        <v>487</v>
      </c>
      <c r="C492" s="246" t="s">
        <v>1439</v>
      </c>
      <c r="D492" s="247" t="s">
        <v>33</v>
      </c>
      <c r="E492" s="246" t="s">
        <v>277</v>
      </c>
      <c r="F492" s="247" t="s">
        <v>778</v>
      </c>
      <c r="G492" s="246" t="s">
        <v>1625</v>
      </c>
      <c r="H492" s="247">
        <v>1</v>
      </c>
      <c r="I492" s="247" t="s">
        <v>930</v>
      </c>
      <c r="J492" s="246" t="s">
        <v>77</v>
      </c>
      <c r="K492" s="247">
        <v>2897.95</v>
      </c>
      <c r="L492" s="238">
        <f>(Tabla1[[#This Row],[Costo Unitario]]*Tabla1[[#This Row],[cantidad]])</f>
        <v>2897.95</v>
      </c>
      <c r="M492" s="248">
        <v>43139</v>
      </c>
      <c r="N492" s="248">
        <v>43153</v>
      </c>
      <c r="O492" s="248" t="str">
        <f>IF( Tabla1[[#This Row],[Fecha de entrega real]]="","NO CONCRETADO",IF(N492&lt;=M492,"CUMPLIÓ","NO CUMPLIÓ"))</f>
        <v>NO CUMPLIÓ</v>
      </c>
      <c r="P492" s="141">
        <f t="shared" si="12"/>
        <v>14</v>
      </c>
      <c r="Q492" s="4" t="s">
        <v>13</v>
      </c>
      <c r="R492" s="4" t="s">
        <v>33</v>
      </c>
      <c r="S492" s="4" t="s">
        <v>1543</v>
      </c>
      <c r="T492" s="247" t="s">
        <v>1626</v>
      </c>
      <c r="U492" s="249" t="s">
        <v>1627</v>
      </c>
      <c r="V492" s="247"/>
      <c r="W492" s="247"/>
      <c r="X492" s="247">
        <f>MONTH(Tabla1[[#This Row],[fecha
de
pedido]])</f>
        <v>12</v>
      </c>
      <c r="Y492" s="247">
        <f>YEAR(Tabla1[[#This Row],[fecha
de
pedido]])</f>
        <v>2017</v>
      </c>
    </row>
    <row r="493" spans="1:25" ht="12.75" customHeight="1" x14ac:dyDescent="0.2">
      <c r="A493" s="245">
        <v>43103</v>
      </c>
      <c r="B493" s="423">
        <v>18001</v>
      </c>
      <c r="C493" s="246" t="s">
        <v>849</v>
      </c>
      <c r="D493" s="247" t="s">
        <v>11</v>
      </c>
      <c r="E493" s="246" t="s">
        <v>11</v>
      </c>
      <c r="F493" s="247" t="s">
        <v>830</v>
      </c>
      <c r="G493" s="246" t="s">
        <v>1555</v>
      </c>
      <c r="H493" s="247">
        <v>1</v>
      </c>
      <c r="I493" s="247" t="s">
        <v>830</v>
      </c>
      <c r="J493" s="246" t="s">
        <v>1556</v>
      </c>
      <c r="K493" s="247">
        <v>2418.79</v>
      </c>
      <c r="L493" s="238">
        <f>(Tabla1[[#This Row],[Costo Unitario]]*Tabla1[[#This Row],[cantidad]])</f>
        <v>2418.79</v>
      </c>
      <c r="M493" s="248">
        <v>43131</v>
      </c>
      <c r="N493" s="248">
        <v>43131</v>
      </c>
      <c r="O493" s="248" t="str">
        <f>IF( Tabla1[[#This Row],[Fecha de entrega real]]="","NO CONCRETADO",IF(N493&lt;=M493,"CUMPLIÓ","NO CUMPLIÓ"))</f>
        <v>CUMPLIÓ</v>
      </c>
      <c r="P493" s="141">
        <f t="shared" si="12"/>
        <v>0</v>
      </c>
      <c r="Q493" s="246"/>
      <c r="R493" s="246" t="s">
        <v>1651</v>
      </c>
      <c r="S493" s="246" t="s">
        <v>216</v>
      </c>
      <c r="T493" s="247"/>
      <c r="U493" s="249"/>
      <c r="V493" s="247"/>
      <c r="W493" s="247"/>
      <c r="X493" s="247">
        <f>MONTH(Tabla1[[#This Row],[fecha
de
pedido]])</f>
        <v>1</v>
      </c>
      <c r="Y493" s="247">
        <f>YEAR(Tabla1[[#This Row],[fecha
de
pedido]])</f>
        <v>2018</v>
      </c>
    </row>
    <row r="494" spans="1:25" ht="25.5" customHeight="1" x14ac:dyDescent="0.2">
      <c r="A494" s="245">
        <v>43109</v>
      </c>
      <c r="B494" s="423">
        <v>18002</v>
      </c>
      <c r="C494" s="246" t="s">
        <v>849</v>
      </c>
      <c r="D494" s="247" t="s">
        <v>11</v>
      </c>
      <c r="E494" s="246" t="s">
        <v>11</v>
      </c>
      <c r="F494" s="247" t="s">
        <v>830</v>
      </c>
      <c r="G494" s="246" t="s">
        <v>1557</v>
      </c>
      <c r="H494" s="247">
        <v>1</v>
      </c>
      <c r="I494" s="247" t="s">
        <v>830</v>
      </c>
      <c r="J494" s="246" t="s">
        <v>1066</v>
      </c>
      <c r="K494" s="247">
        <v>7260</v>
      </c>
      <c r="L494" s="238">
        <f>(Tabla1[[#This Row],[Costo Unitario]]*Tabla1[[#This Row],[cantidad]])</f>
        <v>7260</v>
      </c>
      <c r="M494" s="248">
        <v>42772</v>
      </c>
      <c r="N494" s="248"/>
      <c r="O494" s="248" t="str">
        <f>IF( Tabla1[[#This Row],[Fecha de entrega real]]="","NO CONCRETADO",IF(N494&lt;=M494,"CUMPLIÓ","NO CUMPLIÓ"))</f>
        <v>NO CONCRETADO</v>
      </c>
      <c r="P494" s="141" t="str">
        <f t="shared" si="12"/>
        <v>NO CONCRETADO</v>
      </c>
      <c r="Q494" s="246"/>
      <c r="R494" s="246"/>
      <c r="S494" s="246"/>
      <c r="T494" s="247"/>
      <c r="U494" s="249"/>
      <c r="V494" s="247"/>
      <c r="W494" s="247"/>
      <c r="X494" s="247">
        <f>MONTH(Tabla1[[#This Row],[fecha
de
pedido]])</f>
        <v>1</v>
      </c>
      <c r="Y494" s="247">
        <f>YEAR(Tabla1[[#This Row],[fecha
de
pedido]])</f>
        <v>2018</v>
      </c>
    </row>
    <row r="495" spans="1:25" ht="25.5" customHeight="1" x14ac:dyDescent="0.2">
      <c r="A495" s="245">
        <v>43110</v>
      </c>
      <c r="B495" s="423">
        <v>18003</v>
      </c>
      <c r="C495" s="246" t="s">
        <v>825</v>
      </c>
      <c r="D495" s="247" t="s">
        <v>33</v>
      </c>
      <c r="E495" s="246" t="s">
        <v>277</v>
      </c>
      <c r="F495" s="247" t="s">
        <v>778</v>
      </c>
      <c r="G495" s="246" t="s">
        <v>1574</v>
      </c>
      <c r="H495" s="247">
        <v>1</v>
      </c>
      <c r="I495" s="247" t="s">
        <v>781</v>
      </c>
      <c r="J495" s="246" t="s">
        <v>225</v>
      </c>
      <c r="K495" s="247">
        <v>14150</v>
      </c>
      <c r="L495" s="238">
        <f>(Tabla1[[#This Row],[Costo Unitario]]*Tabla1[[#This Row],[cantidad]])</f>
        <v>14150</v>
      </c>
      <c r="M495" s="248">
        <v>42871</v>
      </c>
      <c r="N495" s="248"/>
      <c r="O495" s="248" t="str">
        <f>IF( Tabla1[[#This Row],[Fecha de entrega real]]="","NO CONCRETADO",IF(N495&lt;=M495,"CUMPLIÓ","NO CUMPLIÓ"))</f>
        <v>NO CONCRETADO</v>
      </c>
      <c r="P495" s="251"/>
      <c r="Q495" s="246"/>
      <c r="R495" s="246"/>
      <c r="S495" s="246" t="s">
        <v>1575</v>
      </c>
      <c r="T495" s="247"/>
      <c r="U495" s="249"/>
      <c r="V495" s="247"/>
      <c r="W495" s="247"/>
      <c r="X495" s="247">
        <f>MONTH(Tabla1[[#This Row],[fecha
de
pedido]])</f>
        <v>1</v>
      </c>
      <c r="Y495" s="247">
        <f>YEAR(Tabla1[[#This Row],[fecha
de
pedido]])</f>
        <v>2018</v>
      </c>
    </row>
    <row r="496" spans="1:25" ht="25.5" customHeight="1" x14ac:dyDescent="0.2">
      <c r="A496" s="245">
        <v>43110</v>
      </c>
      <c r="B496" s="423">
        <v>18004</v>
      </c>
      <c r="C496" s="246" t="s">
        <v>1572</v>
      </c>
      <c r="D496" s="247" t="s">
        <v>33</v>
      </c>
      <c r="E496" s="246" t="s">
        <v>11</v>
      </c>
      <c r="F496" s="247" t="s">
        <v>817</v>
      </c>
      <c r="G496" s="246" t="s">
        <v>1571</v>
      </c>
      <c r="H496" s="247">
        <v>1</v>
      </c>
      <c r="I496" s="247" t="s">
        <v>817</v>
      </c>
      <c r="J496" s="246" t="s">
        <v>1573</v>
      </c>
      <c r="K496" s="247">
        <v>14500</v>
      </c>
      <c r="L496" s="238">
        <f>(Tabla1[[#This Row],[Costo Unitario]]*Tabla1[[#This Row],[cantidad]])</f>
        <v>14500</v>
      </c>
      <c r="M496" s="248" t="s">
        <v>1569</v>
      </c>
      <c r="N496" s="248"/>
      <c r="O496" s="248" t="str">
        <f>IF( Tabla1[[#This Row],[Fecha de entrega real]]="","NO CONCRETADO",IF(N496&lt;=M496,"CUMPLIÓ","NO CUMPLIÓ"))</f>
        <v>NO CONCRETADO</v>
      </c>
      <c r="P496" s="251"/>
      <c r="Q496" s="246"/>
      <c r="R496" s="246"/>
      <c r="S496" s="246"/>
      <c r="T496" s="247"/>
      <c r="U496" s="249"/>
      <c r="V496" s="247"/>
      <c r="W496" s="247"/>
      <c r="X496" s="247">
        <f>MONTH(Tabla1[[#This Row],[fecha
de
pedido]])</f>
        <v>1</v>
      </c>
      <c r="Y496" s="247">
        <f>YEAR(Tabla1[[#This Row],[fecha
de
pedido]])</f>
        <v>2018</v>
      </c>
    </row>
    <row r="497" spans="1:25" ht="24" customHeight="1" x14ac:dyDescent="0.2">
      <c r="A497" s="245">
        <v>43110</v>
      </c>
      <c r="B497" s="423">
        <v>18005</v>
      </c>
      <c r="C497" s="246" t="s">
        <v>33</v>
      </c>
      <c r="D497" s="247" t="s">
        <v>33</v>
      </c>
      <c r="E497" s="246" t="s">
        <v>277</v>
      </c>
      <c r="F497" s="247" t="s">
        <v>1045</v>
      </c>
      <c r="G497" s="246" t="s">
        <v>1546</v>
      </c>
      <c r="H497" s="247">
        <v>11</v>
      </c>
      <c r="I497" s="247" t="s">
        <v>897</v>
      </c>
      <c r="J497" s="4" t="s">
        <v>225</v>
      </c>
      <c r="K497" s="247">
        <v>155</v>
      </c>
      <c r="L497" s="238">
        <f>(Tabla1[[#This Row],[Costo Unitario]]*Tabla1[[#This Row],[cantidad]])</f>
        <v>1705</v>
      </c>
      <c r="M497" s="248">
        <v>43138</v>
      </c>
      <c r="N497" s="88">
        <v>43137</v>
      </c>
      <c r="O497" s="248" t="str">
        <f>IF( Tabla1[[#This Row],[Fecha de entrega real]]="","NO CONCRETADO",IF(N497&lt;=M497,"CUMPLIÓ","NO CUMPLIÓ"))</f>
        <v>CUMPLIÓ</v>
      </c>
      <c r="P497" s="141">
        <f t="shared" si="12"/>
        <v>-1</v>
      </c>
      <c r="Q497" s="4" t="s">
        <v>13</v>
      </c>
      <c r="R497" s="4" t="s">
        <v>33</v>
      </c>
      <c r="S497" s="4" t="s">
        <v>1543</v>
      </c>
      <c r="T497" s="246" t="s">
        <v>1549</v>
      </c>
      <c r="U497" s="249" t="s">
        <v>1550</v>
      </c>
      <c r="V497" s="247"/>
      <c r="W497" s="247"/>
      <c r="X497" s="247">
        <f>MONTH(Tabla1[[#This Row],[fecha
de
pedido]])</f>
        <v>1</v>
      </c>
      <c r="Y497" s="247">
        <f>YEAR(Tabla1[[#This Row],[fecha
de
pedido]])</f>
        <v>2018</v>
      </c>
    </row>
    <row r="498" spans="1:25" ht="25.5" customHeight="1" x14ac:dyDescent="0.2">
      <c r="A498" s="245">
        <v>43110</v>
      </c>
      <c r="B498" s="423">
        <v>18005</v>
      </c>
      <c r="C498" s="246" t="s">
        <v>33</v>
      </c>
      <c r="D498" s="247" t="s">
        <v>33</v>
      </c>
      <c r="E498" s="246" t="s">
        <v>277</v>
      </c>
      <c r="F498" s="247" t="s">
        <v>1045</v>
      </c>
      <c r="G498" s="246" t="s">
        <v>1547</v>
      </c>
      <c r="H498" s="247">
        <v>11</v>
      </c>
      <c r="I498" s="247" t="s">
        <v>897</v>
      </c>
      <c r="J498" s="4" t="s">
        <v>225</v>
      </c>
      <c r="K498" s="247">
        <v>155</v>
      </c>
      <c r="L498" s="238">
        <f>(Tabla1[[#This Row],[Costo Unitario]]*Tabla1[[#This Row],[cantidad]])</f>
        <v>1705</v>
      </c>
      <c r="M498" s="88">
        <v>43138</v>
      </c>
      <c r="N498" s="88">
        <v>43137</v>
      </c>
      <c r="O498" s="248" t="str">
        <f>IF( Tabla1[[#This Row],[Fecha de entrega real]]="","NO CONCRETADO",IF(N498&lt;=M498,"CUMPLIÓ","NO CUMPLIÓ"))</f>
        <v>CUMPLIÓ</v>
      </c>
      <c r="P498" s="141">
        <f t="shared" si="12"/>
        <v>-1</v>
      </c>
      <c r="Q498" s="4" t="s">
        <v>13</v>
      </c>
      <c r="R498" s="4" t="s">
        <v>33</v>
      </c>
      <c r="S498" s="4" t="s">
        <v>1543</v>
      </c>
      <c r="T498" s="246" t="s">
        <v>1549</v>
      </c>
      <c r="U498" s="249" t="s">
        <v>1550</v>
      </c>
      <c r="V498" s="247"/>
      <c r="W498" s="247"/>
      <c r="X498" s="247">
        <f>MONTH(Tabla1[[#This Row],[fecha
de
pedido]])</f>
        <v>1</v>
      </c>
      <c r="Y498" s="247">
        <f>YEAR(Tabla1[[#This Row],[fecha
de
pedido]])</f>
        <v>2018</v>
      </c>
    </row>
    <row r="499" spans="1:25" ht="25.5" customHeight="1" x14ac:dyDescent="0.2">
      <c r="A499" s="245">
        <v>43110</v>
      </c>
      <c r="B499" s="423">
        <v>18005</v>
      </c>
      <c r="C499" s="246" t="s">
        <v>33</v>
      </c>
      <c r="D499" s="247" t="s">
        <v>33</v>
      </c>
      <c r="E499" s="246" t="s">
        <v>277</v>
      </c>
      <c r="F499" s="247" t="s">
        <v>1045</v>
      </c>
      <c r="G499" s="246" t="s">
        <v>1548</v>
      </c>
      <c r="H499" s="247">
        <v>8</v>
      </c>
      <c r="I499" s="247" t="s">
        <v>897</v>
      </c>
      <c r="J499" s="4" t="s">
        <v>225</v>
      </c>
      <c r="K499" s="247">
        <v>155</v>
      </c>
      <c r="L499" s="238">
        <f>(Tabla1[[#This Row],[Costo Unitario]]*Tabla1[[#This Row],[cantidad]])</f>
        <v>1240</v>
      </c>
      <c r="M499" s="248">
        <v>43138</v>
      </c>
      <c r="N499" s="88">
        <v>43137</v>
      </c>
      <c r="O499" s="248" t="str">
        <f>IF( Tabla1[[#This Row],[Fecha de entrega real]]="","NO CONCRETADO",IF(N499&lt;=M499,"CUMPLIÓ","NO CUMPLIÓ"))</f>
        <v>CUMPLIÓ</v>
      </c>
      <c r="P499" s="141">
        <f t="shared" si="12"/>
        <v>-1</v>
      </c>
      <c r="Q499" s="4" t="s">
        <v>13</v>
      </c>
      <c r="R499" s="4" t="s">
        <v>33</v>
      </c>
      <c r="S499" s="4" t="s">
        <v>1543</v>
      </c>
      <c r="T499" s="246" t="s">
        <v>1549</v>
      </c>
      <c r="U499" s="249" t="s">
        <v>1550</v>
      </c>
      <c r="V499" s="247"/>
      <c r="W499" s="247"/>
      <c r="X499" s="247">
        <f>MONTH(Tabla1[[#This Row],[fecha
de
pedido]])</f>
        <v>1</v>
      </c>
      <c r="Y499" s="247">
        <f>YEAR(Tabla1[[#This Row],[fecha
de
pedido]])</f>
        <v>2018</v>
      </c>
    </row>
    <row r="500" spans="1:25" ht="25.5" customHeight="1" x14ac:dyDescent="0.2">
      <c r="A500" s="245">
        <v>43110</v>
      </c>
      <c r="B500" s="423">
        <v>18006</v>
      </c>
      <c r="C500" s="246" t="s">
        <v>1439</v>
      </c>
      <c r="D500" s="247" t="s">
        <v>33</v>
      </c>
      <c r="E500" s="246" t="s">
        <v>277</v>
      </c>
      <c r="F500" s="247" t="s">
        <v>778</v>
      </c>
      <c r="G500" s="246" t="s">
        <v>1570</v>
      </c>
      <c r="H500" s="247">
        <v>1</v>
      </c>
      <c r="I500" s="247" t="s">
        <v>821</v>
      </c>
      <c r="J500" s="4" t="s">
        <v>225</v>
      </c>
      <c r="K500" s="247">
        <v>4790</v>
      </c>
      <c r="L500" s="252">
        <v>4790</v>
      </c>
      <c r="M500" s="248">
        <v>43174</v>
      </c>
      <c r="N500" s="248">
        <v>43180</v>
      </c>
      <c r="O500" s="248" t="str">
        <f>IF( Tabla1[[#This Row],[Fecha de entrega real]]="","NO CONCRETADO",IF(N500&lt;=M500,"CUMPLIÓ","NO CUMPLIÓ"))</f>
        <v>NO CUMPLIÓ</v>
      </c>
      <c r="P500" s="141">
        <f t="shared" si="12"/>
        <v>6</v>
      </c>
      <c r="Q500" s="4" t="s">
        <v>13</v>
      </c>
      <c r="R500" s="4" t="s">
        <v>33</v>
      </c>
      <c r="S500" s="4" t="s">
        <v>1543</v>
      </c>
      <c r="T500" s="4" t="s">
        <v>1752</v>
      </c>
      <c r="U500" s="107" t="s">
        <v>1753</v>
      </c>
      <c r="V500" s="247"/>
      <c r="W500" s="247"/>
      <c r="X500" s="247">
        <f>MONTH(Tabla1[[#This Row],[fecha
de
pedido]])</f>
        <v>1</v>
      </c>
      <c r="Y500" s="247">
        <f>YEAR(Tabla1[[#This Row],[fecha
de
pedido]])</f>
        <v>2018</v>
      </c>
    </row>
    <row r="501" spans="1:25" s="259" customFormat="1" ht="25.5" customHeight="1" x14ac:dyDescent="0.2">
      <c r="A501" s="253">
        <v>43111</v>
      </c>
      <c r="B501" s="424">
        <v>18007</v>
      </c>
      <c r="C501" s="254" t="s">
        <v>1565</v>
      </c>
      <c r="D501" s="255" t="s">
        <v>33</v>
      </c>
      <c r="E501" s="254" t="s">
        <v>277</v>
      </c>
      <c r="F501" s="255" t="s">
        <v>1045</v>
      </c>
      <c r="G501" s="254" t="s">
        <v>1566</v>
      </c>
      <c r="H501" s="255">
        <v>1</v>
      </c>
      <c r="I501" s="255" t="s">
        <v>1567</v>
      </c>
      <c r="J501" s="254" t="s">
        <v>1568</v>
      </c>
      <c r="K501" s="255">
        <v>780</v>
      </c>
      <c r="L501" s="256">
        <v>943.8</v>
      </c>
      <c r="M501" s="257" t="s">
        <v>1569</v>
      </c>
      <c r="N501" s="257">
        <v>43194</v>
      </c>
      <c r="O501" s="257" t="str">
        <f>IF( Tabla1[[#This Row],[Fecha de entrega real]]="","NO CONCRETADO",IF(N501&lt;=M501,"CUMPLIÓ","NO CUMPLIÓ"))</f>
        <v>CUMPLIÓ</v>
      </c>
      <c r="P501" s="141" t="e">
        <f t="shared" si="12"/>
        <v>#VALUE!</v>
      </c>
      <c r="Q501" s="404" t="s">
        <v>13</v>
      </c>
      <c r="R501" s="4" t="s">
        <v>33</v>
      </c>
      <c r="S501" s="404" t="s">
        <v>1800</v>
      </c>
      <c r="T501" s="404" t="s">
        <v>1798</v>
      </c>
      <c r="U501" s="405" t="s">
        <v>1799</v>
      </c>
      <c r="V501" s="255"/>
      <c r="W501" s="255"/>
      <c r="X501" s="255">
        <f>MONTH(Tabla1[[#This Row],[fecha
de
pedido]])</f>
        <v>1</v>
      </c>
      <c r="Y501" s="255">
        <f>YEAR(Tabla1[[#This Row],[fecha
de
pedido]])</f>
        <v>2018</v>
      </c>
    </row>
    <row r="502" spans="1:25" s="259" customFormat="1" ht="102" customHeight="1" x14ac:dyDescent="0.2">
      <c r="A502" s="253">
        <v>43111</v>
      </c>
      <c r="B502" s="424">
        <v>18008</v>
      </c>
      <c r="C502" s="254" t="s">
        <v>849</v>
      </c>
      <c r="D502" s="255" t="s">
        <v>11</v>
      </c>
      <c r="E502" s="254" t="s">
        <v>11</v>
      </c>
      <c r="F502" s="255" t="s">
        <v>1096</v>
      </c>
      <c r="G502" s="254" t="s">
        <v>1563</v>
      </c>
      <c r="H502" s="255">
        <v>1</v>
      </c>
      <c r="I502" s="255" t="s">
        <v>1096</v>
      </c>
      <c r="J502" s="254" t="s">
        <v>1564</v>
      </c>
      <c r="K502" s="255">
        <v>1593.57</v>
      </c>
      <c r="L502" s="260">
        <f>(Tabla1[[#This Row],[Costo Unitario]]*Tabla1[[#This Row],[cantidad]])</f>
        <v>1593.57</v>
      </c>
      <c r="M502" s="257">
        <v>43144</v>
      </c>
      <c r="N502" s="257">
        <v>43140</v>
      </c>
      <c r="O502" s="257" t="str">
        <f>IF( Tabla1[[#This Row],[Fecha de entrega real]]="","NO CONCRETADO",IF(N502&lt;=M502,"CUMPLIÓ","NO CUMPLIÓ"))</f>
        <v>CUMPLIÓ</v>
      </c>
      <c r="P502" s="141">
        <f t="shared" si="12"/>
        <v>-4</v>
      </c>
      <c r="Q502" s="254" t="s">
        <v>818</v>
      </c>
      <c r="R502" s="4" t="s">
        <v>33</v>
      </c>
      <c r="S502" s="254" t="s">
        <v>334</v>
      </c>
      <c r="T502" s="254" t="s">
        <v>1576</v>
      </c>
      <c r="U502" s="258" t="s">
        <v>1577</v>
      </c>
      <c r="V502" s="255"/>
      <c r="W502" s="255"/>
      <c r="X502" s="255">
        <f>MONTH(Tabla1[[#This Row],[fecha
de
pedido]])</f>
        <v>1</v>
      </c>
      <c r="Y502" s="255">
        <f>YEAR(Tabla1[[#This Row],[fecha
de
pedido]])</f>
        <v>2018</v>
      </c>
    </row>
    <row r="503" spans="1:25" s="259" customFormat="1" ht="25.5" customHeight="1" x14ac:dyDescent="0.2">
      <c r="A503" s="253">
        <v>43111</v>
      </c>
      <c r="B503" s="429" t="s">
        <v>487</v>
      </c>
      <c r="C503" s="254" t="s">
        <v>921</v>
      </c>
      <c r="D503" s="255" t="s">
        <v>1578</v>
      </c>
      <c r="E503" s="254" t="s">
        <v>921</v>
      </c>
      <c r="F503" s="255" t="s">
        <v>1041</v>
      </c>
      <c r="G503" s="246" t="s">
        <v>1041</v>
      </c>
      <c r="H503" s="255">
        <v>1</v>
      </c>
      <c r="I503" s="255" t="s">
        <v>830</v>
      </c>
      <c r="J503" s="254" t="s">
        <v>841</v>
      </c>
      <c r="K503" s="255">
        <v>303.04000000000002</v>
      </c>
      <c r="L503" s="260">
        <f>(Tabla1[[#This Row],[Costo Unitario]]*Tabla1[[#This Row],[cantidad]])</f>
        <v>303.04000000000002</v>
      </c>
      <c r="M503" s="257">
        <v>43140</v>
      </c>
      <c r="N503" s="257">
        <v>43140</v>
      </c>
      <c r="O503" s="257" t="str">
        <f>IF( Tabla1[[#This Row],[Fecha de entrega real]]="","NO CONCRETADO",IF(N503&lt;=M503,"CUMPLIÓ","NO CUMPLIÓ"))</f>
        <v>CUMPLIÓ</v>
      </c>
      <c r="P503" s="141">
        <f t="shared" si="12"/>
        <v>0</v>
      </c>
      <c r="Q503" s="254" t="s">
        <v>818</v>
      </c>
      <c r="R503" s="4" t="s">
        <v>33</v>
      </c>
      <c r="S503" s="254" t="s">
        <v>334</v>
      </c>
      <c r="T503" s="254" t="s">
        <v>1580</v>
      </c>
      <c r="U503" s="258" t="s">
        <v>1579</v>
      </c>
      <c r="V503" s="255"/>
      <c r="W503" s="255"/>
      <c r="X503" s="255">
        <f>MONTH(Tabla1[[#This Row],[fecha
de
pedido]])</f>
        <v>1</v>
      </c>
      <c r="Y503" s="255">
        <f>YEAR(Tabla1[[#This Row],[fecha
de
pedido]])</f>
        <v>2018</v>
      </c>
    </row>
    <row r="504" spans="1:25" ht="33.75" customHeight="1" x14ac:dyDescent="0.2">
      <c r="A504" s="245">
        <v>43112</v>
      </c>
      <c r="B504" s="423">
        <v>18009</v>
      </c>
      <c r="C504" s="246" t="s">
        <v>33</v>
      </c>
      <c r="D504" s="247" t="s">
        <v>33</v>
      </c>
      <c r="E504" s="246" t="s">
        <v>11</v>
      </c>
      <c r="F504" s="247" t="s">
        <v>778</v>
      </c>
      <c r="G504" s="246" t="s">
        <v>1552</v>
      </c>
      <c r="H504" s="247">
        <v>1</v>
      </c>
      <c r="I504" s="247" t="s">
        <v>821</v>
      </c>
      <c r="J504" s="4" t="s">
        <v>225</v>
      </c>
      <c r="K504" s="247">
        <v>2050</v>
      </c>
      <c r="L504" s="238">
        <f>(Tabla1[[#This Row],[Costo Unitario]]*Tabla1[[#This Row],[cantidad]])</f>
        <v>2050</v>
      </c>
      <c r="M504" s="248">
        <v>43138</v>
      </c>
      <c r="N504" s="88">
        <v>43137</v>
      </c>
      <c r="O504" s="248" t="str">
        <f>IF( Tabla1[[#This Row],[Fecha de entrega real]]="","NO CONCRETADO",IF(N504&lt;=M504,"CUMPLIÓ","NO CUMPLIÓ"))</f>
        <v>CUMPLIÓ</v>
      </c>
      <c r="P504" s="141">
        <f t="shared" si="12"/>
        <v>-1</v>
      </c>
      <c r="Q504" s="4" t="s">
        <v>13</v>
      </c>
      <c r="R504" s="4" t="s">
        <v>33</v>
      </c>
      <c r="S504" s="4" t="s">
        <v>1543</v>
      </c>
      <c r="T504" s="246" t="s">
        <v>1553</v>
      </c>
      <c r="U504" s="249" t="s">
        <v>1551</v>
      </c>
      <c r="V504" s="247"/>
      <c r="W504" s="247"/>
      <c r="X504" s="247">
        <f>MONTH(Tabla1[[#This Row],[fecha
de
pedido]])</f>
        <v>1</v>
      </c>
      <c r="Y504" s="247">
        <f>YEAR(Tabla1[[#This Row],[fecha
de
pedido]])</f>
        <v>2018</v>
      </c>
    </row>
    <row r="505" spans="1:25" ht="52.5" customHeight="1" x14ac:dyDescent="0.2">
      <c r="A505" s="399">
        <v>43117</v>
      </c>
      <c r="B505" s="425">
        <v>18010</v>
      </c>
      <c r="C505" s="400" t="s">
        <v>984</v>
      </c>
      <c r="D505" s="401" t="s">
        <v>33</v>
      </c>
      <c r="E505" s="400" t="s">
        <v>984</v>
      </c>
      <c r="F505" s="401" t="s">
        <v>1045</v>
      </c>
      <c r="G505" s="400" t="s">
        <v>1810</v>
      </c>
      <c r="H505" s="401">
        <v>2</v>
      </c>
      <c r="I505" s="401" t="s">
        <v>986</v>
      </c>
      <c r="J505" s="400" t="s">
        <v>48</v>
      </c>
      <c r="K505" s="406">
        <v>4277.7299999999996</v>
      </c>
      <c r="L505" s="238">
        <f>(Tabla1[[#This Row],[Costo Unitario]]*Tabla1[[#This Row],[cantidad]])</f>
        <v>8555.4599999999991</v>
      </c>
      <c r="M505" s="402">
        <v>43207</v>
      </c>
      <c r="N505" s="402">
        <v>43193</v>
      </c>
      <c r="O505" s="402" t="str">
        <f>IF( Tabla1[[#This Row],[Fecha de entrega real]]="","NO CONCRETADO",IF(N505&lt;=M505,"CUMPLIÓ","NO CUMPLIÓ"))</f>
        <v>CUMPLIÓ</v>
      </c>
      <c r="P505" s="141">
        <f t="shared" si="12"/>
        <v>-14</v>
      </c>
      <c r="Q505" s="400" t="s">
        <v>1266</v>
      </c>
      <c r="R505" s="4" t="s">
        <v>33</v>
      </c>
      <c r="S505" s="400" t="s">
        <v>334</v>
      </c>
      <c r="T505" s="400" t="s">
        <v>1814</v>
      </c>
      <c r="U505" s="403" t="s">
        <v>1815</v>
      </c>
      <c r="V505" s="401"/>
      <c r="W505" s="401"/>
      <c r="X505" s="401">
        <f>MONTH(Tabla1[[#This Row],[fecha
de
pedido]])</f>
        <v>1</v>
      </c>
      <c r="Y505" s="401">
        <f>YEAR(Tabla1[[#This Row],[fecha
de
pedido]])</f>
        <v>2018</v>
      </c>
    </row>
    <row r="506" spans="1:25" ht="53.25" customHeight="1" x14ac:dyDescent="0.2">
      <c r="A506" s="399">
        <v>43117</v>
      </c>
      <c r="B506" s="426" t="s">
        <v>487</v>
      </c>
      <c r="C506" s="400" t="s">
        <v>921</v>
      </c>
      <c r="D506" s="401" t="s">
        <v>921</v>
      </c>
      <c r="E506" s="400" t="s">
        <v>921</v>
      </c>
      <c r="F506" s="401" t="s">
        <v>830</v>
      </c>
      <c r="G506" s="400" t="s">
        <v>1003</v>
      </c>
      <c r="H506" s="401">
        <v>1</v>
      </c>
      <c r="I506" s="401" t="s">
        <v>830</v>
      </c>
      <c r="J506" s="400" t="s">
        <v>1004</v>
      </c>
      <c r="K506" s="401">
        <v>379.26</v>
      </c>
      <c r="L506" s="238">
        <f>(Tabla1[[#This Row],[Costo Unitario]]*Tabla1[[#This Row],[cantidad]])</f>
        <v>379.26</v>
      </c>
      <c r="M506" s="402" t="s">
        <v>854</v>
      </c>
      <c r="N506" s="402">
        <v>43193</v>
      </c>
      <c r="O506" s="402" t="str">
        <f>IF( Tabla1[[#This Row],[Fecha de entrega real]]="","NO CONCRETADO",IF(N506&lt;=M506,"CUMPLIÓ","NO CUMPLIÓ"))</f>
        <v>CUMPLIÓ</v>
      </c>
      <c r="P506" s="141" t="e">
        <f t="shared" si="12"/>
        <v>#VALUE!</v>
      </c>
      <c r="Q506" s="400" t="s">
        <v>1266</v>
      </c>
      <c r="R506" s="4" t="s">
        <v>33</v>
      </c>
      <c r="S506" s="400" t="s">
        <v>334</v>
      </c>
      <c r="T506" s="4" t="s">
        <v>1973</v>
      </c>
      <c r="U506" s="403" t="s">
        <v>1813</v>
      </c>
      <c r="V506" s="401"/>
      <c r="W506" s="401"/>
      <c r="X506" s="401">
        <f>MONTH(Tabla1[[#This Row],[fecha
de
pedido]])</f>
        <v>1</v>
      </c>
      <c r="Y506" s="401">
        <f>YEAR(Tabla1[[#This Row],[fecha
de
pedido]])</f>
        <v>2018</v>
      </c>
    </row>
    <row r="507" spans="1:25" ht="55.5" customHeight="1" x14ac:dyDescent="0.2">
      <c r="A507" s="399">
        <v>43117</v>
      </c>
      <c r="B507" s="425">
        <v>18010</v>
      </c>
      <c r="C507" s="400" t="s">
        <v>825</v>
      </c>
      <c r="D507" s="401" t="s">
        <v>33</v>
      </c>
      <c r="E507" s="400" t="s">
        <v>984</v>
      </c>
      <c r="F507" s="401" t="s">
        <v>1045</v>
      </c>
      <c r="G507" s="400" t="s">
        <v>1811</v>
      </c>
      <c r="H507" s="401">
        <v>1</v>
      </c>
      <c r="I507" s="401" t="s">
        <v>488</v>
      </c>
      <c r="J507" s="400" t="s">
        <v>48</v>
      </c>
      <c r="K507" s="406">
        <v>6590.93</v>
      </c>
      <c r="L507" s="238">
        <f>(Tabla1[[#This Row],[Costo Unitario]]*Tabla1[[#This Row],[cantidad]])</f>
        <v>6590.93</v>
      </c>
      <c r="M507" s="402">
        <v>43139</v>
      </c>
      <c r="N507" s="402">
        <v>43137</v>
      </c>
      <c r="O507" s="402" t="str">
        <f>IF( Tabla1[[#This Row],[Fecha de entrega real]]="","NO CONCRETADO",IF(N507&lt;=M507,"CUMPLIÓ","NO CUMPLIÓ"))</f>
        <v>CUMPLIÓ</v>
      </c>
      <c r="P507" s="141">
        <f t="shared" si="12"/>
        <v>-2</v>
      </c>
      <c r="Q507" s="400" t="s">
        <v>1266</v>
      </c>
      <c r="R507" s="4" t="s">
        <v>33</v>
      </c>
      <c r="S507" s="400" t="s">
        <v>334</v>
      </c>
      <c r="T507" s="4" t="s">
        <v>1973</v>
      </c>
      <c r="U507" s="403" t="s">
        <v>1815</v>
      </c>
      <c r="V507" s="401"/>
      <c r="W507" s="401"/>
      <c r="X507" s="401">
        <f>MONTH(Tabla1[[#This Row],[fecha
de
pedido]])</f>
        <v>1</v>
      </c>
      <c r="Y507" s="401">
        <f>YEAR(Tabla1[[#This Row],[fecha
de
pedido]])</f>
        <v>2018</v>
      </c>
    </row>
    <row r="508" spans="1:25" ht="43.5" customHeight="1" x14ac:dyDescent="0.2">
      <c r="A508" s="399">
        <v>43117</v>
      </c>
      <c r="B508" s="425">
        <v>18011</v>
      </c>
      <c r="C508" s="400" t="s">
        <v>984</v>
      </c>
      <c r="D508" s="401" t="s">
        <v>33</v>
      </c>
      <c r="E508" s="400" t="s">
        <v>984</v>
      </c>
      <c r="F508" s="401" t="s">
        <v>1045</v>
      </c>
      <c r="G508" s="400" t="s">
        <v>1812</v>
      </c>
      <c r="H508" s="401">
        <v>1</v>
      </c>
      <c r="I508" s="401" t="s">
        <v>488</v>
      </c>
      <c r="J508" s="400" t="s">
        <v>48</v>
      </c>
      <c r="K508" s="406">
        <v>19290.13</v>
      </c>
      <c r="L508" s="238">
        <f>(Tabla1[[#This Row],[Costo Unitario]]*Tabla1[[#This Row],[cantidad]])</f>
        <v>19290.13</v>
      </c>
      <c r="M508" s="402">
        <v>43139</v>
      </c>
      <c r="N508" s="402">
        <v>43137</v>
      </c>
      <c r="O508" s="402" t="str">
        <f>IF( Tabla1[[#This Row],[Fecha de entrega real]]="","NO CONCRETADO",IF(N508&lt;=M508,"CUMPLIÓ","NO CUMPLIÓ"))</f>
        <v>CUMPLIÓ</v>
      </c>
      <c r="P508" s="141">
        <f t="shared" si="12"/>
        <v>-2</v>
      </c>
      <c r="Q508" s="400" t="s">
        <v>1266</v>
      </c>
      <c r="R508" s="4" t="s">
        <v>33</v>
      </c>
      <c r="S508" s="400" t="s">
        <v>334</v>
      </c>
      <c r="T508" s="4" t="s">
        <v>1973</v>
      </c>
      <c r="U508" s="403" t="s">
        <v>1816</v>
      </c>
      <c r="V508" s="401"/>
      <c r="W508" s="401"/>
      <c r="X508" s="401">
        <f>MONTH(Tabla1[[#This Row],[fecha
de
pedido]])</f>
        <v>1</v>
      </c>
      <c r="Y508" s="401">
        <f>YEAR(Tabla1[[#This Row],[fecha
de
pedido]])</f>
        <v>2018</v>
      </c>
    </row>
    <row r="509" spans="1:25" ht="25.5" customHeight="1" x14ac:dyDescent="0.2">
      <c r="A509" s="245">
        <v>43137</v>
      </c>
      <c r="B509" s="426" t="s">
        <v>2013</v>
      </c>
      <c r="C509" s="246" t="s">
        <v>825</v>
      </c>
      <c r="D509" s="247" t="s">
        <v>33</v>
      </c>
      <c r="E509" s="246" t="s">
        <v>277</v>
      </c>
      <c r="F509" s="247" t="s">
        <v>778</v>
      </c>
      <c r="G509" s="246" t="s">
        <v>1554</v>
      </c>
      <c r="H509" s="247">
        <v>2</v>
      </c>
      <c r="I509" s="247" t="s">
        <v>779</v>
      </c>
      <c r="J509" s="246" t="s">
        <v>75</v>
      </c>
      <c r="K509" s="247">
        <v>1331</v>
      </c>
      <c r="L509" s="238">
        <f>(Tabla1[[#This Row],[Costo Unitario]]*Tabla1[[#This Row],[cantidad]])</f>
        <v>2662</v>
      </c>
      <c r="M509" s="248">
        <v>43137</v>
      </c>
      <c r="N509" s="248">
        <v>43137</v>
      </c>
      <c r="O509" s="248" t="str">
        <f>IF( Tabla1[[#This Row],[Fecha de entrega real]]="","NO CONCRETADO",IF(N509&lt;=M509,"CUMPLIÓ","NO CUMPLIÓ"))</f>
        <v>CUMPLIÓ</v>
      </c>
      <c r="P509" s="141">
        <f t="shared" si="12"/>
        <v>0</v>
      </c>
      <c r="Q509" s="4" t="s">
        <v>2001</v>
      </c>
      <c r="R509" s="4" t="s">
        <v>33</v>
      </c>
      <c r="S509" s="4" t="s">
        <v>334</v>
      </c>
      <c r="T509" s="1" t="s">
        <v>1973</v>
      </c>
      <c r="U509" s="247" t="s">
        <v>1558</v>
      </c>
      <c r="V509" s="247"/>
      <c r="W509" s="247"/>
      <c r="X509" s="247">
        <f>MONTH(Tabla1[[#This Row],[fecha
de
pedido]])</f>
        <v>2</v>
      </c>
      <c r="Y509" s="247">
        <f>YEAR(Tabla1[[#This Row],[fecha
de
pedido]])</f>
        <v>2018</v>
      </c>
    </row>
    <row r="510" spans="1:25" ht="12.75" customHeight="1" x14ac:dyDescent="0.2">
      <c r="A510" s="245">
        <v>43150</v>
      </c>
      <c r="B510" s="426" t="s">
        <v>487</v>
      </c>
      <c r="C510" s="246" t="s">
        <v>957</v>
      </c>
      <c r="D510" s="247" t="s">
        <v>33</v>
      </c>
      <c r="E510" s="246" t="s">
        <v>11</v>
      </c>
      <c r="F510" s="247" t="s">
        <v>772</v>
      </c>
      <c r="G510" s="246" t="s">
        <v>204</v>
      </c>
      <c r="H510" s="247">
        <v>220</v>
      </c>
      <c r="I510" s="247" t="s">
        <v>779</v>
      </c>
      <c r="J510" s="246" t="s">
        <v>12</v>
      </c>
      <c r="K510" s="247">
        <v>6</v>
      </c>
      <c r="L510" s="238">
        <f>(Tabla1[[#This Row],[Costo Unitario]]*Tabla1[[#This Row],[cantidad]])</f>
        <v>1320</v>
      </c>
      <c r="M510" s="248">
        <v>43151</v>
      </c>
      <c r="N510" s="248">
        <v>43151</v>
      </c>
      <c r="O510" s="248" t="str">
        <f>IF( Tabla1[[#This Row],[Fecha de entrega real]]="","NO CONCRETADO",IF(N510&lt;=M510,"CUMPLIÓ","NO CUMPLIÓ"))</f>
        <v>CUMPLIÓ</v>
      </c>
      <c r="P510" s="141">
        <f t="shared" si="12"/>
        <v>0</v>
      </c>
      <c r="Q510" s="246" t="s">
        <v>13</v>
      </c>
      <c r="R510" s="4" t="s">
        <v>33</v>
      </c>
      <c r="S510" s="246" t="s">
        <v>304</v>
      </c>
      <c r="T510" s="1" t="s">
        <v>1973</v>
      </c>
      <c r="U510" s="107" t="s">
        <v>2002</v>
      </c>
      <c r="V510" s="247"/>
      <c r="W510" s="247"/>
      <c r="X510" s="247">
        <f>MONTH(Tabla1[[#This Row],[fecha
de
pedido]])</f>
        <v>2</v>
      </c>
      <c r="Y510" s="247">
        <f>YEAR(Tabla1[[#This Row],[fecha
de
pedido]])</f>
        <v>2018</v>
      </c>
    </row>
    <row r="511" spans="1:25" ht="12.75" customHeight="1" x14ac:dyDescent="0.2">
      <c r="A511" s="245">
        <v>43157</v>
      </c>
      <c r="B511" s="426" t="s">
        <v>487</v>
      </c>
      <c r="C511" s="246" t="s">
        <v>1635</v>
      </c>
      <c r="D511" s="247" t="s">
        <v>33</v>
      </c>
      <c r="E511" s="246" t="s">
        <v>277</v>
      </c>
      <c r="F511" s="247" t="s">
        <v>772</v>
      </c>
      <c r="G511" s="246" t="s">
        <v>680</v>
      </c>
      <c r="H511" s="247">
        <v>150</v>
      </c>
      <c r="I511" s="247" t="s">
        <v>779</v>
      </c>
      <c r="J511" s="246" t="s">
        <v>12</v>
      </c>
      <c r="K511" s="247">
        <v>6</v>
      </c>
      <c r="L511" s="238">
        <f>(Tabla1[[#This Row],[Costo Unitario]]*Tabla1[[#This Row],[cantidad]])</f>
        <v>900</v>
      </c>
      <c r="M511" s="248">
        <v>43160</v>
      </c>
      <c r="N511" s="248">
        <v>43161</v>
      </c>
      <c r="O511" s="248" t="str">
        <f>IF( Tabla1[[#This Row],[Fecha de entrega real]]="","NO CONCRETADO",IF(N511&lt;=M511,"CUMPLIÓ","NO CUMPLIÓ"))</f>
        <v>NO CUMPLIÓ</v>
      </c>
      <c r="P511" s="141">
        <f t="shared" si="12"/>
        <v>1</v>
      </c>
      <c r="Q511" s="246" t="s">
        <v>13</v>
      </c>
      <c r="R511" s="4" t="s">
        <v>33</v>
      </c>
      <c r="S511" s="246" t="s">
        <v>304</v>
      </c>
      <c r="T511" s="1" t="s">
        <v>1973</v>
      </c>
      <c r="U511" s="249" t="s">
        <v>1637</v>
      </c>
      <c r="V511" s="247"/>
      <c r="W511" s="247"/>
      <c r="X511" s="247">
        <f>MONTH(Tabla1[[#This Row],[fecha
de
pedido]])</f>
        <v>2</v>
      </c>
      <c r="Y511" s="247">
        <f>YEAR(Tabla1[[#This Row],[fecha
de
pedido]])</f>
        <v>2018</v>
      </c>
    </row>
    <row r="512" spans="1:25" ht="12.75" customHeight="1" x14ac:dyDescent="0.2">
      <c r="A512" s="245">
        <v>43157</v>
      </c>
      <c r="B512" s="426" t="s">
        <v>487</v>
      </c>
      <c r="C512" s="246" t="s">
        <v>33</v>
      </c>
      <c r="D512" s="247" t="s">
        <v>33</v>
      </c>
      <c r="E512" s="246" t="s">
        <v>31</v>
      </c>
      <c r="F512" s="247" t="s">
        <v>772</v>
      </c>
      <c r="G512" s="246" t="s">
        <v>204</v>
      </c>
      <c r="H512" s="247">
        <v>150</v>
      </c>
      <c r="I512" s="247" t="s">
        <v>779</v>
      </c>
      <c r="J512" s="246" t="s">
        <v>12</v>
      </c>
      <c r="K512" s="247">
        <v>6</v>
      </c>
      <c r="L512" s="238">
        <f>(Tabla1[[#This Row],[Costo Unitario]]*Tabla1[[#This Row],[cantidad]])</f>
        <v>900</v>
      </c>
      <c r="M512" s="248">
        <v>43160</v>
      </c>
      <c r="N512" s="248">
        <v>43161</v>
      </c>
      <c r="O512" s="248" t="str">
        <f>IF( Tabla1[[#This Row],[Fecha de entrega real]]="","NO CONCRETADO",IF(N512&lt;=M512,"CUMPLIÓ","NO CUMPLIÓ"))</f>
        <v>NO CUMPLIÓ</v>
      </c>
      <c r="P512" s="141">
        <f t="shared" si="12"/>
        <v>1</v>
      </c>
      <c r="Q512" s="246" t="s">
        <v>13</v>
      </c>
      <c r="R512" s="4" t="s">
        <v>33</v>
      </c>
      <c r="S512" s="246" t="s">
        <v>1636</v>
      </c>
      <c r="T512" s="1" t="s">
        <v>1973</v>
      </c>
      <c r="U512" s="249" t="s">
        <v>1638</v>
      </c>
      <c r="V512" s="247"/>
      <c r="W512" s="247"/>
      <c r="X512" s="247">
        <f>MONTH(Tabla1[[#This Row],[fecha
de
pedido]])</f>
        <v>2</v>
      </c>
      <c r="Y512" s="247">
        <f>YEAR(Tabla1[[#This Row],[fecha
de
pedido]])</f>
        <v>2018</v>
      </c>
    </row>
    <row r="513" spans="1:25" x14ac:dyDescent="0.2">
      <c r="A513" s="399">
        <v>43160</v>
      </c>
      <c r="B513" s="425">
        <v>18012</v>
      </c>
      <c r="C513" s="400" t="s">
        <v>1724</v>
      </c>
      <c r="D513" s="401" t="s">
        <v>33</v>
      </c>
      <c r="E513" s="400" t="s">
        <v>277</v>
      </c>
      <c r="F513" s="401" t="s">
        <v>772</v>
      </c>
      <c r="G513" s="4" t="s">
        <v>1728</v>
      </c>
      <c r="H513" s="401">
        <v>1</v>
      </c>
      <c r="I513" s="1" t="s">
        <v>821</v>
      </c>
      <c r="J513" s="4" t="s">
        <v>1727</v>
      </c>
      <c r="K513" s="401">
        <v>360</v>
      </c>
      <c r="L513" s="238">
        <f>(Tabla1[[#This Row],[Costo Unitario]]*Tabla1[[#This Row],[cantidad]])</f>
        <v>360</v>
      </c>
      <c r="M513" s="1" t="s">
        <v>1569</v>
      </c>
      <c r="N513" s="402">
        <v>43168</v>
      </c>
      <c r="O513" s="402" t="str">
        <f>IF( Tabla1[[#This Row],[Fecha de entrega real]]="","NO CONCRETADO",IF(N513&lt;=M513,"CUMPLIÓ","NO CUMPLIÓ"))</f>
        <v>CUMPLIÓ</v>
      </c>
      <c r="P513" s="141" t="e">
        <f t="shared" si="12"/>
        <v>#VALUE!</v>
      </c>
      <c r="Q513" s="246" t="s">
        <v>13</v>
      </c>
      <c r="R513" s="4" t="s">
        <v>33</v>
      </c>
      <c r="S513" s="4" t="s">
        <v>334</v>
      </c>
      <c r="T513" s="1" t="s">
        <v>1730</v>
      </c>
      <c r="U513" s="107" t="s">
        <v>1729</v>
      </c>
      <c r="V513" s="401"/>
      <c r="W513" s="401"/>
      <c r="X513" s="401">
        <f>MONTH(Tabla1[[#This Row],[fecha
de
pedido]])</f>
        <v>3</v>
      </c>
      <c r="Y513" s="401">
        <f>YEAR(Tabla1[[#This Row],[fecha
de
pedido]])</f>
        <v>2018</v>
      </c>
    </row>
    <row r="514" spans="1:25" ht="25.5" x14ac:dyDescent="0.2">
      <c r="A514" s="399">
        <v>43160</v>
      </c>
      <c r="B514" s="425">
        <v>18012</v>
      </c>
      <c r="C514" s="400" t="s">
        <v>1725</v>
      </c>
      <c r="D514" s="401" t="s">
        <v>33</v>
      </c>
      <c r="E514" s="400" t="s">
        <v>277</v>
      </c>
      <c r="F514" s="401" t="s">
        <v>772</v>
      </c>
      <c r="G514" s="4" t="s">
        <v>1726</v>
      </c>
      <c r="H514" s="401">
        <v>20</v>
      </c>
      <c r="I514" s="1" t="s">
        <v>784</v>
      </c>
      <c r="J514" s="4" t="s">
        <v>1727</v>
      </c>
      <c r="K514" s="401">
        <v>144</v>
      </c>
      <c r="L514" s="238">
        <f>(Tabla1[[#This Row],[Costo Unitario]]*Tabla1[[#This Row],[cantidad]])</f>
        <v>2880</v>
      </c>
      <c r="M514" s="1" t="s">
        <v>1569</v>
      </c>
      <c r="N514" s="402">
        <v>43187</v>
      </c>
      <c r="O514" s="402" t="str">
        <f>IF( Tabla1[[#This Row],[Fecha de entrega real]]="","NO CONCRETADO",IF(N514&lt;=M514,"CUMPLIÓ","NO CUMPLIÓ"))</f>
        <v>CUMPLIÓ</v>
      </c>
      <c r="P514" s="141" t="e">
        <f t="shared" si="12"/>
        <v>#VALUE!</v>
      </c>
      <c r="Q514" s="246" t="s">
        <v>13</v>
      </c>
      <c r="R514" s="4" t="s">
        <v>33</v>
      </c>
      <c r="S514" s="4" t="s">
        <v>1777</v>
      </c>
      <c r="T514" s="4" t="s">
        <v>1778</v>
      </c>
      <c r="U514" s="148" t="s">
        <v>1779</v>
      </c>
      <c r="V514" s="401"/>
      <c r="W514" s="401"/>
      <c r="X514" s="401">
        <f>MONTH(Tabla1[[#This Row],[fecha
de
pedido]])</f>
        <v>3</v>
      </c>
      <c r="Y514" s="401">
        <f>YEAR(Tabla1[[#This Row],[fecha
de
pedido]])</f>
        <v>2018</v>
      </c>
    </row>
    <row r="515" spans="1:25" x14ac:dyDescent="0.2">
      <c r="A515" s="399">
        <v>43160</v>
      </c>
      <c r="B515" s="425">
        <v>18013</v>
      </c>
      <c r="C515" s="400" t="s">
        <v>1213</v>
      </c>
      <c r="D515" s="401" t="s">
        <v>33</v>
      </c>
      <c r="E515" s="400" t="s">
        <v>11</v>
      </c>
      <c r="F515" s="401" t="s">
        <v>772</v>
      </c>
      <c r="G515" s="4" t="s">
        <v>1739</v>
      </c>
      <c r="H515" s="401">
        <v>6</v>
      </c>
      <c r="I515" s="1" t="s">
        <v>784</v>
      </c>
      <c r="J515" s="4" t="s">
        <v>77</v>
      </c>
      <c r="K515" s="401">
        <v>87.13</v>
      </c>
      <c r="L515" s="238">
        <f>(Tabla1[[#This Row],[Costo Unitario]]*Tabla1[[#This Row],[cantidad]])</f>
        <v>522.78</v>
      </c>
      <c r="M515" s="402">
        <f>+Tabla1[[#This Row],[Fecha de entrega real]]</f>
        <v>43175</v>
      </c>
      <c r="N515" s="402">
        <v>43175</v>
      </c>
      <c r="O515" s="402" t="str">
        <f>IF( Tabla1[[#This Row],[Fecha de entrega real]]="","NO CONCRETADO",IF(N515&lt;=M515,"CUMPLIÓ","NO CUMPLIÓ"))</f>
        <v>CUMPLIÓ</v>
      </c>
      <c r="P515" s="141">
        <f t="shared" si="12"/>
        <v>0</v>
      </c>
      <c r="Q515" s="246" t="s">
        <v>13</v>
      </c>
      <c r="R515" s="4" t="s">
        <v>33</v>
      </c>
      <c r="S515" s="4" t="s">
        <v>334</v>
      </c>
      <c r="T515" s="1" t="s">
        <v>1741</v>
      </c>
      <c r="U515" s="403" t="s">
        <v>1742</v>
      </c>
      <c r="V515" s="401"/>
      <c r="W515" s="401"/>
      <c r="X515" s="401">
        <f>MONTH(Tabla1[[#This Row],[fecha
de
pedido]])</f>
        <v>3</v>
      </c>
      <c r="Y515" s="401">
        <f>YEAR(Tabla1[[#This Row],[fecha
de
pedido]])</f>
        <v>2018</v>
      </c>
    </row>
    <row r="516" spans="1:25" ht="25.5" x14ac:dyDescent="0.2">
      <c r="A516" s="399">
        <v>43160</v>
      </c>
      <c r="B516" s="425">
        <v>18013</v>
      </c>
      <c r="C516" s="400" t="s">
        <v>1213</v>
      </c>
      <c r="D516" s="401" t="s">
        <v>33</v>
      </c>
      <c r="E516" s="400" t="s">
        <v>11</v>
      </c>
      <c r="F516" s="401" t="s">
        <v>772</v>
      </c>
      <c r="G516" s="4" t="s">
        <v>1740</v>
      </c>
      <c r="H516" s="401">
        <v>6</v>
      </c>
      <c r="I516" s="1" t="s">
        <v>784</v>
      </c>
      <c r="J516" s="4" t="s">
        <v>77</v>
      </c>
      <c r="K516" s="401">
        <v>113.26</v>
      </c>
      <c r="L516" s="238">
        <f>(Tabla1[[#This Row],[Costo Unitario]]*Tabla1[[#This Row],[cantidad]])</f>
        <v>679.56000000000006</v>
      </c>
      <c r="M516" s="88">
        <v>43175</v>
      </c>
      <c r="N516" s="402">
        <v>43231</v>
      </c>
      <c r="O516" s="402" t="str">
        <f>IF( Tabla1[[#This Row],[Fecha de entrega real]]="","NO CONCRETADO",IF(N516&lt;=M516,"CUMPLIÓ","NO CUMPLIÓ"))</f>
        <v>NO CUMPLIÓ</v>
      </c>
      <c r="P516" s="141">
        <f t="shared" si="12"/>
        <v>56</v>
      </c>
      <c r="Q516" s="246" t="s">
        <v>13</v>
      </c>
      <c r="R516" s="4" t="s">
        <v>33</v>
      </c>
      <c r="S516" s="4" t="s">
        <v>1943</v>
      </c>
      <c r="T516" s="4" t="s">
        <v>1944</v>
      </c>
      <c r="U516" s="148" t="s">
        <v>1945</v>
      </c>
      <c r="V516" s="401"/>
      <c r="W516" s="401"/>
      <c r="X516" s="401">
        <f>MONTH(Tabla1[[#This Row],[fecha
de
pedido]])</f>
        <v>3</v>
      </c>
      <c r="Y516" s="401">
        <f>YEAR(Tabla1[[#This Row],[fecha
de
pedido]])</f>
        <v>2018</v>
      </c>
    </row>
    <row r="517" spans="1:25" ht="51" x14ac:dyDescent="0.2">
      <c r="A517" s="152">
        <v>43160</v>
      </c>
      <c r="B517" s="426">
        <v>18011</v>
      </c>
      <c r="C517" s="4" t="s">
        <v>906</v>
      </c>
      <c r="D517" s="1" t="s">
        <v>33</v>
      </c>
      <c r="E517" s="4" t="s">
        <v>1801</v>
      </c>
      <c r="F517" s="1" t="s">
        <v>830</v>
      </c>
      <c r="G517" s="4" t="s">
        <v>1802</v>
      </c>
      <c r="H517" s="1">
        <v>1</v>
      </c>
      <c r="I517" s="1" t="s">
        <v>830</v>
      </c>
      <c r="J517" s="4" t="s">
        <v>1568</v>
      </c>
      <c r="K517" s="1">
        <v>4985.2</v>
      </c>
      <c r="L517" s="238">
        <f>(Tabla1[[#This Row],[Costo Unitario]]*Tabla1[[#This Row],[cantidad]])</f>
        <v>4985.2</v>
      </c>
      <c r="M517" s="1" t="s">
        <v>1569</v>
      </c>
      <c r="N517" s="88" t="s">
        <v>1569</v>
      </c>
      <c r="O517" s="88" t="str">
        <f>IF( Tabla1[[#This Row],[Fecha de entrega real]]="","NO CONCRETADO",IF(N517&lt;=M517,"CUMPLIÓ","NO CUMPLIÓ"))</f>
        <v>CUMPLIÓ</v>
      </c>
      <c r="P517" s="141" t="e">
        <f t="shared" si="12"/>
        <v>#VALUE!</v>
      </c>
      <c r="Q517" s="4" t="s">
        <v>1266</v>
      </c>
      <c r="R517" s="4" t="s">
        <v>33</v>
      </c>
      <c r="S517" s="4" t="s">
        <v>1804</v>
      </c>
      <c r="T517" s="1" t="s">
        <v>1805</v>
      </c>
      <c r="U517" s="107" t="s">
        <v>1806</v>
      </c>
      <c r="X517" s="1">
        <f>MONTH(Tabla1[[#This Row],[fecha
de
pedido]])</f>
        <v>3</v>
      </c>
      <c r="Y517" s="1">
        <f>YEAR(Tabla1[[#This Row],[fecha
de
pedido]])</f>
        <v>2018</v>
      </c>
    </row>
    <row r="518" spans="1:25" ht="51" x14ac:dyDescent="0.2">
      <c r="A518" s="152">
        <v>43160</v>
      </c>
      <c r="B518" s="426">
        <v>18011</v>
      </c>
      <c r="C518" s="4" t="s">
        <v>906</v>
      </c>
      <c r="D518" s="1" t="s">
        <v>33</v>
      </c>
      <c r="E518" s="4" t="s">
        <v>1801</v>
      </c>
      <c r="F518" s="1" t="s">
        <v>772</v>
      </c>
      <c r="G518" s="4" t="s">
        <v>1803</v>
      </c>
      <c r="H518" s="1">
        <v>1</v>
      </c>
      <c r="I518" s="1" t="s">
        <v>772</v>
      </c>
      <c r="J518" s="4" t="s">
        <v>1568</v>
      </c>
      <c r="K518" s="1">
        <v>5847.64</v>
      </c>
      <c r="L518" s="238">
        <f>(Tabla1[[#This Row],[Costo Unitario]]*Tabla1[[#This Row],[cantidad]])</f>
        <v>5847.64</v>
      </c>
      <c r="M518" s="1" t="s">
        <v>1569</v>
      </c>
      <c r="N518" s="88" t="s">
        <v>1569</v>
      </c>
      <c r="O518" s="88" t="str">
        <f>IF( Tabla1[[#This Row],[Fecha de entrega real]]="","NO CONCRETADO",IF(N518&lt;=M518,"CUMPLIÓ","NO CUMPLIÓ"))</f>
        <v>CUMPLIÓ</v>
      </c>
      <c r="P518" s="141" t="e">
        <f t="shared" si="12"/>
        <v>#VALUE!</v>
      </c>
      <c r="Q518" s="4" t="s">
        <v>1266</v>
      </c>
      <c r="R518" s="4" t="s">
        <v>33</v>
      </c>
      <c r="S518" s="4" t="s">
        <v>1804</v>
      </c>
      <c r="T518" s="1" t="s">
        <v>1805</v>
      </c>
      <c r="U518" s="107" t="s">
        <v>1806</v>
      </c>
      <c r="X518" s="1">
        <f>MONTH(Tabla1[[#This Row],[fecha
de
pedido]])</f>
        <v>3</v>
      </c>
      <c r="Y518" s="1">
        <f>YEAR(Tabla1[[#This Row],[fecha
de
pedido]])</f>
        <v>2018</v>
      </c>
    </row>
    <row r="519" spans="1:25" ht="51" x14ac:dyDescent="0.2">
      <c r="A519" s="399">
        <v>43160</v>
      </c>
      <c r="B519" s="426" t="s">
        <v>487</v>
      </c>
      <c r="C519" s="400" t="s">
        <v>921</v>
      </c>
      <c r="D519" s="401" t="s">
        <v>921</v>
      </c>
      <c r="E519" s="400" t="s">
        <v>921</v>
      </c>
      <c r="F519" s="401" t="s">
        <v>830</v>
      </c>
      <c r="G519" s="400" t="s">
        <v>1003</v>
      </c>
      <c r="H519" s="401">
        <v>1</v>
      </c>
      <c r="I519" s="401" t="s">
        <v>830</v>
      </c>
      <c r="J519" s="400" t="s">
        <v>1004</v>
      </c>
      <c r="K519" s="401">
        <v>950.68</v>
      </c>
      <c r="L519" s="238">
        <f>(Tabla1[[#This Row],[Costo Unitario]]*Tabla1[[#This Row],[cantidad]])</f>
        <v>950.68</v>
      </c>
      <c r="M519" s="401" t="s">
        <v>854</v>
      </c>
      <c r="N519" s="402">
        <v>43193</v>
      </c>
      <c r="O519" s="402" t="str">
        <f>IF( Tabla1[[#This Row],[Fecha de entrega real]]="","NO CONCRETADO",IF(N519&lt;=M519,"CUMPLIÓ","NO CUMPLIÓ"))</f>
        <v>CUMPLIÓ</v>
      </c>
      <c r="P519" s="141" t="e">
        <f t="shared" si="12"/>
        <v>#VALUE!</v>
      </c>
      <c r="Q519" s="4" t="s">
        <v>1266</v>
      </c>
      <c r="R519" s="4" t="s">
        <v>33</v>
      </c>
      <c r="S519" s="400" t="s">
        <v>1807</v>
      </c>
      <c r="T519" s="401" t="s">
        <v>1808</v>
      </c>
      <c r="U519" s="403" t="s">
        <v>1809</v>
      </c>
      <c r="V519" s="401"/>
      <c r="W519" s="401"/>
      <c r="X519" s="401">
        <f>MONTH(Tabla1[[#This Row],[fecha
de
pedido]])</f>
        <v>3</v>
      </c>
      <c r="Y519" s="401">
        <f>YEAR(Tabla1[[#This Row],[fecha
de
pedido]])</f>
        <v>2018</v>
      </c>
    </row>
    <row r="520" spans="1:25" ht="51" x14ac:dyDescent="0.2">
      <c r="A520" s="152">
        <v>43165</v>
      </c>
      <c r="B520" s="426">
        <v>18014</v>
      </c>
      <c r="C520" s="4" t="s">
        <v>1744</v>
      </c>
      <c r="D520" s="1" t="s">
        <v>33</v>
      </c>
      <c r="E520" s="4" t="s">
        <v>277</v>
      </c>
      <c r="F520" s="1" t="s">
        <v>772</v>
      </c>
      <c r="G520" s="4" t="s">
        <v>1745</v>
      </c>
      <c r="H520" s="1">
        <v>2</v>
      </c>
      <c r="I520" s="1" t="s">
        <v>784</v>
      </c>
      <c r="J520" s="4" t="s">
        <v>787</v>
      </c>
      <c r="K520" s="160">
        <v>34984.51</v>
      </c>
      <c r="L520" s="238">
        <f>(Tabla1[[#This Row],[Costo Unitario]]*Tabla1[[#This Row],[cantidad]])</f>
        <v>69969.02</v>
      </c>
      <c r="M520" s="88">
        <v>43172</v>
      </c>
      <c r="N520" s="88">
        <v>43171</v>
      </c>
      <c r="O520" s="88" t="str">
        <f>IF( Tabla1[[#This Row],[Fecha de entrega real]]="","NO CONCRETADO",IF(N520&lt;=M520,"CUMPLIÓ","NO CUMPLIÓ"))</f>
        <v>CUMPLIÓ</v>
      </c>
      <c r="P520" s="141">
        <f t="shared" si="12"/>
        <v>-1</v>
      </c>
      <c r="Q520" s="4" t="s">
        <v>1266</v>
      </c>
      <c r="R520" s="4" t="s">
        <v>33</v>
      </c>
      <c r="S520" s="4" t="s">
        <v>334</v>
      </c>
      <c r="T520" s="1" t="s">
        <v>1747</v>
      </c>
      <c r="U520" s="107" t="s">
        <v>1746</v>
      </c>
      <c r="X520" s="1">
        <f>MONTH(Tabla1[[#This Row],[fecha
de
pedido]])</f>
        <v>3</v>
      </c>
      <c r="Y520" s="1">
        <f>YEAR(Tabla1[[#This Row],[fecha
de
pedido]])</f>
        <v>2018</v>
      </c>
    </row>
    <row r="521" spans="1:25" ht="51" x14ac:dyDescent="0.2">
      <c r="A521" s="152">
        <v>43165</v>
      </c>
      <c r="B521" s="426" t="s">
        <v>487</v>
      </c>
      <c r="C521" s="4" t="s">
        <v>921</v>
      </c>
      <c r="D521" s="1" t="s">
        <v>921</v>
      </c>
      <c r="E521" s="4" t="s">
        <v>921</v>
      </c>
      <c r="F521" s="1" t="s">
        <v>830</v>
      </c>
      <c r="G521" s="4" t="s">
        <v>1003</v>
      </c>
      <c r="H521" s="1">
        <v>1</v>
      </c>
      <c r="I521" s="1" t="s">
        <v>1053</v>
      </c>
      <c r="J521" s="4" t="s">
        <v>1004</v>
      </c>
      <c r="K521" s="1">
        <v>964.39</v>
      </c>
      <c r="L521" s="238">
        <f>(Tabla1[[#This Row],[Costo Unitario]]*Tabla1[[#This Row],[cantidad]])</f>
        <v>964.39</v>
      </c>
      <c r="M521" s="88">
        <v>43172</v>
      </c>
      <c r="N521" s="88">
        <v>43171</v>
      </c>
      <c r="O521" s="88" t="str">
        <f>IF( Tabla1[[#This Row],[Fecha de entrega real]]="","NO CONCRETADO",IF(N521&lt;=M521,"CUMPLIÓ","NO CUMPLIÓ"))</f>
        <v>CUMPLIÓ</v>
      </c>
      <c r="P521" s="141">
        <f t="shared" si="12"/>
        <v>-1</v>
      </c>
      <c r="Q521" s="4" t="s">
        <v>1266</v>
      </c>
      <c r="R521" s="4" t="s">
        <v>33</v>
      </c>
      <c r="S521" s="4" t="s">
        <v>334</v>
      </c>
      <c r="T521" s="1" t="s">
        <v>1748</v>
      </c>
      <c r="X521" s="1">
        <f>MONTH(Tabla1[[#This Row],[fecha
de
pedido]])</f>
        <v>3</v>
      </c>
      <c r="Y521" s="1">
        <f>YEAR(Tabla1[[#This Row],[fecha
de
pedido]])</f>
        <v>2018</v>
      </c>
    </row>
    <row r="522" spans="1:25" ht="25.5" x14ac:dyDescent="0.2">
      <c r="A522" s="399">
        <v>43167</v>
      </c>
      <c r="B522" s="426">
        <v>18015</v>
      </c>
      <c r="C522" s="400" t="s">
        <v>849</v>
      </c>
      <c r="D522" s="401" t="s">
        <v>33</v>
      </c>
      <c r="E522" s="400" t="s">
        <v>277</v>
      </c>
      <c r="F522" s="401" t="s">
        <v>1021</v>
      </c>
      <c r="G522" s="400" t="s">
        <v>1757</v>
      </c>
      <c r="H522" s="401">
        <v>1</v>
      </c>
      <c r="I522" s="401" t="s">
        <v>916</v>
      </c>
      <c r="J522" s="400" t="s">
        <v>225</v>
      </c>
      <c r="K522" s="401">
        <v>575</v>
      </c>
      <c r="L522" s="238">
        <f>(Tabla1[[#This Row],[Costo Unitario]]*Tabla1[[#This Row],[cantidad]])</f>
        <v>575</v>
      </c>
      <c r="M522" s="402">
        <v>43186</v>
      </c>
      <c r="N522" s="402">
        <v>43186</v>
      </c>
      <c r="O522" s="402" t="str">
        <f>IF( Tabla1[[#This Row],[Fecha de entrega real]]="","NO CONCRETADO",IF(N522&lt;=M522,"CUMPLIÓ","NO CUMPLIÓ"))</f>
        <v>CUMPLIÓ</v>
      </c>
      <c r="P522" s="141">
        <f t="shared" si="12"/>
        <v>0</v>
      </c>
      <c r="Q522" s="400" t="s">
        <v>13</v>
      </c>
      <c r="R522" s="400" t="s">
        <v>33</v>
      </c>
      <c r="S522" s="4" t="s">
        <v>334</v>
      </c>
      <c r="T522" s="401" t="s">
        <v>1763</v>
      </c>
      <c r="U522" s="403" t="s">
        <v>1764</v>
      </c>
      <c r="V522" s="401"/>
      <c r="W522" s="401"/>
      <c r="X522" s="401">
        <f>MONTH(Tabla1[[#This Row],[fecha
de
pedido]])</f>
        <v>3</v>
      </c>
      <c r="Y522" s="401">
        <f>YEAR(Tabla1[[#This Row],[fecha
de
pedido]])</f>
        <v>2018</v>
      </c>
    </row>
    <row r="523" spans="1:25" ht="25.5" x14ac:dyDescent="0.2">
      <c r="A523" s="399">
        <v>43167</v>
      </c>
      <c r="B523" s="426">
        <v>18015</v>
      </c>
      <c r="C523" s="400" t="s">
        <v>849</v>
      </c>
      <c r="D523" s="401" t="s">
        <v>33</v>
      </c>
      <c r="E523" s="400" t="s">
        <v>1044</v>
      </c>
      <c r="F523" s="401" t="s">
        <v>1021</v>
      </c>
      <c r="G523" s="400" t="s">
        <v>1758</v>
      </c>
      <c r="H523" s="401">
        <v>1</v>
      </c>
      <c r="I523" s="401" t="s">
        <v>916</v>
      </c>
      <c r="J523" s="400" t="s">
        <v>225</v>
      </c>
      <c r="K523" s="401">
        <v>575</v>
      </c>
      <c r="L523" s="238">
        <f>(Tabla1[[#This Row],[Costo Unitario]]*Tabla1[[#This Row],[cantidad]])</f>
        <v>575</v>
      </c>
      <c r="M523" s="402">
        <v>43186</v>
      </c>
      <c r="N523" s="402">
        <v>43174</v>
      </c>
      <c r="O523" s="402" t="str">
        <f>IF( Tabla1[[#This Row],[Fecha de entrega real]]="","NO CONCRETADO",IF(N523&lt;=M523,"CUMPLIÓ","NO CUMPLIÓ"))</f>
        <v>CUMPLIÓ</v>
      </c>
      <c r="P523" s="141">
        <f t="shared" si="12"/>
        <v>-12</v>
      </c>
      <c r="Q523" s="400" t="s">
        <v>13</v>
      </c>
      <c r="R523" s="400" t="s">
        <v>33</v>
      </c>
      <c r="S523" s="4" t="s">
        <v>334</v>
      </c>
      <c r="T523" s="401" t="s">
        <v>1769</v>
      </c>
      <c r="U523" s="403" t="s">
        <v>1774</v>
      </c>
      <c r="V523" s="401"/>
      <c r="W523" s="401"/>
      <c r="X523" s="401">
        <f>MONTH(Tabla1[[#This Row],[fecha
de
pedido]])</f>
        <v>3</v>
      </c>
      <c r="Y523" s="401">
        <f>YEAR(Tabla1[[#This Row],[fecha
de
pedido]])</f>
        <v>2018</v>
      </c>
    </row>
    <row r="524" spans="1:25" ht="25.5" x14ac:dyDescent="0.2">
      <c r="A524" s="399">
        <v>43167</v>
      </c>
      <c r="B524" s="426">
        <v>18015</v>
      </c>
      <c r="C524" s="400" t="s">
        <v>849</v>
      </c>
      <c r="D524" s="401" t="s">
        <v>33</v>
      </c>
      <c r="E524" s="400" t="s">
        <v>277</v>
      </c>
      <c r="F524" s="401" t="s">
        <v>1021</v>
      </c>
      <c r="G524" s="400" t="s">
        <v>1759</v>
      </c>
      <c r="H524" s="401">
        <v>1</v>
      </c>
      <c r="I524" s="401" t="s">
        <v>916</v>
      </c>
      <c r="J524" s="400" t="s">
        <v>225</v>
      </c>
      <c r="K524" s="401">
        <v>575</v>
      </c>
      <c r="L524" s="238">
        <f>(Tabla1[[#This Row],[Costo Unitario]]*Tabla1[[#This Row],[cantidad]])</f>
        <v>575</v>
      </c>
      <c r="M524" s="402">
        <v>43186</v>
      </c>
      <c r="N524" s="402">
        <v>43186</v>
      </c>
      <c r="O524" s="402" t="str">
        <f>IF( Tabla1[[#This Row],[Fecha de entrega real]]="","NO CONCRETADO",IF(N524&lt;=M524,"CUMPLIÓ","NO CUMPLIÓ"))</f>
        <v>CUMPLIÓ</v>
      </c>
      <c r="P524" s="141">
        <f t="shared" si="12"/>
        <v>0</v>
      </c>
      <c r="Q524" s="400" t="s">
        <v>13</v>
      </c>
      <c r="R524" s="400" t="s">
        <v>33</v>
      </c>
      <c r="S524" s="4" t="s">
        <v>334</v>
      </c>
      <c r="T524" s="401" t="s">
        <v>1763</v>
      </c>
      <c r="U524" s="403" t="s">
        <v>1764</v>
      </c>
      <c r="V524" s="401"/>
      <c r="W524" s="401"/>
      <c r="X524" s="401">
        <f>MONTH(Tabla1[[#This Row],[fecha
de
pedido]])</f>
        <v>3</v>
      </c>
      <c r="Y524" s="401">
        <f>YEAR(Tabla1[[#This Row],[fecha
de
pedido]])</f>
        <v>2018</v>
      </c>
    </row>
    <row r="525" spans="1:25" ht="25.5" x14ac:dyDescent="0.2">
      <c r="A525" s="399">
        <v>43167</v>
      </c>
      <c r="B525" s="426">
        <v>18015</v>
      </c>
      <c r="C525" s="400" t="s">
        <v>849</v>
      </c>
      <c r="D525" s="401" t="s">
        <v>33</v>
      </c>
      <c r="E525" s="400" t="s">
        <v>1044</v>
      </c>
      <c r="F525" s="401" t="s">
        <v>1021</v>
      </c>
      <c r="G525" s="400" t="s">
        <v>1760</v>
      </c>
      <c r="H525" s="401">
        <v>1</v>
      </c>
      <c r="I525" s="401" t="s">
        <v>916</v>
      </c>
      <c r="J525" s="400" t="s">
        <v>225</v>
      </c>
      <c r="K525" s="401">
        <v>575</v>
      </c>
      <c r="L525" s="238">
        <f>(Tabla1[[#This Row],[Costo Unitario]]*Tabla1[[#This Row],[cantidad]])</f>
        <v>575</v>
      </c>
      <c r="M525" s="402">
        <v>43186</v>
      </c>
      <c r="N525" s="402">
        <v>43186</v>
      </c>
      <c r="O525" s="402" t="str">
        <f>IF( Tabla1[[#This Row],[Fecha de entrega real]]="","NO CONCRETADO",IF(N525&lt;=M525,"CUMPLIÓ","NO CUMPLIÓ"))</f>
        <v>CUMPLIÓ</v>
      </c>
      <c r="P525" s="141">
        <f t="shared" si="12"/>
        <v>0</v>
      </c>
      <c r="Q525" s="400" t="s">
        <v>13</v>
      </c>
      <c r="R525" s="400" t="s">
        <v>33</v>
      </c>
      <c r="S525" s="4" t="s">
        <v>334</v>
      </c>
      <c r="T525" s="401" t="s">
        <v>1763</v>
      </c>
      <c r="U525" s="403" t="s">
        <v>1764</v>
      </c>
      <c r="V525" s="401"/>
      <c r="W525" s="401"/>
      <c r="X525" s="401">
        <f>MONTH(Tabla1[[#This Row],[fecha
de
pedido]])</f>
        <v>3</v>
      </c>
      <c r="Y525" s="401">
        <f>YEAR(Tabla1[[#This Row],[fecha
de
pedido]])</f>
        <v>2018</v>
      </c>
    </row>
    <row r="526" spans="1:25" ht="25.5" x14ac:dyDescent="0.2">
      <c r="A526" s="399">
        <v>43167</v>
      </c>
      <c r="B526" s="426">
        <v>18015</v>
      </c>
      <c r="C526" s="400" t="s">
        <v>849</v>
      </c>
      <c r="D526" s="401" t="s">
        <v>33</v>
      </c>
      <c r="E526" s="400" t="s">
        <v>277</v>
      </c>
      <c r="F526" s="401" t="s">
        <v>1021</v>
      </c>
      <c r="G526" s="400" t="s">
        <v>1761</v>
      </c>
      <c r="H526" s="401">
        <v>1</v>
      </c>
      <c r="I526" s="401" t="s">
        <v>916</v>
      </c>
      <c r="J526" s="400" t="s">
        <v>225</v>
      </c>
      <c r="K526" s="401">
        <v>575</v>
      </c>
      <c r="L526" s="238">
        <f>(Tabla1[[#This Row],[Costo Unitario]]*Tabla1[[#This Row],[cantidad]])</f>
        <v>575</v>
      </c>
      <c r="M526" s="402">
        <v>43186</v>
      </c>
      <c r="N526" s="402">
        <v>43186</v>
      </c>
      <c r="O526" s="402" t="str">
        <f>IF( Tabla1[[#This Row],[Fecha de entrega real]]="","NO CONCRETADO",IF(N526&lt;=M526,"CUMPLIÓ","NO CUMPLIÓ"))</f>
        <v>CUMPLIÓ</v>
      </c>
      <c r="P526" s="141">
        <f t="shared" si="12"/>
        <v>0</v>
      </c>
      <c r="Q526" s="400" t="s">
        <v>13</v>
      </c>
      <c r="R526" s="400" t="s">
        <v>33</v>
      </c>
      <c r="S526" s="4" t="s">
        <v>334</v>
      </c>
      <c r="T526" s="401" t="s">
        <v>1763</v>
      </c>
      <c r="U526" s="403" t="s">
        <v>1764</v>
      </c>
      <c r="V526" s="401"/>
      <c r="W526" s="401"/>
      <c r="X526" s="401">
        <f>MONTH(Tabla1[[#This Row],[fecha
de
pedido]])</f>
        <v>3</v>
      </c>
      <c r="Y526" s="401">
        <f>YEAR(Tabla1[[#This Row],[fecha
de
pedido]])</f>
        <v>2018</v>
      </c>
    </row>
    <row r="527" spans="1:25" x14ac:dyDescent="0.2">
      <c r="A527" s="399">
        <v>43167</v>
      </c>
      <c r="B527" s="426">
        <v>18015</v>
      </c>
      <c r="C527" s="400" t="s">
        <v>849</v>
      </c>
      <c r="D527" s="401" t="s">
        <v>33</v>
      </c>
      <c r="E527" s="400" t="s">
        <v>1044</v>
      </c>
      <c r="F527" s="401" t="s">
        <v>1021</v>
      </c>
      <c r="G527" s="400" t="s">
        <v>1762</v>
      </c>
      <c r="H527" s="401">
        <v>1</v>
      </c>
      <c r="I527" s="401" t="s">
        <v>916</v>
      </c>
      <c r="J527" s="400" t="s">
        <v>225</v>
      </c>
      <c r="K527" s="401">
        <v>705</v>
      </c>
      <c r="L527" s="238">
        <f>(Tabla1[[#This Row],[Costo Unitario]]*Tabla1[[#This Row],[cantidad]])</f>
        <v>705</v>
      </c>
      <c r="M527" s="402">
        <v>43244</v>
      </c>
      <c r="N527" s="402">
        <v>43186</v>
      </c>
      <c r="O527" s="402" t="str">
        <f>IF( Tabla1[[#This Row],[Fecha de entrega real]]="","NO CONCRETADO",IF(N527&lt;=M527,"CUMPLIÓ","NO CUMPLIÓ"))</f>
        <v>CUMPLIÓ</v>
      </c>
      <c r="P527" s="141">
        <f t="shared" si="12"/>
        <v>-58</v>
      </c>
      <c r="Q527" s="400" t="s">
        <v>13</v>
      </c>
      <c r="R527" s="400" t="s">
        <v>33</v>
      </c>
      <c r="S527" s="4" t="s">
        <v>334</v>
      </c>
      <c r="T527" s="401" t="s">
        <v>1763</v>
      </c>
      <c r="U527" s="403" t="s">
        <v>1764</v>
      </c>
      <c r="V527" s="401"/>
      <c r="W527" s="401"/>
      <c r="X527" s="401">
        <f>MONTH(Tabla1[[#This Row],[fecha
de
pedido]])</f>
        <v>3</v>
      </c>
      <c r="Y527" s="401">
        <f>YEAR(Tabla1[[#This Row],[fecha
de
pedido]])</f>
        <v>2018</v>
      </c>
    </row>
    <row r="528" spans="1:25" ht="25.5" x14ac:dyDescent="0.2">
      <c r="A528" s="399">
        <v>43167</v>
      </c>
      <c r="B528" s="425">
        <v>18016</v>
      </c>
      <c r="C528" s="4" t="s">
        <v>1853</v>
      </c>
      <c r="D528" s="401" t="s">
        <v>33</v>
      </c>
      <c r="E528" s="400" t="s">
        <v>1044</v>
      </c>
      <c r="F528" s="401" t="s">
        <v>1021</v>
      </c>
      <c r="G528" s="400" t="s">
        <v>1770</v>
      </c>
      <c r="H528" s="401">
        <v>1</v>
      </c>
      <c r="I528" s="401" t="s">
        <v>916</v>
      </c>
      <c r="J528" s="400" t="s">
        <v>225</v>
      </c>
      <c r="K528" s="401">
        <v>159</v>
      </c>
      <c r="L528" s="238">
        <f>(Tabla1[[#This Row],[Costo Unitario]]*Tabla1[[#This Row],[cantidad]])</f>
        <v>159</v>
      </c>
      <c r="M528" s="402">
        <v>43174</v>
      </c>
      <c r="N528" s="402">
        <v>43173</v>
      </c>
      <c r="O528" s="402" t="str">
        <f>IF( Tabla1[[#This Row],[Fecha de entrega real]]="","NO CONCRETADO",IF(N528&lt;=M528,"CUMPLIÓ","NO CUMPLIÓ"))</f>
        <v>CUMPLIÓ</v>
      </c>
      <c r="P528" s="141">
        <f t="shared" si="12"/>
        <v>-1</v>
      </c>
      <c r="Q528" s="400" t="s">
        <v>13</v>
      </c>
      <c r="R528" s="400" t="s">
        <v>33</v>
      </c>
      <c r="S528" s="4" t="s">
        <v>334</v>
      </c>
      <c r="T528" s="401" t="s">
        <v>1772</v>
      </c>
      <c r="U528" s="403" t="s">
        <v>1773</v>
      </c>
      <c r="V528" s="401"/>
      <c r="W528" s="401"/>
      <c r="X528" s="401">
        <f>MONTH(Tabla1[[#This Row],[fecha
de
pedido]])</f>
        <v>3</v>
      </c>
      <c r="Y528" s="401">
        <f>YEAR(Tabla1[[#This Row],[fecha
de
pedido]])</f>
        <v>2018</v>
      </c>
    </row>
    <row r="529" spans="1:25" ht="25.5" x14ac:dyDescent="0.2">
      <c r="A529" s="399">
        <v>43167</v>
      </c>
      <c r="B529" s="425">
        <v>18016</v>
      </c>
      <c r="C529" s="4" t="s">
        <v>1853</v>
      </c>
      <c r="D529" s="401" t="s">
        <v>33</v>
      </c>
      <c r="E529" s="400" t="s">
        <v>1044</v>
      </c>
      <c r="F529" s="401" t="s">
        <v>1021</v>
      </c>
      <c r="G529" s="400" t="s">
        <v>1771</v>
      </c>
      <c r="H529" s="401">
        <v>1</v>
      </c>
      <c r="I529" s="401" t="s">
        <v>916</v>
      </c>
      <c r="J529" s="400" t="s">
        <v>225</v>
      </c>
      <c r="K529" s="401">
        <v>159</v>
      </c>
      <c r="L529" s="238">
        <f>(Tabla1[[#This Row],[Costo Unitario]]*Tabla1[[#This Row],[cantidad]])</f>
        <v>159</v>
      </c>
      <c r="M529" s="402">
        <v>43174</v>
      </c>
      <c r="N529" s="402">
        <v>43173</v>
      </c>
      <c r="O529" s="402" t="str">
        <f>IF( Tabla1[[#This Row],[Fecha de entrega real]]="","NO CONCRETADO",IF(N529&lt;=M529,"CUMPLIÓ","NO CUMPLIÓ"))</f>
        <v>CUMPLIÓ</v>
      </c>
      <c r="P529" s="141">
        <f t="shared" si="12"/>
        <v>-1</v>
      </c>
      <c r="Q529" s="400" t="s">
        <v>13</v>
      </c>
      <c r="R529" s="400" t="s">
        <v>33</v>
      </c>
      <c r="S529" s="4" t="s">
        <v>334</v>
      </c>
      <c r="T529" s="401" t="s">
        <v>1772</v>
      </c>
      <c r="U529" s="403" t="s">
        <v>1773</v>
      </c>
      <c r="V529" s="401"/>
      <c r="W529" s="401"/>
      <c r="X529" s="401">
        <f>MONTH(Tabla1[[#This Row],[fecha
de
pedido]])</f>
        <v>3</v>
      </c>
      <c r="Y529" s="401">
        <f>YEAR(Tabla1[[#This Row],[fecha
de
pedido]])</f>
        <v>2018</v>
      </c>
    </row>
    <row r="530" spans="1:25" ht="25.5" x14ac:dyDescent="0.2">
      <c r="A530" s="399">
        <v>43167</v>
      </c>
      <c r="B530" s="425">
        <v>18016</v>
      </c>
      <c r="C530" s="4" t="s">
        <v>1853</v>
      </c>
      <c r="D530" s="401" t="s">
        <v>33</v>
      </c>
      <c r="E530" s="400" t="s">
        <v>1044</v>
      </c>
      <c r="F530" s="401" t="s">
        <v>1021</v>
      </c>
      <c r="G530" s="400" t="s">
        <v>1759</v>
      </c>
      <c r="H530" s="401">
        <v>1</v>
      </c>
      <c r="I530" s="401" t="s">
        <v>916</v>
      </c>
      <c r="J530" s="400" t="s">
        <v>225</v>
      </c>
      <c r="K530" s="401">
        <v>575</v>
      </c>
      <c r="L530" s="238">
        <f>(Tabla1[[#This Row],[Costo Unitario]]*Tabla1[[#This Row],[cantidad]])</f>
        <v>575</v>
      </c>
      <c r="M530" s="402">
        <v>43174</v>
      </c>
      <c r="N530" s="402">
        <v>43186</v>
      </c>
      <c r="O530" s="402" t="str">
        <f>IF( Tabla1[[#This Row],[Fecha de entrega real]]="","NO CONCRETADO",IF(N530&lt;=M530,"CUMPLIÓ","NO CUMPLIÓ"))</f>
        <v>NO CUMPLIÓ</v>
      </c>
      <c r="P530" s="141">
        <f t="shared" si="12"/>
        <v>12</v>
      </c>
      <c r="Q530" s="400" t="s">
        <v>13</v>
      </c>
      <c r="R530" s="400" t="s">
        <v>33</v>
      </c>
      <c r="S530" s="4" t="s">
        <v>334</v>
      </c>
      <c r="T530" s="401" t="s">
        <v>1775</v>
      </c>
      <c r="U530" s="403" t="s">
        <v>1776</v>
      </c>
      <c r="V530" s="401"/>
      <c r="W530" s="401"/>
      <c r="X530" s="401">
        <f>MONTH(Tabla1[[#This Row],[fecha
de
pedido]])</f>
        <v>3</v>
      </c>
      <c r="Y530" s="401">
        <f>YEAR(Tabla1[[#This Row],[fecha
de
pedido]])</f>
        <v>2018</v>
      </c>
    </row>
    <row r="531" spans="1:25" ht="25.5" x14ac:dyDescent="0.2">
      <c r="A531" s="152">
        <v>43173</v>
      </c>
      <c r="B531" s="426" t="s">
        <v>487</v>
      </c>
      <c r="C531" s="4" t="s">
        <v>983</v>
      </c>
      <c r="D531" s="1" t="s">
        <v>33</v>
      </c>
      <c r="E531" s="4" t="s">
        <v>11</v>
      </c>
      <c r="F531" s="401" t="s">
        <v>772</v>
      </c>
      <c r="G531" s="4" t="s">
        <v>985</v>
      </c>
      <c r="H531" s="1">
        <v>3</v>
      </c>
      <c r="I531" s="1" t="s">
        <v>986</v>
      </c>
      <c r="J531" s="4" t="s">
        <v>77</v>
      </c>
      <c r="K531" s="1">
        <v>239.58</v>
      </c>
      <c r="L531" s="238">
        <f>(Tabla1[[#This Row],[Costo Unitario]]*Tabla1[[#This Row],[cantidad]])</f>
        <v>718.74</v>
      </c>
      <c r="M531" s="88">
        <v>43175</v>
      </c>
      <c r="N531" s="88">
        <v>43175</v>
      </c>
      <c r="O531" s="88" t="str">
        <f>IF( Tabla1[[#This Row],[Fecha de entrega real]]="","NO CONCRETADO",IF(N531&lt;=M531,"CUMPLIÓ","NO CUMPLIÓ"))</f>
        <v>CUMPLIÓ</v>
      </c>
      <c r="P531" s="141">
        <f t="shared" si="12"/>
        <v>0</v>
      </c>
      <c r="Q531" s="246" t="s">
        <v>13</v>
      </c>
      <c r="R531" s="400" t="s">
        <v>33</v>
      </c>
      <c r="S531" s="4" t="s">
        <v>334</v>
      </c>
      <c r="T531" s="4" t="s">
        <v>1743</v>
      </c>
      <c r="U531" s="148" t="s">
        <v>1755</v>
      </c>
      <c r="X531" s="1">
        <f>MONTH(Tabla1[[#This Row],[fecha
de
pedido]])</f>
        <v>3</v>
      </c>
      <c r="Y531" s="1">
        <f>YEAR(Tabla1[[#This Row],[fecha
de
pedido]])</f>
        <v>2018</v>
      </c>
    </row>
    <row r="532" spans="1:25" x14ac:dyDescent="0.2">
      <c r="A532" s="399">
        <v>43173</v>
      </c>
      <c r="B532" s="426" t="s">
        <v>487</v>
      </c>
      <c r="C532" s="400" t="s">
        <v>775</v>
      </c>
      <c r="D532" s="401" t="s">
        <v>33</v>
      </c>
      <c r="E532" s="400" t="s">
        <v>277</v>
      </c>
      <c r="F532" s="401" t="s">
        <v>772</v>
      </c>
      <c r="G532" s="400" t="s">
        <v>1731</v>
      </c>
      <c r="H532" s="401">
        <v>150</v>
      </c>
      <c r="I532" s="401" t="s">
        <v>779</v>
      </c>
      <c r="J532" s="400" t="s">
        <v>12</v>
      </c>
      <c r="K532" s="401">
        <v>6</v>
      </c>
      <c r="L532" s="238">
        <f>(Tabla1[[#This Row],[Costo Unitario]]*Tabla1[[#This Row],[cantidad]])</f>
        <v>900</v>
      </c>
      <c r="M532" s="402">
        <v>43175</v>
      </c>
      <c r="N532" s="402">
        <v>43175</v>
      </c>
      <c r="O532" s="402" t="str">
        <f>IF( Tabla1[[#This Row],[Fecha de entrega real]]="","NO CONCRETADO",IF(N532&lt;=M532,"CUMPLIÓ","NO CUMPLIÓ"))</f>
        <v>CUMPLIÓ</v>
      </c>
      <c r="P532" s="141">
        <f t="shared" si="12"/>
        <v>0</v>
      </c>
      <c r="Q532" s="246" t="s">
        <v>13</v>
      </c>
      <c r="R532" s="400" t="s">
        <v>33</v>
      </c>
      <c r="S532" s="400" t="s">
        <v>334</v>
      </c>
      <c r="T532" s="1" t="s">
        <v>1942</v>
      </c>
      <c r="U532" s="403" t="s">
        <v>1732</v>
      </c>
      <c r="V532" s="401"/>
      <c r="W532" s="401"/>
      <c r="X532" s="401">
        <f>MONTH(Tabla1[[#This Row],[fecha
de
pedido]])</f>
        <v>3</v>
      </c>
      <c r="Y532" s="401">
        <f>YEAR(Tabla1[[#This Row],[fecha
de
pedido]])</f>
        <v>2018</v>
      </c>
    </row>
    <row r="533" spans="1:25" ht="25.5" x14ac:dyDescent="0.2">
      <c r="A533" s="399">
        <v>43173</v>
      </c>
      <c r="B533" s="426" t="s">
        <v>487</v>
      </c>
      <c r="C533" s="400" t="s">
        <v>33</v>
      </c>
      <c r="D533" s="401" t="s">
        <v>33</v>
      </c>
      <c r="E533" s="400" t="s">
        <v>277</v>
      </c>
      <c r="F533" s="401" t="s">
        <v>772</v>
      </c>
      <c r="G533" s="400" t="s">
        <v>204</v>
      </c>
      <c r="H533" s="401">
        <v>100</v>
      </c>
      <c r="I533" s="401" t="s">
        <v>779</v>
      </c>
      <c r="J533" s="400" t="s">
        <v>12</v>
      </c>
      <c r="K533" s="401">
        <v>6</v>
      </c>
      <c r="L533" s="238">
        <f>(Tabla1[[#This Row],[Costo Unitario]]*Tabla1[[#This Row],[cantidad]])</f>
        <v>600</v>
      </c>
      <c r="M533" s="402">
        <v>43175</v>
      </c>
      <c r="N533" s="402">
        <v>43175</v>
      </c>
      <c r="O533" s="402" t="str">
        <f>IF( Tabla1[[#This Row],[Fecha de entrega real]]="","NO CONCRETADO",IF(N533&lt;=M533,"CUMPLIÓ","NO CUMPLIÓ"))</f>
        <v>CUMPLIÓ</v>
      </c>
      <c r="P533" s="141">
        <f t="shared" si="12"/>
        <v>0</v>
      </c>
      <c r="Q533" s="246" t="s">
        <v>13</v>
      </c>
      <c r="R533" s="4" t="s">
        <v>33</v>
      </c>
      <c r="S533" s="4" t="s">
        <v>1950</v>
      </c>
      <c r="T533" s="1" t="s">
        <v>1942</v>
      </c>
      <c r="U533" s="403" t="s">
        <v>1733</v>
      </c>
      <c r="V533" s="401"/>
      <c r="W533" s="401"/>
      <c r="X533" s="401">
        <f>MONTH(Tabla1[[#This Row],[fecha
de
pedido]])</f>
        <v>3</v>
      </c>
      <c r="Y533" s="401">
        <f>YEAR(Tabla1[[#This Row],[fecha
de
pedido]])</f>
        <v>2018</v>
      </c>
    </row>
    <row r="534" spans="1:25" ht="25.5" x14ac:dyDescent="0.2">
      <c r="A534" s="399">
        <v>43174</v>
      </c>
      <c r="B534" s="426" t="s">
        <v>487</v>
      </c>
      <c r="C534" s="400" t="s">
        <v>1734</v>
      </c>
      <c r="D534" s="401" t="s">
        <v>33</v>
      </c>
      <c r="E534" s="400" t="s">
        <v>277</v>
      </c>
      <c r="F534" s="401" t="s">
        <v>772</v>
      </c>
      <c r="G534" s="400" t="s">
        <v>1735</v>
      </c>
      <c r="H534" s="401">
        <v>8</v>
      </c>
      <c r="I534" s="401" t="s">
        <v>1737</v>
      </c>
      <c r="J534" s="400" t="s">
        <v>771</v>
      </c>
      <c r="K534" s="401">
        <v>259</v>
      </c>
      <c r="L534" s="238">
        <f>(Tabla1[[#This Row],[Costo Unitario]]*Tabla1[[#This Row],[cantidad]])</f>
        <v>2072</v>
      </c>
      <c r="M534" s="402">
        <v>43175</v>
      </c>
      <c r="N534" s="402">
        <v>43175</v>
      </c>
      <c r="O534" s="402" t="str">
        <f>IF( Tabla1[[#This Row],[Fecha de entrega real]]="","NO CONCRETADO",IF(N534&lt;=M534,"CUMPLIÓ","NO CUMPLIÓ"))</f>
        <v>CUMPLIÓ</v>
      </c>
      <c r="P534" s="141">
        <f t="shared" si="12"/>
        <v>0</v>
      </c>
      <c r="Q534" s="246" t="s">
        <v>13</v>
      </c>
      <c r="R534" s="400" t="s">
        <v>33</v>
      </c>
      <c r="S534" s="400" t="s">
        <v>334</v>
      </c>
      <c r="T534" s="1" t="s">
        <v>1942</v>
      </c>
      <c r="U534" s="403" t="s">
        <v>1738</v>
      </c>
      <c r="V534" s="401"/>
      <c r="W534" s="401"/>
      <c r="X534" s="401">
        <f>MONTH(Tabla1[[#This Row],[fecha
de
pedido]])</f>
        <v>3</v>
      </c>
      <c r="Y534" s="401">
        <f>YEAR(Tabla1[[#This Row],[fecha
de
pedido]])</f>
        <v>2018</v>
      </c>
    </row>
    <row r="535" spans="1:25" x14ac:dyDescent="0.2">
      <c r="A535" s="399">
        <v>43174</v>
      </c>
      <c r="B535" s="426" t="s">
        <v>487</v>
      </c>
      <c r="C535" s="400" t="s">
        <v>33</v>
      </c>
      <c r="D535" s="401" t="s">
        <v>33</v>
      </c>
      <c r="E535" s="400" t="s">
        <v>277</v>
      </c>
      <c r="F535" s="401" t="s">
        <v>772</v>
      </c>
      <c r="G535" s="400" t="s">
        <v>1736</v>
      </c>
      <c r="H535" s="401">
        <v>1</v>
      </c>
      <c r="I535" s="401" t="s">
        <v>781</v>
      </c>
      <c r="J535" s="400" t="s">
        <v>771</v>
      </c>
      <c r="K535" s="401">
        <v>350</v>
      </c>
      <c r="L535" s="238">
        <f>(Tabla1[[#This Row],[Costo Unitario]]*Tabla1[[#This Row],[cantidad]])</f>
        <v>350</v>
      </c>
      <c r="M535" s="402">
        <v>43175</v>
      </c>
      <c r="N535" s="402">
        <v>43175</v>
      </c>
      <c r="O535" s="402" t="str">
        <f>IF( Tabla1[[#This Row],[Fecha de entrega real]]="","NO CONCRETADO",IF(N535&lt;=M535,"CUMPLIÓ","NO CUMPLIÓ"))</f>
        <v>CUMPLIÓ</v>
      </c>
      <c r="P535" s="141">
        <f t="shared" si="12"/>
        <v>0</v>
      </c>
      <c r="Q535" s="246" t="s">
        <v>13</v>
      </c>
      <c r="R535" s="400" t="s">
        <v>33</v>
      </c>
      <c r="S535" s="400" t="s">
        <v>334</v>
      </c>
      <c r="T535" s="1" t="s">
        <v>1942</v>
      </c>
      <c r="U535" s="403" t="s">
        <v>1738</v>
      </c>
      <c r="V535" s="401"/>
      <c r="W535" s="401"/>
      <c r="X535" s="401">
        <f>MONTH(Tabla1[[#This Row],[fecha
de
pedido]])</f>
        <v>3</v>
      </c>
      <c r="Y535" s="401">
        <f>YEAR(Tabla1[[#This Row],[fecha
de
pedido]])</f>
        <v>2018</v>
      </c>
    </row>
    <row r="536" spans="1:25" x14ac:dyDescent="0.2">
      <c r="A536" s="399">
        <v>43174</v>
      </c>
      <c r="B536" s="425">
        <v>18017</v>
      </c>
      <c r="C536" s="4" t="s">
        <v>775</v>
      </c>
      <c r="D536" s="401" t="s">
        <v>33</v>
      </c>
      <c r="E536" s="400" t="s">
        <v>277</v>
      </c>
      <c r="F536" s="1" t="s">
        <v>778</v>
      </c>
      <c r="G536" s="4" t="s">
        <v>1792</v>
      </c>
      <c r="H536" s="1">
        <v>1</v>
      </c>
      <c r="I536" s="1" t="s">
        <v>1750</v>
      </c>
      <c r="J536" s="4" t="s">
        <v>1795</v>
      </c>
      <c r="K536" s="1">
        <v>219</v>
      </c>
      <c r="L536" s="238">
        <f>(Tabla1[[#This Row],[Costo Unitario]]*Tabla1[[#This Row],[cantidad]])</f>
        <v>219</v>
      </c>
      <c r="M536" s="88" t="s">
        <v>854</v>
      </c>
      <c r="N536" s="88">
        <v>43231</v>
      </c>
      <c r="O536" s="88" t="str">
        <f>IF( Tabla1[[#This Row],[Fecha de entrega real]]="","NO CONCRETADO",IF(N536&lt;=M536,"CUMPLIÓ","NO CUMPLIÓ"))</f>
        <v>CUMPLIÓ</v>
      </c>
      <c r="P536" s="141" t="e">
        <f t="shared" si="12"/>
        <v>#VALUE!</v>
      </c>
      <c r="Q536" s="246" t="s">
        <v>13</v>
      </c>
      <c r="R536" s="400" t="s">
        <v>33</v>
      </c>
      <c r="S536" s="4" t="s">
        <v>244</v>
      </c>
      <c r="T536" s="1" t="s">
        <v>1949</v>
      </c>
      <c r="U536" s="107" t="s">
        <v>1948</v>
      </c>
      <c r="X536" s="1">
        <f>MONTH(Tabla1[[#This Row],[fecha
de
pedido]])</f>
        <v>3</v>
      </c>
      <c r="Y536" s="1">
        <f>YEAR(Tabla1[[#This Row],[fecha
de
pedido]])</f>
        <v>2018</v>
      </c>
    </row>
    <row r="537" spans="1:25" x14ac:dyDescent="0.2">
      <c r="A537" s="399">
        <v>43174</v>
      </c>
      <c r="B537" s="425">
        <v>18017</v>
      </c>
      <c r="C537" s="4" t="s">
        <v>775</v>
      </c>
      <c r="D537" s="401" t="s">
        <v>33</v>
      </c>
      <c r="E537" s="400" t="s">
        <v>277</v>
      </c>
      <c r="F537" s="1" t="s">
        <v>778</v>
      </c>
      <c r="G537" s="4" t="s">
        <v>1793</v>
      </c>
      <c r="H537" s="1">
        <v>1</v>
      </c>
      <c r="I537" s="1" t="s">
        <v>1750</v>
      </c>
      <c r="J537" s="4" t="s">
        <v>1795</v>
      </c>
      <c r="K537" s="1">
        <v>315</v>
      </c>
      <c r="L537" s="238">
        <f>(Tabla1[[#This Row],[Costo Unitario]]*Tabla1[[#This Row],[cantidad]])</f>
        <v>315</v>
      </c>
      <c r="M537" s="88" t="s">
        <v>854</v>
      </c>
      <c r="N537" s="88">
        <v>43194</v>
      </c>
      <c r="O537" s="88" t="str">
        <f>IF( Tabla1[[#This Row],[Fecha de entrega real]]="","NO CONCRETADO",IF(N537&lt;=M537,"CUMPLIÓ","NO CUMPLIÓ"))</f>
        <v>CUMPLIÓ</v>
      </c>
      <c r="P537" s="141" t="e">
        <f t="shared" si="12"/>
        <v>#VALUE!</v>
      </c>
      <c r="Q537" s="246" t="s">
        <v>13</v>
      </c>
      <c r="R537" s="400" t="s">
        <v>33</v>
      </c>
      <c r="S537" s="4" t="s">
        <v>334</v>
      </c>
      <c r="T537" s="1" t="s">
        <v>1796</v>
      </c>
      <c r="U537" s="107" t="s">
        <v>1797</v>
      </c>
      <c r="X537" s="1">
        <f>MONTH(Tabla1[[#This Row],[fecha
de
pedido]])</f>
        <v>3</v>
      </c>
      <c r="Y537" s="1">
        <f>YEAR(Tabla1[[#This Row],[fecha
de
pedido]])</f>
        <v>2018</v>
      </c>
    </row>
    <row r="538" spans="1:25" x14ac:dyDescent="0.2">
      <c r="A538" s="399">
        <v>43174</v>
      </c>
      <c r="B538" s="425">
        <v>18017</v>
      </c>
      <c r="C538" s="4" t="s">
        <v>775</v>
      </c>
      <c r="D538" s="401" t="s">
        <v>33</v>
      </c>
      <c r="E538" s="400" t="s">
        <v>277</v>
      </c>
      <c r="F538" s="1" t="s">
        <v>778</v>
      </c>
      <c r="G538" s="4" t="s">
        <v>1794</v>
      </c>
      <c r="H538" s="1">
        <v>2</v>
      </c>
      <c r="I538" s="1" t="s">
        <v>779</v>
      </c>
      <c r="J538" s="4" t="s">
        <v>1795</v>
      </c>
      <c r="K538" s="1">
        <v>189</v>
      </c>
      <c r="L538" s="238">
        <f>(Tabla1[[#This Row],[Costo Unitario]]*Tabla1[[#This Row],[cantidad]])</f>
        <v>378</v>
      </c>
      <c r="M538" s="88" t="s">
        <v>854</v>
      </c>
      <c r="N538" s="88">
        <v>43194</v>
      </c>
      <c r="O538" s="88" t="str">
        <f>IF( Tabla1[[#This Row],[Fecha de entrega real]]="","NO CONCRETADO",IF(N538&lt;=M538,"CUMPLIÓ","NO CUMPLIÓ"))</f>
        <v>CUMPLIÓ</v>
      </c>
      <c r="P538" s="141" t="e">
        <f t="shared" si="12"/>
        <v>#VALUE!</v>
      </c>
      <c r="Q538" s="246" t="s">
        <v>13</v>
      </c>
      <c r="R538" s="400" t="s">
        <v>33</v>
      </c>
      <c r="S538" s="4" t="s">
        <v>334</v>
      </c>
      <c r="T538" s="1" t="s">
        <v>1796</v>
      </c>
      <c r="U538" s="107" t="s">
        <v>1797</v>
      </c>
      <c r="X538" s="1">
        <f>MONTH(Tabla1[[#This Row],[fecha
de
pedido]])</f>
        <v>3</v>
      </c>
      <c r="Y538" s="1">
        <f>YEAR(Tabla1[[#This Row],[fecha
de
pedido]])</f>
        <v>2018</v>
      </c>
    </row>
    <row r="539" spans="1:25" ht="25.5" x14ac:dyDescent="0.2">
      <c r="A539" s="399">
        <v>43179</v>
      </c>
      <c r="B539" s="425">
        <v>18018</v>
      </c>
      <c r="C539" s="400" t="s">
        <v>906</v>
      </c>
      <c r="D539" s="401" t="s">
        <v>33</v>
      </c>
      <c r="E539" s="400" t="s">
        <v>277</v>
      </c>
      <c r="F539" s="401" t="s">
        <v>778</v>
      </c>
      <c r="G539" s="400" t="s">
        <v>1749</v>
      </c>
      <c r="H539" s="401">
        <v>2</v>
      </c>
      <c r="I539" s="401" t="s">
        <v>1750</v>
      </c>
      <c r="J539" s="400" t="s">
        <v>1727</v>
      </c>
      <c r="K539" s="1">
        <v>567.12</v>
      </c>
      <c r="L539" s="238">
        <f>(Tabla1[[#This Row],[Costo Unitario]]*Tabla1[[#This Row],[cantidad]])</f>
        <v>1134.24</v>
      </c>
      <c r="M539" s="402">
        <v>43196</v>
      </c>
      <c r="N539" s="402">
        <v>43194</v>
      </c>
      <c r="O539" s="402" t="str">
        <f>IF( Tabla1[[#This Row],[Fecha de entrega real]]="","NO CONCRETADO",IF(N539&lt;=M539,"CUMPLIÓ","NO CUMPLIÓ"))</f>
        <v>CUMPLIÓ</v>
      </c>
      <c r="P539" s="141">
        <f t="shared" si="12"/>
        <v>-2</v>
      </c>
      <c r="Q539" s="4" t="s">
        <v>13</v>
      </c>
      <c r="R539" s="400" t="s">
        <v>33</v>
      </c>
      <c r="S539" s="4" t="s">
        <v>345</v>
      </c>
      <c r="T539" s="1" t="s">
        <v>1790</v>
      </c>
      <c r="U539" s="107" t="s">
        <v>1791</v>
      </c>
      <c r="V539" s="401"/>
      <c r="W539" s="401"/>
      <c r="X539" s="401">
        <f>MONTH(Tabla1[[#This Row],[fecha
de
pedido]])</f>
        <v>3</v>
      </c>
      <c r="Y539" s="401">
        <f>YEAR(Tabla1[[#This Row],[fecha
de
pedido]])</f>
        <v>2018</v>
      </c>
    </row>
    <row r="540" spans="1:25" ht="25.5" x14ac:dyDescent="0.2">
      <c r="A540" s="399">
        <v>43179</v>
      </c>
      <c r="B540" s="425">
        <v>18018</v>
      </c>
      <c r="C540" s="400" t="s">
        <v>906</v>
      </c>
      <c r="D540" s="401" t="s">
        <v>33</v>
      </c>
      <c r="E540" s="400" t="s">
        <v>277</v>
      </c>
      <c r="F540" s="401" t="s">
        <v>778</v>
      </c>
      <c r="G540" s="400" t="s">
        <v>1751</v>
      </c>
      <c r="H540" s="401">
        <v>2</v>
      </c>
      <c r="I540" s="401" t="s">
        <v>779</v>
      </c>
      <c r="J540" s="400" t="s">
        <v>1727</v>
      </c>
      <c r="K540" s="1">
        <v>563.04</v>
      </c>
      <c r="L540" s="238">
        <f>(Tabla1[[#This Row],[Costo Unitario]]*Tabla1[[#This Row],[cantidad]])</f>
        <v>1126.08</v>
      </c>
      <c r="M540" s="402">
        <v>43196</v>
      </c>
      <c r="N540" s="402">
        <v>43194</v>
      </c>
      <c r="O540" s="402" t="str">
        <f>IF( Tabla1[[#This Row],[Fecha de entrega real]]="","NO CONCRETADO",IF(N540&lt;=M540,"CUMPLIÓ","NO CUMPLIÓ"))</f>
        <v>CUMPLIÓ</v>
      </c>
      <c r="P540" s="141">
        <f t="shared" si="12"/>
        <v>-2</v>
      </c>
      <c r="Q540" s="4" t="s">
        <v>13</v>
      </c>
      <c r="R540" s="400" t="s">
        <v>33</v>
      </c>
      <c r="S540" s="4" t="s">
        <v>345</v>
      </c>
      <c r="T540" s="1" t="s">
        <v>1790</v>
      </c>
      <c r="U540" s="107" t="s">
        <v>1791</v>
      </c>
      <c r="V540" s="401"/>
      <c r="W540" s="401"/>
      <c r="X540" s="401">
        <f>MONTH(Tabla1[[#This Row],[fecha
de
pedido]])</f>
        <v>3</v>
      </c>
      <c r="Y540" s="401">
        <f>YEAR(Tabla1[[#This Row],[fecha
de
pedido]])</f>
        <v>2018</v>
      </c>
    </row>
    <row r="541" spans="1:25" ht="25.5" x14ac:dyDescent="0.2">
      <c r="A541" s="399">
        <v>43181</v>
      </c>
      <c r="B541" s="425">
        <v>18019</v>
      </c>
      <c r="C541" s="400" t="s">
        <v>1313</v>
      </c>
      <c r="D541" s="401" t="s">
        <v>33</v>
      </c>
      <c r="E541" s="400" t="s">
        <v>1044</v>
      </c>
      <c r="F541" s="401" t="s">
        <v>772</v>
      </c>
      <c r="G541" s="400" t="s">
        <v>1765</v>
      </c>
      <c r="H541" s="401">
        <v>1</v>
      </c>
      <c r="I541" s="401" t="s">
        <v>1766</v>
      </c>
      <c r="J541" s="400" t="s">
        <v>225</v>
      </c>
      <c r="K541" s="401">
        <v>1990</v>
      </c>
      <c r="L541" s="238">
        <f>(Tabla1[[#This Row],[Costo Unitario]]*Tabla1[[#This Row],[cantidad]])</f>
        <v>1990</v>
      </c>
      <c r="M541" s="402">
        <v>43186</v>
      </c>
      <c r="N541" s="402">
        <v>43186</v>
      </c>
      <c r="O541" s="402" t="str">
        <f>IF( Tabla1[[#This Row],[Fecha de entrega real]]="","NO CONCRETADO",IF(N541&lt;=M541,"CUMPLIÓ","NO CUMPLIÓ"))</f>
        <v>CUMPLIÓ</v>
      </c>
      <c r="P541" s="141">
        <f t="shared" si="12"/>
        <v>0</v>
      </c>
      <c r="Q541" s="400" t="s">
        <v>13</v>
      </c>
      <c r="R541" s="400" t="s">
        <v>33</v>
      </c>
      <c r="S541" s="400" t="s">
        <v>334</v>
      </c>
      <c r="T541" s="401" t="s">
        <v>1767</v>
      </c>
      <c r="U541" s="403" t="s">
        <v>1768</v>
      </c>
      <c r="V541" s="401"/>
      <c r="W541" s="401"/>
      <c r="X541" s="401">
        <f>MONTH(Tabla1[[#This Row],[fecha
de
pedido]])</f>
        <v>3</v>
      </c>
      <c r="Y541" s="401">
        <f>YEAR(Tabla1[[#This Row],[fecha
de
pedido]])</f>
        <v>2018</v>
      </c>
    </row>
    <row r="542" spans="1:25" ht="25.5" x14ac:dyDescent="0.2">
      <c r="A542" s="399">
        <v>43181</v>
      </c>
      <c r="B542" s="425">
        <v>18020</v>
      </c>
      <c r="C542" s="400" t="s">
        <v>1313</v>
      </c>
      <c r="D542" s="401" t="s">
        <v>33</v>
      </c>
      <c r="E542" s="4" t="s">
        <v>11</v>
      </c>
      <c r="F542" s="1" t="s">
        <v>778</v>
      </c>
      <c r="G542" s="4" t="s">
        <v>1818</v>
      </c>
      <c r="H542" s="1">
        <v>12</v>
      </c>
      <c r="I542" s="1" t="s">
        <v>779</v>
      </c>
      <c r="J542" s="400" t="s">
        <v>225</v>
      </c>
      <c r="K542" s="1">
        <v>283</v>
      </c>
      <c r="L542" s="238">
        <f>(Tabla1[[#This Row],[Costo Unitario]]*Tabla1[[#This Row],[cantidad]])</f>
        <v>3396</v>
      </c>
      <c r="M542" s="88">
        <v>43208</v>
      </c>
      <c r="N542" s="88">
        <v>43208</v>
      </c>
      <c r="O542" s="88" t="str">
        <f>IF( Tabla1[[#This Row],[Fecha de entrega real]]="","NO CONCRETADO",IF(N542&lt;=M542,"CUMPLIÓ","NO CUMPLIÓ"))</f>
        <v>CUMPLIÓ</v>
      </c>
      <c r="P542" s="141">
        <f t="shared" si="12"/>
        <v>0</v>
      </c>
      <c r="Q542" s="400" t="s">
        <v>13</v>
      </c>
      <c r="R542" s="4" t="s">
        <v>33</v>
      </c>
      <c r="S542" s="4" t="s">
        <v>1850</v>
      </c>
      <c r="T542" s="1" t="s">
        <v>1851</v>
      </c>
      <c r="U542" s="107" t="s">
        <v>1852</v>
      </c>
      <c r="X542" s="1">
        <f>MONTH(Tabla1[[#This Row],[fecha
de
pedido]])</f>
        <v>3</v>
      </c>
      <c r="Y542" s="1">
        <f>YEAR(Tabla1[[#This Row],[fecha
de
pedido]])</f>
        <v>2018</v>
      </c>
    </row>
    <row r="543" spans="1:25" x14ac:dyDescent="0.2">
      <c r="A543" s="399">
        <v>43185</v>
      </c>
      <c r="B543" s="426" t="s">
        <v>487</v>
      </c>
      <c r="C543" s="400" t="s">
        <v>1744</v>
      </c>
      <c r="D543" s="401" t="s">
        <v>33</v>
      </c>
      <c r="E543" s="400" t="s">
        <v>444</v>
      </c>
      <c r="F543" s="401" t="s">
        <v>1016</v>
      </c>
      <c r="G543" s="400" t="s">
        <v>1253</v>
      </c>
      <c r="H543" s="401">
        <v>3</v>
      </c>
      <c r="I543" s="401" t="s">
        <v>1254</v>
      </c>
      <c r="J543" s="400" t="s">
        <v>81</v>
      </c>
      <c r="K543" s="401"/>
      <c r="L543" s="238">
        <f>(Tabla1[[#This Row],[Costo Unitario]]*Tabla1[[#This Row],[cantidad]])</f>
        <v>0</v>
      </c>
      <c r="M543" s="402">
        <v>43187</v>
      </c>
      <c r="N543" s="402">
        <v>43186</v>
      </c>
      <c r="O543" s="402" t="str">
        <f>IF( Tabla1[[#This Row],[Fecha de entrega real]]="","NO CONCRETADO",IF(N543&lt;=M543,"CUMPLIÓ","NO CUMPLIÓ"))</f>
        <v>CUMPLIÓ</v>
      </c>
      <c r="P543" s="141">
        <f t="shared" si="12"/>
        <v>-1</v>
      </c>
      <c r="Q543" s="246" t="s">
        <v>13</v>
      </c>
      <c r="R543" s="400" t="s">
        <v>775</v>
      </c>
      <c r="S543" s="400" t="s">
        <v>1754</v>
      </c>
      <c r="T543" s="401" t="s">
        <v>1756</v>
      </c>
      <c r="U543" s="107" t="s">
        <v>1817</v>
      </c>
      <c r="V543" s="401"/>
      <c r="W543" s="401"/>
      <c r="X543" s="401">
        <f>MONTH(Tabla1[[#This Row],[fecha
de
pedido]])</f>
        <v>3</v>
      </c>
      <c r="Y543" s="401">
        <f>YEAR(Tabla1[[#This Row],[fecha
de
pedido]])</f>
        <v>2018</v>
      </c>
    </row>
    <row r="544" spans="1:25" ht="25.5" x14ac:dyDescent="0.2">
      <c r="A544" s="399">
        <v>43193</v>
      </c>
      <c r="B544" s="425">
        <v>18021</v>
      </c>
      <c r="C544" s="400" t="s">
        <v>1780</v>
      </c>
      <c r="D544" s="401" t="s">
        <v>33</v>
      </c>
      <c r="E544" s="400" t="s">
        <v>444</v>
      </c>
      <c r="F544" s="401" t="s">
        <v>772</v>
      </c>
      <c r="G544" s="400" t="s">
        <v>1781</v>
      </c>
      <c r="H544" s="401">
        <v>2</v>
      </c>
      <c r="I544" s="401" t="s">
        <v>784</v>
      </c>
      <c r="J544" s="400" t="s">
        <v>1727</v>
      </c>
      <c r="K544" s="401">
        <v>70</v>
      </c>
      <c r="L544" s="238">
        <f>(Tabla1[[#This Row],[Costo Unitario]]*Tabla1[[#This Row],[cantidad]])</f>
        <v>140</v>
      </c>
      <c r="M544" s="402">
        <v>43215</v>
      </c>
      <c r="N544" s="402">
        <v>43243</v>
      </c>
      <c r="O544" s="402" t="str">
        <f>IF( Tabla1[[#This Row],[Fecha de entrega real]]="","NO CONCRETADO",IF(N544&lt;=M544,"CUMPLIÓ","NO CUMPLIÓ"))</f>
        <v>NO CUMPLIÓ</v>
      </c>
      <c r="P544" s="141">
        <f t="shared" si="12"/>
        <v>28</v>
      </c>
      <c r="Q544" s="246" t="s">
        <v>13</v>
      </c>
      <c r="R544" s="4" t="s">
        <v>33</v>
      </c>
      <c r="S544" s="4" t="s">
        <v>2003</v>
      </c>
      <c r="T544" s="414" t="s">
        <v>2026</v>
      </c>
      <c r="U544" s="107" t="s">
        <v>2025</v>
      </c>
      <c r="V544" s="401"/>
      <c r="W544" s="401"/>
      <c r="X544" s="401">
        <f>MONTH(Tabla1[[#This Row],[fecha
de
pedido]])</f>
        <v>4</v>
      </c>
      <c r="Y544" s="401">
        <f>YEAR(Tabla1[[#This Row],[fecha
de
pedido]])</f>
        <v>2018</v>
      </c>
    </row>
    <row r="545" spans="1:25" ht="25.5" x14ac:dyDescent="0.2">
      <c r="A545" s="399">
        <v>43193</v>
      </c>
      <c r="B545" s="425">
        <v>18021</v>
      </c>
      <c r="C545" s="400" t="s">
        <v>825</v>
      </c>
      <c r="D545" s="401" t="s">
        <v>33</v>
      </c>
      <c r="E545" s="400" t="s">
        <v>444</v>
      </c>
      <c r="F545" s="401" t="s">
        <v>772</v>
      </c>
      <c r="G545" s="400" t="s">
        <v>1782</v>
      </c>
      <c r="H545" s="401">
        <v>5</v>
      </c>
      <c r="I545" s="401" t="s">
        <v>784</v>
      </c>
      <c r="J545" s="400" t="s">
        <v>1727</v>
      </c>
      <c r="K545" s="401">
        <v>132</v>
      </c>
      <c r="L545" s="238">
        <f>(Tabla1[[#This Row],[Costo Unitario]]*Tabla1[[#This Row],[cantidad]])</f>
        <v>660</v>
      </c>
      <c r="M545" s="402">
        <v>43215</v>
      </c>
      <c r="N545" s="402">
        <v>43243</v>
      </c>
      <c r="O545" s="402" t="str">
        <f>IF( Tabla1[[#This Row],[Fecha de entrega real]]="","NO CONCRETADO",IF(N545&lt;=M545,"CUMPLIÓ","NO CUMPLIÓ"))</f>
        <v>NO CUMPLIÓ</v>
      </c>
      <c r="P545" s="141">
        <f t="shared" si="12"/>
        <v>28</v>
      </c>
      <c r="Q545" s="246" t="s">
        <v>13</v>
      </c>
      <c r="R545" s="4" t="s">
        <v>33</v>
      </c>
      <c r="S545" s="4" t="s">
        <v>2003</v>
      </c>
      <c r="T545" s="1" t="s">
        <v>2026</v>
      </c>
      <c r="U545" s="107" t="s">
        <v>2025</v>
      </c>
      <c r="V545" s="401"/>
      <c r="W545" s="401"/>
      <c r="X545" s="401">
        <f>MONTH(Tabla1[[#This Row],[fecha
de
pedido]])</f>
        <v>4</v>
      </c>
      <c r="Y545" s="401">
        <f>YEAR(Tabla1[[#This Row],[fecha
de
pedido]])</f>
        <v>2018</v>
      </c>
    </row>
    <row r="546" spans="1:25" ht="25.5" x14ac:dyDescent="0.2">
      <c r="A546" s="399">
        <v>43193</v>
      </c>
      <c r="B546" s="425">
        <v>18022</v>
      </c>
      <c r="C546" s="400" t="s">
        <v>227</v>
      </c>
      <c r="D546" s="401" t="s">
        <v>33</v>
      </c>
      <c r="E546" s="400" t="s">
        <v>444</v>
      </c>
      <c r="F546" s="401" t="s">
        <v>772</v>
      </c>
      <c r="G546" s="400" t="s">
        <v>1783</v>
      </c>
      <c r="H546" s="401">
        <v>5</v>
      </c>
      <c r="I546" s="401" t="s">
        <v>784</v>
      </c>
      <c r="J546" s="400" t="s">
        <v>1727</v>
      </c>
      <c r="K546" s="401">
        <v>583.22</v>
      </c>
      <c r="L546" s="238">
        <f>(Tabla1[[#This Row],[Costo Unitario]]*Tabla1[[#This Row],[cantidad]])</f>
        <v>2916.1000000000004</v>
      </c>
      <c r="M546" s="402">
        <v>43215</v>
      </c>
      <c r="N546" s="402">
        <v>43243</v>
      </c>
      <c r="O546" s="402" t="str">
        <f>IF( Tabla1[[#This Row],[Fecha de entrega real]]="","NO CONCRETADO",IF(N546&lt;=M546,"CUMPLIÓ","NO CUMPLIÓ"))</f>
        <v>NO CUMPLIÓ</v>
      </c>
      <c r="P546" s="141">
        <f t="shared" si="12"/>
        <v>28</v>
      </c>
      <c r="Q546" s="4" t="s">
        <v>13</v>
      </c>
      <c r="R546" s="4" t="s">
        <v>33</v>
      </c>
      <c r="S546" s="4" t="s">
        <v>2003</v>
      </c>
      <c r="T546" s="1" t="s">
        <v>2022</v>
      </c>
      <c r="U546" s="107" t="s">
        <v>2021</v>
      </c>
      <c r="V546" s="401"/>
      <c r="W546" s="401"/>
      <c r="X546" s="401">
        <f>MONTH(Tabla1[[#This Row],[fecha
de
pedido]])</f>
        <v>4</v>
      </c>
      <c r="Y546" s="401">
        <f>YEAR(Tabla1[[#This Row],[fecha
de
pedido]])</f>
        <v>2018</v>
      </c>
    </row>
    <row r="547" spans="1:25" x14ac:dyDescent="0.2">
      <c r="A547" s="399">
        <v>43193</v>
      </c>
      <c r="B547" s="425">
        <v>18023</v>
      </c>
      <c r="C547" s="400" t="s">
        <v>976</v>
      </c>
      <c r="D547" s="401" t="s">
        <v>33</v>
      </c>
      <c r="E547" s="400" t="s">
        <v>444</v>
      </c>
      <c r="F547" s="401" t="s">
        <v>1199</v>
      </c>
      <c r="G547" s="400" t="s">
        <v>1784</v>
      </c>
      <c r="H547" s="401">
        <v>12</v>
      </c>
      <c r="I547" s="401" t="s">
        <v>779</v>
      </c>
      <c r="J547" s="400" t="s">
        <v>77</v>
      </c>
      <c r="K547" s="401">
        <v>50.82</v>
      </c>
      <c r="L547" s="238">
        <f>(Tabla1[[#This Row],[Costo Unitario]]*Tabla1[[#This Row],[cantidad]])</f>
        <v>609.84</v>
      </c>
      <c r="M547" s="401" t="s">
        <v>854</v>
      </c>
      <c r="N547" s="402">
        <v>43194</v>
      </c>
      <c r="O547" s="402" t="str">
        <f>IF( Tabla1[[#This Row],[Fecha de entrega real]]="","NO CONCRETADO",IF(N547&lt;=M547,"CUMPLIÓ","NO CUMPLIÓ"))</f>
        <v>CUMPLIÓ</v>
      </c>
      <c r="P547" s="141" t="e">
        <f t="shared" si="12"/>
        <v>#VALUE!</v>
      </c>
      <c r="Q547" s="400" t="s">
        <v>13</v>
      </c>
      <c r="R547" s="4" t="s">
        <v>33</v>
      </c>
      <c r="S547" s="400" t="s">
        <v>1785</v>
      </c>
      <c r="T547" s="401" t="s">
        <v>1786</v>
      </c>
      <c r="U547" s="403" t="s">
        <v>1788</v>
      </c>
      <c r="V547" s="401"/>
      <c r="W547" s="401"/>
      <c r="X547" s="401">
        <f>MONTH(Tabla1[[#This Row],[fecha
de
pedido]])</f>
        <v>4</v>
      </c>
      <c r="Y547" s="401">
        <f>YEAR(Tabla1[[#This Row],[fecha
de
pedido]])</f>
        <v>2018</v>
      </c>
    </row>
    <row r="548" spans="1:25" x14ac:dyDescent="0.2">
      <c r="A548" s="399">
        <v>43193</v>
      </c>
      <c r="B548" s="425">
        <v>18024</v>
      </c>
      <c r="C548" s="400" t="s">
        <v>33</v>
      </c>
      <c r="D548" s="401" t="s">
        <v>33</v>
      </c>
      <c r="E548" s="400" t="s">
        <v>444</v>
      </c>
      <c r="F548" s="401" t="s">
        <v>1199</v>
      </c>
      <c r="G548" s="400" t="s">
        <v>1784</v>
      </c>
      <c r="H548" s="401">
        <v>12</v>
      </c>
      <c r="I548" s="401" t="s">
        <v>779</v>
      </c>
      <c r="J548" s="400" t="s">
        <v>77</v>
      </c>
      <c r="K548" s="401">
        <v>50.82</v>
      </c>
      <c r="L548" s="238">
        <f>(Tabla1[[#This Row],[Costo Unitario]]*Tabla1[[#This Row],[cantidad]])</f>
        <v>609.84</v>
      </c>
      <c r="M548" s="401" t="s">
        <v>854</v>
      </c>
      <c r="N548" s="402">
        <v>43194</v>
      </c>
      <c r="O548" s="402" t="str">
        <f>IF( Tabla1[[#This Row],[Fecha de entrega real]]="","NO CONCRETADO",IF(N548&lt;=M548,"CUMPLIÓ","NO CUMPLIÓ"))</f>
        <v>CUMPLIÓ</v>
      </c>
      <c r="P548" s="141" t="e">
        <f t="shared" si="12"/>
        <v>#VALUE!</v>
      </c>
      <c r="Q548" s="400" t="s">
        <v>13</v>
      </c>
      <c r="R548" s="4" t="s">
        <v>33</v>
      </c>
      <c r="S548" s="400" t="s">
        <v>1785</v>
      </c>
      <c r="T548" s="401" t="s">
        <v>1787</v>
      </c>
      <c r="U548" s="403" t="s">
        <v>1789</v>
      </c>
      <c r="V548" s="401"/>
      <c r="W548" s="401"/>
      <c r="X548" s="401">
        <f>MONTH(Tabla1[[#This Row],[fecha
de
pedido]])</f>
        <v>4</v>
      </c>
      <c r="Y548" s="401">
        <f>YEAR(Tabla1[[#This Row],[fecha
de
pedido]])</f>
        <v>2018</v>
      </c>
    </row>
    <row r="549" spans="1:25" x14ac:dyDescent="0.2">
      <c r="A549" s="399">
        <v>43195</v>
      </c>
      <c r="B549" s="426" t="s">
        <v>487</v>
      </c>
      <c r="C549" s="400" t="s">
        <v>1186</v>
      </c>
      <c r="D549" s="401" t="s">
        <v>33</v>
      </c>
      <c r="E549" s="400" t="s">
        <v>444</v>
      </c>
      <c r="F549" s="401" t="s">
        <v>772</v>
      </c>
      <c r="G549" s="400" t="s">
        <v>1046</v>
      </c>
      <c r="H549" s="401">
        <v>150</v>
      </c>
      <c r="I549" s="401" t="s">
        <v>779</v>
      </c>
      <c r="J549" s="400" t="s">
        <v>12</v>
      </c>
      <c r="K549" s="401">
        <v>6</v>
      </c>
      <c r="L549" s="238">
        <f>(Tabla1[[#This Row],[Costo Unitario]]*Tabla1[[#This Row],[cantidad]])</f>
        <v>900</v>
      </c>
      <c r="M549" s="402">
        <v>43200</v>
      </c>
      <c r="N549" s="402">
        <v>43196</v>
      </c>
      <c r="O549" s="402" t="str">
        <f>IF( Tabla1[[#This Row],[Fecha de entrega real]]="","NO CONCRETADO",IF(N549&lt;=M549,"CUMPLIÓ","NO CUMPLIÓ"))</f>
        <v>CUMPLIÓ</v>
      </c>
      <c r="P549" s="141">
        <f t="shared" si="12"/>
        <v>-4</v>
      </c>
      <c r="Q549" s="400" t="s">
        <v>13</v>
      </c>
      <c r="R549" s="4" t="s">
        <v>33</v>
      </c>
      <c r="S549" s="4" t="s">
        <v>244</v>
      </c>
      <c r="T549" s="1" t="s">
        <v>1973</v>
      </c>
      <c r="U549" s="107" t="s">
        <v>1821</v>
      </c>
      <c r="V549" s="401"/>
      <c r="W549" s="401"/>
      <c r="X549" s="401">
        <f>MONTH(Tabla1[[#This Row],[fecha
de
pedido]])</f>
        <v>4</v>
      </c>
      <c r="Y549" s="401">
        <f>YEAR(Tabla1[[#This Row],[fecha
de
pedido]])</f>
        <v>2018</v>
      </c>
    </row>
    <row r="550" spans="1:25" ht="25.5" x14ac:dyDescent="0.2">
      <c r="A550" s="399">
        <v>43195</v>
      </c>
      <c r="B550" s="426" t="s">
        <v>487</v>
      </c>
      <c r="C550" s="400" t="s">
        <v>33</v>
      </c>
      <c r="D550" s="401" t="s">
        <v>33</v>
      </c>
      <c r="E550" s="400" t="s">
        <v>444</v>
      </c>
      <c r="F550" s="401" t="s">
        <v>772</v>
      </c>
      <c r="G550" s="400" t="s">
        <v>204</v>
      </c>
      <c r="H550" s="401">
        <v>120</v>
      </c>
      <c r="I550" s="401" t="s">
        <v>779</v>
      </c>
      <c r="J550" s="400" t="s">
        <v>12</v>
      </c>
      <c r="K550" s="401">
        <v>6</v>
      </c>
      <c r="L550" s="238">
        <f>(Tabla1[[#This Row],[Costo Unitario]]*Tabla1[[#This Row],[cantidad]])</f>
        <v>720</v>
      </c>
      <c r="M550" s="402">
        <v>43200</v>
      </c>
      <c r="N550" s="402">
        <v>43196</v>
      </c>
      <c r="O550" s="402" t="str">
        <f>IF( Tabla1[[#This Row],[Fecha de entrega real]]="","NO CONCRETADO",IF(N550&lt;=M550,"CUMPLIÓ","NO CUMPLIÓ"))</f>
        <v>CUMPLIÓ</v>
      </c>
      <c r="P550" s="141">
        <f t="shared" ref="P550:P587" si="13">IF(N550="","NO CONCRETADO",N550-M550)</f>
        <v>-4</v>
      </c>
      <c r="Q550" s="400" t="s">
        <v>13</v>
      </c>
      <c r="R550" s="4" t="s">
        <v>33</v>
      </c>
      <c r="S550" s="4" t="s">
        <v>1820</v>
      </c>
      <c r="T550" s="1" t="s">
        <v>1973</v>
      </c>
      <c r="U550" s="107" t="s">
        <v>1822</v>
      </c>
      <c r="V550" s="401"/>
      <c r="W550" s="401"/>
      <c r="X550" s="401">
        <f>MONTH(Tabla1[[#This Row],[fecha
de
pedido]])</f>
        <v>4</v>
      </c>
      <c r="Y550" s="401">
        <f>YEAR(Tabla1[[#This Row],[fecha
de
pedido]])</f>
        <v>2018</v>
      </c>
    </row>
    <row r="551" spans="1:25" ht="25.5" x14ac:dyDescent="0.2">
      <c r="A551" s="399">
        <v>43195</v>
      </c>
      <c r="B551" s="425">
        <v>18025</v>
      </c>
      <c r="C551" s="4" t="s">
        <v>11</v>
      </c>
      <c r="D551" s="1" t="s">
        <v>33</v>
      </c>
      <c r="E551" s="4" t="s">
        <v>11</v>
      </c>
      <c r="F551" s="1" t="s">
        <v>772</v>
      </c>
      <c r="G551" s="400" t="s">
        <v>1783</v>
      </c>
      <c r="H551" s="1">
        <v>10</v>
      </c>
      <c r="I551" s="1" t="s">
        <v>784</v>
      </c>
      <c r="J551" s="4" t="s">
        <v>1727</v>
      </c>
      <c r="K551" s="1">
        <v>583.22</v>
      </c>
      <c r="L551" s="238">
        <f>(Tabla1[[#This Row],[Costo Unitario]]*Tabla1[[#This Row],[cantidad]])</f>
        <v>5832.2000000000007</v>
      </c>
      <c r="M551" s="88">
        <v>43217</v>
      </c>
      <c r="N551" s="88">
        <v>43243</v>
      </c>
      <c r="O551" s="88" t="str">
        <f>IF( Tabla1[[#This Row],[Fecha de entrega real]]="","NO CONCRETADO",IF(N551&lt;=M551,"CUMPLIÓ","NO CUMPLIÓ"))</f>
        <v>NO CUMPLIÓ</v>
      </c>
      <c r="P551" s="141">
        <f t="shared" si="13"/>
        <v>26</v>
      </c>
      <c r="Q551" s="400" t="s">
        <v>13</v>
      </c>
      <c r="R551" s="4" t="s">
        <v>33</v>
      </c>
      <c r="S551" s="4" t="s">
        <v>2003</v>
      </c>
      <c r="T551" s="414" t="s">
        <v>2023</v>
      </c>
      <c r="U551" s="416" t="s">
        <v>2024</v>
      </c>
      <c r="X551" s="1">
        <f>MONTH(Tabla1[[#This Row],[fecha
de
pedido]])</f>
        <v>4</v>
      </c>
      <c r="Y551" s="1">
        <f>YEAR(Tabla1[[#This Row],[fecha
de
pedido]])</f>
        <v>2018</v>
      </c>
    </row>
    <row r="552" spans="1:25" x14ac:dyDescent="0.2">
      <c r="A552" s="399">
        <v>43200</v>
      </c>
      <c r="B552" s="425">
        <v>18026</v>
      </c>
      <c r="C552" s="400" t="s">
        <v>1213</v>
      </c>
      <c r="D552" s="401" t="s">
        <v>33</v>
      </c>
      <c r="E552" s="400" t="s">
        <v>1044</v>
      </c>
      <c r="F552" s="401" t="s">
        <v>778</v>
      </c>
      <c r="G552" s="400" t="s">
        <v>1819</v>
      </c>
      <c r="H552" s="401">
        <v>1</v>
      </c>
      <c r="I552" s="401" t="s">
        <v>821</v>
      </c>
      <c r="J552" s="4" t="s">
        <v>1727</v>
      </c>
      <c r="K552" s="401">
        <v>1083</v>
      </c>
      <c r="L552" s="238">
        <f>(Tabla1[[#This Row],[Costo Unitario]]*Tabla1[[#This Row],[cantidad]])</f>
        <v>1083</v>
      </c>
      <c r="M552" s="402">
        <v>43209</v>
      </c>
      <c r="N552" s="402">
        <v>43203</v>
      </c>
      <c r="O552" s="402" t="str">
        <f>IF( Tabla1[[#This Row],[Fecha de entrega real]]="","NO CONCRETADO",IF(N552&lt;=M552,"CUMPLIÓ","NO CUMPLIÓ"))</f>
        <v>CUMPLIÓ</v>
      </c>
      <c r="P552" s="141">
        <f t="shared" si="13"/>
        <v>-6</v>
      </c>
      <c r="Q552" s="4" t="s">
        <v>13</v>
      </c>
      <c r="R552" s="4" t="s">
        <v>33</v>
      </c>
      <c r="S552" s="4" t="s">
        <v>334</v>
      </c>
      <c r="T552" s="1" t="s">
        <v>1830</v>
      </c>
      <c r="U552" s="107" t="s">
        <v>1831</v>
      </c>
      <c r="V552" s="401"/>
      <c r="W552" s="401"/>
      <c r="X552" s="401">
        <f>MONTH(Tabla1[[#This Row],[fecha
de
pedido]])</f>
        <v>4</v>
      </c>
      <c r="Y552" s="401">
        <f>YEAR(Tabla1[[#This Row],[fecha
de
pedido]])</f>
        <v>2018</v>
      </c>
    </row>
    <row r="553" spans="1:25" ht="20.25" customHeight="1" x14ac:dyDescent="0.2">
      <c r="A553" s="399">
        <v>43201</v>
      </c>
      <c r="B553" s="425">
        <v>18027</v>
      </c>
      <c r="C553" s="4" t="s">
        <v>1102</v>
      </c>
      <c r="D553" s="401" t="s">
        <v>33</v>
      </c>
      <c r="E553" s="4" t="s">
        <v>11</v>
      </c>
      <c r="F553" s="1" t="s">
        <v>772</v>
      </c>
      <c r="G553" s="400" t="s">
        <v>1823</v>
      </c>
      <c r="H553" s="401">
        <v>2</v>
      </c>
      <c r="I553" s="1" t="s">
        <v>784</v>
      </c>
      <c r="J553" s="4" t="s">
        <v>1727</v>
      </c>
      <c r="K553" s="401">
        <v>160</v>
      </c>
      <c r="L553" s="238">
        <f>(Tabla1[[#This Row],[Costo Unitario]]*Tabla1[[#This Row],[cantidad]])</f>
        <v>320</v>
      </c>
      <c r="M553" s="402">
        <v>43208</v>
      </c>
      <c r="N553" s="402">
        <v>43203</v>
      </c>
      <c r="O553" s="402" t="str">
        <f>IF( Tabla1[[#This Row],[Fecha de entrega real]]="","NO CONCRETADO",IF(N553&lt;=M553,"CUMPLIÓ","NO CUMPLIÓ"))</f>
        <v>CUMPLIÓ</v>
      </c>
      <c r="P553" s="141">
        <f t="shared" si="13"/>
        <v>-5</v>
      </c>
      <c r="Q553" s="4" t="s">
        <v>13</v>
      </c>
      <c r="R553" s="4" t="s">
        <v>33</v>
      </c>
      <c r="S553" s="4" t="s">
        <v>334</v>
      </c>
      <c r="T553" s="1" t="s">
        <v>1830</v>
      </c>
      <c r="U553" s="107" t="s">
        <v>1832</v>
      </c>
      <c r="V553" s="401"/>
      <c r="W553" s="401"/>
      <c r="X553" s="401">
        <f>MONTH(Tabla1[[#This Row],[fecha
de
pedido]])</f>
        <v>4</v>
      </c>
      <c r="Y553" s="401">
        <f>YEAR(Tabla1[[#This Row],[fecha
de
pedido]])</f>
        <v>2018</v>
      </c>
    </row>
    <row r="554" spans="1:25" ht="25.5" x14ac:dyDescent="0.2">
      <c r="A554" s="152">
        <v>43201</v>
      </c>
      <c r="B554" s="426">
        <v>18027</v>
      </c>
      <c r="C554" s="4" t="s">
        <v>1048</v>
      </c>
      <c r="D554" s="401" t="s">
        <v>33</v>
      </c>
      <c r="E554" s="4" t="s">
        <v>11</v>
      </c>
      <c r="F554" s="1" t="s">
        <v>772</v>
      </c>
      <c r="G554" s="4" t="s">
        <v>1824</v>
      </c>
      <c r="H554" s="1">
        <v>4</v>
      </c>
      <c r="I554" s="1" t="s">
        <v>897</v>
      </c>
      <c r="J554" s="4" t="s">
        <v>1727</v>
      </c>
      <c r="K554" s="1">
        <v>740</v>
      </c>
      <c r="L554" s="238">
        <f>(Tabla1[[#This Row],[Costo Unitario]]*Tabla1[[#This Row],[cantidad]])</f>
        <v>2960</v>
      </c>
      <c r="M554" s="88">
        <v>43208</v>
      </c>
      <c r="N554" s="88">
        <v>43203</v>
      </c>
      <c r="O554" s="88" t="str">
        <f>IF( Tabla1[[#This Row],[Fecha de entrega real]]="","NO CONCRETADO",IF(N554&lt;=M554,"CUMPLIÓ","NO CUMPLIÓ"))</f>
        <v>CUMPLIÓ</v>
      </c>
      <c r="P554" s="141">
        <f t="shared" si="13"/>
        <v>-5</v>
      </c>
      <c r="Q554" s="4" t="s">
        <v>13</v>
      </c>
      <c r="R554" s="4" t="s">
        <v>33</v>
      </c>
      <c r="S554" s="4" t="s">
        <v>334</v>
      </c>
      <c r="T554" s="1" t="s">
        <v>1830</v>
      </c>
      <c r="U554" s="107" t="s">
        <v>1832</v>
      </c>
      <c r="X554" s="1">
        <f>MONTH(Tabla1[[#This Row],[fecha
de
pedido]])</f>
        <v>4</v>
      </c>
      <c r="Y554" s="1">
        <f>YEAR(Tabla1[[#This Row],[fecha
de
pedido]])</f>
        <v>2018</v>
      </c>
    </row>
    <row r="555" spans="1:25" x14ac:dyDescent="0.2">
      <c r="A555" s="152">
        <v>43201</v>
      </c>
      <c r="B555" s="426">
        <v>18028</v>
      </c>
      <c r="C555" s="4" t="s">
        <v>461</v>
      </c>
      <c r="D555" s="1" t="s">
        <v>33</v>
      </c>
      <c r="E555" s="4" t="s">
        <v>11</v>
      </c>
      <c r="F555" s="1" t="s">
        <v>772</v>
      </c>
      <c r="G555" s="4" t="s">
        <v>1825</v>
      </c>
      <c r="H555" s="1">
        <v>2</v>
      </c>
      <c r="I555" s="1" t="s">
        <v>784</v>
      </c>
      <c r="J555" s="4" t="s">
        <v>1795</v>
      </c>
      <c r="K555" s="1">
        <v>296.48</v>
      </c>
      <c r="L555" s="238">
        <f>(Tabla1[[#This Row],[Costo Unitario]]*Tabla1[[#This Row],[cantidad]])</f>
        <v>592.96</v>
      </c>
      <c r="M555" s="1" t="s">
        <v>854</v>
      </c>
      <c r="N555" s="88">
        <v>43203</v>
      </c>
      <c r="O555" s="88" t="str">
        <f>IF( Tabla1[[#This Row],[Fecha de entrega real]]="","NO CONCRETADO",IF(N555&lt;=M555,"CUMPLIÓ","NO CUMPLIÓ"))</f>
        <v>CUMPLIÓ</v>
      </c>
      <c r="P555" s="141" t="e">
        <f t="shared" si="13"/>
        <v>#VALUE!</v>
      </c>
      <c r="Q555" s="4" t="s">
        <v>13</v>
      </c>
      <c r="R555" s="4" t="s">
        <v>33</v>
      </c>
      <c r="S555" s="4" t="s">
        <v>1827</v>
      </c>
      <c r="T555" s="1" t="s">
        <v>1828</v>
      </c>
      <c r="U555" s="107" t="s">
        <v>1829</v>
      </c>
      <c r="X555" s="1">
        <f>MONTH(Tabla1[[#This Row],[fecha
de
pedido]])</f>
        <v>4</v>
      </c>
      <c r="Y555" s="1">
        <f>YEAR(Tabla1[[#This Row],[fecha
de
pedido]])</f>
        <v>2018</v>
      </c>
    </row>
    <row r="556" spans="1:25" ht="25.5" x14ac:dyDescent="0.2">
      <c r="A556" s="152">
        <v>43206</v>
      </c>
      <c r="B556" s="430" t="s">
        <v>2014</v>
      </c>
      <c r="C556" s="407" t="s">
        <v>1439</v>
      </c>
      <c r="D556" s="1" t="s">
        <v>33</v>
      </c>
      <c r="E556" s="407" t="s">
        <v>1439</v>
      </c>
      <c r="F556" s="408" t="s">
        <v>778</v>
      </c>
      <c r="G556" s="410" t="s">
        <v>1837</v>
      </c>
      <c r="H556" s="408">
        <v>2</v>
      </c>
      <c r="I556" s="1" t="s">
        <v>779</v>
      </c>
      <c r="J556" s="4" t="s">
        <v>1727</v>
      </c>
      <c r="K556" s="408">
        <v>98</v>
      </c>
      <c r="L556" s="238">
        <f>(Tabla1[[#This Row],[Costo Unitario]]*Tabla1[[#This Row],[cantidad]])</f>
        <v>196</v>
      </c>
      <c r="M556" s="409">
        <v>43210</v>
      </c>
      <c r="N556" s="409">
        <v>43213</v>
      </c>
      <c r="O556" s="409" t="str">
        <f>IF( Tabla1[[#This Row],[Fecha de entrega real]]="","NO CONCRETADO",IF(N556&lt;=M556,"CUMPLIÓ","NO CUMPLIÓ"))</f>
        <v>NO CUMPLIÓ</v>
      </c>
      <c r="P556" s="141">
        <f t="shared" si="13"/>
        <v>3</v>
      </c>
      <c r="Q556" s="4" t="s">
        <v>13</v>
      </c>
      <c r="R556" s="4" t="s">
        <v>33</v>
      </c>
      <c r="S556" s="4" t="s">
        <v>334</v>
      </c>
      <c r="T556" s="1" t="s">
        <v>1877</v>
      </c>
      <c r="U556" s="107" t="s">
        <v>1878</v>
      </c>
      <c r="V556" s="408"/>
      <c r="W556" s="408"/>
      <c r="X556" s="408">
        <f>MONTH(Tabla1[[#This Row],[fecha
de
pedido]])</f>
        <v>4</v>
      </c>
      <c r="Y556" s="408">
        <f>YEAR(Tabla1[[#This Row],[fecha
de
pedido]])</f>
        <v>2018</v>
      </c>
    </row>
    <row r="557" spans="1:25" ht="25.5" x14ac:dyDescent="0.2">
      <c r="A557" s="152">
        <v>43206</v>
      </c>
      <c r="B557" s="430" t="s">
        <v>2014</v>
      </c>
      <c r="C557" s="407" t="s">
        <v>1439</v>
      </c>
      <c r="D557" s="1" t="s">
        <v>33</v>
      </c>
      <c r="E557" s="407" t="s">
        <v>1439</v>
      </c>
      <c r="F557" s="408" t="s">
        <v>778</v>
      </c>
      <c r="G557" s="410" t="s">
        <v>1838</v>
      </c>
      <c r="H557" s="408">
        <v>5</v>
      </c>
      <c r="I557" s="1" t="s">
        <v>779</v>
      </c>
      <c r="J557" s="4" t="s">
        <v>1727</v>
      </c>
      <c r="K557" s="408">
        <v>218</v>
      </c>
      <c r="L557" s="238">
        <f>(Tabla1[[#This Row],[Costo Unitario]]*Tabla1[[#This Row],[cantidad]])</f>
        <v>1090</v>
      </c>
      <c r="M557" s="409">
        <v>43210</v>
      </c>
      <c r="N557" s="409">
        <v>43213</v>
      </c>
      <c r="O557" s="409" t="str">
        <f>IF( Tabla1[[#This Row],[Fecha de entrega real]]="","NO CONCRETADO",IF(N557&lt;=M557,"CUMPLIÓ","NO CUMPLIÓ"))</f>
        <v>NO CUMPLIÓ</v>
      </c>
      <c r="P557" s="141">
        <f t="shared" si="13"/>
        <v>3</v>
      </c>
      <c r="Q557" s="407"/>
      <c r="R557" s="4" t="s">
        <v>33</v>
      </c>
      <c r="S557" s="4" t="s">
        <v>334</v>
      </c>
      <c r="T557" s="1" t="s">
        <v>1877</v>
      </c>
      <c r="U557" s="107" t="s">
        <v>1878</v>
      </c>
      <c r="V557" s="408"/>
      <c r="W557" s="408"/>
      <c r="X557" s="408">
        <f>MONTH(Tabla1[[#This Row],[fecha
de
pedido]])</f>
        <v>4</v>
      </c>
      <c r="Y557" s="408">
        <f>YEAR(Tabla1[[#This Row],[fecha
de
pedido]])</f>
        <v>2018</v>
      </c>
    </row>
    <row r="558" spans="1:25" ht="28.5" customHeight="1" x14ac:dyDescent="0.2">
      <c r="A558" s="152">
        <v>43206</v>
      </c>
      <c r="B558" s="430" t="s">
        <v>2014</v>
      </c>
      <c r="C558" s="407" t="s">
        <v>1439</v>
      </c>
      <c r="D558" s="1" t="s">
        <v>33</v>
      </c>
      <c r="E558" s="407" t="s">
        <v>1439</v>
      </c>
      <c r="F558" s="408" t="s">
        <v>778</v>
      </c>
      <c r="G558" s="4" t="s">
        <v>1839</v>
      </c>
      <c r="H558" s="408">
        <v>2</v>
      </c>
      <c r="I558" s="1" t="s">
        <v>1750</v>
      </c>
      <c r="J558" s="4" t="s">
        <v>1727</v>
      </c>
      <c r="K558" s="408">
        <v>832</v>
      </c>
      <c r="L558" s="238">
        <f>(Tabla1[[#This Row],[Costo Unitario]]*Tabla1[[#This Row],[cantidad]])</f>
        <v>1664</v>
      </c>
      <c r="M558" s="409">
        <v>43224</v>
      </c>
      <c r="N558" s="409">
        <v>43224</v>
      </c>
      <c r="O558" s="409" t="str">
        <f>IF( Tabla1[[#This Row],[Fecha de entrega real]]="","NO CONCRETADO",IF(N558&lt;=M558,"CUMPLIÓ","NO CUMPLIÓ"))</f>
        <v>CUMPLIÓ</v>
      </c>
      <c r="P558" s="141">
        <f t="shared" si="13"/>
        <v>0</v>
      </c>
      <c r="Q558" s="4" t="s">
        <v>13</v>
      </c>
      <c r="R558" s="4" t="s">
        <v>33</v>
      </c>
      <c r="S558" s="4" t="s">
        <v>334</v>
      </c>
      <c r="T558" s="1" t="s">
        <v>1917</v>
      </c>
      <c r="U558" s="107" t="s">
        <v>1918</v>
      </c>
      <c r="V558" s="408"/>
      <c r="W558" s="408"/>
      <c r="X558" s="408">
        <f>MONTH(Tabla1[[#This Row],[fecha
de
pedido]])</f>
        <v>4</v>
      </c>
      <c r="Y558" s="408">
        <f>YEAR(Tabla1[[#This Row],[fecha
de
pedido]])</f>
        <v>2018</v>
      </c>
    </row>
    <row r="559" spans="1:25" ht="39" customHeight="1" x14ac:dyDescent="0.2">
      <c r="A559" s="152">
        <v>43206</v>
      </c>
      <c r="B559" s="430" t="s">
        <v>2014</v>
      </c>
      <c r="C559" s="407" t="s">
        <v>1439</v>
      </c>
      <c r="D559" s="1" t="s">
        <v>33</v>
      </c>
      <c r="E559" s="407" t="s">
        <v>1439</v>
      </c>
      <c r="F559" s="408" t="s">
        <v>778</v>
      </c>
      <c r="G559" s="4" t="s">
        <v>1840</v>
      </c>
      <c r="H559" s="408">
        <v>1</v>
      </c>
      <c r="I559" s="1" t="s">
        <v>821</v>
      </c>
      <c r="J559" s="4" t="s">
        <v>1727</v>
      </c>
      <c r="K559" s="408">
        <v>4900</v>
      </c>
      <c r="L559" s="238">
        <f>(Tabla1[[#This Row],[Costo Unitario]]*Tabla1[[#This Row],[cantidad]])</f>
        <v>4900</v>
      </c>
      <c r="M559" s="409">
        <v>43224</v>
      </c>
      <c r="N559" s="409">
        <v>43224</v>
      </c>
      <c r="O559" s="409" t="str">
        <f>IF( Tabla1[[#This Row],[Fecha de entrega real]]="","NO CONCRETADO",IF(N559&lt;=M559,"CUMPLIÓ","NO CUMPLIÓ"))</f>
        <v>CUMPLIÓ</v>
      </c>
      <c r="P559" s="141">
        <f t="shared" si="13"/>
        <v>0</v>
      </c>
      <c r="Q559" s="4" t="s">
        <v>13</v>
      </c>
      <c r="R559" s="4" t="s">
        <v>33</v>
      </c>
      <c r="S559" s="4" t="s">
        <v>334</v>
      </c>
      <c r="T559" s="1" t="s">
        <v>1917</v>
      </c>
      <c r="U559" s="107" t="s">
        <v>1918</v>
      </c>
      <c r="V559" s="408"/>
      <c r="W559" s="408"/>
      <c r="X559" s="408">
        <f>MONTH(Tabla1[[#This Row],[fecha
de
pedido]])</f>
        <v>4</v>
      </c>
      <c r="Y559" s="408">
        <f>YEAR(Tabla1[[#This Row],[fecha
de
pedido]])</f>
        <v>2018</v>
      </c>
    </row>
    <row r="560" spans="1:25" ht="38.25" x14ac:dyDescent="0.2">
      <c r="A560" s="152">
        <v>43206</v>
      </c>
      <c r="B560" s="430" t="s">
        <v>2014</v>
      </c>
      <c r="C560" s="407" t="s">
        <v>1439</v>
      </c>
      <c r="D560" s="1" t="s">
        <v>33</v>
      </c>
      <c r="E560" s="407" t="s">
        <v>1439</v>
      </c>
      <c r="F560" s="408" t="s">
        <v>778</v>
      </c>
      <c r="G560" s="4" t="s">
        <v>1841</v>
      </c>
      <c r="H560" s="408">
        <v>1</v>
      </c>
      <c r="I560" s="1" t="s">
        <v>821</v>
      </c>
      <c r="J560" s="4" t="s">
        <v>1727</v>
      </c>
      <c r="K560" s="408">
        <v>267</v>
      </c>
      <c r="L560" s="238">
        <f>(Tabla1[[#This Row],[Costo Unitario]]*Tabla1[[#This Row],[cantidad]])</f>
        <v>267</v>
      </c>
      <c r="M560" s="409">
        <v>43224</v>
      </c>
      <c r="N560" s="409">
        <v>43224</v>
      </c>
      <c r="O560" s="409" t="str">
        <f>IF( Tabla1[[#This Row],[Fecha de entrega real]]="","NO CONCRETADO",IF(N560&lt;=M560,"CUMPLIÓ","NO CUMPLIÓ"))</f>
        <v>CUMPLIÓ</v>
      </c>
      <c r="P560" s="141">
        <f t="shared" si="13"/>
        <v>0</v>
      </c>
      <c r="Q560" s="4" t="s">
        <v>13</v>
      </c>
      <c r="R560" s="4" t="s">
        <v>33</v>
      </c>
      <c r="S560" s="4" t="s">
        <v>334</v>
      </c>
      <c r="T560" s="1" t="s">
        <v>1917</v>
      </c>
      <c r="U560" s="107" t="s">
        <v>1918</v>
      </c>
      <c r="V560" s="408"/>
      <c r="W560" s="408"/>
      <c r="X560" s="408">
        <f>MONTH(Tabla1[[#This Row],[fecha
de
pedido]])</f>
        <v>4</v>
      </c>
      <c r="Y560" s="408">
        <f>YEAR(Tabla1[[#This Row],[fecha
de
pedido]])</f>
        <v>2018</v>
      </c>
    </row>
    <row r="561" spans="1:25" ht="40.5" customHeight="1" x14ac:dyDescent="0.2">
      <c r="A561" s="152">
        <v>43206</v>
      </c>
      <c r="B561" s="430" t="s">
        <v>2014</v>
      </c>
      <c r="C561" s="407" t="s">
        <v>1439</v>
      </c>
      <c r="D561" s="1" t="s">
        <v>33</v>
      </c>
      <c r="E561" s="407" t="s">
        <v>1439</v>
      </c>
      <c r="F561" s="408" t="s">
        <v>778</v>
      </c>
      <c r="G561" s="4" t="s">
        <v>1842</v>
      </c>
      <c r="H561" s="408">
        <v>1</v>
      </c>
      <c r="I561" s="1" t="s">
        <v>821</v>
      </c>
      <c r="J561" s="4" t="s">
        <v>1727</v>
      </c>
      <c r="K561" s="408">
        <v>297</v>
      </c>
      <c r="L561" s="238">
        <f>(Tabla1[[#This Row],[Costo Unitario]]*Tabla1[[#This Row],[cantidad]])</f>
        <v>297</v>
      </c>
      <c r="M561" s="409">
        <v>43224</v>
      </c>
      <c r="N561" s="409">
        <v>43224</v>
      </c>
      <c r="O561" s="409" t="str">
        <f>IF( Tabla1[[#This Row],[Fecha de entrega real]]="","NO CONCRETADO",IF(N561&lt;=M561,"CUMPLIÓ","NO CUMPLIÓ"))</f>
        <v>CUMPLIÓ</v>
      </c>
      <c r="P561" s="141">
        <f t="shared" si="13"/>
        <v>0</v>
      </c>
      <c r="Q561" s="4" t="s">
        <v>13</v>
      </c>
      <c r="R561" s="4" t="s">
        <v>33</v>
      </c>
      <c r="S561" s="4" t="s">
        <v>334</v>
      </c>
      <c r="T561" s="1" t="s">
        <v>1917</v>
      </c>
      <c r="U561" s="107" t="s">
        <v>1918</v>
      </c>
      <c r="V561" s="408"/>
      <c r="W561" s="408"/>
      <c r="X561" s="408">
        <f>MONTH(Tabla1[[#This Row],[fecha
de
pedido]])</f>
        <v>4</v>
      </c>
      <c r="Y561" s="408">
        <f>YEAR(Tabla1[[#This Row],[fecha
de
pedido]])</f>
        <v>2018</v>
      </c>
    </row>
    <row r="562" spans="1:25" ht="25.5" x14ac:dyDescent="0.2">
      <c r="A562" s="411">
        <v>43206</v>
      </c>
      <c r="B562" s="427">
        <v>18030</v>
      </c>
      <c r="C562" s="407" t="s">
        <v>1439</v>
      </c>
      <c r="D562" s="408" t="s">
        <v>33</v>
      </c>
      <c r="E562" s="407" t="s">
        <v>1439</v>
      </c>
      <c r="F562" s="408" t="s">
        <v>1045</v>
      </c>
      <c r="G562" s="4" t="s">
        <v>1843</v>
      </c>
      <c r="H562" s="408">
        <v>5</v>
      </c>
      <c r="I562" s="1" t="s">
        <v>784</v>
      </c>
      <c r="J562" s="4" t="s">
        <v>1844</v>
      </c>
      <c r="K562" s="408">
        <v>572.33000000000004</v>
      </c>
      <c r="L562" s="238">
        <f>(Tabla1[[#This Row],[Costo Unitario]]*Tabla1[[#This Row],[cantidad]])</f>
        <v>2861.65</v>
      </c>
      <c r="M562" s="409">
        <v>43215</v>
      </c>
      <c r="N562" s="409">
        <v>43231</v>
      </c>
      <c r="O562" s="409" t="str">
        <f>IF( Tabla1[[#This Row],[Fecha de entrega real]]="","NO CONCRETADO",IF(N562&lt;=M562,"CUMPLIÓ","NO CUMPLIÓ"))</f>
        <v>NO CUMPLIÓ</v>
      </c>
      <c r="P562" s="141">
        <f t="shared" si="13"/>
        <v>16</v>
      </c>
      <c r="Q562" s="4" t="s">
        <v>13</v>
      </c>
      <c r="R562" s="4" t="s">
        <v>33</v>
      </c>
      <c r="S562" s="4" t="s">
        <v>334</v>
      </c>
      <c r="T562" s="1" t="s">
        <v>1935</v>
      </c>
      <c r="U562" s="107" t="s">
        <v>1933</v>
      </c>
      <c r="V562" s="408"/>
      <c r="W562" s="408"/>
      <c r="X562" s="408">
        <f>MONTH(Tabla1[[#This Row],[fecha
de
pedido]])</f>
        <v>4</v>
      </c>
      <c r="Y562" s="408">
        <f>YEAR(Tabla1[[#This Row],[fecha
de
pedido]])</f>
        <v>2018</v>
      </c>
    </row>
    <row r="563" spans="1:25" ht="25.5" x14ac:dyDescent="0.2">
      <c r="A563" s="152">
        <v>43206</v>
      </c>
      <c r="B563" s="426">
        <v>18030</v>
      </c>
      <c r="C563" s="4" t="s">
        <v>1846</v>
      </c>
      <c r="D563" s="408" t="s">
        <v>33</v>
      </c>
      <c r="E563" s="407" t="s">
        <v>1439</v>
      </c>
      <c r="F563" s="408" t="s">
        <v>1045</v>
      </c>
      <c r="G563" s="4" t="s">
        <v>1845</v>
      </c>
      <c r="H563" s="1">
        <v>10</v>
      </c>
      <c r="I563" s="1" t="s">
        <v>784</v>
      </c>
      <c r="J563" s="4" t="s">
        <v>1844</v>
      </c>
      <c r="K563" s="1">
        <v>87.12</v>
      </c>
      <c r="L563" s="238">
        <f>(Tabla1[[#This Row],[Costo Unitario]]*Tabla1[[#This Row],[cantidad]])</f>
        <v>871.2</v>
      </c>
      <c r="M563" s="88">
        <v>43215</v>
      </c>
      <c r="N563" s="88">
        <v>43231</v>
      </c>
      <c r="O563" s="88" t="str">
        <f>IF( Tabla1[[#This Row],[Fecha de entrega real]]="","NO CONCRETADO",IF(N563&lt;=M563,"CUMPLIÓ","NO CUMPLIÓ"))</f>
        <v>NO CUMPLIÓ</v>
      </c>
      <c r="P563" s="141">
        <f t="shared" si="13"/>
        <v>16</v>
      </c>
      <c r="Q563" s="4" t="s">
        <v>13</v>
      </c>
      <c r="R563" s="4" t="s">
        <v>33</v>
      </c>
      <c r="S563" s="4" t="s">
        <v>334</v>
      </c>
      <c r="T563" s="1" t="s">
        <v>1936</v>
      </c>
      <c r="U563" s="107" t="s">
        <v>1934</v>
      </c>
      <c r="X563" s="1">
        <f>MONTH(Tabla1[[#This Row],[fecha
de
pedido]])</f>
        <v>4</v>
      </c>
      <c r="Y563" s="1">
        <f>YEAR(Tabla1[[#This Row],[fecha
de
pedido]])</f>
        <v>2018</v>
      </c>
    </row>
    <row r="564" spans="1:25" ht="25.5" x14ac:dyDescent="0.2">
      <c r="A564" s="152">
        <v>43206</v>
      </c>
      <c r="B564" s="426">
        <v>18030</v>
      </c>
      <c r="C564" s="4" t="s">
        <v>1846</v>
      </c>
      <c r="D564" s="408" t="s">
        <v>33</v>
      </c>
      <c r="E564" s="407" t="s">
        <v>1439</v>
      </c>
      <c r="F564" s="408" t="s">
        <v>1045</v>
      </c>
      <c r="G564" s="4" t="s">
        <v>1847</v>
      </c>
      <c r="H564" s="1">
        <v>10</v>
      </c>
      <c r="I564" s="1" t="s">
        <v>784</v>
      </c>
      <c r="J564" s="4" t="s">
        <v>1844</v>
      </c>
      <c r="K564" s="1">
        <v>99.22</v>
      </c>
      <c r="L564" s="238">
        <f>(Tabla1[[#This Row],[Costo Unitario]]*Tabla1[[#This Row],[cantidad]])</f>
        <v>992.2</v>
      </c>
      <c r="M564" s="88">
        <v>43215</v>
      </c>
      <c r="N564" s="88">
        <v>43231</v>
      </c>
      <c r="O564" s="88" t="str">
        <f>IF( Tabla1[[#This Row],[Fecha de entrega real]]="","NO CONCRETADO",IF(N564&lt;=M564,"CUMPLIÓ","NO CUMPLIÓ"))</f>
        <v>NO CUMPLIÓ</v>
      </c>
      <c r="P564" s="141">
        <f t="shared" si="13"/>
        <v>16</v>
      </c>
      <c r="Q564" s="4" t="s">
        <v>13</v>
      </c>
      <c r="R564" s="4" t="s">
        <v>33</v>
      </c>
      <c r="S564" s="4" t="s">
        <v>334</v>
      </c>
      <c r="T564" s="1" t="s">
        <v>1936</v>
      </c>
      <c r="U564" s="107" t="s">
        <v>1934</v>
      </c>
      <c r="X564" s="1">
        <f>MONTH(Tabla1[[#This Row],[fecha
de
pedido]])</f>
        <v>4</v>
      </c>
      <c r="Y564" s="1">
        <f>YEAR(Tabla1[[#This Row],[fecha
de
pedido]])</f>
        <v>2018</v>
      </c>
    </row>
    <row r="565" spans="1:25" ht="25.5" x14ac:dyDescent="0.2">
      <c r="A565" s="152">
        <v>43207</v>
      </c>
      <c r="B565" s="426">
        <v>18031</v>
      </c>
      <c r="C565" s="4" t="s">
        <v>849</v>
      </c>
      <c r="D565" s="408" t="s">
        <v>33</v>
      </c>
      <c r="E565" s="407" t="s">
        <v>1439</v>
      </c>
      <c r="F565" s="408" t="s">
        <v>1045</v>
      </c>
      <c r="G565" s="4" t="s">
        <v>1848</v>
      </c>
      <c r="H565" s="1">
        <v>1</v>
      </c>
      <c r="I565" s="1" t="s">
        <v>488</v>
      </c>
      <c r="J565" s="4" t="s">
        <v>1849</v>
      </c>
      <c r="K565" s="1">
        <v>7453.6</v>
      </c>
      <c r="L565" s="238">
        <f>(Tabla1[[#This Row],[Costo Unitario]]*Tabla1[[#This Row],[cantidad]])</f>
        <v>7453.6</v>
      </c>
      <c r="M565" s="88" t="s">
        <v>1569</v>
      </c>
      <c r="N565" s="88">
        <v>43231</v>
      </c>
      <c r="O565" s="88" t="str">
        <f>IF( Tabla1[[#This Row],[Fecha de entrega real]]="","NO CONCRETADO",IF(N565&lt;=M565,"CUMPLIÓ","NO CUMPLIÓ"))</f>
        <v>CUMPLIÓ</v>
      </c>
      <c r="P565" s="141" t="e">
        <f t="shared" si="13"/>
        <v>#VALUE!</v>
      </c>
      <c r="Q565" s="4" t="s">
        <v>1231</v>
      </c>
      <c r="R565" s="4" t="s">
        <v>33</v>
      </c>
      <c r="S565" s="4" t="s">
        <v>2004</v>
      </c>
      <c r="T565" s="1" t="s">
        <v>1937</v>
      </c>
      <c r="U565" s="107" t="s">
        <v>1938</v>
      </c>
      <c r="X565" s="1">
        <f>MONTH(Tabla1[[#This Row],[fecha
de
pedido]])</f>
        <v>4</v>
      </c>
      <c r="Y565" s="1">
        <f>YEAR(Tabla1[[#This Row],[fecha
de
pedido]])</f>
        <v>2018</v>
      </c>
    </row>
    <row r="566" spans="1:25" ht="38.25" x14ac:dyDescent="0.2">
      <c r="A566" s="417">
        <v>43207</v>
      </c>
      <c r="B566" s="426" t="s">
        <v>487</v>
      </c>
      <c r="C566" s="413" t="s">
        <v>921</v>
      </c>
      <c r="D566" s="413" t="s">
        <v>1939</v>
      </c>
      <c r="E566" s="413" t="s">
        <v>921</v>
      </c>
      <c r="F566" s="414" t="s">
        <v>834</v>
      </c>
      <c r="G566" s="413" t="s">
        <v>1003</v>
      </c>
      <c r="H566" s="414">
        <v>1</v>
      </c>
      <c r="I566" s="414" t="s">
        <v>1053</v>
      </c>
      <c r="J566" s="413" t="s">
        <v>1940</v>
      </c>
      <c r="K566" s="414">
        <v>396.66</v>
      </c>
      <c r="L566" s="238">
        <f>(Tabla1[[#This Row],[Costo Unitario]]*Tabla1[[#This Row],[cantidad]])</f>
        <v>396.66</v>
      </c>
      <c r="M566" s="415" t="s">
        <v>1569</v>
      </c>
      <c r="N566" s="415">
        <v>43231</v>
      </c>
      <c r="O566" s="415" t="str">
        <f>IF( Tabla1[[#This Row],[Fecha de entrega real]]="","NO CONCRETADO",IF(N566&lt;=M566,"CUMPLIÓ","NO CUMPLIÓ"))</f>
        <v>CUMPLIÓ</v>
      </c>
      <c r="P566" s="141" t="e">
        <f t="shared" si="13"/>
        <v>#VALUE!</v>
      </c>
      <c r="Q566" s="413" t="s">
        <v>1231</v>
      </c>
      <c r="R566" s="4" t="s">
        <v>33</v>
      </c>
      <c r="S566" s="4" t="s">
        <v>2004</v>
      </c>
      <c r="T566" s="414" t="s">
        <v>1942</v>
      </c>
      <c r="U566" s="416" t="s">
        <v>1941</v>
      </c>
      <c r="V566" s="414"/>
      <c r="W566" s="414"/>
      <c r="X566" s="414">
        <f>MONTH(Tabla1[[#This Row],[fecha
de
pedido]])</f>
        <v>4</v>
      </c>
      <c r="Y566" s="414">
        <f>YEAR(Tabla1[[#This Row],[fecha
de
pedido]])</f>
        <v>2018</v>
      </c>
    </row>
    <row r="567" spans="1:25" ht="25.5" x14ac:dyDescent="0.2">
      <c r="A567" s="411">
        <v>43207</v>
      </c>
      <c r="B567" s="427">
        <v>18032</v>
      </c>
      <c r="C567" s="407" t="s">
        <v>1439</v>
      </c>
      <c r="D567" s="408" t="s">
        <v>33</v>
      </c>
      <c r="E567" s="407" t="s">
        <v>1439</v>
      </c>
      <c r="F567" s="408" t="s">
        <v>1045</v>
      </c>
      <c r="G567" s="4" t="s">
        <v>1843</v>
      </c>
      <c r="H567" s="408">
        <v>5</v>
      </c>
      <c r="I567" s="1" t="s">
        <v>784</v>
      </c>
      <c r="J567" s="4" t="s">
        <v>1844</v>
      </c>
      <c r="K567" s="408">
        <v>572.33000000000004</v>
      </c>
      <c r="L567" s="238">
        <f>(Tabla1[[#This Row],[Costo Unitario]]*Tabla1[[#This Row],[cantidad]])</f>
        <v>2861.65</v>
      </c>
      <c r="M567" s="409">
        <v>43215</v>
      </c>
      <c r="N567" s="88">
        <v>43231</v>
      </c>
      <c r="O567" s="88" t="str">
        <f>IF( Tabla1[[#This Row],[Fecha de entrega real]]="","NO CONCRETADO",IF(N567&lt;=M567,"CUMPLIÓ","NO CUMPLIÓ"))</f>
        <v>NO CUMPLIÓ</v>
      </c>
      <c r="P567" s="141">
        <f t="shared" si="13"/>
        <v>16</v>
      </c>
      <c r="Q567" s="4" t="s">
        <v>13</v>
      </c>
      <c r="R567" s="4" t="s">
        <v>33</v>
      </c>
      <c r="S567" s="4" t="s">
        <v>334</v>
      </c>
      <c r="T567" s="1" t="s">
        <v>1952</v>
      </c>
      <c r="U567" s="107" t="s">
        <v>1951</v>
      </c>
      <c r="X567" s="1">
        <f>MONTH(Tabla1[[#This Row],[fecha
de
pedido]])</f>
        <v>4</v>
      </c>
      <c r="Y567" s="1">
        <f>YEAR(Tabla1[[#This Row],[fecha
de
pedido]])</f>
        <v>2018</v>
      </c>
    </row>
    <row r="568" spans="1:25" ht="38.25" x14ac:dyDescent="0.2">
      <c r="A568" s="411">
        <v>43208</v>
      </c>
      <c r="B568" s="427">
        <v>18033</v>
      </c>
      <c r="C568" s="4" t="s">
        <v>849</v>
      </c>
      <c r="D568" s="4" t="s">
        <v>1853</v>
      </c>
      <c r="E568" s="407" t="s">
        <v>1439</v>
      </c>
      <c r="F568" s="408" t="s">
        <v>1045</v>
      </c>
      <c r="G568" s="4" t="s">
        <v>1854</v>
      </c>
      <c r="H568" s="408">
        <v>5</v>
      </c>
      <c r="I568" s="1" t="s">
        <v>784</v>
      </c>
      <c r="J568" s="4" t="s">
        <v>1860</v>
      </c>
      <c r="K568" s="1">
        <v>108.05</v>
      </c>
      <c r="L568" s="238">
        <f>(Tabla1[[#This Row],[Costo Unitario]]*Tabla1[[#This Row],[cantidad]])</f>
        <v>540.25</v>
      </c>
      <c r="M568" s="88" t="s">
        <v>1569</v>
      </c>
      <c r="N568" s="88">
        <v>43292</v>
      </c>
      <c r="O568" s="88" t="str">
        <f>IF( Tabla1[[#This Row],[Fecha de entrega real]]="","NO CONCRETADO",IF(N568&lt;=M568,"CUMPLIÓ","NO CUMPLIÓ"))</f>
        <v>CUMPLIÓ</v>
      </c>
      <c r="P568" s="141" t="e">
        <f t="shared" si="13"/>
        <v>#VALUE!</v>
      </c>
      <c r="Q568" s="4" t="s">
        <v>2182</v>
      </c>
      <c r="R568" s="4" t="s">
        <v>849</v>
      </c>
      <c r="S568" s="4" t="s">
        <v>2183</v>
      </c>
      <c r="U568" s="148" t="s">
        <v>2180</v>
      </c>
      <c r="X568" s="1">
        <f>MONTH(Tabla1[[#This Row],[fecha
de
pedido]])</f>
        <v>4</v>
      </c>
      <c r="Y568" s="1">
        <f>YEAR(Tabla1[[#This Row],[fecha
de
pedido]])</f>
        <v>2018</v>
      </c>
    </row>
    <row r="569" spans="1:25" ht="51" x14ac:dyDescent="0.2">
      <c r="A569" s="411">
        <v>43208</v>
      </c>
      <c r="B569" s="427">
        <v>18033</v>
      </c>
      <c r="C569" s="4" t="s">
        <v>849</v>
      </c>
      <c r="D569" s="4" t="s">
        <v>1853</v>
      </c>
      <c r="E569" s="407" t="s">
        <v>1439</v>
      </c>
      <c r="F569" s="408" t="s">
        <v>1045</v>
      </c>
      <c r="G569" s="4" t="s">
        <v>1855</v>
      </c>
      <c r="H569" s="1">
        <v>1</v>
      </c>
      <c r="I569" s="1" t="s">
        <v>488</v>
      </c>
      <c r="J569" s="4" t="s">
        <v>1860</v>
      </c>
      <c r="K569" s="1">
        <v>137.26</v>
      </c>
      <c r="L569" s="238">
        <f>(Tabla1[[#This Row],[Costo Unitario]]*Tabla1[[#This Row],[cantidad]])</f>
        <v>137.26</v>
      </c>
      <c r="M569" s="88" t="s">
        <v>1569</v>
      </c>
      <c r="N569" s="88">
        <v>43292</v>
      </c>
      <c r="O569" s="88" t="str">
        <f>IF( Tabla1[[#This Row],[Fecha de entrega real]]="","NO CONCRETADO",IF(N569&lt;=M569,"CUMPLIÓ","NO CUMPLIÓ"))</f>
        <v>CUMPLIÓ</v>
      </c>
      <c r="P569" s="141" t="e">
        <f t="shared" si="13"/>
        <v>#VALUE!</v>
      </c>
      <c r="Q569" s="4" t="s">
        <v>2182</v>
      </c>
      <c r="R569" s="4" t="s">
        <v>849</v>
      </c>
      <c r="S569" s="4" t="s">
        <v>2183</v>
      </c>
      <c r="U569" s="148" t="s">
        <v>2180</v>
      </c>
      <c r="X569" s="1">
        <f>MONTH(Tabla1[[#This Row],[fecha
de
pedido]])</f>
        <v>4</v>
      </c>
      <c r="Y569" s="1">
        <f>YEAR(Tabla1[[#This Row],[fecha
de
pedido]])</f>
        <v>2018</v>
      </c>
    </row>
    <row r="570" spans="1:25" ht="51" x14ac:dyDescent="0.2">
      <c r="A570" s="411">
        <v>43208</v>
      </c>
      <c r="B570" s="427">
        <v>18033</v>
      </c>
      <c r="C570" s="4" t="s">
        <v>849</v>
      </c>
      <c r="D570" s="4" t="s">
        <v>1853</v>
      </c>
      <c r="E570" s="407" t="s">
        <v>1439</v>
      </c>
      <c r="F570" s="408" t="s">
        <v>1045</v>
      </c>
      <c r="G570" s="4" t="s">
        <v>1856</v>
      </c>
      <c r="H570" s="1">
        <v>2</v>
      </c>
      <c r="I570" s="1" t="s">
        <v>784</v>
      </c>
      <c r="J570" s="4" t="s">
        <v>1860</v>
      </c>
      <c r="K570" s="1">
        <v>94.99</v>
      </c>
      <c r="L570" s="238">
        <f>(Tabla1[[#This Row],[Costo Unitario]]*Tabla1[[#This Row],[cantidad]])</f>
        <v>189.98</v>
      </c>
      <c r="M570" s="88" t="s">
        <v>1569</v>
      </c>
      <c r="N570" s="88">
        <v>43292</v>
      </c>
      <c r="O570" s="88" t="str">
        <f>IF( Tabla1[[#This Row],[Fecha de entrega real]]="","NO CONCRETADO",IF(N570&lt;=M570,"CUMPLIÓ","NO CUMPLIÓ"))</f>
        <v>CUMPLIÓ</v>
      </c>
      <c r="P570" s="141" t="e">
        <f t="shared" si="13"/>
        <v>#VALUE!</v>
      </c>
      <c r="Q570" s="4" t="s">
        <v>2182</v>
      </c>
      <c r="R570" s="4" t="s">
        <v>849</v>
      </c>
      <c r="S570" s="4" t="s">
        <v>2183</v>
      </c>
      <c r="U570" s="148" t="s">
        <v>2180</v>
      </c>
      <c r="X570" s="1">
        <f>MONTH(Tabla1[[#This Row],[fecha
de
pedido]])</f>
        <v>4</v>
      </c>
      <c r="Y570" s="1">
        <f>YEAR(Tabla1[[#This Row],[fecha
de
pedido]])</f>
        <v>2018</v>
      </c>
    </row>
    <row r="571" spans="1:25" ht="38.25" x14ac:dyDescent="0.2">
      <c r="A571" s="411">
        <v>43208</v>
      </c>
      <c r="B571" s="427">
        <v>18033</v>
      </c>
      <c r="C571" s="4" t="s">
        <v>849</v>
      </c>
      <c r="D571" s="4" t="s">
        <v>1853</v>
      </c>
      <c r="E571" s="407" t="s">
        <v>1439</v>
      </c>
      <c r="F571" s="408" t="s">
        <v>1045</v>
      </c>
      <c r="G571" s="4" t="s">
        <v>1857</v>
      </c>
      <c r="H571" s="1">
        <v>6</v>
      </c>
      <c r="I571" s="1" t="s">
        <v>784</v>
      </c>
      <c r="J571" s="4" t="s">
        <v>1860</v>
      </c>
      <c r="K571" s="1">
        <v>181</v>
      </c>
      <c r="L571" s="238">
        <f>(Tabla1[[#This Row],[Costo Unitario]]*Tabla1[[#This Row],[cantidad]])</f>
        <v>1086</v>
      </c>
      <c r="M571" s="88" t="s">
        <v>1569</v>
      </c>
      <c r="N571" s="88">
        <v>43292</v>
      </c>
      <c r="O571" s="88" t="str">
        <f>IF( Tabla1[[#This Row],[Fecha de entrega real]]="","NO CONCRETADO",IF(N571&lt;=M571,"CUMPLIÓ","NO CUMPLIÓ"))</f>
        <v>CUMPLIÓ</v>
      </c>
      <c r="P571" s="141" t="e">
        <f t="shared" si="13"/>
        <v>#VALUE!</v>
      </c>
      <c r="Q571" s="4" t="s">
        <v>2182</v>
      </c>
      <c r="R571" s="4" t="s">
        <v>849</v>
      </c>
      <c r="S571" s="4" t="s">
        <v>2183</v>
      </c>
      <c r="U571" s="148" t="s">
        <v>2180</v>
      </c>
      <c r="X571" s="1">
        <f>MONTH(Tabla1[[#This Row],[fecha
de
pedido]])</f>
        <v>4</v>
      </c>
      <c r="Y571" s="1">
        <f>YEAR(Tabla1[[#This Row],[fecha
de
pedido]])</f>
        <v>2018</v>
      </c>
    </row>
    <row r="572" spans="1:25" ht="38.25" x14ac:dyDescent="0.2">
      <c r="A572" s="411">
        <v>43208</v>
      </c>
      <c r="B572" s="427">
        <v>18033</v>
      </c>
      <c r="C572" s="4" t="s">
        <v>849</v>
      </c>
      <c r="D572" s="4" t="s">
        <v>1853</v>
      </c>
      <c r="E572" s="407" t="s">
        <v>1439</v>
      </c>
      <c r="F572" s="408" t="s">
        <v>1045</v>
      </c>
      <c r="G572" s="4" t="s">
        <v>1858</v>
      </c>
      <c r="H572" s="1">
        <v>6</v>
      </c>
      <c r="I572" s="1" t="s">
        <v>784</v>
      </c>
      <c r="J572" s="4" t="s">
        <v>1860</v>
      </c>
      <c r="K572" s="1">
        <v>208</v>
      </c>
      <c r="L572" s="238">
        <f>(Tabla1[[#This Row],[Costo Unitario]]*Tabla1[[#This Row],[cantidad]])</f>
        <v>1248</v>
      </c>
      <c r="M572" s="88" t="s">
        <v>1569</v>
      </c>
      <c r="N572" s="88">
        <v>43292</v>
      </c>
      <c r="O572" s="88" t="str">
        <f>IF( Tabla1[[#This Row],[Fecha de entrega real]]="","NO CONCRETADO",IF(N572&lt;=M572,"CUMPLIÓ","NO CUMPLIÓ"))</f>
        <v>CUMPLIÓ</v>
      </c>
      <c r="P572" s="141" t="e">
        <f t="shared" si="13"/>
        <v>#VALUE!</v>
      </c>
      <c r="Q572" s="4" t="s">
        <v>2182</v>
      </c>
      <c r="R572" s="4" t="s">
        <v>849</v>
      </c>
      <c r="S572" s="4" t="s">
        <v>2183</v>
      </c>
      <c r="U572" s="148" t="s">
        <v>2180</v>
      </c>
      <c r="X572" s="1">
        <f>MONTH(Tabla1[[#This Row],[fecha
de
pedido]])</f>
        <v>4</v>
      </c>
      <c r="Y572" s="1">
        <f>YEAR(Tabla1[[#This Row],[fecha
de
pedido]])</f>
        <v>2018</v>
      </c>
    </row>
    <row r="573" spans="1:25" ht="38.25" x14ac:dyDescent="0.2">
      <c r="A573" s="411">
        <v>43208</v>
      </c>
      <c r="B573" s="427">
        <v>18033</v>
      </c>
      <c r="C573" s="4" t="s">
        <v>849</v>
      </c>
      <c r="D573" s="4" t="s">
        <v>1853</v>
      </c>
      <c r="E573" s="407" t="s">
        <v>1439</v>
      </c>
      <c r="F573" s="408" t="s">
        <v>1045</v>
      </c>
      <c r="G573" s="4" t="s">
        <v>1859</v>
      </c>
      <c r="H573" s="1">
        <v>1</v>
      </c>
      <c r="I573" s="1" t="s">
        <v>488</v>
      </c>
      <c r="J573" s="4" t="s">
        <v>1860</v>
      </c>
      <c r="K573" s="1">
        <v>1293</v>
      </c>
      <c r="L573" s="238">
        <f>(Tabla1[[#This Row],[Costo Unitario]]*Tabla1[[#This Row],[cantidad]])</f>
        <v>1293</v>
      </c>
      <c r="M573" s="88" t="s">
        <v>1569</v>
      </c>
      <c r="N573" s="88">
        <v>43292</v>
      </c>
      <c r="O573" s="88" t="str">
        <f>IF( Tabla1[[#This Row],[Fecha de entrega real]]="","NO CONCRETADO",IF(N573&lt;=M573,"CUMPLIÓ","NO CUMPLIÓ"))</f>
        <v>CUMPLIÓ</v>
      </c>
      <c r="P573" s="141" t="e">
        <f t="shared" si="13"/>
        <v>#VALUE!</v>
      </c>
      <c r="Q573" s="4" t="s">
        <v>2182</v>
      </c>
      <c r="R573" s="4" t="s">
        <v>849</v>
      </c>
      <c r="S573" s="4" t="s">
        <v>2183</v>
      </c>
      <c r="U573" s="148" t="s">
        <v>2180</v>
      </c>
      <c r="X573" s="1">
        <f>MONTH(Tabla1[[#This Row],[fecha
de
pedido]])</f>
        <v>4</v>
      </c>
      <c r="Y573" s="1">
        <f>YEAR(Tabla1[[#This Row],[fecha
de
pedido]])</f>
        <v>2018</v>
      </c>
    </row>
    <row r="574" spans="1:25" ht="25.5" x14ac:dyDescent="0.2">
      <c r="A574" s="411">
        <v>43208</v>
      </c>
      <c r="B574" s="426" t="s">
        <v>487</v>
      </c>
      <c r="C574" s="413" t="s">
        <v>30</v>
      </c>
      <c r="D574" s="413" t="s">
        <v>33</v>
      </c>
      <c r="E574" s="407" t="s">
        <v>1439</v>
      </c>
      <c r="F574" s="414" t="s">
        <v>1016</v>
      </c>
      <c r="G574" s="413" t="s">
        <v>1870</v>
      </c>
      <c r="H574" s="414">
        <v>2</v>
      </c>
      <c r="I574" s="414" t="s">
        <v>1254</v>
      </c>
      <c r="J574" s="413" t="s">
        <v>81</v>
      </c>
      <c r="K574" s="414">
        <v>1599.2550000000001</v>
      </c>
      <c r="L574" s="238">
        <f>(Tabla1[[#This Row],[Costo Unitario]]*Tabla1[[#This Row],[cantidad]])</f>
        <v>3198.51</v>
      </c>
      <c r="M574" s="415">
        <v>43209</v>
      </c>
      <c r="N574" s="415">
        <v>43209</v>
      </c>
      <c r="O574" s="415" t="str">
        <f>IF( Tabla1[[#This Row],[Fecha de entrega real]]="","NO CONCRETADO",IF(N574&lt;=M574,"CUMPLIÓ","NO CUMPLIÓ"))</f>
        <v>CUMPLIÓ</v>
      </c>
      <c r="P574" s="141">
        <f t="shared" si="13"/>
        <v>0</v>
      </c>
      <c r="Q574" s="413" t="s">
        <v>13</v>
      </c>
      <c r="R574" s="413" t="s">
        <v>775</v>
      </c>
      <c r="S574" s="413" t="s">
        <v>334</v>
      </c>
      <c r="T574" s="414" t="s">
        <v>1871</v>
      </c>
      <c r="U574" s="416" t="s">
        <v>1872</v>
      </c>
      <c r="V574" s="414"/>
      <c r="W574" s="414"/>
      <c r="X574" s="414">
        <f>MONTH(Tabla1[[#This Row],[fecha
de
pedido]])</f>
        <v>4</v>
      </c>
      <c r="Y574" s="414">
        <f>YEAR(Tabla1[[#This Row],[fecha
de
pedido]])</f>
        <v>2018</v>
      </c>
    </row>
    <row r="575" spans="1:25" ht="25.5" x14ac:dyDescent="0.2">
      <c r="A575" s="411">
        <v>43208</v>
      </c>
      <c r="B575" s="426" t="s">
        <v>487</v>
      </c>
      <c r="C575" s="413" t="s">
        <v>30</v>
      </c>
      <c r="D575" s="413" t="s">
        <v>33</v>
      </c>
      <c r="E575" s="407" t="s">
        <v>1439</v>
      </c>
      <c r="F575" s="414" t="s">
        <v>1016</v>
      </c>
      <c r="G575" s="413" t="s">
        <v>1161</v>
      </c>
      <c r="H575" s="414">
        <v>2</v>
      </c>
      <c r="I575" s="414" t="s">
        <v>1254</v>
      </c>
      <c r="J575" s="413" t="s">
        <v>81</v>
      </c>
      <c r="K575" s="414">
        <v>13993.504999999999</v>
      </c>
      <c r="L575" s="238">
        <f>(Tabla1[[#This Row],[Costo Unitario]]*Tabla1[[#This Row],[cantidad]])</f>
        <v>27987.01</v>
      </c>
      <c r="M575" s="415">
        <v>43209</v>
      </c>
      <c r="N575" s="415">
        <v>43209</v>
      </c>
      <c r="O575" s="415" t="str">
        <f>IF( Tabla1[[#This Row],[Fecha de entrega real]]="","NO CONCRETADO",IF(N575&lt;=M575,"CUMPLIÓ","NO CUMPLIÓ"))</f>
        <v>CUMPLIÓ</v>
      </c>
      <c r="P575" s="141">
        <f t="shared" si="13"/>
        <v>0</v>
      </c>
      <c r="Q575" s="413" t="s">
        <v>13</v>
      </c>
      <c r="R575" s="413" t="s">
        <v>775</v>
      </c>
      <c r="S575" s="413" t="s">
        <v>334</v>
      </c>
      <c r="T575" s="414" t="s">
        <v>1871</v>
      </c>
      <c r="U575" s="416" t="s">
        <v>1872</v>
      </c>
      <c r="V575" s="414"/>
      <c r="W575" s="414"/>
      <c r="X575" s="414">
        <f>MONTH(Tabla1[[#This Row],[fecha
de
pedido]])</f>
        <v>4</v>
      </c>
      <c r="Y575" s="414">
        <f>YEAR(Tabla1[[#This Row],[fecha
de
pedido]])</f>
        <v>2018</v>
      </c>
    </row>
    <row r="576" spans="1:25" ht="51" x14ac:dyDescent="0.2">
      <c r="A576" s="411">
        <v>43209</v>
      </c>
      <c r="B576" s="427">
        <v>18034</v>
      </c>
      <c r="C576" s="413" t="s">
        <v>1864</v>
      </c>
      <c r="D576" s="413" t="s">
        <v>33</v>
      </c>
      <c r="E576" s="407" t="s">
        <v>1439</v>
      </c>
      <c r="F576" s="408" t="s">
        <v>1045</v>
      </c>
      <c r="G576" s="413" t="s">
        <v>1861</v>
      </c>
      <c r="H576" s="414">
        <v>1</v>
      </c>
      <c r="I576" s="414" t="s">
        <v>912</v>
      </c>
      <c r="J576" s="413" t="s">
        <v>48</v>
      </c>
      <c r="K576" s="414">
        <v>89.1</v>
      </c>
      <c r="L576" s="238">
        <f>(Tabla1[[#This Row],[Costo Unitario]]*Tabla1[[#This Row],[cantidad]])</f>
        <v>89.1</v>
      </c>
      <c r="M576" s="415">
        <v>43220</v>
      </c>
      <c r="N576" s="415">
        <v>43231</v>
      </c>
      <c r="O576" s="415" t="str">
        <f>IF( Tabla1[[#This Row],[Fecha de entrega real]]="","NO CONCRETADO",IF(N576&lt;=M576,"CUMPLIÓ","NO CUMPLIÓ"))</f>
        <v>NO CUMPLIÓ</v>
      </c>
      <c r="P576" s="141">
        <f t="shared" si="13"/>
        <v>11</v>
      </c>
      <c r="Q576" s="413" t="s">
        <v>1266</v>
      </c>
      <c r="R576" s="413" t="s">
        <v>33</v>
      </c>
      <c r="S576" s="4" t="s">
        <v>1954</v>
      </c>
      <c r="T576" s="414" t="s">
        <v>1955</v>
      </c>
      <c r="U576" s="416" t="s">
        <v>1920</v>
      </c>
      <c r="V576" s="414"/>
      <c r="W576" s="414"/>
      <c r="X576" s="414">
        <f>MONTH(Tabla1[[#This Row],[fecha
de
pedido]])</f>
        <v>4</v>
      </c>
      <c r="Y576" s="414">
        <f>YEAR(Tabla1[[#This Row],[fecha
de
pedido]])</f>
        <v>2018</v>
      </c>
    </row>
    <row r="577" spans="1:25" ht="51" x14ac:dyDescent="0.2">
      <c r="A577" s="411">
        <v>43209</v>
      </c>
      <c r="B577" s="427">
        <v>18034</v>
      </c>
      <c r="C577" s="413" t="s">
        <v>33</v>
      </c>
      <c r="D577" s="413" t="s">
        <v>33</v>
      </c>
      <c r="E577" s="407" t="s">
        <v>1439</v>
      </c>
      <c r="F577" s="408" t="s">
        <v>1045</v>
      </c>
      <c r="G577" s="413" t="s">
        <v>1862</v>
      </c>
      <c r="H577" s="414">
        <v>1</v>
      </c>
      <c r="I577" s="414" t="s">
        <v>912</v>
      </c>
      <c r="J577" s="413" t="s">
        <v>48</v>
      </c>
      <c r="K577" s="414">
        <v>50.83</v>
      </c>
      <c r="L577" s="238">
        <f>(Tabla1[[#This Row],[Costo Unitario]]*Tabla1[[#This Row],[cantidad]])</f>
        <v>50.83</v>
      </c>
      <c r="M577" s="415">
        <v>43220</v>
      </c>
      <c r="N577" s="415">
        <v>43231</v>
      </c>
      <c r="O577" s="415" t="str">
        <f>IF( Tabla1[[#This Row],[Fecha de entrega real]]="","NO CONCRETADO",IF(N577&lt;=M577,"CUMPLIÓ","NO CUMPLIÓ"))</f>
        <v>NO CUMPLIÓ</v>
      </c>
      <c r="P577" s="141">
        <f t="shared" si="13"/>
        <v>11</v>
      </c>
      <c r="Q577" s="413" t="s">
        <v>1266</v>
      </c>
      <c r="R577" s="413" t="s">
        <v>33</v>
      </c>
      <c r="S577" s="4" t="s">
        <v>1954</v>
      </c>
      <c r="T577" s="414" t="s">
        <v>1955</v>
      </c>
      <c r="U577" s="416" t="s">
        <v>1920</v>
      </c>
      <c r="V577" s="414"/>
      <c r="W577" s="414"/>
      <c r="X577" s="414">
        <f>MONTH(Tabla1[[#This Row],[fecha
de
pedido]])</f>
        <v>4</v>
      </c>
      <c r="Y577" s="414">
        <f>YEAR(Tabla1[[#This Row],[fecha
de
pedido]])</f>
        <v>2018</v>
      </c>
    </row>
    <row r="578" spans="1:25" ht="51" x14ac:dyDescent="0.2">
      <c r="A578" s="411">
        <v>43209</v>
      </c>
      <c r="B578" s="427">
        <v>18034</v>
      </c>
      <c r="C578" s="413" t="s">
        <v>1865</v>
      </c>
      <c r="D578" s="413" t="s">
        <v>33</v>
      </c>
      <c r="E578" s="407" t="s">
        <v>1439</v>
      </c>
      <c r="F578" s="408" t="s">
        <v>1045</v>
      </c>
      <c r="G578" s="413" t="s">
        <v>1863</v>
      </c>
      <c r="H578" s="414">
        <v>1</v>
      </c>
      <c r="I578" s="414" t="s">
        <v>912</v>
      </c>
      <c r="J578" s="413" t="s">
        <v>48</v>
      </c>
      <c r="K578" s="414">
        <v>255.83</v>
      </c>
      <c r="L578" s="238">
        <f>(Tabla1[[#This Row],[Costo Unitario]]*Tabla1[[#This Row],[cantidad]])</f>
        <v>255.83</v>
      </c>
      <c r="M578" s="415">
        <v>43220</v>
      </c>
      <c r="N578" s="415">
        <v>43231</v>
      </c>
      <c r="O578" s="415" t="str">
        <f>IF( Tabla1[[#This Row],[Fecha de entrega real]]="","NO CONCRETADO",IF(N578&lt;=M578,"CUMPLIÓ","NO CUMPLIÓ"))</f>
        <v>NO CUMPLIÓ</v>
      </c>
      <c r="P578" s="141">
        <f t="shared" si="13"/>
        <v>11</v>
      </c>
      <c r="Q578" s="413" t="s">
        <v>1266</v>
      </c>
      <c r="R578" s="413" t="s">
        <v>33</v>
      </c>
      <c r="S578" s="4" t="s">
        <v>1954</v>
      </c>
      <c r="T578" s="414" t="s">
        <v>1955</v>
      </c>
      <c r="U578" s="416" t="s">
        <v>1920</v>
      </c>
      <c r="V578" s="414"/>
      <c r="W578" s="414"/>
      <c r="X578" s="414">
        <f>MONTH(Tabla1[[#This Row],[fecha
de
pedido]])</f>
        <v>4</v>
      </c>
      <c r="Y578" s="414">
        <f>YEAR(Tabla1[[#This Row],[fecha
de
pedido]])</f>
        <v>2018</v>
      </c>
    </row>
    <row r="579" spans="1:25" ht="41.25" customHeight="1" x14ac:dyDescent="0.2">
      <c r="A579" s="411">
        <v>43209</v>
      </c>
      <c r="B579" s="427">
        <v>18035</v>
      </c>
      <c r="C579" s="413" t="s">
        <v>976</v>
      </c>
      <c r="D579" s="414" t="s">
        <v>33</v>
      </c>
      <c r="E579" s="413" t="s">
        <v>1867</v>
      </c>
      <c r="F579" s="408" t="s">
        <v>1045</v>
      </c>
      <c r="G579" s="413" t="s">
        <v>1866</v>
      </c>
      <c r="H579" s="414">
        <v>1</v>
      </c>
      <c r="I579" s="414" t="s">
        <v>488</v>
      </c>
      <c r="J579" s="413" t="s">
        <v>1727</v>
      </c>
      <c r="K579" s="414">
        <v>2800</v>
      </c>
      <c r="L579" s="238">
        <f>(Tabla1[[#This Row],[Costo Unitario]]*Tabla1[[#This Row],[cantidad]])</f>
        <v>2800</v>
      </c>
      <c r="M579" s="415">
        <v>43223</v>
      </c>
      <c r="N579" s="415">
        <v>43234</v>
      </c>
      <c r="O579" s="415" t="str">
        <f>IF( Tabla1[[#This Row],[Fecha de entrega real]]="","NO CONCRETADO",IF(N579&lt;=M579,"CUMPLIÓ","NO CUMPLIÓ"))</f>
        <v>NO CUMPLIÓ</v>
      </c>
      <c r="P579" s="141">
        <f t="shared" si="13"/>
        <v>11</v>
      </c>
      <c r="Q579" s="413" t="s">
        <v>13</v>
      </c>
      <c r="R579" s="413" t="s">
        <v>33</v>
      </c>
      <c r="S579" s="413" t="s">
        <v>1869</v>
      </c>
      <c r="T579" s="414" t="s">
        <v>1961</v>
      </c>
      <c r="U579" s="416" t="s">
        <v>1962</v>
      </c>
      <c r="V579" s="414"/>
      <c r="W579" s="414"/>
      <c r="X579" s="414">
        <f>MONTH(Tabla1[[#This Row],[fecha
de
pedido]])</f>
        <v>4</v>
      </c>
      <c r="Y579" s="414">
        <f>YEAR(Tabla1[[#This Row],[fecha
de
pedido]])</f>
        <v>2018</v>
      </c>
    </row>
    <row r="580" spans="1:25" ht="25.5" x14ac:dyDescent="0.2">
      <c r="A580" s="411">
        <v>43209</v>
      </c>
      <c r="B580" s="427">
        <v>18035</v>
      </c>
      <c r="C580" s="413" t="s">
        <v>976</v>
      </c>
      <c r="D580" s="414" t="s">
        <v>33</v>
      </c>
      <c r="E580" s="413" t="s">
        <v>1867</v>
      </c>
      <c r="F580" s="408" t="s">
        <v>1045</v>
      </c>
      <c r="G580" s="413" t="s">
        <v>1868</v>
      </c>
      <c r="H580" s="414">
        <v>1</v>
      </c>
      <c r="I580" s="414" t="s">
        <v>781</v>
      </c>
      <c r="J580" s="413" t="s">
        <v>1727</v>
      </c>
      <c r="K580" s="414">
        <v>640</v>
      </c>
      <c r="L580" s="238">
        <f>(Tabla1[[#This Row],[Costo Unitario]]*Tabla1[[#This Row],[cantidad]])</f>
        <v>640</v>
      </c>
      <c r="M580" s="415">
        <v>43223</v>
      </c>
      <c r="N580" s="415">
        <v>43234</v>
      </c>
      <c r="O580" s="415" t="str">
        <f>IF( Tabla1[[#This Row],[Fecha de entrega real]]="","NO CONCRETADO",IF(N580&lt;=M580,"CUMPLIÓ","NO CUMPLIÓ"))</f>
        <v>NO CUMPLIÓ</v>
      </c>
      <c r="P580" s="141">
        <f t="shared" si="13"/>
        <v>11</v>
      </c>
      <c r="Q580" s="413" t="s">
        <v>13</v>
      </c>
      <c r="R580" s="413" t="s">
        <v>33</v>
      </c>
      <c r="S580" s="413" t="s">
        <v>1869</v>
      </c>
      <c r="T580" s="414" t="s">
        <v>1961</v>
      </c>
      <c r="U580" s="416" t="s">
        <v>1962</v>
      </c>
      <c r="V580" s="414"/>
      <c r="W580" s="414"/>
      <c r="X580" s="414">
        <f>MONTH(Tabla1[[#This Row],[fecha
de
pedido]])</f>
        <v>4</v>
      </c>
      <c r="Y580" s="414">
        <f>YEAR(Tabla1[[#This Row],[fecha
de
pedido]])</f>
        <v>2018</v>
      </c>
    </row>
    <row r="581" spans="1:25" ht="38.25" x14ac:dyDescent="0.2">
      <c r="A581" s="411">
        <v>43210</v>
      </c>
      <c r="B581" s="427">
        <v>18036</v>
      </c>
      <c r="C581" s="413" t="s">
        <v>849</v>
      </c>
      <c r="D581" s="413" t="s">
        <v>1853</v>
      </c>
      <c r="E581" s="413" t="s">
        <v>1867</v>
      </c>
      <c r="F581" s="408" t="s">
        <v>1045</v>
      </c>
      <c r="G581" s="413" t="s">
        <v>1873</v>
      </c>
      <c r="H581" s="414">
        <v>1</v>
      </c>
      <c r="I581" s="414" t="s">
        <v>1415</v>
      </c>
      <c r="J581" s="4" t="s">
        <v>1860</v>
      </c>
      <c r="K581" s="414">
        <v>100</v>
      </c>
      <c r="L581" s="238">
        <f>(Tabla1[[#This Row],[Costo Unitario]]*Tabla1[[#This Row],[cantidad]])</f>
        <v>100</v>
      </c>
      <c r="M581" s="415" t="s">
        <v>1569</v>
      </c>
      <c r="N581" s="415">
        <v>43292</v>
      </c>
      <c r="O581" s="415" t="str">
        <f>IF( Tabla1[[#This Row],[Fecha de entrega real]]="","NO CONCRETADO",IF(N581&lt;=M581,"CUMPLIÓ","NO CUMPLIÓ"))</f>
        <v>CUMPLIÓ</v>
      </c>
      <c r="P581" s="141" t="e">
        <f t="shared" si="13"/>
        <v>#VALUE!</v>
      </c>
      <c r="Q581" s="4" t="s">
        <v>2182</v>
      </c>
      <c r="R581" s="4" t="s">
        <v>849</v>
      </c>
      <c r="S581" s="4" t="s">
        <v>2183</v>
      </c>
      <c r="T581" s="414"/>
      <c r="U581" s="148" t="s">
        <v>2181</v>
      </c>
      <c r="V581" s="414"/>
      <c r="W581" s="414"/>
      <c r="X581" s="414">
        <f>MONTH(Tabla1[[#This Row],[fecha
de
pedido]])</f>
        <v>4</v>
      </c>
      <c r="Y581" s="414">
        <f>YEAR(Tabla1[[#This Row],[fecha
de
pedido]])</f>
        <v>2018</v>
      </c>
    </row>
    <row r="582" spans="1:25" ht="38.25" x14ac:dyDescent="0.2">
      <c r="A582" s="417">
        <v>43210</v>
      </c>
      <c r="B582" s="427">
        <v>18036</v>
      </c>
      <c r="C582" s="413" t="s">
        <v>849</v>
      </c>
      <c r="D582" s="413" t="s">
        <v>1853</v>
      </c>
      <c r="E582" s="413" t="s">
        <v>1867</v>
      </c>
      <c r="F582" s="408" t="s">
        <v>1045</v>
      </c>
      <c r="G582" s="413" t="s">
        <v>1874</v>
      </c>
      <c r="H582" s="414">
        <v>2</v>
      </c>
      <c r="I582" s="414" t="s">
        <v>812</v>
      </c>
      <c r="J582" s="4" t="s">
        <v>1860</v>
      </c>
      <c r="K582" s="414">
        <v>84.8</v>
      </c>
      <c r="L582" s="238">
        <f>(Tabla1[[#This Row],[Costo Unitario]]*Tabla1[[#This Row],[cantidad]])</f>
        <v>169.6</v>
      </c>
      <c r="M582" s="415" t="s">
        <v>1569</v>
      </c>
      <c r="N582" s="415">
        <v>43292</v>
      </c>
      <c r="O582" s="415" t="str">
        <f>IF( Tabla1[[#This Row],[Fecha de entrega real]]="","NO CONCRETADO",IF(N582&lt;=M582,"CUMPLIÓ","NO CUMPLIÓ"))</f>
        <v>CUMPLIÓ</v>
      </c>
      <c r="P582" s="141" t="e">
        <f t="shared" si="13"/>
        <v>#VALUE!</v>
      </c>
      <c r="Q582" s="4" t="s">
        <v>2182</v>
      </c>
      <c r="R582" s="4" t="s">
        <v>849</v>
      </c>
      <c r="S582" s="4" t="s">
        <v>2183</v>
      </c>
      <c r="T582" s="414"/>
      <c r="U582" s="148" t="s">
        <v>2181</v>
      </c>
      <c r="V582" s="414"/>
      <c r="W582" s="414"/>
      <c r="X582" s="414">
        <f>MONTH(Tabla1[[#This Row],[fecha
de
pedido]])</f>
        <v>4</v>
      </c>
      <c r="Y582" s="414">
        <f>YEAR(Tabla1[[#This Row],[fecha
de
pedido]])</f>
        <v>2018</v>
      </c>
    </row>
    <row r="583" spans="1:25" ht="38.25" x14ac:dyDescent="0.2">
      <c r="A583" s="417">
        <v>43210</v>
      </c>
      <c r="B583" s="427">
        <v>18036</v>
      </c>
      <c r="C583" s="413" t="s">
        <v>849</v>
      </c>
      <c r="D583" s="413" t="s">
        <v>1853</v>
      </c>
      <c r="E583" s="413" t="s">
        <v>1867</v>
      </c>
      <c r="F583" s="408" t="s">
        <v>1045</v>
      </c>
      <c r="G583" s="413" t="s">
        <v>1875</v>
      </c>
      <c r="H583" s="414">
        <v>2</v>
      </c>
      <c r="I583" s="414" t="s">
        <v>812</v>
      </c>
      <c r="J583" s="4" t="s">
        <v>1860</v>
      </c>
      <c r="K583" s="414">
        <v>84.8</v>
      </c>
      <c r="L583" s="238">
        <f>(Tabla1[[#This Row],[Costo Unitario]]*Tabla1[[#This Row],[cantidad]])</f>
        <v>169.6</v>
      </c>
      <c r="M583" s="415" t="s">
        <v>1569</v>
      </c>
      <c r="N583" s="415">
        <v>43292</v>
      </c>
      <c r="O583" s="415" t="str">
        <f>IF( Tabla1[[#This Row],[Fecha de entrega real]]="","NO CONCRETADO",IF(N583&lt;=M583,"CUMPLIÓ","NO CUMPLIÓ"))</f>
        <v>CUMPLIÓ</v>
      </c>
      <c r="P583" s="141" t="e">
        <f t="shared" si="13"/>
        <v>#VALUE!</v>
      </c>
      <c r="Q583" s="4" t="s">
        <v>2182</v>
      </c>
      <c r="R583" s="4" t="s">
        <v>849</v>
      </c>
      <c r="S583" s="4" t="s">
        <v>2183</v>
      </c>
      <c r="T583" s="414"/>
      <c r="U583" s="148" t="s">
        <v>2181</v>
      </c>
      <c r="V583" s="414"/>
      <c r="W583" s="414"/>
      <c r="X583" s="414">
        <f>MONTH(Tabla1[[#This Row],[fecha
de
pedido]])</f>
        <v>4</v>
      </c>
      <c r="Y583" s="414">
        <f>YEAR(Tabla1[[#This Row],[fecha
de
pedido]])</f>
        <v>2018</v>
      </c>
    </row>
    <row r="584" spans="1:25" ht="51" x14ac:dyDescent="0.2">
      <c r="A584" s="417">
        <v>43210</v>
      </c>
      <c r="B584" s="427">
        <v>18036</v>
      </c>
      <c r="C584" s="413" t="s">
        <v>849</v>
      </c>
      <c r="D584" s="413" t="s">
        <v>1853</v>
      </c>
      <c r="E584" s="413" t="s">
        <v>1867</v>
      </c>
      <c r="F584" s="408" t="s">
        <v>1045</v>
      </c>
      <c r="G584" s="413" t="s">
        <v>1876</v>
      </c>
      <c r="H584" s="414">
        <v>2</v>
      </c>
      <c r="I584" s="414" t="s">
        <v>812</v>
      </c>
      <c r="J584" s="4" t="s">
        <v>1860</v>
      </c>
      <c r="K584" s="414">
        <v>100</v>
      </c>
      <c r="L584" s="238">
        <f>(Tabla1[[#This Row],[Costo Unitario]]*Tabla1[[#This Row],[cantidad]])</f>
        <v>200</v>
      </c>
      <c r="M584" s="415" t="s">
        <v>1569</v>
      </c>
      <c r="N584" s="415">
        <v>43292</v>
      </c>
      <c r="O584" s="415" t="str">
        <f>IF( Tabla1[[#This Row],[Fecha de entrega real]]="","NO CONCRETADO",IF(N584&lt;=M584,"CUMPLIÓ","NO CUMPLIÓ"))</f>
        <v>CUMPLIÓ</v>
      </c>
      <c r="P584" s="141" t="e">
        <f t="shared" si="13"/>
        <v>#VALUE!</v>
      </c>
      <c r="Q584" s="4" t="s">
        <v>2182</v>
      </c>
      <c r="R584" s="4" t="s">
        <v>849</v>
      </c>
      <c r="S584" s="4" t="s">
        <v>2183</v>
      </c>
      <c r="T584" s="414"/>
      <c r="U584" s="148" t="s">
        <v>2181</v>
      </c>
      <c r="V584" s="414"/>
      <c r="W584" s="414"/>
      <c r="X584" s="414">
        <f>MONTH(Tabla1[[#This Row],[fecha
de
pedido]])</f>
        <v>4</v>
      </c>
      <c r="Y584" s="414">
        <f>YEAR(Tabla1[[#This Row],[fecha
de
pedido]])</f>
        <v>2018</v>
      </c>
    </row>
    <row r="585" spans="1:25" ht="51" x14ac:dyDescent="0.2">
      <c r="A585" s="417">
        <v>43215</v>
      </c>
      <c r="B585" s="427">
        <v>18037</v>
      </c>
      <c r="C585" s="413" t="s">
        <v>30</v>
      </c>
      <c r="D585" s="414" t="s">
        <v>33</v>
      </c>
      <c r="E585" s="413" t="s">
        <v>1439</v>
      </c>
      <c r="F585" s="408" t="s">
        <v>1045</v>
      </c>
      <c r="G585" s="413" t="s">
        <v>1879</v>
      </c>
      <c r="H585" s="414">
        <v>5</v>
      </c>
      <c r="I585" s="414" t="s">
        <v>1880</v>
      </c>
      <c r="J585" s="413" t="s">
        <v>48</v>
      </c>
      <c r="K585" s="418">
        <v>1909.99</v>
      </c>
      <c r="L585" s="238">
        <f>(Tabla1[[#This Row],[Costo Unitario]]*Tabla1[[#This Row],[cantidad]])</f>
        <v>9549.9500000000007</v>
      </c>
      <c r="M585" s="415">
        <v>43224</v>
      </c>
      <c r="N585" s="415">
        <v>43216</v>
      </c>
      <c r="O585" s="415" t="str">
        <f>IF( Tabla1[[#This Row],[Fecha de entrega real]]="","NO CONCRETADO",IF(N585&lt;=M585,"CUMPLIÓ","NO CUMPLIÓ"))</f>
        <v>CUMPLIÓ</v>
      </c>
      <c r="P585" s="141">
        <f t="shared" si="13"/>
        <v>-8</v>
      </c>
      <c r="Q585" s="413" t="s">
        <v>451</v>
      </c>
      <c r="R585" s="413" t="s">
        <v>11</v>
      </c>
      <c r="S585" s="413" t="s">
        <v>2005</v>
      </c>
      <c r="T585" s="414" t="s">
        <v>1973</v>
      </c>
      <c r="U585" s="416" t="s">
        <v>1881</v>
      </c>
      <c r="V585" s="414"/>
      <c r="W585" s="414"/>
      <c r="X585" s="414">
        <f>MONTH(Tabla1[[#This Row],[fecha
de
pedido]])</f>
        <v>4</v>
      </c>
      <c r="Y585" s="414">
        <f>YEAR(Tabla1[[#This Row],[fecha
de
pedido]])</f>
        <v>2018</v>
      </c>
    </row>
    <row r="586" spans="1:25" ht="25.5" x14ac:dyDescent="0.2">
      <c r="A586" s="417">
        <v>43216</v>
      </c>
      <c r="B586" s="426" t="s">
        <v>487</v>
      </c>
      <c r="C586" s="413" t="s">
        <v>33</v>
      </c>
      <c r="D586" s="414" t="s">
        <v>33</v>
      </c>
      <c r="E586" s="413" t="s">
        <v>11</v>
      </c>
      <c r="F586" s="1" t="s">
        <v>772</v>
      </c>
      <c r="G586" s="413" t="s">
        <v>204</v>
      </c>
      <c r="H586" s="414">
        <v>150</v>
      </c>
      <c r="I586" s="414" t="s">
        <v>779</v>
      </c>
      <c r="J586" s="413" t="s">
        <v>407</v>
      </c>
      <c r="K586" s="418">
        <v>6</v>
      </c>
      <c r="L586" s="238">
        <f>(Tabla1[[#This Row],[Costo Unitario]]*Tabla1[[#This Row],[cantidad]])</f>
        <v>900</v>
      </c>
      <c r="M586" s="415">
        <v>43216</v>
      </c>
      <c r="N586" s="415">
        <v>43216</v>
      </c>
      <c r="O586" s="415" t="str">
        <f>IF( Tabla1[[#This Row],[Fecha de entrega real]]="","NO CONCRETADO",IF(N586&lt;=M586,"CUMPLIÓ","NO CUMPLIÓ"))</f>
        <v>CUMPLIÓ</v>
      </c>
      <c r="P586" s="141">
        <f t="shared" si="13"/>
        <v>0</v>
      </c>
      <c r="Q586" s="413" t="s">
        <v>13</v>
      </c>
      <c r="R586" s="413" t="s">
        <v>33</v>
      </c>
      <c r="S586" s="413" t="s">
        <v>1884</v>
      </c>
      <c r="T586" s="414" t="s">
        <v>1973</v>
      </c>
      <c r="U586" s="416" t="s">
        <v>1882</v>
      </c>
      <c r="V586" s="414"/>
      <c r="W586" s="414"/>
      <c r="X586" s="414">
        <f>MONTH(Tabla1[[#This Row],[fecha
de
pedido]])</f>
        <v>4</v>
      </c>
      <c r="Y586" s="414">
        <f>YEAR(Tabla1[[#This Row],[fecha
de
pedido]])</f>
        <v>2018</v>
      </c>
    </row>
    <row r="587" spans="1:25" ht="25.5" x14ac:dyDescent="0.2">
      <c r="A587" s="417">
        <v>43216</v>
      </c>
      <c r="B587" s="426" t="s">
        <v>487</v>
      </c>
      <c r="C587" s="413" t="s">
        <v>775</v>
      </c>
      <c r="D587" s="414" t="s">
        <v>33</v>
      </c>
      <c r="E587" s="413" t="s">
        <v>11</v>
      </c>
      <c r="F587" s="1" t="s">
        <v>772</v>
      </c>
      <c r="G587" s="413" t="s">
        <v>1046</v>
      </c>
      <c r="H587" s="414">
        <v>150</v>
      </c>
      <c r="I587" s="414" t="s">
        <v>779</v>
      </c>
      <c r="J587" s="413" t="s">
        <v>407</v>
      </c>
      <c r="K587" s="418">
        <v>6</v>
      </c>
      <c r="L587" s="238">
        <f>(Tabla1[[#This Row],[Costo Unitario]]*Tabla1[[#This Row],[cantidad]])</f>
        <v>900</v>
      </c>
      <c r="M587" s="415">
        <v>43216</v>
      </c>
      <c r="N587" s="415">
        <v>43216</v>
      </c>
      <c r="O587" s="415" t="str">
        <f>IF( Tabla1[[#This Row],[Fecha de entrega real]]="","NO CONCRETADO",IF(N587&lt;=M587,"CUMPLIÓ","NO CUMPLIÓ"))</f>
        <v>CUMPLIÓ</v>
      </c>
      <c r="P587" s="141">
        <f t="shared" si="13"/>
        <v>0</v>
      </c>
      <c r="Q587" s="413" t="s">
        <v>13</v>
      </c>
      <c r="R587" s="413" t="s">
        <v>33</v>
      </c>
      <c r="S587" s="413" t="s">
        <v>334</v>
      </c>
      <c r="T587" s="414" t="s">
        <v>1973</v>
      </c>
      <c r="U587" s="416" t="s">
        <v>1883</v>
      </c>
      <c r="V587" s="414"/>
      <c r="W587" s="414"/>
      <c r="X587" s="414">
        <f>MONTH(Tabla1[[#This Row],[fecha
de
pedido]])</f>
        <v>4</v>
      </c>
      <c r="Y587" s="414">
        <f>YEAR(Tabla1[[#This Row],[fecha
de
pedido]])</f>
        <v>2018</v>
      </c>
    </row>
    <row r="588" spans="1:25" ht="38.25" x14ac:dyDescent="0.2">
      <c r="A588" s="417">
        <v>43217</v>
      </c>
      <c r="B588" s="428">
        <v>18038</v>
      </c>
      <c r="C588" s="413" t="s">
        <v>775</v>
      </c>
      <c r="D588" s="414" t="s">
        <v>33</v>
      </c>
      <c r="E588" s="413" t="s">
        <v>1439</v>
      </c>
      <c r="F588" s="414" t="s">
        <v>778</v>
      </c>
      <c r="G588" s="413" t="s">
        <v>1885</v>
      </c>
      <c r="H588" s="414">
        <v>1</v>
      </c>
      <c r="I588" s="414" t="s">
        <v>821</v>
      </c>
      <c r="J588" s="413" t="s">
        <v>1795</v>
      </c>
      <c r="K588" s="418">
        <v>264.99</v>
      </c>
      <c r="L588" s="238">
        <f>(Tabla1[[#This Row],[Costo Unitario]]*Tabla1[[#This Row],[cantidad]])</f>
        <v>264.99</v>
      </c>
      <c r="M588" s="415" t="s">
        <v>1886</v>
      </c>
      <c r="N588" s="415"/>
      <c r="O588" s="415" t="str">
        <f>IF( Tabla1[[#This Row],[Fecha de entrega real]]="","NO CONCRETADO",IF(N588&lt;=M588,"CUMPLIÓ","NO CUMPLIÓ"))</f>
        <v>NO CONCRETADO</v>
      </c>
      <c r="P588" s="141" t="str">
        <f t="shared" ref="P588:P654" si="14">IF(N588="","NO CONCRETADO",N588-M588)</f>
        <v>NO CONCRETADO</v>
      </c>
      <c r="Q588" s="413"/>
      <c r="R588" s="413"/>
      <c r="S588" s="413"/>
      <c r="T588" s="414"/>
      <c r="U588" s="416"/>
      <c r="V588" s="414"/>
      <c r="W588" s="414"/>
      <c r="X588" s="414">
        <f>MONTH(Tabla1[[#This Row],[fecha
de
pedido]])</f>
        <v>4</v>
      </c>
      <c r="Y588" s="414">
        <f>YEAR(Tabla1[[#This Row],[fecha
de
pedido]])</f>
        <v>2018</v>
      </c>
    </row>
    <row r="589" spans="1:25" ht="43.5" customHeight="1" x14ac:dyDescent="0.2">
      <c r="A589" s="420">
        <v>43217</v>
      </c>
      <c r="B589" s="431">
        <v>18039</v>
      </c>
      <c r="C589" s="419" t="s">
        <v>935</v>
      </c>
      <c r="D589" s="421" t="s">
        <v>33</v>
      </c>
      <c r="E589" s="419" t="s">
        <v>11</v>
      </c>
      <c r="F589" s="421" t="s">
        <v>772</v>
      </c>
      <c r="G589" s="419" t="s">
        <v>1887</v>
      </c>
      <c r="H589" s="421">
        <v>6</v>
      </c>
      <c r="I589" s="421" t="s">
        <v>1888</v>
      </c>
      <c r="J589" s="419" t="s">
        <v>1910</v>
      </c>
      <c r="K589" s="421">
        <v>1186.94</v>
      </c>
      <c r="L589" s="238">
        <f>(Tabla1[[#This Row],[Costo Unitario]]*Tabla1[[#This Row],[cantidad]])</f>
        <v>7121.64</v>
      </c>
      <c r="M589" s="422">
        <v>43229</v>
      </c>
      <c r="N589" s="422">
        <v>43229</v>
      </c>
      <c r="O589" s="422" t="str">
        <f>IF( Tabla1[[#This Row],[Fecha de entrega real]]="","NO CONCRETADO",IF(N589&lt;=M589,"CUMPLIÓ","NO CUMPLIÓ"))</f>
        <v>CUMPLIÓ</v>
      </c>
      <c r="P589" s="141">
        <f t="shared" si="14"/>
        <v>0</v>
      </c>
      <c r="Q589" s="413" t="s">
        <v>13</v>
      </c>
      <c r="R589" s="413" t="s">
        <v>33</v>
      </c>
      <c r="S589" s="413" t="s">
        <v>244</v>
      </c>
      <c r="T589" s="414" t="s">
        <v>1927</v>
      </c>
      <c r="U589" s="416" t="s">
        <v>1928</v>
      </c>
      <c r="V589" s="414"/>
      <c r="W589" s="414"/>
      <c r="X589" s="414">
        <f>MONTH(Tabla1[[#This Row],[fecha
de
pedido]])</f>
        <v>4</v>
      </c>
      <c r="Y589" s="414">
        <f>YEAR(Tabla1[[#This Row],[fecha
de
pedido]])</f>
        <v>2018</v>
      </c>
    </row>
    <row r="590" spans="1:25" ht="43.5" customHeight="1" x14ac:dyDescent="0.2">
      <c r="A590" s="420">
        <v>43217</v>
      </c>
      <c r="B590" s="431">
        <v>18039</v>
      </c>
      <c r="C590" s="419" t="s">
        <v>935</v>
      </c>
      <c r="D590" s="421" t="s">
        <v>33</v>
      </c>
      <c r="E590" s="419" t="s">
        <v>11</v>
      </c>
      <c r="F590" s="421" t="s">
        <v>772</v>
      </c>
      <c r="G590" s="419" t="s">
        <v>1371</v>
      </c>
      <c r="H590" s="421">
        <v>5</v>
      </c>
      <c r="I590" s="421" t="s">
        <v>1889</v>
      </c>
      <c r="J590" s="419" t="s">
        <v>1910</v>
      </c>
      <c r="K590" s="421">
        <v>90.27</v>
      </c>
      <c r="L590" s="238">
        <f>(Tabla1[[#This Row],[Costo Unitario]]*Tabla1[[#This Row],[cantidad]])</f>
        <v>451.34999999999997</v>
      </c>
      <c r="M590" s="422">
        <v>43229</v>
      </c>
      <c r="N590" s="422">
        <v>43229</v>
      </c>
      <c r="O590" s="422" t="str">
        <f>IF( Tabla1[[#This Row],[Fecha de entrega real]]="","NO CONCRETADO",IF(N590&lt;=M590,"CUMPLIÓ","NO CUMPLIÓ"))</f>
        <v>CUMPLIÓ</v>
      </c>
      <c r="P590" s="141">
        <f t="shared" si="14"/>
        <v>0</v>
      </c>
      <c r="Q590" s="413" t="s">
        <v>13</v>
      </c>
      <c r="R590" s="413" t="s">
        <v>33</v>
      </c>
      <c r="S590" s="413" t="s">
        <v>244</v>
      </c>
      <c r="T590" s="414" t="s">
        <v>1927</v>
      </c>
      <c r="U590" s="416" t="s">
        <v>1928</v>
      </c>
      <c r="V590" s="414"/>
      <c r="W590" s="414"/>
      <c r="X590" s="414">
        <f>MONTH(Tabla1[[#This Row],[fecha
de
pedido]])</f>
        <v>4</v>
      </c>
      <c r="Y590" s="414">
        <f>YEAR(Tabla1[[#This Row],[fecha
de
pedido]])</f>
        <v>2018</v>
      </c>
    </row>
    <row r="591" spans="1:25" ht="43.5" customHeight="1" x14ac:dyDescent="0.2">
      <c r="A591" s="420">
        <v>43217</v>
      </c>
      <c r="B591" s="431">
        <v>18039</v>
      </c>
      <c r="C591" s="419" t="s">
        <v>935</v>
      </c>
      <c r="D591" s="421" t="s">
        <v>33</v>
      </c>
      <c r="E591" s="419" t="s">
        <v>11</v>
      </c>
      <c r="F591" s="421" t="s">
        <v>772</v>
      </c>
      <c r="G591" s="419" t="s">
        <v>1372</v>
      </c>
      <c r="H591" s="421">
        <v>1</v>
      </c>
      <c r="I591" s="421"/>
      <c r="J591" s="419" t="s">
        <v>1910</v>
      </c>
      <c r="K591" s="421">
        <v>350.45</v>
      </c>
      <c r="L591" s="238">
        <f>(Tabla1[[#This Row],[Costo Unitario]]*Tabla1[[#This Row],[cantidad]])</f>
        <v>350.45</v>
      </c>
      <c r="M591" s="422">
        <v>43229</v>
      </c>
      <c r="N591" s="422">
        <v>43229</v>
      </c>
      <c r="O591" s="422" t="str">
        <f>IF( Tabla1[[#This Row],[Fecha de entrega real]]="","NO CONCRETADO",IF(N591&lt;=M591,"CUMPLIÓ","NO CUMPLIÓ"))</f>
        <v>CUMPLIÓ</v>
      </c>
      <c r="P591" s="141">
        <f t="shared" si="14"/>
        <v>0</v>
      </c>
      <c r="Q591" s="413" t="s">
        <v>13</v>
      </c>
      <c r="R591" s="413" t="s">
        <v>33</v>
      </c>
      <c r="S591" s="413" t="s">
        <v>244</v>
      </c>
      <c r="T591" s="414" t="s">
        <v>1927</v>
      </c>
      <c r="U591" s="416" t="s">
        <v>1928</v>
      </c>
      <c r="V591" s="414"/>
      <c r="W591" s="414"/>
      <c r="X591" s="414">
        <f>MONTH(Tabla1[[#This Row],[fecha
de
pedido]])</f>
        <v>4</v>
      </c>
      <c r="Y591" s="414">
        <f>YEAR(Tabla1[[#This Row],[fecha
de
pedido]])</f>
        <v>2018</v>
      </c>
    </row>
    <row r="592" spans="1:25" ht="43.5" customHeight="1" x14ac:dyDescent="0.2">
      <c r="A592" s="420">
        <v>43217</v>
      </c>
      <c r="B592" s="431">
        <v>18039</v>
      </c>
      <c r="C592" s="419" t="s">
        <v>935</v>
      </c>
      <c r="D592" s="421" t="s">
        <v>33</v>
      </c>
      <c r="E592" s="419" t="s">
        <v>11</v>
      </c>
      <c r="F592" s="421" t="s">
        <v>772</v>
      </c>
      <c r="G592" s="419" t="s">
        <v>1890</v>
      </c>
      <c r="H592" s="421">
        <v>2</v>
      </c>
      <c r="I592" s="421"/>
      <c r="J592" s="419" t="s">
        <v>1910</v>
      </c>
      <c r="K592" s="421">
        <v>273.7</v>
      </c>
      <c r="L592" s="238">
        <f>(Tabla1[[#This Row],[Costo Unitario]]*Tabla1[[#This Row],[cantidad]])</f>
        <v>547.4</v>
      </c>
      <c r="M592" s="422">
        <v>43229</v>
      </c>
      <c r="N592" s="422">
        <v>43229</v>
      </c>
      <c r="O592" s="422" t="str">
        <f>IF( Tabla1[[#This Row],[Fecha de entrega real]]="","NO CONCRETADO",IF(N592&lt;=M592,"CUMPLIÓ","NO CUMPLIÓ"))</f>
        <v>CUMPLIÓ</v>
      </c>
      <c r="P592" s="141">
        <f t="shared" si="14"/>
        <v>0</v>
      </c>
      <c r="Q592" s="413" t="s">
        <v>13</v>
      </c>
      <c r="R592" s="413" t="s">
        <v>33</v>
      </c>
      <c r="S592" s="413" t="s">
        <v>244</v>
      </c>
      <c r="T592" s="414" t="s">
        <v>1927</v>
      </c>
      <c r="U592" s="416" t="s">
        <v>1928</v>
      </c>
      <c r="V592" s="414"/>
      <c r="W592" s="414"/>
      <c r="X592" s="414">
        <f>MONTH(Tabla1[[#This Row],[fecha
de
pedido]])</f>
        <v>4</v>
      </c>
      <c r="Y592" s="414">
        <f>YEAR(Tabla1[[#This Row],[fecha
de
pedido]])</f>
        <v>2018</v>
      </c>
    </row>
    <row r="593" spans="1:25" ht="43.5" customHeight="1" x14ac:dyDescent="0.2">
      <c r="A593" s="420">
        <v>43217</v>
      </c>
      <c r="B593" s="431">
        <v>18039</v>
      </c>
      <c r="C593" s="419" t="s">
        <v>935</v>
      </c>
      <c r="D593" s="421" t="s">
        <v>33</v>
      </c>
      <c r="E593" s="419" t="s">
        <v>11</v>
      </c>
      <c r="F593" s="421" t="s">
        <v>772</v>
      </c>
      <c r="G593" s="419" t="s">
        <v>1891</v>
      </c>
      <c r="H593" s="421">
        <v>2</v>
      </c>
      <c r="I593" s="421"/>
      <c r="J593" s="419" t="s">
        <v>1910</v>
      </c>
      <c r="K593" s="421">
        <v>81.7</v>
      </c>
      <c r="L593" s="238">
        <f>(Tabla1[[#This Row],[Costo Unitario]]*Tabla1[[#This Row],[cantidad]])</f>
        <v>163.4</v>
      </c>
      <c r="M593" s="422">
        <v>43229</v>
      </c>
      <c r="N593" s="422">
        <v>43229</v>
      </c>
      <c r="O593" s="422" t="str">
        <f>IF( Tabla1[[#This Row],[Fecha de entrega real]]="","NO CONCRETADO",IF(N593&lt;=M593,"CUMPLIÓ","NO CUMPLIÓ"))</f>
        <v>CUMPLIÓ</v>
      </c>
      <c r="P593" s="141">
        <f t="shared" si="14"/>
        <v>0</v>
      </c>
      <c r="Q593" s="413" t="s">
        <v>13</v>
      </c>
      <c r="R593" s="413" t="s">
        <v>33</v>
      </c>
      <c r="S593" s="413" t="s">
        <v>244</v>
      </c>
      <c r="T593" s="414" t="s">
        <v>1927</v>
      </c>
      <c r="U593" s="416" t="s">
        <v>1928</v>
      </c>
      <c r="V593" s="414"/>
      <c r="W593" s="414"/>
      <c r="X593" s="414">
        <f>MONTH(Tabla1[[#This Row],[fecha
de
pedido]])</f>
        <v>4</v>
      </c>
      <c r="Y593" s="414">
        <f>YEAR(Tabla1[[#This Row],[fecha
de
pedido]])</f>
        <v>2018</v>
      </c>
    </row>
    <row r="594" spans="1:25" ht="43.5" customHeight="1" x14ac:dyDescent="0.2">
      <c r="A594" s="420">
        <v>43217</v>
      </c>
      <c r="B594" s="431">
        <v>18039</v>
      </c>
      <c r="C594" s="419" t="s">
        <v>935</v>
      </c>
      <c r="D594" s="421" t="s">
        <v>33</v>
      </c>
      <c r="E594" s="419" t="s">
        <v>11</v>
      </c>
      <c r="F594" s="421" t="s">
        <v>772</v>
      </c>
      <c r="G594" s="419" t="s">
        <v>1893</v>
      </c>
      <c r="H594" s="421">
        <v>20</v>
      </c>
      <c r="I594" s="421"/>
      <c r="J594" s="419" t="s">
        <v>1910</v>
      </c>
      <c r="K594" s="421">
        <v>14.86</v>
      </c>
      <c r="L594" s="238">
        <f>(Tabla1[[#This Row],[Costo Unitario]]*Tabla1[[#This Row],[cantidad]])</f>
        <v>297.2</v>
      </c>
      <c r="M594" s="422">
        <v>43229</v>
      </c>
      <c r="N594" s="422">
        <v>43229</v>
      </c>
      <c r="O594" s="422" t="str">
        <f>IF( Tabla1[[#This Row],[Fecha de entrega real]]="","NO CONCRETADO",IF(N594&lt;=M594,"CUMPLIÓ","NO CUMPLIÓ"))</f>
        <v>CUMPLIÓ</v>
      </c>
      <c r="P594" s="141">
        <f t="shared" si="14"/>
        <v>0</v>
      </c>
      <c r="Q594" s="413" t="s">
        <v>13</v>
      </c>
      <c r="R594" s="413" t="s">
        <v>33</v>
      </c>
      <c r="S594" s="413" t="s">
        <v>244</v>
      </c>
      <c r="T594" s="414" t="s">
        <v>1927</v>
      </c>
      <c r="U594" s="416" t="s">
        <v>1928</v>
      </c>
      <c r="V594" s="414"/>
      <c r="W594" s="414"/>
      <c r="X594" s="414">
        <f>MONTH(Tabla1[[#This Row],[fecha
de
pedido]])</f>
        <v>4</v>
      </c>
      <c r="Y594" s="414">
        <f>YEAR(Tabla1[[#This Row],[fecha
de
pedido]])</f>
        <v>2018</v>
      </c>
    </row>
    <row r="595" spans="1:25" ht="43.5" customHeight="1" x14ac:dyDescent="0.2">
      <c r="A595" s="420">
        <v>43217</v>
      </c>
      <c r="B595" s="431">
        <v>18039</v>
      </c>
      <c r="C595" s="419" t="s">
        <v>935</v>
      </c>
      <c r="D595" s="421" t="s">
        <v>33</v>
      </c>
      <c r="E595" s="419" t="s">
        <v>11</v>
      </c>
      <c r="F595" s="421" t="s">
        <v>772</v>
      </c>
      <c r="G595" s="419" t="s">
        <v>1892</v>
      </c>
      <c r="H595" s="421">
        <v>5</v>
      </c>
      <c r="I595" s="421"/>
      <c r="J595" s="419" t="s">
        <v>1910</v>
      </c>
      <c r="K595" s="421">
        <v>13.91</v>
      </c>
      <c r="L595" s="238">
        <f>(Tabla1[[#This Row],[Costo Unitario]]*Tabla1[[#This Row],[cantidad]])</f>
        <v>69.55</v>
      </c>
      <c r="M595" s="422">
        <v>43229</v>
      </c>
      <c r="N595" s="422">
        <v>43229</v>
      </c>
      <c r="O595" s="422" t="str">
        <f>IF( Tabla1[[#This Row],[Fecha de entrega real]]="","NO CONCRETADO",IF(N595&lt;=M595,"CUMPLIÓ","NO CUMPLIÓ"))</f>
        <v>CUMPLIÓ</v>
      </c>
      <c r="P595" s="141">
        <f t="shared" si="14"/>
        <v>0</v>
      </c>
      <c r="Q595" s="413" t="s">
        <v>13</v>
      </c>
      <c r="R595" s="413" t="s">
        <v>33</v>
      </c>
      <c r="S595" s="413" t="s">
        <v>244</v>
      </c>
      <c r="T595" s="414" t="s">
        <v>1927</v>
      </c>
      <c r="U595" s="416" t="s">
        <v>1928</v>
      </c>
      <c r="V595" s="414"/>
      <c r="W595" s="414"/>
      <c r="X595" s="414">
        <f>MONTH(Tabla1[[#This Row],[fecha
de
pedido]])</f>
        <v>4</v>
      </c>
      <c r="Y595" s="414">
        <f>YEAR(Tabla1[[#This Row],[fecha
de
pedido]])</f>
        <v>2018</v>
      </c>
    </row>
    <row r="596" spans="1:25" ht="43.5" customHeight="1" x14ac:dyDescent="0.2">
      <c r="A596" s="420">
        <v>43217</v>
      </c>
      <c r="B596" s="431">
        <v>18039</v>
      </c>
      <c r="C596" s="419" t="s">
        <v>935</v>
      </c>
      <c r="D596" s="421" t="s">
        <v>33</v>
      </c>
      <c r="E596" s="419" t="s">
        <v>11</v>
      </c>
      <c r="F596" s="421" t="s">
        <v>772</v>
      </c>
      <c r="G596" s="419" t="s">
        <v>1894</v>
      </c>
      <c r="H596" s="421">
        <v>5</v>
      </c>
      <c r="I596" s="421"/>
      <c r="J596" s="419" t="s">
        <v>1910</v>
      </c>
      <c r="K596" s="421">
        <v>13.91</v>
      </c>
      <c r="L596" s="238">
        <f>(Tabla1[[#This Row],[Costo Unitario]]*Tabla1[[#This Row],[cantidad]])</f>
        <v>69.55</v>
      </c>
      <c r="M596" s="422">
        <v>43229</v>
      </c>
      <c r="N596" s="422">
        <v>43229</v>
      </c>
      <c r="O596" s="422" t="str">
        <f>IF( Tabla1[[#This Row],[Fecha de entrega real]]="","NO CONCRETADO",IF(N596&lt;=M596,"CUMPLIÓ","NO CUMPLIÓ"))</f>
        <v>CUMPLIÓ</v>
      </c>
      <c r="P596" s="141">
        <f t="shared" si="14"/>
        <v>0</v>
      </c>
      <c r="Q596" s="413" t="s">
        <v>13</v>
      </c>
      <c r="R596" s="413" t="s">
        <v>33</v>
      </c>
      <c r="S596" s="413" t="s">
        <v>244</v>
      </c>
      <c r="T596" s="414" t="s">
        <v>1927</v>
      </c>
      <c r="U596" s="416" t="s">
        <v>1928</v>
      </c>
      <c r="V596" s="414"/>
      <c r="W596" s="414"/>
      <c r="X596" s="414">
        <f>MONTH(Tabla1[[#This Row],[fecha
de
pedido]])</f>
        <v>4</v>
      </c>
      <c r="Y596" s="414">
        <f>YEAR(Tabla1[[#This Row],[fecha
de
pedido]])</f>
        <v>2018</v>
      </c>
    </row>
    <row r="597" spans="1:25" ht="43.5" customHeight="1" x14ac:dyDescent="0.2">
      <c r="A597" s="420">
        <v>43217</v>
      </c>
      <c r="B597" s="431">
        <v>18039</v>
      </c>
      <c r="C597" s="419" t="s">
        <v>935</v>
      </c>
      <c r="D597" s="421" t="s">
        <v>33</v>
      </c>
      <c r="E597" s="419" t="s">
        <v>11</v>
      </c>
      <c r="F597" s="421" t="s">
        <v>772</v>
      </c>
      <c r="G597" s="419" t="s">
        <v>1895</v>
      </c>
      <c r="H597" s="421">
        <v>5</v>
      </c>
      <c r="I597" s="421"/>
      <c r="J597" s="419" t="s">
        <v>1910</v>
      </c>
      <c r="K597" s="421">
        <v>13.91</v>
      </c>
      <c r="L597" s="238">
        <f>(Tabla1[[#This Row],[Costo Unitario]]*Tabla1[[#This Row],[cantidad]])</f>
        <v>69.55</v>
      </c>
      <c r="M597" s="422">
        <v>43229</v>
      </c>
      <c r="N597" s="422">
        <v>43229</v>
      </c>
      <c r="O597" s="422" t="str">
        <f>IF( Tabla1[[#This Row],[Fecha de entrega real]]="","NO CONCRETADO",IF(N597&lt;=M597,"CUMPLIÓ","NO CUMPLIÓ"))</f>
        <v>CUMPLIÓ</v>
      </c>
      <c r="P597" s="141">
        <f t="shared" si="14"/>
        <v>0</v>
      </c>
      <c r="Q597" s="413" t="s">
        <v>13</v>
      </c>
      <c r="R597" s="413" t="s">
        <v>33</v>
      </c>
      <c r="S597" s="413" t="s">
        <v>244</v>
      </c>
      <c r="T597" s="414" t="s">
        <v>1927</v>
      </c>
      <c r="U597" s="416" t="s">
        <v>1928</v>
      </c>
      <c r="V597" s="414"/>
      <c r="W597" s="414"/>
      <c r="X597" s="414">
        <f>MONTH(Tabla1[[#This Row],[fecha
de
pedido]])</f>
        <v>4</v>
      </c>
      <c r="Y597" s="414">
        <f>YEAR(Tabla1[[#This Row],[fecha
de
pedido]])</f>
        <v>2018</v>
      </c>
    </row>
    <row r="598" spans="1:25" ht="43.5" customHeight="1" x14ac:dyDescent="0.2">
      <c r="A598" s="420">
        <v>43217</v>
      </c>
      <c r="B598" s="431">
        <v>18039</v>
      </c>
      <c r="C598" s="419" t="s">
        <v>935</v>
      </c>
      <c r="D598" s="421" t="s">
        <v>33</v>
      </c>
      <c r="E598" s="419" t="s">
        <v>11</v>
      </c>
      <c r="F598" s="421" t="s">
        <v>772</v>
      </c>
      <c r="G598" s="419" t="s">
        <v>1896</v>
      </c>
      <c r="H598" s="421">
        <v>5</v>
      </c>
      <c r="I598" s="421"/>
      <c r="J598" s="419" t="s">
        <v>1910</v>
      </c>
      <c r="K598" s="421">
        <v>13.91</v>
      </c>
      <c r="L598" s="238">
        <f>(Tabla1[[#This Row],[Costo Unitario]]*Tabla1[[#This Row],[cantidad]])</f>
        <v>69.55</v>
      </c>
      <c r="M598" s="422">
        <v>43229</v>
      </c>
      <c r="N598" s="422">
        <v>43229</v>
      </c>
      <c r="O598" s="422" t="str">
        <f>IF( Tabla1[[#This Row],[Fecha de entrega real]]="","NO CONCRETADO",IF(N598&lt;=M598,"CUMPLIÓ","NO CUMPLIÓ"))</f>
        <v>CUMPLIÓ</v>
      </c>
      <c r="P598" s="141">
        <f t="shared" si="14"/>
        <v>0</v>
      </c>
      <c r="Q598" s="413" t="s">
        <v>13</v>
      </c>
      <c r="R598" s="413" t="s">
        <v>33</v>
      </c>
      <c r="S598" s="413" t="s">
        <v>244</v>
      </c>
      <c r="T598" s="414" t="s">
        <v>1927</v>
      </c>
      <c r="U598" s="416" t="s">
        <v>1928</v>
      </c>
      <c r="V598" s="414"/>
      <c r="W598" s="414"/>
      <c r="X598" s="414">
        <f>MONTH(Tabla1[[#This Row],[fecha
de
pedido]])</f>
        <v>4</v>
      </c>
      <c r="Y598" s="414">
        <f>YEAR(Tabla1[[#This Row],[fecha
de
pedido]])</f>
        <v>2018</v>
      </c>
    </row>
    <row r="599" spans="1:25" ht="43.5" customHeight="1" x14ac:dyDescent="0.2">
      <c r="A599" s="420">
        <v>43217</v>
      </c>
      <c r="B599" s="431">
        <v>18039</v>
      </c>
      <c r="C599" s="419" t="s">
        <v>935</v>
      </c>
      <c r="D599" s="421" t="s">
        <v>33</v>
      </c>
      <c r="E599" s="419" t="s">
        <v>11</v>
      </c>
      <c r="F599" s="421" t="s">
        <v>772</v>
      </c>
      <c r="G599" s="419" t="s">
        <v>1897</v>
      </c>
      <c r="H599" s="421">
        <v>30</v>
      </c>
      <c r="I599" s="421"/>
      <c r="J599" s="419" t="s">
        <v>1910</v>
      </c>
      <c r="K599" s="421">
        <v>7.84</v>
      </c>
      <c r="L599" s="238">
        <f>(Tabla1[[#This Row],[Costo Unitario]]*Tabla1[[#This Row],[cantidad]])</f>
        <v>235.2</v>
      </c>
      <c r="M599" s="422">
        <v>43229</v>
      </c>
      <c r="N599" s="422">
        <v>43229</v>
      </c>
      <c r="O599" s="422" t="str">
        <f>IF( Tabla1[[#This Row],[Fecha de entrega real]]="","NO CONCRETADO",IF(N599&lt;=M599,"CUMPLIÓ","NO CUMPLIÓ"))</f>
        <v>CUMPLIÓ</v>
      </c>
      <c r="P599" s="141">
        <f t="shared" si="14"/>
        <v>0</v>
      </c>
      <c r="Q599" s="413" t="s">
        <v>13</v>
      </c>
      <c r="R599" s="413" t="s">
        <v>33</v>
      </c>
      <c r="S599" s="413" t="s">
        <v>244</v>
      </c>
      <c r="T599" s="414" t="s">
        <v>1927</v>
      </c>
      <c r="U599" s="416" t="s">
        <v>1928</v>
      </c>
      <c r="V599" s="414"/>
      <c r="W599" s="414"/>
      <c r="X599" s="414">
        <f>MONTH(Tabla1[[#This Row],[fecha
de
pedido]])</f>
        <v>4</v>
      </c>
      <c r="Y599" s="414">
        <f>YEAR(Tabla1[[#This Row],[fecha
de
pedido]])</f>
        <v>2018</v>
      </c>
    </row>
    <row r="600" spans="1:25" ht="43.5" customHeight="1" x14ac:dyDescent="0.2">
      <c r="A600" s="420">
        <v>43217</v>
      </c>
      <c r="B600" s="431">
        <v>18039</v>
      </c>
      <c r="C600" s="419" t="s">
        <v>935</v>
      </c>
      <c r="D600" s="421" t="s">
        <v>33</v>
      </c>
      <c r="E600" s="419" t="s">
        <v>11</v>
      </c>
      <c r="F600" s="421" t="s">
        <v>772</v>
      </c>
      <c r="G600" s="419" t="s">
        <v>1898</v>
      </c>
      <c r="H600" s="421">
        <v>2</v>
      </c>
      <c r="I600" s="421"/>
      <c r="J600" s="419" t="s">
        <v>1910</v>
      </c>
      <c r="K600" s="421">
        <v>81.67</v>
      </c>
      <c r="L600" s="238">
        <f>(Tabla1[[#This Row],[Costo Unitario]]*Tabla1[[#This Row],[cantidad]])</f>
        <v>163.34</v>
      </c>
      <c r="M600" s="422">
        <v>43229</v>
      </c>
      <c r="N600" s="422">
        <v>43229</v>
      </c>
      <c r="O600" s="422" t="str">
        <f>IF( Tabla1[[#This Row],[Fecha de entrega real]]="","NO CONCRETADO",IF(N600&lt;=M600,"CUMPLIÓ","NO CUMPLIÓ"))</f>
        <v>CUMPLIÓ</v>
      </c>
      <c r="P600" s="141">
        <f t="shared" si="14"/>
        <v>0</v>
      </c>
      <c r="Q600" s="413" t="s">
        <v>13</v>
      </c>
      <c r="R600" s="413" t="s">
        <v>33</v>
      </c>
      <c r="S600" s="413" t="s">
        <v>244</v>
      </c>
      <c r="T600" s="414" t="s">
        <v>1927</v>
      </c>
      <c r="U600" s="416" t="s">
        <v>1928</v>
      </c>
      <c r="V600" s="414"/>
      <c r="W600" s="414"/>
      <c r="X600" s="414">
        <f>MONTH(Tabla1[[#This Row],[fecha
de
pedido]])</f>
        <v>4</v>
      </c>
      <c r="Y600" s="414">
        <f>YEAR(Tabla1[[#This Row],[fecha
de
pedido]])</f>
        <v>2018</v>
      </c>
    </row>
    <row r="601" spans="1:25" ht="43.5" customHeight="1" x14ac:dyDescent="0.2">
      <c r="A601" s="420">
        <v>43217</v>
      </c>
      <c r="B601" s="431">
        <v>18039</v>
      </c>
      <c r="C601" s="419" t="s">
        <v>935</v>
      </c>
      <c r="D601" s="421" t="s">
        <v>33</v>
      </c>
      <c r="E601" s="419" t="s">
        <v>11</v>
      </c>
      <c r="F601" s="421" t="s">
        <v>772</v>
      </c>
      <c r="G601" s="419" t="s">
        <v>1899</v>
      </c>
      <c r="H601" s="421">
        <v>1</v>
      </c>
      <c r="I601" s="421"/>
      <c r="J601" s="419" t="s">
        <v>1910</v>
      </c>
      <c r="K601" s="421">
        <v>27.56</v>
      </c>
      <c r="L601" s="238">
        <f>(Tabla1[[#This Row],[Costo Unitario]]*Tabla1[[#This Row],[cantidad]])</f>
        <v>27.56</v>
      </c>
      <c r="M601" s="422">
        <v>43229</v>
      </c>
      <c r="N601" s="422">
        <v>43229</v>
      </c>
      <c r="O601" s="422" t="str">
        <f>IF( Tabla1[[#This Row],[Fecha de entrega real]]="","NO CONCRETADO",IF(N601&lt;=M601,"CUMPLIÓ","NO CUMPLIÓ"))</f>
        <v>CUMPLIÓ</v>
      </c>
      <c r="P601" s="141">
        <f t="shared" si="14"/>
        <v>0</v>
      </c>
      <c r="Q601" s="413" t="s">
        <v>13</v>
      </c>
      <c r="R601" s="413" t="s">
        <v>33</v>
      </c>
      <c r="S601" s="413" t="s">
        <v>244</v>
      </c>
      <c r="T601" s="414" t="s">
        <v>1927</v>
      </c>
      <c r="U601" s="416" t="s">
        <v>1928</v>
      </c>
      <c r="V601" s="414"/>
      <c r="W601" s="414"/>
      <c r="X601" s="414">
        <f>MONTH(Tabla1[[#This Row],[fecha
de
pedido]])</f>
        <v>4</v>
      </c>
      <c r="Y601" s="414">
        <f>YEAR(Tabla1[[#This Row],[fecha
de
pedido]])</f>
        <v>2018</v>
      </c>
    </row>
    <row r="602" spans="1:25" ht="43.5" customHeight="1" x14ac:dyDescent="0.2">
      <c r="A602" s="420">
        <v>43217</v>
      </c>
      <c r="B602" s="431">
        <v>18039</v>
      </c>
      <c r="C602" s="419" t="s">
        <v>935</v>
      </c>
      <c r="D602" s="421" t="s">
        <v>33</v>
      </c>
      <c r="E602" s="419" t="s">
        <v>11</v>
      </c>
      <c r="F602" s="421" t="s">
        <v>772</v>
      </c>
      <c r="G602" s="419" t="s">
        <v>1900</v>
      </c>
      <c r="H602" s="421">
        <v>3</v>
      </c>
      <c r="I602" s="421"/>
      <c r="J602" s="419" t="s">
        <v>1910</v>
      </c>
      <c r="K602" s="421">
        <v>22.38</v>
      </c>
      <c r="L602" s="238">
        <f>(Tabla1[[#This Row],[Costo Unitario]]*Tabla1[[#This Row],[cantidad]])</f>
        <v>67.14</v>
      </c>
      <c r="M602" s="422">
        <v>43229</v>
      </c>
      <c r="N602" s="422">
        <v>43229</v>
      </c>
      <c r="O602" s="422" t="str">
        <f>IF( Tabla1[[#This Row],[Fecha de entrega real]]="","NO CONCRETADO",IF(N602&lt;=M602,"CUMPLIÓ","NO CUMPLIÓ"))</f>
        <v>CUMPLIÓ</v>
      </c>
      <c r="P602" s="141">
        <f t="shared" si="14"/>
        <v>0</v>
      </c>
      <c r="Q602" s="413" t="s">
        <v>13</v>
      </c>
      <c r="R602" s="413" t="s">
        <v>33</v>
      </c>
      <c r="S602" s="413" t="s">
        <v>244</v>
      </c>
      <c r="T602" s="414" t="s">
        <v>1927</v>
      </c>
      <c r="U602" s="416" t="s">
        <v>1928</v>
      </c>
      <c r="V602" s="414"/>
      <c r="W602" s="414"/>
      <c r="X602" s="414">
        <f>MONTH(Tabla1[[#This Row],[fecha
de
pedido]])</f>
        <v>4</v>
      </c>
      <c r="Y602" s="414">
        <f>YEAR(Tabla1[[#This Row],[fecha
de
pedido]])</f>
        <v>2018</v>
      </c>
    </row>
    <row r="603" spans="1:25" ht="43.5" customHeight="1" x14ac:dyDescent="0.2">
      <c r="A603" s="420">
        <v>43217</v>
      </c>
      <c r="B603" s="431">
        <v>18039</v>
      </c>
      <c r="C603" s="419" t="s">
        <v>935</v>
      </c>
      <c r="D603" s="421" t="s">
        <v>33</v>
      </c>
      <c r="E603" s="419" t="s">
        <v>11</v>
      </c>
      <c r="F603" s="421" t="s">
        <v>772</v>
      </c>
      <c r="G603" s="419" t="s">
        <v>1901</v>
      </c>
      <c r="H603" s="421">
        <v>4</v>
      </c>
      <c r="I603" s="421"/>
      <c r="J603" s="419" t="s">
        <v>1910</v>
      </c>
      <c r="K603" s="421">
        <v>18.100000000000001</v>
      </c>
      <c r="L603" s="238">
        <f>(Tabla1[[#This Row],[Costo Unitario]]*Tabla1[[#This Row],[cantidad]])</f>
        <v>72.400000000000006</v>
      </c>
      <c r="M603" s="422">
        <v>43229</v>
      </c>
      <c r="N603" s="422">
        <v>43229</v>
      </c>
      <c r="O603" s="422" t="str">
        <f>IF( Tabla1[[#This Row],[Fecha de entrega real]]="","NO CONCRETADO",IF(N603&lt;=M603,"CUMPLIÓ","NO CUMPLIÓ"))</f>
        <v>CUMPLIÓ</v>
      </c>
      <c r="P603" s="141">
        <f t="shared" si="14"/>
        <v>0</v>
      </c>
      <c r="Q603" s="413" t="s">
        <v>13</v>
      </c>
      <c r="R603" s="413" t="s">
        <v>33</v>
      </c>
      <c r="S603" s="413" t="s">
        <v>1921</v>
      </c>
      <c r="T603" s="414" t="s">
        <v>1927</v>
      </c>
      <c r="U603" s="416" t="s">
        <v>1928</v>
      </c>
      <c r="V603" s="414"/>
      <c r="W603" s="414"/>
      <c r="X603" s="414">
        <f>MONTH(Tabla1[[#This Row],[fecha
de
pedido]])</f>
        <v>4</v>
      </c>
      <c r="Y603" s="414">
        <f>YEAR(Tabla1[[#This Row],[fecha
de
pedido]])</f>
        <v>2018</v>
      </c>
    </row>
    <row r="604" spans="1:25" ht="43.5" customHeight="1" x14ac:dyDescent="0.2">
      <c r="A604" s="420">
        <v>43217</v>
      </c>
      <c r="B604" s="431">
        <v>18039</v>
      </c>
      <c r="C604" s="419" t="s">
        <v>935</v>
      </c>
      <c r="D604" s="421" t="s">
        <v>33</v>
      </c>
      <c r="E604" s="419" t="s">
        <v>11</v>
      </c>
      <c r="F604" s="421" t="s">
        <v>772</v>
      </c>
      <c r="G604" s="419" t="s">
        <v>1902</v>
      </c>
      <c r="H604" s="421">
        <v>5</v>
      </c>
      <c r="I604" s="421"/>
      <c r="J604" s="419" t="s">
        <v>1910</v>
      </c>
      <c r="K604" s="421">
        <v>18.100000000000001</v>
      </c>
      <c r="L604" s="238">
        <f>(Tabla1[[#This Row],[Costo Unitario]]*Tabla1[[#This Row],[cantidad]])</f>
        <v>90.5</v>
      </c>
      <c r="M604" s="422">
        <v>43229</v>
      </c>
      <c r="N604" s="420" t="s">
        <v>1922</v>
      </c>
      <c r="O604" s="422" t="str">
        <f>IF( Tabla1[[#This Row],[Fecha de entrega real]]="","NO CONCRETADO",IF(N604&lt;=M604,"CUMPLIÓ","NO CUMPLIÓ"))</f>
        <v>NO CUMPLIÓ</v>
      </c>
      <c r="P604" s="141" t="e">
        <f t="shared" si="14"/>
        <v>#VALUE!</v>
      </c>
      <c r="Q604" s="413" t="s">
        <v>13</v>
      </c>
      <c r="R604" s="413" t="s">
        <v>33</v>
      </c>
      <c r="S604" s="413" t="s">
        <v>1923</v>
      </c>
      <c r="T604" s="414" t="s">
        <v>1927</v>
      </c>
      <c r="U604" s="416" t="s">
        <v>1928</v>
      </c>
      <c r="V604" s="414"/>
      <c r="W604" s="414"/>
      <c r="X604" s="414">
        <f>MONTH(Tabla1[[#This Row],[fecha
de
pedido]])</f>
        <v>4</v>
      </c>
      <c r="Y604" s="414">
        <f>YEAR(Tabla1[[#This Row],[fecha
de
pedido]])</f>
        <v>2018</v>
      </c>
    </row>
    <row r="605" spans="1:25" ht="43.5" customHeight="1" x14ac:dyDescent="0.2">
      <c r="A605" s="420">
        <v>43217</v>
      </c>
      <c r="B605" s="431">
        <v>18039</v>
      </c>
      <c r="C605" s="419" t="s">
        <v>935</v>
      </c>
      <c r="D605" s="421" t="s">
        <v>33</v>
      </c>
      <c r="E605" s="419" t="s">
        <v>11</v>
      </c>
      <c r="F605" s="421" t="s">
        <v>772</v>
      </c>
      <c r="G605" s="419" t="s">
        <v>1903</v>
      </c>
      <c r="H605" s="421">
        <v>3</v>
      </c>
      <c r="I605" s="421"/>
      <c r="J605" s="419" t="s">
        <v>1910</v>
      </c>
      <c r="K605" s="421">
        <v>18.100000000000001</v>
      </c>
      <c r="L605" s="238">
        <f>(Tabla1[[#This Row],[Costo Unitario]]*Tabla1[[#This Row],[cantidad]])</f>
        <v>54.300000000000004</v>
      </c>
      <c r="M605" s="422">
        <v>43229</v>
      </c>
      <c r="N605" s="422">
        <v>43229</v>
      </c>
      <c r="O605" s="422" t="str">
        <f>IF( Tabla1[[#This Row],[Fecha de entrega real]]="","NO CONCRETADO",IF(N605&lt;=M605,"CUMPLIÓ","NO CUMPLIÓ"))</f>
        <v>CUMPLIÓ</v>
      </c>
      <c r="P605" s="141">
        <f t="shared" si="14"/>
        <v>0</v>
      </c>
      <c r="Q605" s="413" t="s">
        <v>13</v>
      </c>
      <c r="R605" s="413" t="s">
        <v>33</v>
      </c>
      <c r="S605" s="413" t="s">
        <v>1924</v>
      </c>
      <c r="T605" s="414" t="s">
        <v>1927</v>
      </c>
      <c r="U605" s="416" t="s">
        <v>1928</v>
      </c>
      <c r="V605" s="414"/>
      <c r="W605" s="414"/>
      <c r="X605" s="414">
        <f>MONTH(Tabla1[[#This Row],[fecha
de
pedido]])</f>
        <v>4</v>
      </c>
      <c r="Y605" s="414">
        <f>YEAR(Tabla1[[#This Row],[fecha
de
pedido]])</f>
        <v>2018</v>
      </c>
    </row>
    <row r="606" spans="1:25" ht="43.5" customHeight="1" x14ac:dyDescent="0.2">
      <c r="A606" s="420">
        <v>43217</v>
      </c>
      <c r="B606" s="431">
        <v>18039</v>
      </c>
      <c r="C606" s="419" t="s">
        <v>935</v>
      </c>
      <c r="D606" s="421" t="s">
        <v>33</v>
      </c>
      <c r="E606" s="419" t="s">
        <v>11</v>
      </c>
      <c r="F606" s="421" t="s">
        <v>772</v>
      </c>
      <c r="G606" s="419" t="s">
        <v>1904</v>
      </c>
      <c r="H606" s="421">
        <v>12</v>
      </c>
      <c r="I606" s="421"/>
      <c r="J606" s="419" t="s">
        <v>1910</v>
      </c>
      <c r="K606" s="421">
        <v>61.63</v>
      </c>
      <c r="L606" s="238">
        <f>(Tabla1[[#This Row],[Costo Unitario]]*Tabla1[[#This Row],[cantidad]])</f>
        <v>739.56000000000006</v>
      </c>
      <c r="M606" s="422">
        <v>43229</v>
      </c>
      <c r="N606" s="422">
        <v>43230</v>
      </c>
      <c r="O606" s="422" t="str">
        <f>IF( Tabla1[[#This Row],[Fecha de entrega real]]="","NO CONCRETADO",IF(N606&lt;=M606,"CUMPLIÓ","NO CUMPLIÓ"))</f>
        <v>NO CUMPLIÓ</v>
      </c>
      <c r="P606" s="141">
        <f t="shared" si="14"/>
        <v>1</v>
      </c>
      <c r="Q606" s="413" t="s">
        <v>13</v>
      </c>
      <c r="R606" s="413" t="s">
        <v>33</v>
      </c>
      <c r="S606" s="413" t="s">
        <v>2006</v>
      </c>
      <c r="T606" s="414" t="s">
        <v>1925</v>
      </c>
      <c r="U606" s="416" t="s">
        <v>1926</v>
      </c>
      <c r="V606" s="414"/>
      <c r="W606" s="414"/>
      <c r="X606" s="414">
        <f>MONTH(Tabla1[[#This Row],[fecha
de
pedido]])</f>
        <v>4</v>
      </c>
      <c r="Y606" s="414">
        <f>YEAR(Tabla1[[#This Row],[fecha
de
pedido]])</f>
        <v>2018</v>
      </c>
    </row>
    <row r="607" spans="1:25" ht="43.5" customHeight="1" x14ac:dyDescent="0.2">
      <c r="A607" s="420">
        <v>43217</v>
      </c>
      <c r="B607" s="431">
        <v>18039</v>
      </c>
      <c r="C607" s="419" t="s">
        <v>935</v>
      </c>
      <c r="D607" s="421" t="s">
        <v>33</v>
      </c>
      <c r="E607" s="419" t="s">
        <v>11</v>
      </c>
      <c r="F607" s="421" t="s">
        <v>772</v>
      </c>
      <c r="G607" s="419" t="s">
        <v>1905</v>
      </c>
      <c r="H607" s="421">
        <v>3</v>
      </c>
      <c r="I607" s="421"/>
      <c r="J607" s="419" t="s">
        <v>1910</v>
      </c>
      <c r="K607" s="421">
        <v>45.85</v>
      </c>
      <c r="L607" s="238">
        <f>(Tabla1[[#This Row],[Costo Unitario]]*Tabla1[[#This Row],[cantidad]])</f>
        <v>137.55000000000001</v>
      </c>
      <c r="M607" s="422">
        <v>43229</v>
      </c>
      <c r="N607" s="422">
        <v>43229</v>
      </c>
      <c r="O607" s="422" t="str">
        <f>IF( Tabla1[[#This Row],[Fecha de entrega real]]="","NO CONCRETADO",IF(N607&lt;=M607,"CUMPLIÓ","NO CUMPLIÓ"))</f>
        <v>CUMPLIÓ</v>
      </c>
      <c r="P607" s="141">
        <f t="shared" si="14"/>
        <v>0</v>
      </c>
      <c r="Q607" s="413" t="s">
        <v>13</v>
      </c>
      <c r="R607" s="413" t="s">
        <v>33</v>
      </c>
      <c r="S607" s="413" t="s">
        <v>2006</v>
      </c>
      <c r="T607" s="414" t="s">
        <v>1927</v>
      </c>
      <c r="U607" s="416" t="s">
        <v>1928</v>
      </c>
      <c r="V607" s="414"/>
      <c r="W607" s="414"/>
      <c r="X607" s="414">
        <f>MONTH(Tabla1[[#This Row],[fecha
de
pedido]])</f>
        <v>4</v>
      </c>
      <c r="Y607" s="414">
        <f>YEAR(Tabla1[[#This Row],[fecha
de
pedido]])</f>
        <v>2018</v>
      </c>
    </row>
    <row r="608" spans="1:25" ht="43.5" customHeight="1" x14ac:dyDescent="0.2">
      <c r="A608" s="420">
        <v>43217</v>
      </c>
      <c r="B608" s="431">
        <v>18039</v>
      </c>
      <c r="C608" s="419" t="s">
        <v>935</v>
      </c>
      <c r="D608" s="421" t="s">
        <v>33</v>
      </c>
      <c r="E608" s="419" t="s">
        <v>11</v>
      </c>
      <c r="F608" s="421" t="s">
        <v>772</v>
      </c>
      <c r="G608" s="419" t="s">
        <v>1906</v>
      </c>
      <c r="H608" s="421">
        <v>1</v>
      </c>
      <c r="I608" s="421"/>
      <c r="J608" s="419" t="s">
        <v>1910</v>
      </c>
      <c r="K608" s="421">
        <v>68.53</v>
      </c>
      <c r="L608" s="238">
        <f>(Tabla1[[#This Row],[Costo Unitario]]*Tabla1[[#This Row],[cantidad]])</f>
        <v>68.53</v>
      </c>
      <c r="M608" s="422">
        <v>43229</v>
      </c>
      <c r="N608" s="422">
        <v>43229</v>
      </c>
      <c r="O608" s="422" t="str">
        <f>IF( Tabla1[[#This Row],[Fecha de entrega real]]="","NO CONCRETADO",IF(N608&lt;=M608,"CUMPLIÓ","NO CUMPLIÓ"))</f>
        <v>CUMPLIÓ</v>
      </c>
      <c r="P608" s="141">
        <f t="shared" si="14"/>
        <v>0</v>
      </c>
      <c r="Q608" s="413" t="s">
        <v>13</v>
      </c>
      <c r="R608" s="413" t="s">
        <v>33</v>
      </c>
      <c r="S608" s="413" t="s">
        <v>2006</v>
      </c>
      <c r="T608" s="414" t="s">
        <v>1927</v>
      </c>
      <c r="U608" s="416" t="s">
        <v>1928</v>
      </c>
      <c r="V608" s="414"/>
      <c r="W608" s="414"/>
      <c r="X608" s="414">
        <f>MONTH(Tabla1[[#This Row],[fecha
de
pedido]])</f>
        <v>4</v>
      </c>
      <c r="Y608" s="414">
        <f>YEAR(Tabla1[[#This Row],[fecha
de
pedido]])</f>
        <v>2018</v>
      </c>
    </row>
    <row r="609" spans="1:25" ht="43.5" customHeight="1" x14ac:dyDescent="0.2">
      <c r="A609" s="420">
        <v>43218</v>
      </c>
      <c r="B609" s="431">
        <v>18039</v>
      </c>
      <c r="C609" s="419" t="s">
        <v>935</v>
      </c>
      <c r="D609" s="421" t="s">
        <v>33</v>
      </c>
      <c r="E609" s="419" t="s">
        <v>11</v>
      </c>
      <c r="F609" s="421" t="s">
        <v>772</v>
      </c>
      <c r="G609" s="419" t="s">
        <v>1907</v>
      </c>
      <c r="H609" s="421">
        <v>5</v>
      </c>
      <c r="I609" s="421"/>
      <c r="J609" s="419" t="s">
        <v>1910</v>
      </c>
      <c r="K609" s="421">
        <v>45.22</v>
      </c>
      <c r="L609" s="238">
        <f>(Tabla1[[#This Row],[Costo Unitario]]*Tabla1[[#This Row],[cantidad]])</f>
        <v>226.1</v>
      </c>
      <c r="M609" s="422">
        <v>43229</v>
      </c>
      <c r="N609" s="422">
        <v>43229</v>
      </c>
      <c r="O609" s="422" t="str">
        <f>IF( Tabla1[[#This Row],[Fecha de entrega real]]="","NO CONCRETADO",IF(N609&lt;=M609,"CUMPLIÓ","NO CUMPLIÓ"))</f>
        <v>CUMPLIÓ</v>
      </c>
      <c r="P609" s="141">
        <f t="shared" si="14"/>
        <v>0</v>
      </c>
      <c r="Q609" s="413" t="s">
        <v>13</v>
      </c>
      <c r="R609" s="413" t="s">
        <v>33</v>
      </c>
      <c r="S609" s="413" t="s">
        <v>2006</v>
      </c>
      <c r="T609" s="414" t="s">
        <v>1927</v>
      </c>
      <c r="U609" s="416" t="s">
        <v>1928</v>
      </c>
      <c r="V609" s="414"/>
      <c r="W609" s="414"/>
      <c r="X609" s="414">
        <f>MONTH(Tabla1[[#This Row],[fecha
de
pedido]])</f>
        <v>4</v>
      </c>
      <c r="Y609" s="414">
        <f>YEAR(Tabla1[[#This Row],[fecha
de
pedido]])</f>
        <v>2018</v>
      </c>
    </row>
    <row r="610" spans="1:25" ht="43.5" customHeight="1" x14ac:dyDescent="0.2">
      <c r="A610" s="420">
        <v>43219</v>
      </c>
      <c r="B610" s="431">
        <v>18039</v>
      </c>
      <c r="C610" s="419" t="s">
        <v>935</v>
      </c>
      <c r="D610" s="421" t="s">
        <v>33</v>
      </c>
      <c r="E610" s="419" t="s">
        <v>11</v>
      </c>
      <c r="F610" s="421" t="s">
        <v>772</v>
      </c>
      <c r="G610" s="419" t="s">
        <v>1397</v>
      </c>
      <c r="H610" s="421">
        <v>1</v>
      </c>
      <c r="I610" s="421"/>
      <c r="J610" s="419" t="s">
        <v>1910</v>
      </c>
      <c r="K610" s="421">
        <v>21.3</v>
      </c>
      <c r="L610" s="238">
        <f>(Tabla1[[#This Row],[Costo Unitario]]*Tabla1[[#This Row],[cantidad]])</f>
        <v>21.3</v>
      </c>
      <c r="M610" s="422">
        <v>43229</v>
      </c>
      <c r="N610" s="422">
        <v>43229</v>
      </c>
      <c r="O610" s="422" t="str">
        <f>IF( Tabla1[[#This Row],[Fecha de entrega real]]="","NO CONCRETADO",IF(N610&lt;=M610,"CUMPLIÓ","NO CUMPLIÓ"))</f>
        <v>CUMPLIÓ</v>
      </c>
      <c r="P610" s="141">
        <f t="shared" si="14"/>
        <v>0</v>
      </c>
      <c r="Q610" s="413" t="s">
        <v>13</v>
      </c>
      <c r="R610" s="413" t="s">
        <v>33</v>
      </c>
      <c r="S610" s="413" t="s">
        <v>2006</v>
      </c>
      <c r="T610" s="414" t="s">
        <v>1927</v>
      </c>
      <c r="U610" s="416" t="s">
        <v>1928</v>
      </c>
      <c r="V610" s="414"/>
      <c r="W610" s="414"/>
      <c r="X610" s="414">
        <f>MONTH(Tabla1[[#This Row],[fecha
de
pedido]])</f>
        <v>4</v>
      </c>
      <c r="Y610" s="414">
        <f>YEAR(Tabla1[[#This Row],[fecha
de
pedido]])</f>
        <v>2018</v>
      </c>
    </row>
    <row r="611" spans="1:25" ht="43.5" customHeight="1" x14ac:dyDescent="0.2">
      <c r="A611" s="420">
        <v>43220</v>
      </c>
      <c r="B611" s="431">
        <v>18039</v>
      </c>
      <c r="C611" s="419" t="s">
        <v>935</v>
      </c>
      <c r="D611" s="421" t="s">
        <v>33</v>
      </c>
      <c r="E611" s="419" t="s">
        <v>11</v>
      </c>
      <c r="F611" s="421" t="s">
        <v>772</v>
      </c>
      <c r="G611" s="419" t="s">
        <v>1908</v>
      </c>
      <c r="H611" s="421">
        <v>4</v>
      </c>
      <c r="I611" s="421"/>
      <c r="J611" s="419" t="s">
        <v>1910</v>
      </c>
      <c r="K611" s="421">
        <v>7.57</v>
      </c>
      <c r="L611" s="238">
        <f>(Tabla1[[#This Row],[Costo Unitario]]*Tabla1[[#This Row],[cantidad]])</f>
        <v>30.28</v>
      </c>
      <c r="M611" s="422">
        <v>43229</v>
      </c>
      <c r="N611" s="422">
        <v>43229</v>
      </c>
      <c r="O611" s="422" t="str">
        <f>IF( Tabla1[[#This Row],[Fecha de entrega real]]="","NO CONCRETADO",IF(N611&lt;=M611,"CUMPLIÓ","NO CUMPLIÓ"))</f>
        <v>CUMPLIÓ</v>
      </c>
      <c r="P611" s="141">
        <f t="shared" si="14"/>
        <v>0</v>
      </c>
      <c r="Q611" s="413" t="s">
        <v>13</v>
      </c>
      <c r="R611" s="413" t="s">
        <v>33</v>
      </c>
      <c r="S611" s="413" t="s">
        <v>2006</v>
      </c>
      <c r="T611" s="414" t="s">
        <v>1927</v>
      </c>
      <c r="U611" s="416" t="s">
        <v>1928</v>
      </c>
      <c r="V611" s="414"/>
      <c r="W611" s="414"/>
      <c r="X611" s="414">
        <f>MONTH(Tabla1[[#This Row],[fecha
de
pedido]])</f>
        <v>4</v>
      </c>
      <c r="Y611" s="414">
        <f>YEAR(Tabla1[[#This Row],[fecha
de
pedido]])</f>
        <v>2018</v>
      </c>
    </row>
    <row r="612" spans="1:25" ht="43.5" customHeight="1" x14ac:dyDescent="0.2">
      <c r="A612" s="420">
        <v>43221</v>
      </c>
      <c r="B612" s="431">
        <v>18039</v>
      </c>
      <c r="C612" s="419" t="s">
        <v>935</v>
      </c>
      <c r="D612" s="421" t="s">
        <v>33</v>
      </c>
      <c r="E612" s="419" t="s">
        <v>11</v>
      </c>
      <c r="F612" s="421" t="s">
        <v>772</v>
      </c>
      <c r="G612" s="419" t="s">
        <v>1909</v>
      </c>
      <c r="H612" s="421">
        <v>3</v>
      </c>
      <c r="I612" s="421"/>
      <c r="J612" s="419" t="s">
        <v>1910</v>
      </c>
      <c r="K612" s="421">
        <v>16.66</v>
      </c>
      <c r="L612" s="238">
        <f>(Tabla1[[#This Row],[Costo Unitario]]*Tabla1[[#This Row],[cantidad]])</f>
        <v>49.980000000000004</v>
      </c>
      <c r="M612" s="422">
        <v>43229</v>
      </c>
      <c r="N612" s="422">
        <v>43229</v>
      </c>
      <c r="O612" s="422" t="str">
        <f>IF( Tabla1[[#This Row],[Fecha de entrega real]]="","NO CONCRETADO",IF(N612&lt;=M612,"CUMPLIÓ","NO CUMPLIÓ"))</f>
        <v>CUMPLIÓ</v>
      </c>
      <c r="P612" s="141">
        <f t="shared" si="14"/>
        <v>0</v>
      </c>
      <c r="Q612" s="413" t="s">
        <v>13</v>
      </c>
      <c r="R612" s="413" t="s">
        <v>33</v>
      </c>
      <c r="S612" s="413" t="s">
        <v>2006</v>
      </c>
      <c r="T612" s="414" t="s">
        <v>1927</v>
      </c>
      <c r="U612" s="416" t="s">
        <v>1928</v>
      </c>
      <c r="V612" s="414"/>
      <c r="W612" s="414"/>
      <c r="X612" s="414">
        <f>MONTH(Tabla1[[#This Row],[fecha
de
pedido]])</f>
        <v>5</v>
      </c>
      <c r="Y612" s="414">
        <f>YEAR(Tabla1[[#This Row],[fecha
de
pedido]])</f>
        <v>2018</v>
      </c>
    </row>
    <row r="613" spans="1:25" ht="25.5" x14ac:dyDescent="0.2">
      <c r="A613" s="417">
        <v>43222</v>
      </c>
      <c r="B613" s="428">
        <v>18040</v>
      </c>
      <c r="C613" s="413" t="s">
        <v>1916</v>
      </c>
      <c r="D613" s="421" t="s">
        <v>33</v>
      </c>
      <c r="E613" s="419" t="s">
        <v>11</v>
      </c>
      <c r="F613" s="414" t="s">
        <v>778</v>
      </c>
      <c r="G613" s="413" t="s">
        <v>1911</v>
      </c>
      <c r="H613" s="414">
        <v>1</v>
      </c>
      <c r="I613" s="414" t="s">
        <v>821</v>
      </c>
      <c r="J613" s="413" t="s">
        <v>2009</v>
      </c>
      <c r="K613" s="414">
        <v>530</v>
      </c>
      <c r="L613" s="238">
        <f>(Tabla1[[#This Row],[Costo Unitario]]*Tabla1[[#This Row],[cantidad]])</f>
        <v>530</v>
      </c>
      <c r="M613" s="415">
        <v>43243</v>
      </c>
      <c r="N613" s="415">
        <v>43237</v>
      </c>
      <c r="O613" s="415" t="str">
        <f>IF( Tabla1[[#This Row],[Fecha de entrega real]]="","NO CONCRETADO",IF(N613&lt;=M613,"CUMPLIÓ","NO CUMPLIÓ"))</f>
        <v>CUMPLIÓ</v>
      </c>
      <c r="P613" s="141">
        <f t="shared" si="14"/>
        <v>-6</v>
      </c>
      <c r="Q613" s="413" t="s">
        <v>13</v>
      </c>
      <c r="R613" s="413" t="s">
        <v>33</v>
      </c>
      <c r="S613" s="413" t="s">
        <v>334</v>
      </c>
      <c r="T613" s="414" t="s">
        <v>2019</v>
      </c>
      <c r="U613" s="416" t="s">
        <v>2020</v>
      </c>
      <c r="V613" s="414"/>
      <c r="W613" s="414"/>
      <c r="X613" s="414">
        <f>MONTH(Tabla1[[#This Row],[fecha
de
pedido]])</f>
        <v>5</v>
      </c>
      <c r="Y613" s="414">
        <f>YEAR(Tabla1[[#This Row],[fecha
de
pedido]])</f>
        <v>2018</v>
      </c>
    </row>
    <row r="614" spans="1:25" ht="25.5" x14ac:dyDescent="0.2">
      <c r="A614" s="417">
        <v>43222</v>
      </c>
      <c r="B614" s="428">
        <v>18040</v>
      </c>
      <c r="C614" s="413" t="s">
        <v>825</v>
      </c>
      <c r="D614" s="421" t="s">
        <v>33</v>
      </c>
      <c r="E614" s="419" t="s">
        <v>11</v>
      </c>
      <c r="F614" s="414" t="s">
        <v>772</v>
      </c>
      <c r="G614" s="413" t="s">
        <v>1912</v>
      </c>
      <c r="H614" s="414">
        <v>10</v>
      </c>
      <c r="I614" s="414" t="s">
        <v>784</v>
      </c>
      <c r="J614" s="413" t="s">
        <v>2009</v>
      </c>
      <c r="K614" s="414">
        <v>338</v>
      </c>
      <c r="L614" s="238">
        <f>(Tabla1[[#This Row],[Costo Unitario]]*Tabla1[[#This Row],[cantidad]])</f>
        <v>3380</v>
      </c>
      <c r="M614" s="415">
        <v>43250</v>
      </c>
      <c r="N614" s="415">
        <v>43250</v>
      </c>
      <c r="O614" s="415" t="str">
        <f>IF( Tabla1[[#This Row],[Fecha de entrega real]]="","NO CONCRETADO",IF(N614&lt;=M614,"CUMPLIÓ","NO CUMPLIÓ"))</f>
        <v>CUMPLIÓ</v>
      </c>
      <c r="P614" s="141">
        <f t="shared" si="14"/>
        <v>0</v>
      </c>
      <c r="Q614" s="413" t="s">
        <v>13</v>
      </c>
      <c r="R614" s="413" t="s">
        <v>33</v>
      </c>
      <c r="S614" s="413" t="s">
        <v>334</v>
      </c>
      <c r="T614" s="414" t="s">
        <v>2030</v>
      </c>
      <c r="U614" s="416" t="s">
        <v>2031</v>
      </c>
      <c r="V614" s="414"/>
      <c r="W614" s="414"/>
      <c r="X614" s="414">
        <f>MONTH(Tabla1[[#This Row],[fecha
de
pedido]])</f>
        <v>5</v>
      </c>
      <c r="Y614" s="414">
        <f>YEAR(Tabla1[[#This Row],[fecha
de
pedido]])</f>
        <v>2018</v>
      </c>
    </row>
    <row r="615" spans="1:25" ht="38.25" x14ac:dyDescent="0.2">
      <c r="A615" s="417">
        <v>43222</v>
      </c>
      <c r="B615" s="428">
        <v>18041</v>
      </c>
      <c r="C615" s="413" t="s">
        <v>1020</v>
      </c>
      <c r="D615" s="421" t="s">
        <v>33</v>
      </c>
      <c r="E615" s="419" t="s">
        <v>11</v>
      </c>
      <c r="F615" s="414" t="s">
        <v>772</v>
      </c>
      <c r="G615" s="413" t="s">
        <v>1913</v>
      </c>
      <c r="H615" s="414">
        <v>1</v>
      </c>
      <c r="I615" s="414" t="s">
        <v>799</v>
      </c>
      <c r="J615" s="413" t="s">
        <v>48</v>
      </c>
      <c r="K615" s="414">
        <v>9366.7199999999993</v>
      </c>
      <c r="L615" s="238">
        <f>(Tabla1[[#This Row],[Costo Unitario]]*Tabla1[[#This Row],[cantidad]])</f>
        <v>9366.7199999999993</v>
      </c>
      <c r="M615" s="415">
        <v>43356</v>
      </c>
      <c r="N615" s="415">
        <v>43355</v>
      </c>
      <c r="O615" s="415" t="str">
        <f>IF( Tabla1[[#This Row],[Fecha de entrega real]]="","NO CONCRETADO",IF(N615&lt;=M615,"CUMPLIÓ","NO CUMPLIÓ"))</f>
        <v>CUMPLIÓ</v>
      </c>
      <c r="P615" s="141">
        <f t="shared" si="14"/>
        <v>-1</v>
      </c>
      <c r="Q615" s="413" t="s">
        <v>13</v>
      </c>
      <c r="R615" s="413" t="s">
        <v>33</v>
      </c>
      <c r="S615" s="413" t="s">
        <v>334</v>
      </c>
      <c r="T615" s="414"/>
      <c r="U615" s="107" t="s">
        <v>2389</v>
      </c>
      <c r="V615" s="414"/>
      <c r="W615" s="414"/>
      <c r="X615" s="414">
        <f>MONTH(Tabla1[[#This Row],[fecha
de
pedido]])</f>
        <v>5</v>
      </c>
      <c r="Y615" s="414">
        <f>YEAR(Tabla1[[#This Row],[fecha
de
pedido]])</f>
        <v>2018</v>
      </c>
    </row>
    <row r="616" spans="1:25" ht="51" x14ac:dyDescent="0.2">
      <c r="A616" s="417">
        <v>43222</v>
      </c>
      <c r="B616" s="428">
        <v>18041</v>
      </c>
      <c r="C616" s="413" t="s">
        <v>1020</v>
      </c>
      <c r="D616" s="421" t="s">
        <v>33</v>
      </c>
      <c r="E616" s="419" t="s">
        <v>11</v>
      </c>
      <c r="F616" s="414" t="s">
        <v>772</v>
      </c>
      <c r="G616" s="413" t="s">
        <v>1914</v>
      </c>
      <c r="H616" s="414">
        <v>1</v>
      </c>
      <c r="I616" s="414" t="s">
        <v>799</v>
      </c>
      <c r="J616" s="413" t="s">
        <v>48</v>
      </c>
      <c r="K616" s="414">
        <v>9366.7199999999993</v>
      </c>
      <c r="L616" s="238">
        <f>(Tabla1[[#This Row],[Costo Unitario]]*Tabla1[[#This Row],[cantidad]])</f>
        <v>9366.7199999999993</v>
      </c>
      <c r="M616" s="415">
        <v>43356</v>
      </c>
      <c r="N616" s="415">
        <v>43355</v>
      </c>
      <c r="O616" s="415" t="str">
        <f>IF( Tabla1[[#This Row],[Fecha de entrega real]]="","NO CONCRETADO",IF(N616&lt;=M616,"CUMPLIÓ","NO CUMPLIÓ"))</f>
        <v>CUMPLIÓ</v>
      </c>
      <c r="P616" s="141">
        <f t="shared" si="14"/>
        <v>-1</v>
      </c>
      <c r="Q616" s="413" t="s">
        <v>13</v>
      </c>
      <c r="R616" s="413" t="s">
        <v>33</v>
      </c>
      <c r="S616" s="413" t="s">
        <v>334</v>
      </c>
      <c r="T616" s="414"/>
      <c r="U616" s="416"/>
      <c r="V616" s="414"/>
      <c r="W616" s="414"/>
      <c r="X616" s="414">
        <f>MONTH(Tabla1[[#This Row],[fecha
de
pedido]])</f>
        <v>5</v>
      </c>
      <c r="Y616" s="414">
        <f>YEAR(Tabla1[[#This Row],[fecha
de
pedido]])</f>
        <v>2018</v>
      </c>
    </row>
    <row r="617" spans="1:25" ht="38.25" x14ac:dyDescent="0.2">
      <c r="A617" s="417">
        <v>43222</v>
      </c>
      <c r="B617" s="428">
        <v>18042</v>
      </c>
      <c r="C617" s="413" t="s">
        <v>1020</v>
      </c>
      <c r="D617" s="421" t="s">
        <v>33</v>
      </c>
      <c r="E617" s="419" t="s">
        <v>11</v>
      </c>
      <c r="F617" s="414" t="s">
        <v>772</v>
      </c>
      <c r="G617" s="413" t="s">
        <v>1915</v>
      </c>
      <c r="H617" s="414">
        <v>2</v>
      </c>
      <c r="I617" s="414" t="s">
        <v>784</v>
      </c>
      <c r="J617" s="413" t="s">
        <v>48</v>
      </c>
      <c r="K617" s="414">
        <v>35583.269999999997</v>
      </c>
      <c r="L617" s="238">
        <f>(Tabla1[[#This Row],[Costo Unitario]]*Tabla1[[#This Row],[cantidad]])</f>
        <v>71166.539999999994</v>
      </c>
      <c r="M617" s="415">
        <v>43229</v>
      </c>
      <c r="N617" s="415">
        <v>43231</v>
      </c>
      <c r="O617" s="415" t="str">
        <f>IF( Tabla1[[#This Row],[Fecha de entrega real]]="","NO CONCRETADO",IF(N617&lt;=M617,"CUMPLIÓ","NO CUMPLIÓ"))</f>
        <v>NO CUMPLIÓ</v>
      </c>
      <c r="P617" s="141">
        <f t="shared" si="14"/>
        <v>2</v>
      </c>
      <c r="Q617" s="413" t="s">
        <v>1034</v>
      </c>
      <c r="R617" s="413" t="s">
        <v>1953</v>
      </c>
      <c r="S617" s="413" t="s">
        <v>1956</v>
      </c>
      <c r="T617" s="414" t="s">
        <v>1957</v>
      </c>
      <c r="U617" s="416" t="s">
        <v>1958</v>
      </c>
      <c r="V617" s="414"/>
      <c r="W617" s="414"/>
      <c r="X617" s="414">
        <f>MONTH(Tabla1[[#This Row],[fecha
de
pedido]])</f>
        <v>5</v>
      </c>
      <c r="Y617" s="414">
        <f>YEAR(Tabla1[[#This Row],[fecha
de
pedido]])</f>
        <v>2018</v>
      </c>
    </row>
    <row r="618" spans="1:25" ht="38.25" x14ac:dyDescent="0.2">
      <c r="A618" s="417">
        <v>43222</v>
      </c>
      <c r="B618" s="426" t="s">
        <v>487</v>
      </c>
      <c r="C618" s="413" t="s">
        <v>921</v>
      </c>
      <c r="D618" s="421" t="s">
        <v>48</v>
      </c>
      <c r="E618" s="419" t="s">
        <v>921</v>
      </c>
      <c r="F618" s="414" t="s">
        <v>834</v>
      </c>
      <c r="G618" s="413" t="s">
        <v>1003</v>
      </c>
      <c r="H618" s="414">
        <v>1</v>
      </c>
      <c r="I618" s="414" t="s">
        <v>1053</v>
      </c>
      <c r="J618" s="413" t="s">
        <v>1004</v>
      </c>
      <c r="K618" s="414">
        <v>10149.540000000001</v>
      </c>
      <c r="L618" s="238">
        <f>(Tabla1[[#This Row],[Costo Unitario]]*Tabla1[[#This Row],[cantidad]])</f>
        <v>10149.540000000001</v>
      </c>
      <c r="M618" s="415" t="s">
        <v>487</v>
      </c>
      <c r="N618" s="415">
        <v>43231</v>
      </c>
      <c r="O618" s="415" t="str">
        <f>IF( Tabla1[[#This Row],[Fecha de entrega real]]="","NO CONCRETADO",IF(N618&lt;=M618,"CUMPLIÓ","NO CUMPLIÓ"))</f>
        <v>CUMPLIÓ</v>
      </c>
      <c r="P618" s="141" t="e">
        <f t="shared" si="14"/>
        <v>#VALUE!</v>
      </c>
      <c r="Q618" s="413" t="s">
        <v>1034</v>
      </c>
      <c r="R618" s="413" t="s">
        <v>1953</v>
      </c>
      <c r="S618" s="413" t="s">
        <v>1959</v>
      </c>
      <c r="T618" s="414" t="s">
        <v>1942</v>
      </c>
      <c r="U618" s="416" t="s">
        <v>1960</v>
      </c>
      <c r="V618" s="414"/>
      <c r="W618" s="414"/>
      <c r="X618" s="414">
        <f>MONTH(Tabla1[[#This Row],[fecha
de
pedido]])</f>
        <v>5</v>
      </c>
      <c r="Y618" s="414">
        <f>YEAR(Tabla1[[#This Row],[fecha
de
pedido]])</f>
        <v>2018</v>
      </c>
    </row>
    <row r="619" spans="1:25" ht="25.5" x14ac:dyDescent="0.2">
      <c r="A619" s="152">
        <v>43224</v>
      </c>
      <c r="B619" s="426">
        <v>18043</v>
      </c>
      <c r="C619" s="4" t="s">
        <v>849</v>
      </c>
      <c r="D619" s="404" t="s">
        <v>2015</v>
      </c>
      <c r="E619" s="404" t="s">
        <v>11</v>
      </c>
      <c r="F619" s="1" t="s">
        <v>772</v>
      </c>
      <c r="G619" s="4" t="s">
        <v>2016</v>
      </c>
      <c r="H619" s="1">
        <v>5</v>
      </c>
      <c r="I619" s="1" t="s">
        <v>2017</v>
      </c>
      <c r="J619" s="4" t="s">
        <v>2018</v>
      </c>
      <c r="K619" s="1">
        <v>1935</v>
      </c>
      <c r="L619" s="238">
        <f>(Tabla1[[#This Row],[Costo Unitario]]*Tabla1[[#This Row],[cantidad]])</f>
        <v>9675</v>
      </c>
      <c r="M619" s="88" t="s">
        <v>922</v>
      </c>
      <c r="N619" s="88">
        <v>43245</v>
      </c>
      <c r="O619" s="88" t="str">
        <f>IF( Tabla1[[#This Row],[Fecha de entrega real]]="","NO CONCRETADO",IF(N619&lt;=M619,"CUMPLIÓ","NO CUMPLIÓ"))</f>
        <v>CUMPLIÓ</v>
      </c>
      <c r="X619" s="1">
        <f>MONTH(Tabla1[[#This Row],[fecha
de
pedido]])</f>
        <v>5</v>
      </c>
      <c r="Y619" s="1">
        <f>YEAR(Tabla1[[#This Row],[fecha
de
pedido]])</f>
        <v>2018</v>
      </c>
    </row>
    <row r="620" spans="1:25" ht="25.5" x14ac:dyDescent="0.2">
      <c r="A620" s="417">
        <v>43227</v>
      </c>
      <c r="B620" s="426" t="s">
        <v>487</v>
      </c>
      <c r="C620" s="413" t="s">
        <v>1020</v>
      </c>
      <c r="D620" s="414" t="s">
        <v>33</v>
      </c>
      <c r="E620" s="413" t="s">
        <v>1439</v>
      </c>
      <c r="F620" s="414" t="s">
        <v>1016</v>
      </c>
      <c r="G620" s="413" t="s">
        <v>1253</v>
      </c>
      <c r="H620" s="414">
        <v>3</v>
      </c>
      <c r="I620" s="414" t="s">
        <v>812</v>
      </c>
      <c r="J620" s="413" t="s">
        <v>81</v>
      </c>
      <c r="K620" s="414"/>
      <c r="L620" s="238">
        <f>(Tabla1[[#This Row],[Costo Unitario]]*Tabla1[[#This Row],[cantidad]])</f>
        <v>0</v>
      </c>
      <c r="M620" s="415">
        <v>43229</v>
      </c>
      <c r="N620" s="415">
        <v>43229</v>
      </c>
      <c r="O620" s="415" t="str">
        <f>IF( Tabla1[[#This Row],[Fecha de entrega real]]="","NO CONCRETADO",IF(N620&lt;=M620,"CUMPLIÓ","NO CUMPLIÓ"))</f>
        <v>CUMPLIÓ</v>
      </c>
      <c r="P620" s="141">
        <f t="shared" si="14"/>
        <v>0</v>
      </c>
      <c r="Q620" s="4" t="s">
        <v>13</v>
      </c>
      <c r="R620" s="4" t="s">
        <v>775</v>
      </c>
      <c r="S620" s="4" t="s">
        <v>334</v>
      </c>
      <c r="T620" s="1" t="s">
        <v>1932</v>
      </c>
      <c r="U620" s="416"/>
      <c r="V620" s="414"/>
      <c r="W620" s="414"/>
      <c r="X620" s="414">
        <f>MONTH(Tabla1[[#This Row],[fecha
de
pedido]])</f>
        <v>5</v>
      </c>
      <c r="Y620" s="414">
        <f>YEAR(Tabla1[[#This Row],[fecha
de
pedido]])</f>
        <v>2018</v>
      </c>
    </row>
    <row r="621" spans="1:25" x14ac:dyDescent="0.2">
      <c r="A621" s="417">
        <v>43228</v>
      </c>
      <c r="B621" s="428">
        <v>18044</v>
      </c>
      <c r="C621" s="413" t="s">
        <v>976</v>
      </c>
      <c r="D621" s="414" t="s">
        <v>33</v>
      </c>
      <c r="E621" s="413" t="s">
        <v>11</v>
      </c>
      <c r="F621" s="414" t="s">
        <v>778</v>
      </c>
      <c r="G621" s="413" t="s">
        <v>1157</v>
      </c>
      <c r="H621" s="414">
        <v>1</v>
      </c>
      <c r="I621" s="414" t="s">
        <v>821</v>
      </c>
      <c r="J621" s="413" t="s">
        <v>1795</v>
      </c>
      <c r="K621" s="414">
        <v>2943.93</v>
      </c>
      <c r="L621" s="238">
        <f>(Tabla1[[#This Row],[Costo Unitario]]*Tabla1[[#This Row],[cantidad]])</f>
        <v>2943.93</v>
      </c>
      <c r="M621" s="415">
        <v>43235</v>
      </c>
      <c r="N621" s="415">
        <v>43231</v>
      </c>
      <c r="O621" s="415" t="str">
        <f>IF( Tabla1[[#This Row],[Fecha de entrega real]]="","NO CONCRETADO",IF(N621&lt;=M621,"CUMPLIÓ","NO CUMPLIÓ"))</f>
        <v>CUMPLIÓ</v>
      </c>
      <c r="P621" s="141">
        <f t="shared" si="14"/>
        <v>-4</v>
      </c>
      <c r="Q621" s="4" t="s">
        <v>13</v>
      </c>
      <c r="R621" s="413" t="s">
        <v>33</v>
      </c>
      <c r="S621" s="413" t="s">
        <v>334</v>
      </c>
      <c r="T621" s="414" t="s">
        <v>1947</v>
      </c>
      <c r="U621" s="416" t="s">
        <v>1946</v>
      </c>
      <c r="V621" s="414"/>
      <c r="W621" s="414"/>
      <c r="X621" s="414">
        <f>MONTH(Tabla1[[#This Row],[fecha
de
pedido]])</f>
        <v>5</v>
      </c>
      <c r="Y621" s="414">
        <f>YEAR(Tabla1[[#This Row],[fecha
de
pedido]])</f>
        <v>2018</v>
      </c>
    </row>
    <row r="622" spans="1:25" ht="25.5" x14ac:dyDescent="0.2">
      <c r="A622" s="417">
        <v>43230</v>
      </c>
      <c r="B622" s="426" t="s">
        <v>487</v>
      </c>
      <c r="C622" s="413" t="s">
        <v>1186</v>
      </c>
      <c r="D622" s="414" t="s">
        <v>33</v>
      </c>
      <c r="E622" s="413" t="s">
        <v>11</v>
      </c>
      <c r="F622" s="414" t="s">
        <v>772</v>
      </c>
      <c r="G622" s="413" t="s">
        <v>1046</v>
      </c>
      <c r="H622" s="414">
        <v>100</v>
      </c>
      <c r="I622" s="414" t="s">
        <v>779</v>
      </c>
      <c r="J622" s="413" t="s">
        <v>407</v>
      </c>
      <c r="K622" s="414">
        <v>6</v>
      </c>
      <c r="L622" s="238">
        <f>(Tabla1[[#This Row],[Costo Unitario]]*Tabla1[[#This Row],[cantidad]])</f>
        <v>600</v>
      </c>
      <c r="M622" s="415">
        <v>43231</v>
      </c>
      <c r="N622" s="415">
        <v>43235</v>
      </c>
      <c r="O622" s="415" t="str">
        <f>IF( Tabla1[[#This Row],[Fecha de entrega real]]="","NO CONCRETADO",IF(N622&lt;=M622,"CUMPLIÓ","NO CUMPLIÓ"))</f>
        <v>NO CUMPLIÓ</v>
      </c>
      <c r="P622" s="141">
        <f t="shared" si="14"/>
        <v>4</v>
      </c>
      <c r="Q622" s="4" t="s">
        <v>13</v>
      </c>
      <c r="R622" s="413" t="s">
        <v>33</v>
      </c>
      <c r="S622" s="413" t="s">
        <v>334</v>
      </c>
      <c r="T622" s="414" t="s">
        <v>1969</v>
      </c>
      <c r="U622" s="416" t="s">
        <v>1970</v>
      </c>
      <c r="V622" s="414"/>
      <c r="W622" s="414"/>
      <c r="X622" s="414">
        <f>MONTH(Tabla1[[#This Row],[fecha
de
pedido]])</f>
        <v>5</v>
      </c>
      <c r="Y622" s="414">
        <f>YEAR(Tabla1[[#This Row],[fecha
de
pedido]])</f>
        <v>2018</v>
      </c>
    </row>
    <row r="623" spans="1:25" ht="25.5" x14ac:dyDescent="0.2">
      <c r="A623" s="417">
        <v>43230</v>
      </c>
      <c r="B623" s="426" t="s">
        <v>487</v>
      </c>
      <c r="C623" s="413" t="s">
        <v>33</v>
      </c>
      <c r="D623" s="414" t="s">
        <v>33</v>
      </c>
      <c r="E623" s="413" t="s">
        <v>11</v>
      </c>
      <c r="F623" s="414" t="s">
        <v>772</v>
      </c>
      <c r="G623" s="413" t="s">
        <v>204</v>
      </c>
      <c r="H623" s="414">
        <v>160</v>
      </c>
      <c r="I623" s="414" t="s">
        <v>1929</v>
      </c>
      <c r="J623" s="413" t="s">
        <v>407</v>
      </c>
      <c r="K623" s="414">
        <v>6</v>
      </c>
      <c r="L623" s="238">
        <f>(Tabla1[[#This Row],[Costo Unitario]]*Tabla1[[#This Row],[cantidad]])</f>
        <v>960</v>
      </c>
      <c r="M623" s="415">
        <v>43231</v>
      </c>
      <c r="N623" s="415">
        <v>43235</v>
      </c>
      <c r="O623" s="415" t="str">
        <f>IF( Tabla1[[#This Row],[Fecha de entrega real]]="","NO CONCRETADO",IF(N623&lt;=M623,"CUMPLIÓ","NO CUMPLIÓ"))</f>
        <v>NO CUMPLIÓ</v>
      </c>
      <c r="P623" s="141">
        <f t="shared" si="14"/>
        <v>4</v>
      </c>
      <c r="Q623" s="4" t="s">
        <v>13</v>
      </c>
      <c r="R623" s="413" t="s">
        <v>33</v>
      </c>
      <c r="S623" s="413" t="s">
        <v>1968</v>
      </c>
      <c r="T623" s="414" t="s">
        <v>1969</v>
      </c>
      <c r="U623" s="416" t="s">
        <v>1971</v>
      </c>
      <c r="V623" s="414"/>
      <c r="W623" s="414"/>
      <c r="X623" s="414">
        <f>MONTH(Tabla1[[#This Row],[fecha
de
pedido]])</f>
        <v>5</v>
      </c>
      <c r="Y623" s="414">
        <f>YEAR(Tabla1[[#This Row],[fecha
de
pedido]])</f>
        <v>2018</v>
      </c>
    </row>
    <row r="624" spans="1:25" ht="102" x14ac:dyDescent="0.2">
      <c r="A624" s="417">
        <v>43230</v>
      </c>
      <c r="B624" s="428">
        <v>18045</v>
      </c>
      <c r="C624" s="413" t="s">
        <v>33</v>
      </c>
      <c r="D624" s="414" t="s">
        <v>33</v>
      </c>
      <c r="E624" s="413" t="s">
        <v>11</v>
      </c>
      <c r="F624" s="414" t="s">
        <v>772</v>
      </c>
      <c r="G624" s="4" t="s">
        <v>1930</v>
      </c>
      <c r="H624" s="1">
        <v>1</v>
      </c>
      <c r="I624" s="1" t="s">
        <v>1511</v>
      </c>
      <c r="J624" s="4" t="s">
        <v>48</v>
      </c>
      <c r="K624" s="1">
        <v>45.11</v>
      </c>
      <c r="L624" s="238">
        <f>(Tabla1[[#This Row],[Costo Unitario]]*Tabla1[[#This Row],[cantidad]])</f>
        <v>45.11</v>
      </c>
      <c r="M624" s="88">
        <v>43237</v>
      </c>
      <c r="N624" s="88">
        <v>43238</v>
      </c>
      <c r="O624" s="88" t="str">
        <f>IF( Tabla1[[#This Row],[Fecha de entrega real]]="","NO CONCRETADO",IF(N624&lt;=M624,"CUMPLIÓ","NO CUMPLIÓ"))</f>
        <v>NO CUMPLIÓ</v>
      </c>
      <c r="P624" s="141">
        <f t="shared" si="14"/>
        <v>1</v>
      </c>
      <c r="Q624" s="4" t="s">
        <v>13</v>
      </c>
      <c r="R624" s="413" t="s">
        <v>33</v>
      </c>
      <c r="X624" s="1">
        <f>MONTH(Tabla1[[#This Row],[fecha
de
pedido]])</f>
        <v>5</v>
      </c>
      <c r="Y624" s="1">
        <f>YEAR(Tabla1[[#This Row],[fecha
de
pedido]])</f>
        <v>2018</v>
      </c>
    </row>
    <row r="625" spans="1:25" ht="76.5" x14ac:dyDescent="0.2">
      <c r="A625" s="417">
        <v>43230</v>
      </c>
      <c r="B625" s="428">
        <v>18045</v>
      </c>
      <c r="C625" s="413" t="s">
        <v>33</v>
      </c>
      <c r="D625" s="414" t="s">
        <v>33</v>
      </c>
      <c r="E625" s="413" t="s">
        <v>11</v>
      </c>
      <c r="F625" s="414" t="s">
        <v>772</v>
      </c>
      <c r="G625" s="4" t="s">
        <v>1931</v>
      </c>
      <c r="H625" s="1">
        <v>1</v>
      </c>
      <c r="I625" s="1" t="s">
        <v>1511</v>
      </c>
      <c r="J625" s="4" t="s">
        <v>48</v>
      </c>
      <c r="K625" s="1">
        <v>45.11</v>
      </c>
      <c r="L625" s="238">
        <f>(Tabla1[[#This Row],[Costo Unitario]]*Tabla1[[#This Row],[cantidad]])</f>
        <v>45.11</v>
      </c>
      <c r="M625" s="88">
        <v>43237</v>
      </c>
      <c r="N625" s="88">
        <v>43239</v>
      </c>
      <c r="O625" s="88" t="str">
        <f>IF( Tabla1[[#This Row],[Fecha de entrega real]]="","NO CONCRETADO",IF(N625&lt;=M625,"CUMPLIÓ","NO CUMPLIÓ"))</f>
        <v>NO CUMPLIÓ</v>
      </c>
      <c r="P625" s="141">
        <f t="shared" si="14"/>
        <v>2</v>
      </c>
      <c r="Q625" s="4" t="s">
        <v>13</v>
      </c>
      <c r="R625" s="413" t="s">
        <v>33</v>
      </c>
      <c r="X625" s="1">
        <f>MONTH(Tabla1[[#This Row],[fecha
de
pedido]])</f>
        <v>5</v>
      </c>
      <c r="Y625" s="1">
        <f>YEAR(Tabla1[[#This Row],[fecha
de
pedido]])</f>
        <v>2018</v>
      </c>
    </row>
    <row r="626" spans="1:25" x14ac:dyDescent="0.2">
      <c r="A626" s="417">
        <v>43230</v>
      </c>
      <c r="B626" s="426" t="s">
        <v>487</v>
      </c>
      <c r="C626" s="413" t="s">
        <v>33</v>
      </c>
      <c r="D626" s="414" t="s">
        <v>33</v>
      </c>
      <c r="E626" s="413" t="s">
        <v>11</v>
      </c>
      <c r="F626" s="414" t="s">
        <v>772</v>
      </c>
      <c r="G626" s="413" t="s">
        <v>1964</v>
      </c>
      <c r="H626" s="414">
        <v>8</v>
      </c>
      <c r="I626" s="414" t="s">
        <v>770</v>
      </c>
      <c r="J626" s="413" t="s">
        <v>771</v>
      </c>
      <c r="K626" s="414">
        <v>275</v>
      </c>
      <c r="L626" s="238">
        <f>(Tabla1[[#This Row],[Costo Unitario]]*Tabla1[[#This Row],[cantidad]])</f>
        <v>2200</v>
      </c>
      <c r="M626" s="415">
        <v>43235</v>
      </c>
      <c r="N626" s="415">
        <v>43235</v>
      </c>
      <c r="O626" s="415" t="str">
        <f>IF( Tabla1[[#This Row],[Fecha de entrega real]]="","NO CONCRETADO",IF(N626&lt;=M626,"CUMPLIÓ","NO CUMPLIÓ"))</f>
        <v>CUMPLIÓ</v>
      </c>
      <c r="P626" s="141">
        <f t="shared" si="14"/>
        <v>0</v>
      </c>
      <c r="Q626" s="413" t="s">
        <v>13</v>
      </c>
      <c r="R626" s="413" t="s">
        <v>33</v>
      </c>
      <c r="S626" s="413" t="s">
        <v>334</v>
      </c>
      <c r="T626" s="414" t="s">
        <v>1967</v>
      </c>
      <c r="U626" s="416" t="s">
        <v>1966</v>
      </c>
      <c r="V626" s="414"/>
      <c r="W626" s="414"/>
      <c r="X626" s="414">
        <f>MONTH(Tabla1[[#This Row],[fecha
de
pedido]])</f>
        <v>5</v>
      </c>
      <c r="Y626" s="414">
        <f>YEAR(Tabla1[[#This Row],[fecha
de
pedido]])</f>
        <v>2018</v>
      </c>
    </row>
    <row r="627" spans="1:25" x14ac:dyDescent="0.2">
      <c r="A627" s="417">
        <v>43230</v>
      </c>
      <c r="B627" s="426" t="s">
        <v>487</v>
      </c>
      <c r="C627" s="413" t="s">
        <v>33</v>
      </c>
      <c r="D627" s="414" t="s">
        <v>33</v>
      </c>
      <c r="E627" s="413" t="s">
        <v>11</v>
      </c>
      <c r="F627" s="414" t="s">
        <v>772</v>
      </c>
      <c r="G627" s="413" t="s">
        <v>1965</v>
      </c>
      <c r="H627" s="414">
        <v>2</v>
      </c>
      <c r="I627" s="414" t="s">
        <v>770</v>
      </c>
      <c r="J627" s="413" t="s">
        <v>771</v>
      </c>
      <c r="K627" s="414">
        <v>125</v>
      </c>
      <c r="L627" s="238">
        <f>(Tabla1[[#This Row],[Costo Unitario]]*Tabla1[[#This Row],[cantidad]])</f>
        <v>250</v>
      </c>
      <c r="M627" s="415">
        <v>43235</v>
      </c>
      <c r="N627" s="415">
        <v>43235</v>
      </c>
      <c r="O627" s="415" t="str">
        <f>IF( Tabla1[[#This Row],[Fecha de entrega real]]="","NO CONCRETADO",IF(N627&lt;=M627,"CUMPLIÓ","NO CUMPLIÓ"))</f>
        <v>CUMPLIÓ</v>
      </c>
      <c r="P627" s="141">
        <f t="shared" si="14"/>
        <v>0</v>
      </c>
      <c r="Q627" s="413" t="s">
        <v>13</v>
      </c>
      <c r="R627" s="413" t="s">
        <v>33</v>
      </c>
      <c r="S627" s="413" t="s">
        <v>334</v>
      </c>
      <c r="T627" s="414" t="s">
        <v>1967</v>
      </c>
      <c r="U627" s="416" t="s">
        <v>1966</v>
      </c>
      <c r="V627" s="414"/>
      <c r="W627" s="414"/>
      <c r="X627" s="414">
        <f>MONTH(Tabla1[[#This Row],[fecha
de
pedido]])</f>
        <v>5</v>
      </c>
      <c r="Y627" s="414">
        <f>YEAR(Tabla1[[#This Row],[fecha
de
pedido]])</f>
        <v>2018</v>
      </c>
    </row>
    <row r="628" spans="1:25" x14ac:dyDescent="0.2">
      <c r="A628" s="417">
        <v>43230</v>
      </c>
      <c r="B628" s="426" t="s">
        <v>487</v>
      </c>
      <c r="C628" s="413" t="s">
        <v>1963</v>
      </c>
      <c r="D628" s="414" t="s">
        <v>33</v>
      </c>
      <c r="E628" s="413" t="s">
        <v>11</v>
      </c>
      <c r="F628" s="414" t="s">
        <v>772</v>
      </c>
      <c r="G628" s="413" t="s">
        <v>373</v>
      </c>
      <c r="H628" s="414">
        <v>1</v>
      </c>
      <c r="I628" s="414" t="s">
        <v>488</v>
      </c>
      <c r="J628" s="413" t="s">
        <v>771</v>
      </c>
      <c r="K628" s="414">
        <v>280</v>
      </c>
      <c r="L628" s="238">
        <f>(Tabla1[[#This Row],[Costo Unitario]]*Tabla1[[#This Row],[cantidad]])</f>
        <v>280</v>
      </c>
      <c r="M628" s="415">
        <v>43235</v>
      </c>
      <c r="N628" s="415">
        <v>43235</v>
      </c>
      <c r="O628" s="415" t="str">
        <f>IF( Tabla1[[#This Row],[Fecha de entrega real]]="","NO CONCRETADO",IF(N628&lt;=M628,"CUMPLIÓ","NO CUMPLIÓ"))</f>
        <v>CUMPLIÓ</v>
      </c>
      <c r="P628" s="141">
        <f t="shared" si="14"/>
        <v>0</v>
      </c>
      <c r="Q628" s="413" t="s">
        <v>13</v>
      </c>
      <c r="R628" s="413" t="s">
        <v>33</v>
      </c>
      <c r="S628" s="413" t="s">
        <v>334</v>
      </c>
      <c r="T628" s="414" t="s">
        <v>1967</v>
      </c>
      <c r="U628" s="416" t="s">
        <v>1966</v>
      </c>
      <c r="V628" s="414"/>
      <c r="W628" s="414"/>
      <c r="X628" s="414">
        <f>MONTH(Tabla1[[#This Row],[fecha
de
pedido]])</f>
        <v>5</v>
      </c>
      <c r="Y628" s="414">
        <f>YEAR(Tabla1[[#This Row],[fecha
de
pedido]])</f>
        <v>2018</v>
      </c>
    </row>
    <row r="629" spans="1:25" ht="38.25" x14ac:dyDescent="0.2">
      <c r="A629" s="417">
        <v>43236</v>
      </c>
      <c r="B629" s="428">
        <v>18046</v>
      </c>
      <c r="C629" s="413" t="s">
        <v>825</v>
      </c>
      <c r="D629" s="414" t="s">
        <v>33</v>
      </c>
      <c r="E629" s="413" t="s">
        <v>2007</v>
      </c>
      <c r="F629" s="414" t="s">
        <v>778</v>
      </c>
      <c r="G629" s="413" t="s">
        <v>2008</v>
      </c>
      <c r="H629" s="414">
        <v>1</v>
      </c>
      <c r="I629" s="414" t="s">
        <v>930</v>
      </c>
      <c r="J629" s="413" t="s">
        <v>1727</v>
      </c>
      <c r="K629" s="414">
        <v>21</v>
      </c>
      <c r="L629" s="238">
        <f>(Tabla1[[#This Row],[Costo Unitario]]*Tabla1[[#This Row],[cantidad]])</f>
        <v>21</v>
      </c>
      <c r="M629" s="415">
        <v>43257</v>
      </c>
      <c r="N629" s="88">
        <v>43257</v>
      </c>
      <c r="O629" s="415" t="str">
        <f>IF( Tabla1[[#This Row],[Fecha de entrega real]]="","NO CONCRETADO",IF(N629&lt;=M629,"CUMPLIÓ","NO CUMPLIÓ"))</f>
        <v>CUMPLIÓ</v>
      </c>
      <c r="P629" s="141">
        <f t="shared" si="14"/>
        <v>0</v>
      </c>
      <c r="Q629" s="4" t="s">
        <v>487</v>
      </c>
      <c r="R629" s="4" t="s">
        <v>487</v>
      </c>
      <c r="S629" s="4" t="s">
        <v>2178</v>
      </c>
      <c r="T629" s="414"/>
      <c r="U629" s="416"/>
      <c r="V629" s="414"/>
      <c r="W629" s="414"/>
      <c r="X629" s="414">
        <f>MONTH(Tabla1[[#This Row],[fecha
de
pedido]])</f>
        <v>5</v>
      </c>
      <c r="Y629" s="414">
        <f>YEAR(Tabla1[[#This Row],[fecha
de
pedido]])</f>
        <v>2018</v>
      </c>
    </row>
    <row r="630" spans="1:25" ht="25.5" x14ac:dyDescent="0.2">
      <c r="A630" s="417">
        <v>43255</v>
      </c>
      <c r="B630" s="426" t="s">
        <v>487</v>
      </c>
      <c r="C630" s="413" t="s">
        <v>33</v>
      </c>
      <c r="D630" s="414" t="s">
        <v>33</v>
      </c>
      <c r="E630" s="413" t="s">
        <v>2007</v>
      </c>
      <c r="F630" s="414" t="s">
        <v>772</v>
      </c>
      <c r="G630" s="413" t="s">
        <v>204</v>
      </c>
      <c r="H630" s="414">
        <v>150</v>
      </c>
      <c r="I630" s="414" t="s">
        <v>779</v>
      </c>
      <c r="J630" s="413" t="s">
        <v>12</v>
      </c>
      <c r="K630" s="414">
        <v>6</v>
      </c>
      <c r="L630" s="238">
        <f>(Tabla1[[#This Row],[Costo Unitario]]*Tabla1[[#This Row],[cantidad]])</f>
        <v>900</v>
      </c>
      <c r="M630" s="415">
        <v>43256</v>
      </c>
      <c r="N630" s="415">
        <v>43256</v>
      </c>
      <c r="O630" s="415" t="str">
        <f>IF( Tabla1[[#This Row],[Fecha de entrega real]]="","NO CONCRETADO",IF(N630&lt;=M630,"CUMPLIÓ","NO CUMPLIÓ"))</f>
        <v>CUMPLIÓ</v>
      </c>
      <c r="P630" s="141">
        <f t="shared" si="14"/>
        <v>0</v>
      </c>
      <c r="Q630" s="4" t="s">
        <v>13</v>
      </c>
      <c r="R630" s="4" t="s">
        <v>33</v>
      </c>
      <c r="S630" s="4" t="s">
        <v>2179</v>
      </c>
      <c r="T630" s="414"/>
      <c r="U630" s="416"/>
      <c r="V630" s="414"/>
      <c r="W630" s="414"/>
      <c r="X630" s="414">
        <f>MONTH(Tabla1[[#This Row],[fecha
de
pedido]])</f>
        <v>6</v>
      </c>
      <c r="Y630" s="414">
        <f>YEAR(Tabla1[[#This Row],[fecha
de
pedido]])</f>
        <v>2018</v>
      </c>
    </row>
    <row r="631" spans="1:25" ht="25.5" x14ac:dyDescent="0.2">
      <c r="A631" s="417">
        <v>43255</v>
      </c>
      <c r="B631" s="426" t="s">
        <v>487</v>
      </c>
      <c r="C631" s="413" t="s">
        <v>775</v>
      </c>
      <c r="D631" s="414" t="s">
        <v>33</v>
      </c>
      <c r="E631" s="413" t="s">
        <v>2007</v>
      </c>
      <c r="F631" s="414" t="s">
        <v>772</v>
      </c>
      <c r="G631" s="413" t="s">
        <v>1046</v>
      </c>
      <c r="H631" s="414">
        <v>150</v>
      </c>
      <c r="I631" s="414" t="s">
        <v>779</v>
      </c>
      <c r="J631" s="413" t="s">
        <v>12</v>
      </c>
      <c r="K631" s="414">
        <v>6</v>
      </c>
      <c r="L631" s="238">
        <f>(Tabla1[[#This Row],[Costo Unitario]]*Tabla1[[#This Row],[cantidad]])</f>
        <v>900</v>
      </c>
      <c r="M631" s="415">
        <v>43256</v>
      </c>
      <c r="N631" s="415">
        <v>43256</v>
      </c>
      <c r="O631" s="415" t="str">
        <f>IF( Tabla1[[#This Row],[Fecha de entrega real]]="","NO CONCRETADO",IF(N631&lt;=M631,"CUMPLIÓ","NO CUMPLIÓ"))</f>
        <v>CUMPLIÓ</v>
      </c>
      <c r="P631" s="141">
        <f t="shared" si="14"/>
        <v>0</v>
      </c>
      <c r="Q631" s="4" t="s">
        <v>13</v>
      </c>
      <c r="R631" s="4" t="s">
        <v>33</v>
      </c>
      <c r="S631" s="4" t="s">
        <v>1543</v>
      </c>
      <c r="T631" s="414"/>
      <c r="U631" s="416"/>
      <c r="V631" s="414"/>
      <c r="W631" s="414"/>
      <c r="X631" s="414">
        <f>MONTH(Tabla1[[#This Row],[fecha
de
pedido]])</f>
        <v>6</v>
      </c>
      <c r="Y631" s="414">
        <f>YEAR(Tabla1[[#This Row],[fecha
de
pedido]])</f>
        <v>2018</v>
      </c>
    </row>
    <row r="632" spans="1:25" ht="25.5" x14ac:dyDescent="0.2">
      <c r="A632" s="417">
        <v>43257</v>
      </c>
      <c r="B632" s="426" t="s">
        <v>487</v>
      </c>
      <c r="C632" s="413" t="s">
        <v>1480</v>
      </c>
      <c r="D632" s="414" t="s">
        <v>33</v>
      </c>
      <c r="E632" s="413" t="s">
        <v>2007</v>
      </c>
      <c r="F632" s="414" t="s">
        <v>1016</v>
      </c>
      <c r="G632" s="413" t="s">
        <v>2032</v>
      </c>
      <c r="H632" s="414">
        <v>3</v>
      </c>
      <c r="I632" s="414" t="s">
        <v>1254</v>
      </c>
      <c r="J632" s="413" t="s">
        <v>81</v>
      </c>
      <c r="K632" s="414">
        <f>Tabla1[[#This Row],[ Costo Total]]/Tabla1[[#This Row],[cantidad]]</f>
        <v>1798.2</v>
      </c>
      <c r="L632" s="238">
        <v>5394.6</v>
      </c>
      <c r="M632" s="415">
        <v>43259</v>
      </c>
      <c r="N632" s="415">
        <v>43259</v>
      </c>
      <c r="O632" s="415" t="str">
        <f>IF( Tabla1[[#This Row],[Fecha de entrega real]]="","NO CONCRETADO",IF(N632&lt;=M632,"CUMPLIÓ","NO CUMPLIÓ"))</f>
        <v>CUMPLIÓ</v>
      </c>
      <c r="P632" s="141">
        <f t="shared" si="14"/>
        <v>0</v>
      </c>
      <c r="Q632" s="4" t="s">
        <v>13</v>
      </c>
      <c r="R632" s="4" t="s">
        <v>775</v>
      </c>
      <c r="S632" s="4" t="s">
        <v>1543</v>
      </c>
      <c r="T632" s="1" t="s">
        <v>2176</v>
      </c>
      <c r="U632" s="107" t="s">
        <v>2177</v>
      </c>
      <c r="V632" s="414"/>
      <c r="W632" s="414"/>
      <c r="X632" s="414">
        <f>MONTH(Tabla1[[#This Row],[fecha
de
pedido]])</f>
        <v>6</v>
      </c>
      <c r="Y632" s="414">
        <f>YEAR(Tabla1[[#This Row],[fecha
de
pedido]])</f>
        <v>2018</v>
      </c>
    </row>
    <row r="633" spans="1:25" ht="38.25" x14ac:dyDescent="0.2">
      <c r="A633" s="433">
        <v>43257</v>
      </c>
      <c r="B633" s="438">
        <v>18047</v>
      </c>
      <c r="C633" s="4" t="s">
        <v>825</v>
      </c>
      <c r="D633" s="1" t="s">
        <v>33</v>
      </c>
      <c r="E633" s="4" t="s">
        <v>2007</v>
      </c>
      <c r="F633" s="1" t="s">
        <v>1199</v>
      </c>
      <c r="G633" s="4" t="s">
        <v>2048</v>
      </c>
      <c r="H633" s="435">
        <v>1</v>
      </c>
      <c r="I633" s="1" t="s">
        <v>2049</v>
      </c>
      <c r="J633" s="4" t="s">
        <v>225</v>
      </c>
      <c r="K633" s="435">
        <v>610.61</v>
      </c>
      <c r="L633" s="238">
        <f>(Tabla1[[#This Row],[Costo Unitario]]*Tabla1[[#This Row],[cantidad]])</f>
        <v>610.61</v>
      </c>
      <c r="M633" s="436">
        <v>43273</v>
      </c>
      <c r="N633" s="436">
        <v>43264</v>
      </c>
      <c r="O633" s="436" t="str">
        <f>IF( Tabla1[[#This Row],[Fecha de entrega real]]="","NO CONCRETADO",IF(N633&lt;=M633,"CUMPLIÓ","NO CUMPLIÓ"))</f>
        <v>CUMPLIÓ</v>
      </c>
      <c r="P633" s="141">
        <f t="shared" si="14"/>
        <v>-9</v>
      </c>
      <c r="Q633" s="434" t="s">
        <v>13</v>
      </c>
      <c r="R633" s="434" t="s">
        <v>33</v>
      </c>
      <c r="S633" s="434" t="s">
        <v>1543</v>
      </c>
      <c r="T633" s="435" t="s">
        <v>2175</v>
      </c>
      <c r="U633" s="437" t="s">
        <v>2174</v>
      </c>
      <c r="V633" s="435"/>
      <c r="W633" s="435"/>
      <c r="X633" s="435">
        <f>MONTH(Tabla1[[#This Row],[fecha
de
pedido]])</f>
        <v>6</v>
      </c>
      <c r="Y633" s="435">
        <f>YEAR(Tabla1[[#This Row],[fecha
de
pedido]])</f>
        <v>2018</v>
      </c>
    </row>
    <row r="634" spans="1:25" ht="38.25" x14ac:dyDescent="0.2">
      <c r="A634" s="417">
        <v>43257</v>
      </c>
      <c r="B634" s="438">
        <v>18048</v>
      </c>
      <c r="C634" s="4" t="s">
        <v>825</v>
      </c>
      <c r="D634" s="1" t="s">
        <v>975</v>
      </c>
      <c r="E634" s="4" t="s">
        <v>2007</v>
      </c>
      <c r="F634" s="1" t="s">
        <v>778</v>
      </c>
      <c r="G634" s="4" t="s">
        <v>2050</v>
      </c>
      <c r="H634" s="1">
        <v>1</v>
      </c>
      <c r="I634" s="1" t="s">
        <v>930</v>
      </c>
      <c r="J634" s="4" t="s">
        <v>225</v>
      </c>
      <c r="K634" s="1">
        <v>324.72000000000003</v>
      </c>
      <c r="L634" s="238">
        <f>(Tabla1[[#This Row],[Costo Unitario]]*Tabla1[[#This Row],[cantidad]])</f>
        <v>324.72000000000003</v>
      </c>
      <c r="M634" s="88">
        <v>43272</v>
      </c>
      <c r="N634" s="88">
        <v>43270</v>
      </c>
      <c r="O634" s="88" t="str">
        <f>IF( Tabla1[[#This Row],[Fecha de entrega real]]="","NO CONCRETADO",IF(N634&lt;=M634,"CUMPLIÓ","NO CUMPLIÓ"))</f>
        <v>CUMPLIÓ</v>
      </c>
      <c r="P634" s="141">
        <f t="shared" si="14"/>
        <v>-2</v>
      </c>
      <c r="Q634" s="4" t="s">
        <v>13</v>
      </c>
      <c r="R634" s="4" t="s">
        <v>33</v>
      </c>
      <c r="S634" s="484" t="s">
        <v>2373</v>
      </c>
      <c r="T634" s="482" t="s">
        <v>2374</v>
      </c>
      <c r="U634" s="483" t="s">
        <v>2375</v>
      </c>
      <c r="X634" s="1">
        <f>MONTH(Tabla1[[#This Row],[fecha
de
pedido]])</f>
        <v>6</v>
      </c>
      <c r="Y634" s="1">
        <f>YEAR(Tabla1[[#This Row],[fecha
de
pedido]])</f>
        <v>2018</v>
      </c>
    </row>
    <row r="635" spans="1:25" ht="51" x14ac:dyDescent="0.2">
      <c r="A635" s="417">
        <v>43258</v>
      </c>
      <c r="B635" s="430" t="s">
        <v>2053</v>
      </c>
      <c r="C635" s="4" t="s">
        <v>30</v>
      </c>
      <c r="D635" s="1" t="s">
        <v>975</v>
      </c>
      <c r="E635" s="4" t="s">
        <v>2007</v>
      </c>
      <c r="F635" s="1" t="s">
        <v>772</v>
      </c>
      <c r="G635" s="4" t="s">
        <v>2051</v>
      </c>
      <c r="H635" s="1">
        <v>1</v>
      </c>
      <c r="I635" s="1" t="s">
        <v>1766</v>
      </c>
      <c r="J635" s="4" t="s">
        <v>2052</v>
      </c>
      <c r="K635" s="1">
        <v>116.16</v>
      </c>
      <c r="L635" s="238">
        <f>(Tabla1[[#This Row],[Costo Unitario]]*Tabla1[[#This Row],[cantidad]])</f>
        <v>116.16</v>
      </c>
      <c r="M635" s="88">
        <v>43270</v>
      </c>
      <c r="N635" s="88">
        <v>43264</v>
      </c>
      <c r="O635" s="88" t="str">
        <f>IF( Tabla1[[#This Row],[Fecha de entrega real]]="","NO CONCRETADO",IF(N635&lt;=M635,"CUMPLIÓ","NO CUMPLIÓ"))</f>
        <v>CUMPLIÓ</v>
      </c>
      <c r="P635" s="141">
        <f t="shared" si="14"/>
        <v>-6</v>
      </c>
      <c r="Q635" s="4" t="s">
        <v>1231</v>
      </c>
      <c r="R635" s="4" t="s">
        <v>33</v>
      </c>
      <c r="S635" s="4" t="s">
        <v>1543</v>
      </c>
      <c r="T635" s="4" t="s">
        <v>2187</v>
      </c>
      <c r="U635" s="148" t="s">
        <v>2186</v>
      </c>
      <c r="X635" s="1">
        <f>MONTH(Tabla1[[#This Row],[fecha
de
pedido]])</f>
        <v>6</v>
      </c>
      <c r="Y635" s="1">
        <f>YEAR(Tabla1[[#This Row],[fecha
de
pedido]])</f>
        <v>2018</v>
      </c>
    </row>
    <row r="636" spans="1:25" ht="51" x14ac:dyDescent="0.2">
      <c r="A636" s="417">
        <v>43258</v>
      </c>
      <c r="B636" s="430">
        <v>18050</v>
      </c>
      <c r="C636" s="4" t="s">
        <v>30</v>
      </c>
      <c r="D636" s="1" t="s">
        <v>975</v>
      </c>
      <c r="E636" s="4" t="s">
        <v>2007</v>
      </c>
      <c r="F636" s="1" t="s">
        <v>772</v>
      </c>
      <c r="G636" s="4" t="s">
        <v>2054</v>
      </c>
      <c r="H636" s="1">
        <v>5</v>
      </c>
      <c r="I636" s="1" t="s">
        <v>1511</v>
      </c>
      <c r="J636" s="4" t="s">
        <v>48</v>
      </c>
      <c r="K636" s="1">
        <v>2366.52</v>
      </c>
      <c r="L636" s="238">
        <f>(Tabla1[[#This Row],[Costo Unitario]]*Tabla1[[#This Row],[cantidad]])</f>
        <v>11832.6</v>
      </c>
      <c r="M636" s="88">
        <v>43292</v>
      </c>
      <c r="N636" s="88">
        <v>43287</v>
      </c>
      <c r="O636" s="88" t="str">
        <f>IF( Tabla1[[#This Row],[Fecha de entrega real]]="","NO CONCRETADO",IF(N636&lt;=M636,"CUMPLIÓ","NO CUMPLIÓ"))</f>
        <v>CUMPLIÓ</v>
      </c>
      <c r="P636" s="141">
        <f t="shared" si="14"/>
        <v>-5</v>
      </c>
      <c r="Q636" s="4" t="s">
        <v>1266</v>
      </c>
      <c r="R636" s="4" t="s">
        <v>33</v>
      </c>
      <c r="S636" s="4" t="s">
        <v>1543</v>
      </c>
      <c r="U636" s="107" t="s">
        <v>2184</v>
      </c>
      <c r="X636" s="1">
        <f>MONTH(Tabla1[[#This Row],[fecha
de
pedido]])</f>
        <v>6</v>
      </c>
      <c r="Y636" s="1">
        <f>YEAR(Tabla1[[#This Row],[fecha
de
pedido]])</f>
        <v>2018</v>
      </c>
    </row>
    <row r="637" spans="1:25" ht="51" x14ac:dyDescent="0.2">
      <c r="A637" s="417">
        <v>43258</v>
      </c>
      <c r="B637" s="430">
        <v>18050</v>
      </c>
      <c r="C637" s="4" t="s">
        <v>30</v>
      </c>
      <c r="D637" s="1" t="s">
        <v>975</v>
      </c>
      <c r="E637" s="4" t="s">
        <v>2007</v>
      </c>
      <c r="F637" s="1" t="s">
        <v>772</v>
      </c>
      <c r="G637" s="4" t="s">
        <v>2055</v>
      </c>
      <c r="H637" s="1">
        <v>2</v>
      </c>
      <c r="I637" s="1" t="s">
        <v>1511</v>
      </c>
      <c r="J637" s="4" t="s">
        <v>48</v>
      </c>
      <c r="K637" s="1">
        <v>1352.3</v>
      </c>
      <c r="L637" s="238">
        <f>(Tabla1[[#This Row],[Costo Unitario]]*Tabla1[[#This Row],[cantidad]])</f>
        <v>2704.6</v>
      </c>
      <c r="M637" s="88">
        <v>43292</v>
      </c>
      <c r="N637" s="88">
        <v>43287</v>
      </c>
      <c r="O637" s="88" t="str">
        <f>IF( Tabla1[[#This Row],[Fecha de entrega real]]="","NO CONCRETADO",IF(N637&lt;=M637,"CUMPLIÓ","NO CUMPLIÓ"))</f>
        <v>CUMPLIÓ</v>
      </c>
      <c r="P637" s="141">
        <f t="shared" si="14"/>
        <v>-5</v>
      </c>
      <c r="Q637" s="4" t="s">
        <v>1266</v>
      </c>
      <c r="R637" s="4" t="s">
        <v>33</v>
      </c>
      <c r="S637" s="4" t="s">
        <v>1543</v>
      </c>
      <c r="U637" s="107" t="s">
        <v>2184</v>
      </c>
      <c r="X637" s="1">
        <f>MONTH(Tabla1[[#This Row],[fecha
de
pedido]])</f>
        <v>6</v>
      </c>
      <c r="Y637" s="1">
        <f>YEAR(Tabla1[[#This Row],[fecha
de
pedido]])</f>
        <v>2018</v>
      </c>
    </row>
    <row r="638" spans="1:25" ht="51" x14ac:dyDescent="0.2">
      <c r="A638" s="152">
        <v>43262</v>
      </c>
      <c r="B638" s="430">
        <v>18051</v>
      </c>
      <c r="C638" s="4" t="s">
        <v>2056</v>
      </c>
      <c r="D638" s="1" t="s">
        <v>975</v>
      </c>
      <c r="E638" s="4" t="s">
        <v>2007</v>
      </c>
      <c r="F638" s="1" t="s">
        <v>772</v>
      </c>
      <c r="G638" s="4" t="s">
        <v>2057</v>
      </c>
      <c r="H638" s="1">
        <v>2</v>
      </c>
      <c r="I638" s="1" t="s">
        <v>784</v>
      </c>
      <c r="J638" s="4" t="s">
        <v>48</v>
      </c>
      <c r="K638" s="1">
        <v>1436.81</v>
      </c>
      <c r="L638" s="238">
        <f>(Tabla1[[#This Row],[Costo Unitario]]*Tabla1[[#This Row],[cantidad]])</f>
        <v>2873.62</v>
      </c>
      <c r="M638" s="88">
        <v>43273</v>
      </c>
      <c r="N638" s="88">
        <v>43271</v>
      </c>
      <c r="O638" s="88" t="str">
        <f>IF( Tabla1[[#This Row],[Fecha de entrega real]]="","NO CONCRETADO",IF(N638&lt;=M638,"CUMPLIÓ","NO CUMPLIÓ"))</f>
        <v>CUMPLIÓ</v>
      </c>
      <c r="P638" s="141">
        <f t="shared" si="14"/>
        <v>-2</v>
      </c>
      <c r="Q638" s="4" t="s">
        <v>1266</v>
      </c>
      <c r="R638" s="4" t="s">
        <v>33</v>
      </c>
      <c r="S638" s="484" t="s">
        <v>1543</v>
      </c>
      <c r="X638" s="1">
        <f>MONTH(Tabla1[[#This Row],[fecha
de
pedido]])</f>
        <v>6</v>
      </c>
      <c r="Y638" s="1">
        <f>YEAR(Tabla1[[#This Row],[fecha
de
pedido]])</f>
        <v>2018</v>
      </c>
    </row>
    <row r="639" spans="1:25" ht="51" x14ac:dyDescent="0.2">
      <c r="A639" s="152">
        <v>43262</v>
      </c>
      <c r="B639" s="430">
        <v>18051</v>
      </c>
      <c r="C639" s="4" t="s">
        <v>2056</v>
      </c>
      <c r="D639" s="1" t="s">
        <v>975</v>
      </c>
      <c r="E639" s="4" t="s">
        <v>2007</v>
      </c>
      <c r="F639" s="1" t="s">
        <v>772</v>
      </c>
      <c r="G639" s="4" t="s">
        <v>2058</v>
      </c>
      <c r="H639" s="1">
        <v>2</v>
      </c>
      <c r="I639" s="1" t="s">
        <v>784</v>
      </c>
      <c r="J639" s="4" t="s">
        <v>48</v>
      </c>
      <c r="K639" s="1">
        <v>1436.81</v>
      </c>
      <c r="L639" s="238">
        <f>(Tabla1[[#This Row],[Costo Unitario]]*Tabla1[[#This Row],[cantidad]])</f>
        <v>2873.62</v>
      </c>
      <c r="M639" s="88">
        <v>43273</v>
      </c>
      <c r="N639" s="88">
        <v>43271</v>
      </c>
      <c r="O639" s="88" t="str">
        <f>IF( Tabla1[[#This Row],[Fecha de entrega real]]="","NO CONCRETADO",IF(N639&lt;=M639,"CUMPLIÓ","NO CUMPLIÓ"))</f>
        <v>CUMPLIÓ</v>
      </c>
      <c r="P639" s="141">
        <f t="shared" si="14"/>
        <v>-2</v>
      </c>
      <c r="Q639" s="4" t="s">
        <v>1266</v>
      </c>
      <c r="R639" s="4" t="s">
        <v>33</v>
      </c>
      <c r="S639" s="484" t="s">
        <v>1543</v>
      </c>
      <c r="X639" s="1">
        <f>MONTH(Tabla1[[#This Row],[fecha
de
pedido]])</f>
        <v>6</v>
      </c>
      <c r="Y639" s="1">
        <f>YEAR(Tabla1[[#This Row],[fecha
de
pedido]])</f>
        <v>2018</v>
      </c>
    </row>
    <row r="640" spans="1:25" ht="51" x14ac:dyDescent="0.2">
      <c r="A640" s="152">
        <v>43262</v>
      </c>
      <c r="B640" s="430">
        <v>18051</v>
      </c>
      <c r="C640" s="4" t="s">
        <v>2056</v>
      </c>
      <c r="D640" s="1" t="s">
        <v>975</v>
      </c>
      <c r="E640" s="4" t="s">
        <v>2007</v>
      </c>
      <c r="F640" s="1" t="s">
        <v>772</v>
      </c>
      <c r="G640" s="4" t="s">
        <v>2059</v>
      </c>
      <c r="H640" s="1">
        <v>1</v>
      </c>
      <c r="I640" s="1" t="s">
        <v>488</v>
      </c>
      <c r="J640" s="4" t="s">
        <v>48</v>
      </c>
      <c r="K640" s="1">
        <v>3480.47</v>
      </c>
      <c r="L640" s="238">
        <f>(Tabla1[[#This Row],[Costo Unitario]]*Tabla1[[#This Row],[cantidad]])</f>
        <v>3480.47</v>
      </c>
      <c r="M640" s="88">
        <v>43273</v>
      </c>
      <c r="N640" s="88">
        <v>43271</v>
      </c>
      <c r="O640" s="88" t="str">
        <f>IF( Tabla1[[#This Row],[Fecha de entrega real]]="","NO CONCRETADO",IF(N640&lt;=M640,"CUMPLIÓ","NO CUMPLIÓ"))</f>
        <v>CUMPLIÓ</v>
      </c>
      <c r="P640" s="141">
        <f t="shared" si="14"/>
        <v>-2</v>
      </c>
      <c r="Q640" s="4" t="s">
        <v>1266</v>
      </c>
      <c r="R640" s="4" t="s">
        <v>33</v>
      </c>
      <c r="S640" s="484" t="s">
        <v>1543</v>
      </c>
      <c r="X640" s="1">
        <f>MONTH(Tabla1[[#This Row],[fecha
de
pedido]])</f>
        <v>6</v>
      </c>
      <c r="Y640" s="1">
        <f>YEAR(Tabla1[[#This Row],[fecha
de
pedido]])</f>
        <v>2018</v>
      </c>
    </row>
    <row r="641" spans="1:25" ht="38.25" x14ac:dyDescent="0.2">
      <c r="A641" s="152">
        <v>43262</v>
      </c>
      <c r="B641" s="430">
        <v>18052</v>
      </c>
      <c r="C641" s="4" t="s">
        <v>1480</v>
      </c>
      <c r="D641" s="1" t="s">
        <v>975</v>
      </c>
      <c r="E641" s="4" t="s">
        <v>2007</v>
      </c>
      <c r="F641" s="1" t="s">
        <v>772</v>
      </c>
      <c r="G641" s="4" t="s">
        <v>2060</v>
      </c>
      <c r="H641" s="1">
        <v>1</v>
      </c>
      <c r="I641" s="1" t="s">
        <v>488</v>
      </c>
      <c r="J641" s="4" t="s">
        <v>48</v>
      </c>
      <c r="K641" s="1">
        <v>44136.94</v>
      </c>
      <c r="L641" s="238">
        <f>(Tabla1[[#This Row],[Costo Unitario]]*Tabla1[[#This Row],[cantidad]])</f>
        <v>44136.94</v>
      </c>
      <c r="M641" s="88">
        <v>43299</v>
      </c>
      <c r="N641" s="88">
        <v>43294</v>
      </c>
      <c r="O641" s="88" t="str">
        <f>IF( Tabla1[[#This Row],[Fecha de entrega real]]="","NO CONCRETADO",IF(N641&lt;=M641,"CUMPLIÓ","NO CUMPLIÓ"))</f>
        <v>CUMPLIÓ</v>
      </c>
      <c r="P641" s="141">
        <f t="shared" si="14"/>
        <v>-5</v>
      </c>
      <c r="Q641" s="4" t="s">
        <v>13</v>
      </c>
      <c r="R641" s="4" t="s">
        <v>33</v>
      </c>
      <c r="S641" s="4" t="s">
        <v>2061</v>
      </c>
      <c r="U641" s="107" t="s">
        <v>2185</v>
      </c>
      <c r="X641" s="1">
        <f>MONTH(Tabla1[[#This Row],[fecha
de
pedido]])</f>
        <v>6</v>
      </c>
      <c r="Y641" s="1">
        <f>YEAR(Tabla1[[#This Row],[fecha
de
pedido]])</f>
        <v>2018</v>
      </c>
    </row>
    <row r="642" spans="1:25" ht="38.25" x14ac:dyDescent="0.2">
      <c r="A642" s="152">
        <v>43265</v>
      </c>
      <c r="B642" s="428">
        <v>18053</v>
      </c>
      <c r="C642" s="4" t="s">
        <v>1724</v>
      </c>
      <c r="D642" s="414" t="s">
        <v>33</v>
      </c>
      <c r="E642" s="413" t="s">
        <v>2007</v>
      </c>
      <c r="F642" s="1" t="s">
        <v>1045</v>
      </c>
      <c r="G642" s="4" t="s">
        <v>2033</v>
      </c>
      <c r="H642" s="1">
        <v>1</v>
      </c>
      <c r="I642" s="1" t="s">
        <v>1511</v>
      </c>
      <c r="J642" s="4" t="s">
        <v>1441</v>
      </c>
      <c r="K642" s="1">
        <v>403.66</v>
      </c>
      <c r="L642" s="238">
        <f>(Tabla1[[#This Row],[Costo Unitario]]*Tabla1[[#This Row],[cantidad]])</f>
        <v>403.66</v>
      </c>
      <c r="M642" s="88">
        <v>43294</v>
      </c>
      <c r="N642" s="88">
        <v>43317</v>
      </c>
      <c r="O642" s="88" t="str">
        <f>IF( Tabla1[[#This Row],[Fecha de entrega real]]="","NO CONCRETADO",IF(N642&lt;=M642,"CUMPLIÓ","NO CUMPLIÓ"))</f>
        <v>NO CUMPLIÓ</v>
      </c>
      <c r="P642" s="141">
        <f t="shared" si="14"/>
        <v>23</v>
      </c>
      <c r="Q642" s="4" t="s">
        <v>13</v>
      </c>
      <c r="R642" s="4" t="s">
        <v>2376</v>
      </c>
      <c r="S642" s="4" t="s">
        <v>2035</v>
      </c>
      <c r="X642" s="1">
        <f>MONTH(Tabla1[[#This Row],[fecha
de
pedido]])</f>
        <v>6</v>
      </c>
      <c r="Y642" s="1">
        <f>YEAR(Tabla1[[#This Row],[fecha
de
pedido]])</f>
        <v>2018</v>
      </c>
    </row>
    <row r="643" spans="1:25" ht="51" x14ac:dyDescent="0.2">
      <c r="A643" s="152">
        <v>43265</v>
      </c>
      <c r="B643" s="428">
        <v>18053</v>
      </c>
      <c r="C643" s="4" t="s">
        <v>1724</v>
      </c>
      <c r="D643" s="414" t="s">
        <v>33</v>
      </c>
      <c r="E643" s="413" t="s">
        <v>2007</v>
      </c>
      <c r="F643" s="1" t="s">
        <v>1045</v>
      </c>
      <c r="G643" s="4" t="s">
        <v>2034</v>
      </c>
      <c r="H643" s="1">
        <v>1</v>
      </c>
      <c r="I643" s="1" t="s">
        <v>781</v>
      </c>
      <c r="J643" s="4" t="s">
        <v>1441</v>
      </c>
      <c r="K643" s="1">
        <v>37.75</v>
      </c>
      <c r="L643" s="238">
        <f>(Tabla1[[#This Row],[Costo Unitario]]*Tabla1[[#This Row],[cantidad]])</f>
        <v>37.75</v>
      </c>
      <c r="M643" s="88">
        <v>43302</v>
      </c>
      <c r="N643" s="485">
        <v>43317</v>
      </c>
      <c r="O643" s="88" t="str">
        <f>IF( Tabla1[[#This Row],[Fecha de entrega real]]="","NO CONCRETADO",IF(N643&lt;=M643,"CUMPLIÓ","NO CUMPLIÓ"))</f>
        <v>NO CUMPLIÓ</v>
      </c>
      <c r="P643" s="141">
        <f t="shared" si="14"/>
        <v>15</v>
      </c>
      <c r="Q643" s="4" t="s">
        <v>13</v>
      </c>
      <c r="R643" s="4" t="s">
        <v>33</v>
      </c>
      <c r="S643" s="4" t="s">
        <v>2035</v>
      </c>
      <c r="X643" s="1">
        <f>MONTH(Tabla1[[#This Row],[fecha
de
pedido]])</f>
        <v>6</v>
      </c>
      <c r="Y643" s="1">
        <f>YEAR(Tabla1[[#This Row],[fecha
de
pedido]])</f>
        <v>2018</v>
      </c>
    </row>
    <row r="644" spans="1:25" ht="25.5" x14ac:dyDescent="0.2">
      <c r="A644" s="152">
        <v>43269</v>
      </c>
      <c r="B644" s="428">
        <v>18054</v>
      </c>
      <c r="C644" s="4" t="s">
        <v>2062</v>
      </c>
      <c r="D644" s="414" t="s">
        <v>33</v>
      </c>
      <c r="E644" s="413" t="s">
        <v>2007</v>
      </c>
      <c r="F644" s="1" t="s">
        <v>2063</v>
      </c>
      <c r="G644" s="4" t="s">
        <v>2064</v>
      </c>
      <c r="H644" s="1">
        <v>1</v>
      </c>
      <c r="I644" s="1" t="s">
        <v>488</v>
      </c>
      <c r="J644" s="4" t="s">
        <v>2073</v>
      </c>
      <c r="K644" s="1">
        <v>54.45</v>
      </c>
      <c r="L644" s="238">
        <f>(Tabla1[[#This Row],[Costo Unitario]]*Tabla1[[#This Row],[cantidad]])</f>
        <v>54.45</v>
      </c>
      <c r="M644" s="88">
        <v>43362</v>
      </c>
      <c r="N644" s="88">
        <v>43353</v>
      </c>
      <c r="O644" s="88" t="str">
        <f>IF( Tabla1[[#This Row],[Fecha de entrega real]]="","NO CONCRETADO",IF(N644&lt;=M644,"CUMPLIÓ","NO CUMPLIÓ"))</f>
        <v>CUMPLIÓ</v>
      </c>
      <c r="P644" s="141">
        <f t="shared" ref="P644:P652" si="15">IF(N644="","NO CONCRETADO",N644-M644)</f>
        <v>-9</v>
      </c>
      <c r="Q644" s="4" t="s">
        <v>13</v>
      </c>
      <c r="R644" s="4" t="s">
        <v>33</v>
      </c>
      <c r="S644" s="4" t="s">
        <v>244</v>
      </c>
      <c r="U644" s="450" t="s">
        <v>2377</v>
      </c>
      <c r="X644" s="1">
        <f>MONTH(Tabla1[[#This Row],[fecha
de
pedido]])</f>
        <v>6</v>
      </c>
      <c r="Y644" s="1">
        <f>YEAR(Tabla1[[#This Row],[fecha
de
pedido]])</f>
        <v>2018</v>
      </c>
    </row>
    <row r="645" spans="1:25" ht="25.5" x14ac:dyDescent="0.2">
      <c r="A645" s="152">
        <v>43269</v>
      </c>
      <c r="B645" s="428">
        <v>18054</v>
      </c>
      <c r="C645" s="4" t="s">
        <v>2062</v>
      </c>
      <c r="D645" s="414" t="s">
        <v>33</v>
      </c>
      <c r="E645" s="413" t="s">
        <v>2007</v>
      </c>
      <c r="F645" s="1" t="s">
        <v>2063</v>
      </c>
      <c r="G645" s="4" t="s">
        <v>2069</v>
      </c>
      <c r="H645" s="1">
        <v>1</v>
      </c>
      <c r="I645" s="1" t="s">
        <v>488</v>
      </c>
      <c r="J645" s="4" t="s">
        <v>2073</v>
      </c>
      <c r="K645" s="1">
        <v>173.03</v>
      </c>
      <c r="L645" s="238">
        <f>(Tabla1[[#This Row],[Costo Unitario]]*Tabla1[[#This Row],[cantidad]])</f>
        <v>173.03</v>
      </c>
      <c r="M645" s="88">
        <v>43362</v>
      </c>
      <c r="N645" s="88">
        <v>43353</v>
      </c>
      <c r="O645" s="88" t="str">
        <f>IF( Tabla1[[#This Row],[Fecha de entrega real]]="","NO CONCRETADO",IF(N645&lt;=M645,"CUMPLIÓ","NO CUMPLIÓ"))</f>
        <v>CUMPLIÓ</v>
      </c>
      <c r="P645" s="141">
        <f t="shared" si="15"/>
        <v>-9</v>
      </c>
      <c r="Q645" s="4" t="s">
        <v>13</v>
      </c>
      <c r="R645" s="4" t="s">
        <v>33</v>
      </c>
      <c r="S645" s="4" t="s">
        <v>244</v>
      </c>
      <c r="U645" s="450" t="s">
        <v>2377</v>
      </c>
      <c r="X645" s="1">
        <f>MONTH(Tabla1[[#This Row],[fecha
de
pedido]])</f>
        <v>6</v>
      </c>
      <c r="Y645" s="1">
        <f>YEAR(Tabla1[[#This Row],[fecha
de
pedido]])</f>
        <v>2018</v>
      </c>
    </row>
    <row r="646" spans="1:25" ht="25.5" x14ac:dyDescent="0.2">
      <c r="A646" s="152">
        <v>43269</v>
      </c>
      <c r="B646" s="428">
        <v>18054</v>
      </c>
      <c r="C646" s="4" t="s">
        <v>2062</v>
      </c>
      <c r="D646" s="414" t="s">
        <v>33</v>
      </c>
      <c r="E646" s="413" t="s">
        <v>2007</v>
      </c>
      <c r="F646" s="1" t="s">
        <v>2063</v>
      </c>
      <c r="G646" s="4" t="s">
        <v>2068</v>
      </c>
      <c r="H646" s="1">
        <v>1</v>
      </c>
      <c r="I646" s="1" t="s">
        <v>488</v>
      </c>
      <c r="J646" s="4" t="s">
        <v>2073</v>
      </c>
      <c r="K646" s="1">
        <v>49.61</v>
      </c>
      <c r="L646" s="238">
        <f>(Tabla1[[#This Row],[Costo Unitario]]*Tabla1[[#This Row],[cantidad]])</f>
        <v>49.61</v>
      </c>
      <c r="M646" s="88">
        <v>43362</v>
      </c>
      <c r="N646" s="88">
        <v>43353</v>
      </c>
      <c r="O646" s="88" t="str">
        <f>IF( Tabla1[[#This Row],[Fecha de entrega real]]="","NO CONCRETADO",IF(N646&lt;=M646,"CUMPLIÓ","NO CUMPLIÓ"))</f>
        <v>CUMPLIÓ</v>
      </c>
      <c r="P646" s="141">
        <f t="shared" si="15"/>
        <v>-9</v>
      </c>
      <c r="Q646" s="4" t="s">
        <v>13</v>
      </c>
      <c r="R646" s="4" t="s">
        <v>33</v>
      </c>
      <c r="S646" s="4" t="s">
        <v>244</v>
      </c>
      <c r="U646" s="450" t="s">
        <v>2377</v>
      </c>
      <c r="X646" s="1">
        <f>MONTH(Tabla1[[#This Row],[fecha
de
pedido]])</f>
        <v>6</v>
      </c>
      <c r="Y646" s="1">
        <f>YEAR(Tabla1[[#This Row],[fecha
de
pedido]])</f>
        <v>2018</v>
      </c>
    </row>
    <row r="647" spans="1:25" ht="38.25" x14ac:dyDescent="0.2">
      <c r="A647" s="152">
        <v>43269</v>
      </c>
      <c r="B647" s="428">
        <v>18054</v>
      </c>
      <c r="C647" s="4" t="s">
        <v>2062</v>
      </c>
      <c r="D647" s="414" t="s">
        <v>33</v>
      </c>
      <c r="E647" s="413" t="s">
        <v>2007</v>
      </c>
      <c r="F647" s="1" t="s">
        <v>2063</v>
      </c>
      <c r="G647" s="4" t="s">
        <v>2067</v>
      </c>
      <c r="H647" s="1">
        <v>1</v>
      </c>
      <c r="I647" s="1" t="s">
        <v>488</v>
      </c>
      <c r="J647" s="4" t="s">
        <v>2073</v>
      </c>
      <c r="K647" s="1">
        <v>49.61</v>
      </c>
      <c r="L647" s="238">
        <f>(Tabla1[[#This Row],[Costo Unitario]]*Tabla1[[#This Row],[cantidad]])</f>
        <v>49.61</v>
      </c>
      <c r="M647" s="88">
        <v>43362</v>
      </c>
      <c r="N647" s="88">
        <v>43353</v>
      </c>
      <c r="O647" s="88" t="str">
        <f>IF( Tabla1[[#This Row],[Fecha de entrega real]]="","NO CONCRETADO",IF(N647&lt;=M647,"CUMPLIÓ","NO CUMPLIÓ"))</f>
        <v>CUMPLIÓ</v>
      </c>
      <c r="P647" s="141">
        <f t="shared" si="15"/>
        <v>-9</v>
      </c>
      <c r="Q647" s="4" t="s">
        <v>13</v>
      </c>
      <c r="R647" s="4" t="s">
        <v>33</v>
      </c>
      <c r="S647" s="4" t="s">
        <v>244</v>
      </c>
      <c r="U647" s="450" t="s">
        <v>2377</v>
      </c>
      <c r="X647" s="1">
        <f>MONTH(Tabla1[[#This Row],[fecha
de
pedido]])</f>
        <v>6</v>
      </c>
      <c r="Y647" s="1">
        <f>YEAR(Tabla1[[#This Row],[fecha
de
pedido]])</f>
        <v>2018</v>
      </c>
    </row>
    <row r="648" spans="1:25" ht="38.25" x14ac:dyDescent="0.2">
      <c r="A648" s="152">
        <v>43269</v>
      </c>
      <c r="B648" s="428">
        <v>18054</v>
      </c>
      <c r="C648" s="4" t="s">
        <v>2062</v>
      </c>
      <c r="D648" s="414" t="s">
        <v>33</v>
      </c>
      <c r="E648" s="413" t="s">
        <v>2007</v>
      </c>
      <c r="F648" s="1" t="s">
        <v>2063</v>
      </c>
      <c r="G648" s="4" t="s">
        <v>2066</v>
      </c>
      <c r="H648" s="1">
        <v>1</v>
      </c>
      <c r="I648" s="1" t="s">
        <v>488</v>
      </c>
      <c r="J648" s="4" t="s">
        <v>2073</v>
      </c>
      <c r="K648" s="1">
        <v>54.45</v>
      </c>
      <c r="L648" s="238">
        <f>(Tabla1[[#This Row],[Costo Unitario]]*Tabla1[[#This Row],[cantidad]])</f>
        <v>54.45</v>
      </c>
      <c r="M648" s="88">
        <v>43362</v>
      </c>
      <c r="N648" s="88">
        <v>43353</v>
      </c>
      <c r="O648" s="88" t="str">
        <f>IF( Tabla1[[#This Row],[Fecha de entrega real]]="","NO CONCRETADO",IF(N648&lt;=M648,"CUMPLIÓ","NO CUMPLIÓ"))</f>
        <v>CUMPLIÓ</v>
      </c>
      <c r="P648" s="141">
        <f t="shared" si="15"/>
        <v>-9</v>
      </c>
      <c r="Q648" s="4" t="s">
        <v>13</v>
      </c>
      <c r="R648" s="4" t="s">
        <v>33</v>
      </c>
      <c r="S648" s="4" t="s">
        <v>244</v>
      </c>
      <c r="U648" s="450" t="s">
        <v>2377</v>
      </c>
      <c r="X648" s="1">
        <f>MONTH(Tabla1[[#This Row],[fecha
de
pedido]])</f>
        <v>6</v>
      </c>
      <c r="Y648" s="1">
        <f>YEAR(Tabla1[[#This Row],[fecha
de
pedido]])</f>
        <v>2018</v>
      </c>
    </row>
    <row r="649" spans="1:25" ht="25.5" x14ac:dyDescent="0.2">
      <c r="A649" s="152">
        <v>43269</v>
      </c>
      <c r="B649" s="428">
        <v>18054</v>
      </c>
      <c r="C649" s="4" t="s">
        <v>2062</v>
      </c>
      <c r="D649" s="414" t="s">
        <v>33</v>
      </c>
      <c r="E649" s="413" t="s">
        <v>2007</v>
      </c>
      <c r="F649" s="1" t="s">
        <v>2063</v>
      </c>
      <c r="G649" s="4" t="s">
        <v>2065</v>
      </c>
      <c r="H649" s="1">
        <v>1</v>
      </c>
      <c r="I649" s="1" t="s">
        <v>488</v>
      </c>
      <c r="J649" s="4" t="s">
        <v>2073</v>
      </c>
      <c r="K649" s="1">
        <v>78.650000000000006</v>
      </c>
      <c r="L649" s="238">
        <f>(Tabla1[[#This Row],[Costo Unitario]]*Tabla1[[#This Row],[cantidad]])</f>
        <v>78.650000000000006</v>
      </c>
      <c r="M649" s="88">
        <v>43362</v>
      </c>
      <c r="N649" s="88">
        <v>43353</v>
      </c>
      <c r="O649" s="88" t="str">
        <f>IF( Tabla1[[#This Row],[Fecha de entrega real]]="","NO CONCRETADO",IF(N649&lt;=M649,"CUMPLIÓ","NO CUMPLIÓ"))</f>
        <v>CUMPLIÓ</v>
      </c>
      <c r="P649" s="141">
        <f t="shared" si="15"/>
        <v>-9</v>
      </c>
      <c r="Q649" s="4" t="s">
        <v>13</v>
      </c>
      <c r="R649" s="4" t="s">
        <v>33</v>
      </c>
      <c r="S649" s="4" t="s">
        <v>244</v>
      </c>
      <c r="U649" s="450" t="s">
        <v>2377</v>
      </c>
      <c r="X649" s="1">
        <f>MONTH(Tabla1[[#This Row],[fecha
de
pedido]])</f>
        <v>6</v>
      </c>
      <c r="Y649" s="1">
        <f>YEAR(Tabla1[[#This Row],[fecha
de
pedido]])</f>
        <v>2018</v>
      </c>
    </row>
    <row r="650" spans="1:25" ht="38.25" x14ac:dyDescent="0.2">
      <c r="A650" s="152">
        <v>43269</v>
      </c>
      <c r="B650" s="428">
        <v>18054</v>
      </c>
      <c r="C650" s="4" t="s">
        <v>2062</v>
      </c>
      <c r="D650" s="414" t="s">
        <v>33</v>
      </c>
      <c r="E650" s="413" t="s">
        <v>2007</v>
      </c>
      <c r="F650" s="1" t="s">
        <v>2063</v>
      </c>
      <c r="G650" s="4" t="s">
        <v>2070</v>
      </c>
      <c r="H650" s="1">
        <v>1</v>
      </c>
      <c r="I650" s="1" t="s">
        <v>488</v>
      </c>
      <c r="J650" s="4" t="s">
        <v>2073</v>
      </c>
      <c r="K650" s="1">
        <v>54.45</v>
      </c>
      <c r="L650" s="238">
        <f>(Tabla1[[#This Row],[Costo Unitario]]*Tabla1[[#This Row],[cantidad]])</f>
        <v>54.45</v>
      </c>
      <c r="M650" s="88">
        <v>43362</v>
      </c>
      <c r="N650" s="88">
        <v>43353</v>
      </c>
      <c r="O650" s="88" t="str">
        <f>IF( Tabla1[[#This Row],[Fecha de entrega real]]="","NO CONCRETADO",IF(N650&lt;=M650,"CUMPLIÓ","NO CUMPLIÓ"))</f>
        <v>CUMPLIÓ</v>
      </c>
      <c r="P650" s="141">
        <f t="shared" si="15"/>
        <v>-9</v>
      </c>
      <c r="Q650" s="4" t="s">
        <v>13</v>
      </c>
      <c r="R650" s="4" t="s">
        <v>33</v>
      </c>
      <c r="S650" s="4" t="s">
        <v>244</v>
      </c>
      <c r="U650" s="450" t="s">
        <v>2377</v>
      </c>
      <c r="X650" s="1">
        <f>MONTH(Tabla1[[#This Row],[fecha
de
pedido]])</f>
        <v>6</v>
      </c>
      <c r="Y650" s="1">
        <f>YEAR(Tabla1[[#This Row],[fecha
de
pedido]])</f>
        <v>2018</v>
      </c>
    </row>
    <row r="651" spans="1:25" ht="25.5" x14ac:dyDescent="0.2">
      <c r="A651" s="152">
        <v>43269</v>
      </c>
      <c r="B651" s="428">
        <v>18054</v>
      </c>
      <c r="C651" s="4" t="s">
        <v>2062</v>
      </c>
      <c r="D651" s="414" t="s">
        <v>33</v>
      </c>
      <c r="E651" s="413" t="s">
        <v>2007</v>
      </c>
      <c r="F651" s="1" t="s">
        <v>2063</v>
      </c>
      <c r="G651" s="4" t="s">
        <v>2071</v>
      </c>
      <c r="H651" s="1">
        <v>1</v>
      </c>
      <c r="I651" s="1" t="s">
        <v>488</v>
      </c>
      <c r="J651" s="4" t="s">
        <v>2073</v>
      </c>
      <c r="K651" s="1">
        <v>78.650000000000006</v>
      </c>
      <c r="L651" s="238">
        <f>(Tabla1[[#This Row],[Costo Unitario]]*Tabla1[[#This Row],[cantidad]])</f>
        <v>78.650000000000006</v>
      </c>
      <c r="M651" s="88">
        <v>43362</v>
      </c>
      <c r="N651" s="88">
        <v>43353</v>
      </c>
      <c r="O651" s="88" t="str">
        <f>IF( Tabla1[[#This Row],[Fecha de entrega real]]="","NO CONCRETADO",IF(N651&lt;=M651,"CUMPLIÓ","NO CUMPLIÓ"))</f>
        <v>CUMPLIÓ</v>
      </c>
      <c r="P651" s="141">
        <f t="shared" si="15"/>
        <v>-9</v>
      </c>
      <c r="Q651" s="4" t="s">
        <v>13</v>
      </c>
      <c r="R651" s="4" t="s">
        <v>33</v>
      </c>
      <c r="S651" s="4" t="s">
        <v>244</v>
      </c>
      <c r="U651" s="450" t="s">
        <v>2377</v>
      </c>
      <c r="X651" s="1">
        <f>MONTH(Tabla1[[#This Row],[fecha
de
pedido]])</f>
        <v>6</v>
      </c>
      <c r="Y651" s="1">
        <f>YEAR(Tabla1[[#This Row],[fecha
de
pedido]])</f>
        <v>2018</v>
      </c>
    </row>
    <row r="652" spans="1:25" ht="25.5" x14ac:dyDescent="0.2">
      <c r="A652" s="152">
        <v>43269</v>
      </c>
      <c r="B652" s="428">
        <v>18054</v>
      </c>
      <c r="C652" s="4" t="s">
        <v>2062</v>
      </c>
      <c r="D652" s="414" t="s">
        <v>33</v>
      </c>
      <c r="E652" s="413" t="s">
        <v>2007</v>
      </c>
      <c r="F652" s="1" t="s">
        <v>2063</v>
      </c>
      <c r="G652" s="4" t="s">
        <v>2072</v>
      </c>
      <c r="H652" s="1">
        <v>1</v>
      </c>
      <c r="I652" s="1" t="s">
        <v>488</v>
      </c>
      <c r="J652" s="4" t="s">
        <v>2073</v>
      </c>
      <c r="K652" s="1">
        <v>54.45</v>
      </c>
      <c r="L652" s="238">
        <f>(Tabla1[[#This Row],[Costo Unitario]]*Tabla1[[#This Row],[cantidad]])</f>
        <v>54.45</v>
      </c>
      <c r="M652" s="88">
        <v>43362</v>
      </c>
      <c r="N652" s="88">
        <v>43353</v>
      </c>
      <c r="O652" s="88" t="str">
        <f>IF( Tabla1[[#This Row],[Fecha de entrega real]]="","NO CONCRETADO",IF(N652&lt;=M652,"CUMPLIÓ","NO CUMPLIÓ"))</f>
        <v>CUMPLIÓ</v>
      </c>
      <c r="P652" s="141">
        <f t="shared" si="15"/>
        <v>-9</v>
      </c>
      <c r="Q652" s="4" t="s">
        <v>13</v>
      </c>
      <c r="R652" s="4" t="s">
        <v>33</v>
      </c>
      <c r="S652" s="4" t="s">
        <v>244</v>
      </c>
      <c r="U652" s="450" t="s">
        <v>2377</v>
      </c>
      <c r="X652" s="1">
        <f>MONTH(Tabla1[[#This Row],[fecha
de
pedido]])</f>
        <v>6</v>
      </c>
      <c r="Y652" s="1">
        <f>YEAR(Tabla1[[#This Row],[fecha
de
pedido]])</f>
        <v>2018</v>
      </c>
    </row>
    <row r="653" spans="1:25" ht="25.5" x14ac:dyDescent="0.2">
      <c r="A653" s="433">
        <v>43278</v>
      </c>
      <c r="B653" s="433" t="s">
        <v>487</v>
      </c>
      <c r="C653" s="434" t="s">
        <v>775</v>
      </c>
      <c r="D653" s="435" t="s">
        <v>33</v>
      </c>
      <c r="E653" s="434" t="s">
        <v>1439</v>
      </c>
      <c r="F653" s="435" t="s">
        <v>772</v>
      </c>
      <c r="G653" s="434" t="s">
        <v>1046</v>
      </c>
      <c r="H653" s="435">
        <v>150</v>
      </c>
      <c r="I653" s="435" t="s">
        <v>779</v>
      </c>
      <c r="J653" s="434" t="s">
        <v>12</v>
      </c>
      <c r="K653" s="435">
        <v>6</v>
      </c>
      <c r="L653" s="238">
        <f>(Tabla1[[#This Row],[Costo Unitario]]*Tabla1[[#This Row],[cantidad]])</f>
        <v>900</v>
      </c>
      <c r="M653" s="436">
        <v>43278</v>
      </c>
      <c r="N653" s="436">
        <v>43278</v>
      </c>
      <c r="O653" s="436" t="str">
        <f>IF( Tabla1[[#This Row],[Fecha de entrega real]]="","NO CONCRETADO",IF(N653&lt;=M653,"CUMPLIÓ","NO CUMPLIÓ"))</f>
        <v>CUMPLIÓ</v>
      </c>
      <c r="P653" s="141">
        <f t="shared" si="14"/>
        <v>0</v>
      </c>
      <c r="Q653" s="434" t="s">
        <v>13</v>
      </c>
      <c r="R653" s="434" t="s">
        <v>775</v>
      </c>
      <c r="S653" s="434" t="s">
        <v>334</v>
      </c>
      <c r="T653" s="435"/>
      <c r="U653" s="107" t="s">
        <v>2037</v>
      </c>
      <c r="V653" s="435"/>
      <c r="W653" s="435"/>
      <c r="X653" s="435">
        <f>MONTH(Tabla1[[#This Row],[fecha
de
pedido]])</f>
        <v>6</v>
      </c>
      <c r="Y653" s="435">
        <f>YEAR(Tabla1[[#This Row],[fecha
de
pedido]])</f>
        <v>2018</v>
      </c>
    </row>
    <row r="654" spans="1:25" ht="25.5" x14ac:dyDescent="0.2">
      <c r="A654" s="433">
        <v>43278</v>
      </c>
      <c r="B654" s="433" t="s">
        <v>487</v>
      </c>
      <c r="C654" s="434" t="s">
        <v>33</v>
      </c>
      <c r="D654" s="435" t="s">
        <v>33</v>
      </c>
      <c r="E654" s="434" t="s">
        <v>1439</v>
      </c>
      <c r="F654" s="435" t="s">
        <v>772</v>
      </c>
      <c r="G654" s="434" t="s">
        <v>204</v>
      </c>
      <c r="H654" s="435">
        <v>200</v>
      </c>
      <c r="I654" s="435" t="s">
        <v>779</v>
      </c>
      <c r="J654" s="434" t="s">
        <v>12</v>
      </c>
      <c r="K654" s="435">
        <v>6</v>
      </c>
      <c r="L654" s="238">
        <f>(Tabla1[[#This Row],[Costo Unitario]]*Tabla1[[#This Row],[cantidad]])</f>
        <v>1200</v>
      </c>
      <c r="M654" s="436">
        <v>43278</v>
      </c>
      <c r="N654" s="436">
        <v>43278</v>
      </c>
      <c r="O654" s="436" t="str">
        <f>IF( Tabla1[[#This Row],[Fecha de entrega real]]="","NO CONCRETADO",IF(N654&lt;=M654,"CUMPLIÓ","NO CUMPLIÓ"))</f>
        <v>CUMPLIÓ</v>
      </c>
      <c r="P654" s="141">
        <f t="shared" si="14"/>
        <v>0</v>
      </c>
      <c r="Q654" s="434" t="s">
        <v>13</v>
      </c>
      <c r="R654" s="434" t="s">
        <v>33</v>
      </c>
      <c r="S654" s="4" t="s">
        <v>2036</v>
      </c>
      <c r="T654" s="435"/>
      <c r="U654" s="107" t="s">
        <v>2038</v>
      </c>
      <c r="V654" s="435"/>
      <c r="W654" s="435"/>
      <c r="X654" s="435">
        <f>MONTH(Tabla1[[#This Row],[fecha
de
pedido]])</f>
        <v>6</v>
      </c>
      <c r="Y654" s="435">
        <f>YEAR(Tabla1[[#This Row],[fecha
de
pedido]])</f>
        <v>2018</v>
      </c>
    </row>
    <row r="655" spans="1:25" ht="25.5" x14ac:dyDescent="0.2">
      <c r="A655" s="433">
        <v>43279</v>
      </c>
      <c r="B655" s="433" t="s">
        <v>487</v>
      </c>
      <c r="C655" s="434" t="s">
        <v>33</v>
      </c>
      <c r="D655" s="434" t="s">
        <v>33</v>
      </c>
      <c r="E655" s="434" t="s">
        <v>1439</v>
      </c>
      <c r="F655" s="435" t="s">
        <v>772</v>
      </c>
      <c r="G655" s="434" t="s">
        <v>2039</v>
      </c>
      <c r="H655" s="435">
        <v>8</v>
      </c>
      <c r="I655" s="435" t="s">
        <v>770</v>
      </c>
      <c r="J655" s="434" t="s">
        <v>771</v>
      </c>
      <c r="K655" s="435">
        <v>285</v>
      </c>
      <c r="L655" s="238">
        <f>(Tabla1[[#This Row],[Costo Unitario]]*Tabla1[[#This Row],[cantidad]])</f>
        <v>2280</v>
      </c>
      <c r="M655" s="436">
        <v>43279</v>
      </c>
      <c r="N655" s="436">
        <v>43279</v>
      </c>
      <c r="O655" s="436" t="str">
        <f>IF( Tabla1[[#This Row],[Fecha de entrega real]]="","NO CONCRETADO",IF(N655&lt;=M655,"CUMPLIÓ","NO CUMPLIÓ"))</f>
        <v>CUMPLIÓ</v>
      </c>
      <c r="P655" s="141">
        <f t="shared" ref="P655:P719" si="16">IF(N655="","NO CONCRETADO",N655-M655)</f>
        <v>0</v>
      </c>
      <c r="Q655" s="434" t="s">
        <v>13</v>
      </c>
      <c r="R655" s="434" t="s">
        <v>33</v>
      </c>
      <c r="S655" s="434" t="s">
        <v>1543</v>
      </c>
      <c r="T655" s="435"/>
      <c r="U655" s="437" t="s">
        <v>2043</v>
      </c>
      <c r="V655" s="435"/>
      <c r="W655" s="435"/>
      <c r="X655" s="435">
        <f>MONTH(Tabla1[[#This Row],[fecha
de
pedido]])</f>
        <v>6</v>
      </c>
      <c r="Y655" s="435">
        <f>YEAR(Tabla1[[#This Row],[fecha
de
pedido]])</f>
        <v>2018</v>
      </c>
    </row>
    <row r="656" spans="1:25" ht="25.5" x14ac:dyDescent="0.2">
      <c r="A656" s="433">
        <v>43279</v>
      </c>
      <c r="B656" s="433" t="s">
        <v>487</v>
      </c>
      <c r="C656" s="434" t="s">
        <v>33</v>
      </c>
      <c r="D656" s="434" t="s">
        <v>33</v>
      </c>
      <c r="E656" s="434" t="s">
        <v>1439</v>
      </c>
      <c r="F656" s="435" t="s">
        <v>772</v>
      </c>
      <c r="G656" s="434" t="s">
        <v>2040</v>
      </c>
      <c r="H656" s="435">
        <v>4</v>
      </c>
      <c r="I656" s="435" t="s">
        <v>770</v>
      </c>
      <c r="J656" s="434" t="s">
        <v>771</v>
      </c>
      <c r="K656" s="435">
        <v>110</v>
      </c>
      <c r="L656" s="238">
        <f>(Tabla1[[#This Row],[Costo Unitario]]*Tabla1[[#This Row],[cantidad]])</f>
        <v>440</v>
      </c>
      <c r="M656" s="436">
        <v>43279</v>
      </c>
      <c r="N656" s="436">
        <v>43279</v>
      </c>
      <c r="O656" s="436" t="str">
        <f>IF( Tabla1[[#This Row],[Fecha de entrega real]]="","NO CONCRETADO",IF(N656&lt;=M656,"CUMPLIÓ","NO CUMPLIÓ"))</f>
        <v>CUMPLIÓ</v>
      </c>
      <c r="P656" s="141">
        <f t="shared" si="16"/>
        <v>0</v>
      </c>
      <c r="Q656" s="434" t="s">
        <v>13</v>
      </c>
      <c r="R656" s="434" t="s">
        <v>33</v>
      </c>
      <c r="S656" s="434" t="s">
        <v>1543</v>
      </c>
      <c r="T656" s="435"/>
      <c r="U656" s="437" t="s">
        <v>2043</v>
      </c>
      <c r="V656" s="435"/>
      <c r="W656" s="435"/>
      <c r="X656" s="435">
        <f>MONTH(Tabla1[[#This Row],[fecha
de
pedido]])</f>
        <v>6</v>
      </c>
      <c r="Y656" s="435">
        <f>YEAR(Tabla1[[#This Row],[fecha
de
pedido]])</f>
        <v>2018</v>
      </c>
    </row>
    <row r="657" spans="1:25" ht="25.5" x14ac:dyDescent="0.2">
      <c r="A657" s="433">
        <v>43279</v>
      </c>
      <c r="B657" s="433" t="s">
        <v>487</v>
      </c>
      <c r="C657" s="434" t="s">
        <v>33</v>
      </c>
      <c r="D657" s="434" t="s">
        <v>33</v>
      </c>
      <c r="E657" s="434" t="s">
        <v>1439</v>
      </c>
      <c r="F657" s="435" t="s">
        <v>772</v>
      </c>
      <c r="G657" s="434" t="s">
        <v>2041</v>
      </c>
      <c r="H657" s="435">
        <v>150</v>
      </c>
      <c r="I657" s="435" t="s">
        <v>2042</v>
      </c>
      <c r="J657" s="434" t="s">
        <v>771</v>
      </c>
      <c r="K657" s="435">
        <v>1</v>
      </c>
      <c r="L657" s="238">
        <f>(Tabla1[[#This Row],[Costo Unitario]]*Tabla1[[#This Row],[cantidad]])</f>
        <v>150</v>
      </c>
      <c r="M657" s="436">
        <v>43279</v>
      </c>
      <c r="N657" s="436">
        <v>43279</v>
      </c>
      <c r="O657" s="436" t="str">
        <f>IF( Tabla1[[#This Row],[Fecha de entrega real]]="","NO CONCRETADO",IF(N657&lt;=M657,"CUMPLIÓ","NO CUMPLIÓ"))</f>
        <v>CUMPLIÓ</v>
      </c>
      <c r="P657" s="141">
        <f t="shared" si="16"/>
        <v>0</v>
      </c>
      <c r="Q657" s="434" t="s">
        <v>13</v>
      </c>
      <c r="R657" s="434" t="s">
        <v>33</v>
      </c>
      <c r="S657" s="434" t="s">
        <v>1543</v>
      </c>
      <c r="T657" s="435"/>
      <c r="U657" s="437" t="s">
        <v>2043</v>
      </c>
      <c r="V657" s="435"/>
      <c r="W657" s="435"/>
      <c r="X657" s="435">
        <f>MONTH(Tabla1[[#This Row],[fecha
de
pedido]])</f>
        <v>6</v>
      </c>
      <c r="Y657" s="435">
        <f>YEAR(Tabla1[[#This Row],[fecha
de
pedido]])</f>
        <v>2018</v>
      </c>
    </row>
    <row r="658" spans="1:25" s="494" customFormat="1" ht="38.25" x14ac:dyDescent="0.2">
      <c r="A658" s="490">
        <v>43286</v>
      </c>
      <c r="B658" s="491">
        <v>18055</v>
      </c>
      <c r="C658" s="492" t="s">
        <v>1044</v>
      </c>
      <c r="D658" s="493" t="s">
        <v>33</v>
      </c>
      <c r="E658" s="493" t="s">
        <v>1439</v>
      </c>
      <c r="F658" s="494" t="s">
        <v>1199</v>
      </c>
      <c r="G658" s="492" t="s">
        <v>2074</v>
      </c>
      <c r="H658" s="494">
        <v>1</v>
      </c>
      <c r="I658" s="494" t="s">
        <v>930</v>
      </c>
      <c r="J658" s="492" t="s">
        <v>2079</v>
      </c>
      <c r="K658" s="494">
        <v>135.6</v>
      </c>
      <c r="L658" s="495">
        <f>(Tabla1[[#This Row],[Costo Unitario]]*Tabla1[[#This Row],[cantidad]])</f>
        <v>135.6</v>
      </c>
      <c r="M658" s="496">
        <v>43362</v>
      </c>
      <c r="N658" s="496"/>
      <c r="O658" s="496" t="str">
        <f>IF( Tabla1[[#This Row],[Fecha de entrega real]]="","NO CONCRETADO",IF(N658&lt;=M658,"CUMPLIÓ","NO CUMPLIÓ"))</f>
        <v>NO CONCRETADO</v>
      </c>
      <c r="P658" s="497"/>
      <c r="Q658" s="492"/>
      <c r="R658" s="492"/>
      <c r="S658" s="492" t="s">
        <v>2378</v>
      </c>
      <c r="U658" s="498"/>
      <c r="X658" s="494">
        <f>MONTH(Tabla1[[#This Row],[fecha
de
pedido]])</f>
        <v>7</v>
      </c>
      <c r="Y658" s="494">
        <f>YEAR(Tabla1[[#This Row],[fecha
de
pedido]])</f>
        <v>2018</v>
      </c>
    </row>
    <row r="659" spans="1:25" s="494" customFormat="1" ht="38.25" x14ac:dyDescent="0.2">
      <c r="A659" s="490">
        <v>43286</v>
      </c>
      <c r="B659" s="491">
        <v>18055</v>
      </c>
      <c r="C659" s="492" t="s">
        <v>1044</v>
      </c>
      <c r="D659" s="493" t="s">
        <v>33</v>
      </c>
      <c r="E659" s="493" t="s">
        <v>1439</v>
      </c>
      <c r="F659" s="494" t="s">
        <v>1199</v>
      </c>
      <c r="G659" s="492" t="s">
        <v>2075</v>
      </c>
      <c r="H659" s="494">
        <v>1</v>
      </c>
      <c r="I659" s="494" t="s">
        <v>930</v>
      </c>
      <c r="J659" s="492" t="s">
        <v>2079</v>
      </c>
      <c r="K659" s="494">
        <v>91.8</v>
      </c>
      <c r="L659" s="495">
        <f>(Tabla1[[#This Row],[Costo Unitario]]*Tabla1[[#This Row],[cantidad]])</f>
        <v>91.8</v>
      </c>
      <c r="M659" s="496">
        <v>43362</v>
      </c>
      <c r="N659" s="496"/>
      <c r="O659" s="496" t="str">
        <f>IF( Tabla1[[#This Row],[Fecha de entrega real]]="","NO CONCRETADO",IF(N659&lt;=M659,"CUMPLIÓ","NO CUMPLIÓ"))</f>
        <v>NO CONCRETADO</v>
      </c>
      <c r="P659" s="497"/>
      <c r="Q659" s="492"/>
      <c r="R659" s="492"/>
      <c r="S659" s="492" t="s">
        <v>2378</v>
      </c>
      <c r="U659" s="498"/>
      <c r="X659" s="494">
        <f>MONTH(Tabla1[[#This Row],[fecha
de
pedido]])</f>
        <v>7</v>
      </c>
      <c r="Y659" s="494">
        <f>YEAR(Tabla1[[#This Row],[fecha
de
pedido]])</f>
        <v>2018</v>
      </c>
    </row>
    <row r="660" spans="1:25" s="494" customFormat="1" ht="38.25" x14ac:dyDescent="0.2">
      <c r="A660" s="490">
        <v>43286</v>
      </c>
      <c r="B660" s="491">
        <v>18055</v>
      </c>
      <c r="C660" s="492" t="s">
        <v>1044</v>
      </c>
      <c r="D660" s="493" t="s">
        <v>33</v>
      </c>
      <c r="E660" s="493" t="s">
        <v>1439</v>
      </c>
      <c r="F660" s="494" t="s">
        <v>1199</v>
      </c>
      <c r="G660" s="492" t="s">
        <v>2076</v>
      </c>
      <c r="H660" s="494">
        <v>1</v>
      </c>
      <c r="I660" s="494" t="s">
        <v>930</v>
      </c>
      <c r="J660" s="492" t="s">
        <v>2079</v>
      </c>
      <c r="K660" s="494">
        <v>84</v>
      </c>
      <c r="L660" s="495">
        <f>(Tabla1[[#This Row],[Costo Unitario]]*Tabla1[[#This Row],[cantidad]])</f>
        <v>84</v>
      </c>
      <c r="M660" s="496">
        <v>43362</v>
      </c>
      <c r="N660" s="496"/>
      <c r="O660" s="496" t="str">
        <f>IF( Tabla1[[#This Row],[Fecha de entrega real]]="","NO CONCRETADO",IF(N660&lt;=M660,"CUMPLIÓ","NO CUMPLIÓ"))</f>
        <v>NO CONCRETADO</v>
      </c>
      <c r="P660" s="497"/>
      <c r="Q660" s="492"/>
      <c r="R660" s="492"/>
      <c r="S660" s="492" t="s">
        <v>2378</v>
      </c>
      <c r="U660" s="498"/>
      <c r="X660" s="494">
        <f>MONTH(Tabla1[[#This Row],[fecha
de
pedido]])</f>
        <v>7</v>
      </c>
      <c r="Y660" s="494">
        <f>YEAR(Tabla1[[#This Row],[fecha
de
pedido]])</f>
        <v>2018</v>
      </c>
    </row>
    <row r="661" spans="1:25" s="494" customFormat="1" ht="38.25" x14ac:dyDescent="0.2">
      <c r="A661" s="490">
        <v>43286</v>
      </c>
      <c r="B661" s="491">
        <v>18055</v>
      </c>
      <c r="C661" s="492" t="s">
        <v>1044</v>
      </c>
      <c r="D661" s="493" t="s">
        <v>33</v>
      </c>
      <c r="E661" s="493" t="s">
        <v>1439</v>
      </c>
      <c r="F661" s="494" t="s">
        <v>778</v>
      </c>
      <c r="G661" s="492" t="s">
        <v>2077</v>
      </c>
      <c r="H661" s="494">
        <v>1</v>
      </c>
      <c r="I661" s="494" t="s">
        <v>930</v>
      </c>
      <c r="J661" s="492" t="s">
        <v>2079</v>
      </c>
      <c r="K661" s="494">
        <v>40.5</v>
      </c>
      <c r="L661" s="495">
        <f>(Tabla1[[#This Row],[Costo Unitario]]*Tabla1[[#This Row],[cantidad]])</f>
        <v>40.5</v>
      </c>
      <c r="M661" s="496">
        <v>43362</v>
      </c>
      <c r="N661" s="496"/>
      <c r="O661" s="496" t="str">
        <f>IF( Tabla1[[#This Row],[Fecha de entrega real]]="","NO CONCRETADO",IF(N661&lt;=M661,"CUMPLIÓ","NO CUMPLIÓ"))</f>
        <v>NO CONCRETADO</v>
      </c>
      <c r="P661" s="497"/>
      <c r="Q661" s="492"/>
      <c r="R661" s="492"/>
      <c r="S661" s="492" t="s">
        <v>2378</v>
      </c>
      <c r="U661" s="498"/>
      <c r="X661" s="494">
        <f>MONTH(Tabla1[[#This Row],[fecha
de
pedido]])</f>
        <v>7</v>
      </c>
      <c r="Y661" s="494">
        <f>YEAR(Tabla1[[#This Row],[fecha
de
pedido]])</f>
        <v>2018</v>
      </c>
    </row>
    <row r="662" spans="1:25" s="494" customFormat="1" ht="38.25" x14ac:dyDescent="0.2">
      <c r="A662" s="490">
        <v>43286</v>
      </c>
      <c r="B662" s="491">
        <v>18055</v>
      </c>
      <c r="C662" s="492" t="s">
        <v>33</v>
      </c>
      <c r="D662" s="493" t="s">
        <v>33</v>
      </c>
      <c r="E662" s="493" t="s">
        <v>1439</v>
      </c>
      <c r="F662" s="494" t="s">
        <v>772</v>
      </c>
      <c r="G662" s="492" t="s">
        <v>2078</v>
      </c>
      <c r="H662" s="494">
        <v>1</v>
      </c>
      <c r="I662" s="494" t="s">
        <v>912</v>
      </c>
      <c r="J662" s="492" t="s">
        <v>2079</v>
      </c>
      <c r="K662" s="494">
        <v>31.2</v>
      </c>
      <c r="L662" s="495">
        <f>(Tabla1[[#This Row],[Costo Unitario]]*Tabla1[[#This Row],[cantidad]])</f>
        <v>31.2</v>
      </c>
      <c r="M662" s="496">
        <v>43362</v>
      </c>
      <c r="N662" s="496"/>
      <c r="O662" s="496" t="str">
        <f>IF( Tabla1[[#This Row],[Fecha de entrega real]]="","NO CONCRETADO",IF(N662&lt;=M662,"CUMPLIÓ","NO CUMPLIÓ"))</f>
        <v>NO CONCRETADO</v>
      </c>
      <c r="P662" s="497"/>
      <c r="Q662" s="492"/>
      <c r="R662" s="492"/>
      <c r="S662" s="492" t="s">
        <v>2378</v>
      </c>
      <c r="U662" s="498"/>
      <c r="X662" s="494">
        <f>MONTH(Tabla1[[#This Row],[fecha
de
pedido]])</f>
        <v>7</v>
      </c>
      <c r="Y662" s="494">
        <f>YEAR(Tabla1[[#This Row],[fecha
de
pedido]])</f>
        <v>2018</v>
      </c>
    </row>
    <row r="663" spans="1:25" ht="25.5" x14ac:dyDescent="0.2">
      <c r="A663" s="433">
        <v>43297</v>
      </c>
      <c r="B663" s="434">
        <v>18056</v>
      </c>
      <c r="C663" s="4" t="s">
        <v>11</v>
      </c>
      <c r="D663" s="4" t="s">
        <v>11</v>
      </c>
      <c r="E663" s="4" t="s">
        <v>11</v>
      </c>
      <c r="F663" s="1" t="s">
        <v>772</v>
      </c>
      <c r="G663" s="4" t="s">
        <v>2044</v>
      </c>
      <c r="H663" s="435">
        <v>1</v>
      </c>
      <c r="I663" s="1" t="s">
        <v>772</v>
      </c>
      <c r="J663" s="4" t="s">
        <v>48</v>
      </c>
      <c r="K663" s="435">
        <v>3062.75</v>
      </c>
      <c r="L663" s="238">
        <f>(Tabla1[[#This Row],[Costo Unitario]]*Tabla1[[#This Row],[cantidad]])</f>
        <v>3062.75</v>
      </c>
      <c r="M663" s="436">
        <v>43362</v>
      </c>
      <c r="N663" s="88">
        <v>43361</v>
      </c>
      <c r="O663" s="436" t="str">
        <f>IF( Tabla1[[#This Row],[Fecha de entrega real]]="","NO CONCRETADO",IF(N663&lt;=M663,"CUMPLIÓ","NO CUMPLIÓ"))</f>
        <v>CUMPLIÓ</v>
      </c>
      <c r="P663" s="141">
        <f t="shared" si="16"/>
        <v>-1</v>
      </c>
      <c r="Q663" s="434" t="s">
        <v>13</v>
      </c>
      <c r="R663" s="434" t="s">
        <v>975</v>
      </c>
      <c r="S663" s="434" t="s">
        <v>244</v>
      </c>
      <c r="T663" s="435"/>
      <c r="U663" s="437"/>
      <c r="V663" s="435"/>
      <c r="W663" s="435"/>
      <c r="X663" s="435">
        <f>MONTH(Tabla1[[#This Row],[fecha
de
pedido]])</f>
        <v>7</v>
      </c>
      <c r="Y663" s="435">
        <f>YEAR(Tabla1[[#This Row],[fecha
de
pedido]])</f>
        <v>2018</v>
      </c>
    </row>
    <row r="664" spans="1:25" ht="25.5" x14ac:dyDescent="0.2">
      <c r="A664" s="433">
        <v>43297</v>
      </c>
      <c r="B664" s="434">
        <v>18056</v>
      </c>
      <c r="C664" s="4" t="s">
        <v>11</v>
      </c>
      <c r="D664" s="4" t="s">
        <v>11</v>
      </c>
      <c r="E664" s="4" t="s">
        <v>11</v>
      </c>
      <c r="F664" s="1" t="s">
        <v>830</v>
      </c>
      <c r="G664" s="4" t="s">
        <v>2045</v>
      </c>
      <c r="H664" s="435">
        <v>1</v>
      </c>
      <c r="I664" s="1" t="s">
        <v>830</v>
      </c>
      <c r="J664" s="4" t="s">
        <v>48</v>
      </c>
      <c r="K664" s="435">
        <v>484</v>
      </c>
      <c r="L664" s="238">
        <f>(Tabla1[[#This Row],[Costo Unitario]]*Tabla1[[#This Row],[cantidad]])</f>
        <v>484</v>
      </c>
      <c r="M664" s="436">
        <v>43362</v>
      </c>
      <c r="N664" s="88">
        <v>43361</v>
      </c>
      <c r="O664" s="436" t="str">
        <f>IF( Tabla1[[#This Row],[Fecha de entrega real]]="","NO CONCRETADO",IF(N664&lt;=M664,"CUMPLIÓ","NO CUMPLIÓ"))</f>
        <v>CUMPLIÓ</v>
      </c>
      <c r="P664" s="141">
        <f t="shared" si="16"/>
        <v>-1</v>
      </c>
      <c r="Q664" s="4" t="s">
        <v>13</v>
      </c>
      <c r="R664" s="434" t="s">
        <v>975</v>
      </c>
      <c r="S664" s="434" t="s">
        <v>244</v>
      </c>
      <c r="T664" s="435"/>
      <c r="U664" s="437"/>
      <c r="V664" s="435"/>
      <c r="W664" s="435"/>
      <c r="X664" s="435">
        <f>MONTH(Tabla1[[#This Row],[fecha
de
pedido]])</f>
        <v>7</v>
      </c>
      <c r="Y664" s="435">
        <f>YEAR(Tabla1[[#This Row],[fecha
de
pedido]])</f>
        <v>2018</v>
      </c>
    </row>
    <row r="665" spans="1:25" x14ac:dyDescent="0.2">
      <c r="A665" s="433">
        <v>43299</v>
      </c>
      <c r="B665" s="433" t="s">
        <v>487</v>
      </c>
      <c r="C665" s="434" t="s">
        <v>775</v>
      </c>
      <c r="D665" s="434" t="s">
        <v>33</v>
      </c>
      <c r="E665" s="434" t="s">
        <v>11</v>
      </c>
      <c r="F665" s="435" t="s">
        <v>772</v>
      </c>
      <c r="G665" s="434" t="s">
        <v>1046</v>
      </c>
      <c r="H665" s="435">
        <v>150</v>
      </c>
      <c r="I665" s="435" t="s">
        <v>779</v>
      </c>
      <c r="J665" s="434" t="s">
        <v>12</v>
      </c>
      <c r="K665" s="435">
        <v>6</v>
      </c>
      <c r="L665" s="238">
        <f>(Tabla1[[#This Row],[Costo Unitario]]*Tabla1[[#This Row],[cantidad]])</f>
        <v>900</v>
      </c>
      <c r="M665" s="436">
        <v>43300</v>
      </c>
      <c r="N665" s="436">
        <v>43300</v>
      </c>
      <c r="O665" s="436" t="str">
        <f>IF( Tabla1[[#This Row],[Fecha de entrega real]]="","NO CONCRETADO",IF(N665&lt;=M665,"CUMPLIÓ","NO CUMPLIÓ"))</f>
        <v>CUMPLIÓ</v>
      </c>
      <c r="P665" s="141">
        <f t="shared" si="16"/>
        <v>0</v>
      </c>
      <c r="Q665" s="4" t="s">
        <v>13</v>
      </c>
      <c r="R665" s="4" t="s">
        <v>775</v>
      </c>
      <c r="S665" s="4" t="s">
        <v>2379</v>
      </c>
      <c r="T665" s="435"/>
      <c r="U665" s="107" t="s">
        <v>2380</v>
      </c>
      <c r="V665" s="435"/>
      <c r="W665" s="435"/>
      <c r="X665" s="435">
        <f>MONTH(Tabla1[[#This Row],[fecha
de
pedido]])</f>
        <v>7</v>
      </c>
      <c r="Y665" s="435">
        <f>YEAR(Tabla1[[#This Row],[fecha
de
pedido]])</f>
        <v>2018</v>
      </c>
    </row>
    <row r="666" spans="1:25" x14ac:dyDescent="0.2">
      <c r="A666" s="433">
        <v>43299</v>
      </c>
      <c r="B666" s="433" t="s">
        <v>487</v>
      </c>
      <c r="C666" s="434" t="s">
        <v>33</v>
      </c>
      <c r="D666" s="434" t="s">
        <v>33</v>
      </c>
      <c r="E666" s="434" t="s">
        <v>11</v>
      </c>
      <c r="F666" s="435" t="s">
        <v>772</v>
      </c>
      <c r="G666" s="434" t="s">
        <v>204</v>
      </c>
      <c r="H666" s="435">
        <v>180</v>
      </c>
      <c r="I666" s="435" t="s">
        <v>779</v>
      </c>
      <c r="J666" s="434" t="s">
        <v>12</v>
      </c>
      <c r="K666" s="435">
        <v>6</v>
      </c>
      <c r="L666" s="238">
        <f>(Tabla1[[#This Row],[Costo Unitario]]*Tabla1[[#This Row],[cantidad]])</f>
        <v>1080</v>
      </c>
      <c r="M666" s="436">
        <v>43300</v>
      </c>
      <c r="N666" s="88">
        <v>43300</v>
      </c>
      <c r="O666" s="436" t="str">
        <f>IF( Tabla1[[#This Row],[Fecha de entrega real]]="","NO CONCRETADO",IF(N666&lt;=M666,"CUMPLIÓ","NO CUMPLIÓ"))</f>
        <v>CUMPLIÓ</v>
      </c>
      <c r="P666" s="141">
        <f t="shared" si="16"/>
        <v>0</v>
      </c>
      <c r="Q666" s="4" t="s">
        <v>13</v>
      </c>
      <c r="R666" s="4" t="s">
        <v>33</v>
      </c>
      <c r="S666" s="4" t="s">
        <v>244</v>
      </c>
      <c r="T666" s="435"/>
      <c r="U666" s="107" t="s">
        <v>2381</v>
      </c>
      <c r="V666" s="435"/>
      <c r="W666" s="435"/>
      <c r="X666" s="435">
        <f>MONTH(Tabla1[[#This Row],[fecha
de
pedido]])</f>
        <v>7</v>
      </c>
      <c r="Y666" s="435">
        <f>YEAR(Tabla1[[#This Row],[fecha
de
pedido]])</f>
        <v>2018</v>
      </c>
    </row>
    <row r="667" spans="1:25" x14ac:dyDescent="0.2">
      <c r="A667" s="433">
        <v>43301</v>
      </c>
      <c r="B667" s="433" t="s">
        <v>487</v>
      </c>
      <c r="C667" s="434" t="s">
        <v>33</v>
      </c>
      <c r="D667" s="434" t="s">
        <v>33</v>
      </c>
      <c r="E667" s="434" t="s">
        <v>277</v>
      </c>
      <c r="F667" s="435" t="s">
        <v>2046</v>
      </c>
      <c r="G667" s="434" t="s">
        <v>1253</v>
      </c>
      <c r="H667" s="435">
        <v>3</v>
      </c>
      <c r="I667" s="435" t="s">
        <v>812</v>
      </c>
      <c r="J667" s="434" t="s">
        <v>81</v>
      </c>
      <c r="K667" s="435"/>
      <c r="L667" s="238">
        <f>(Tabla1[[#This Row],[Costo Unitario]]*Tabla1[[#This Row],[cantidad]])</f>
        <v>0</v>
      </c>
      <c r="M667" s="436">
        <v>43305</v>
      </c>
      <c r="N667" s="436">
        <v>43304</v>
      </c>
      <c r="O667" s="436" t="str">
        <f>IF( Tabla1[[#This Row],[Fecha de entrega real]]="","NO CONCRETADO",IF(N667&lt;=M667,"CUMPLIÓ","NO CUMPLIÓ"))</f>
        <v>CUMPLIÓ</v>
      </c>
      <c r="P667" s="141">
        <f t="shared" si="16"/>
        <v>-1</v>
      </c>
      <c r="Q667" s="434" t="s">
        <v>13</v>
      </c>
      <c r="R667" s="434" t="s">
        <v>1186</v>
      </c>
      <c r="S667" s="434" t="s">
        <v>1543</v>
      </c>
      <c r="T667" s="435" t="s">
        <v>2047</v>
      </c>
      <c r="U667" s="437"/>
      <c r="V667" s="435"/>
      <c r="W667" s="435"/>
      <c r="X667" s="435">
        <f>MONTH(Tabla1[[#This Row],[fecha
de
pedido]])</f>
        <v>7</v>
      </c>
      <c r="Y667" s="435">
        <f>YEAR(Tabla1[[#This Row],[fecha
de
pedido]])</f>
        <v>2018</v>
      </c>
    </row>
    <row r="668" spans="1:25" x14ac:dyDescent="0.2">
      <c r="A668" s="433">
        <v>43308</v>
      </c>
      <c r="B668" s="438">
        <v>18057</v>
      </c>
      <c r="C668" s="4" t="s">
        <v>1213</v>
      </c>
      <c r="D668" s="434" t="s">
        <v>33</v>
      </c>
      <c r="E668" s="4" t="s">
        <v>11</v>
      </c>
      <c r="F668" s="1" t="s">
        <v>772</v>
      </c>
      <c r="G668" s="4" t="s">
        <v>2081</v>
      </c>
      <c r="H668" s="435">
        <v>1</v>
      </c>
      <c r="I668" s="1" t="s">
        <v>2083</v>
      </c>
      <c r="J668" s="4" t="s">
        <v>1795</v>
      </c>
      <c r="K668" s="435">
        <v>3769.15</v>
      </c>
      <c r="L668" s="238">
        <f>(Tabla1[[#This Row],[Costo Unitario]]*Tabla1[[#This Row],[cantidad]])</f>
        <v>3769.15</v>
      </c>
      <c r="M668" s="436">
        <v>43319</v>
      </c>
      <c r="N668" s="436">
        <v>43321</v>
      </c>
      <c r="O668" s="436" t="str">
        <f>IF( Tabla1[[#This Row],[Fecha de entrega real]]="","NO CONCRETADO",IF(N668&lt;=M668,"CUMPLIÓ","NO CUMPLIÓ"))</f>
        <v>NO CUMPLIÓ</v>
      </c>
      <c r="P668" s="141">
        <f t="shared" si="16"/>
        <v>2</v>
      </c>
      <c r="Q668" s="434" t="s">
        <v>13</v>
      </c>
      <c r="R668" s="4" t="s">
        <v>975</v>
      </c>
      <c r="S668" s="434" t="s">
        <v>1543</v>
      </c>
      <c r="T668" s="435"/>
      <c r="U668" s="416" t="s">
        <v>1946</v>
      </c>
      <c r="V668" s="435"/>
      <c r="W668" s="435"/>
      <c r="X668" s="435">
        <f>MONTH(Tabla1[[#This Row],[fecha
de
pedido]])</f>
        <v>7</v>
      </c>
      <c r="Y668" s="435">
        <f>YEAR(Tabla1[[#This Row],[fecha
de
pedido]])</f>
        <v>2018</v>
      </c>
    </row>
    <row r="669" spans="1:25" x14ac:dyDescent="0.2">
      <c r="A669" s="433">
        <v>43308</v>
      </c>
      <c r="B669" s="438">
        <v>18057</v>
      </c>
      <c r="C669" s="4" t="s">
        <v>1213</v>
      </c>
      <c r="D669" s="434" t="s">
        <v>33</v>
      </c>
      <c r="E669" s="4" t="s">
        <v>11</v>
      </c>
      <c r="F669" s="1" t="s">
        <v>772</v>
      </c>
      <c r="G669" s="4" t="s">
        <v>2082</v>
      </c>
      <c r="H669" s="1">
        <v>1</v>
      </c>
      <c r="I669" s="1" t="s">
        <v>2083</v>
      </c>
      <c r="J669" s="4" t="s">
        <v>1795</v>
      </c>
      <c r="K669" s="1">
        <v>738.1</v>
      </c>
      <c r="L669" s="238">
        <f>(Tabla1[[#This Row],[Costo Unitario]]*Tabla1[[#This Row],[cantidad]])</f>
        <v>738.1</v>
      </c>
      <c r="M669" s="436">
        <v>43319</v>
      </c>
      <c r="N669" s="88">
        <v>43321</v>
      </c>
      <c r="O669" s="88" t="str">
        <f>IF( Tabla1[[#This Row],[Fecha de entrega real]]="","NO CONCRETADO",IF(N669&lt;=M669,"CUMPLIÓ","NO CUMPLIÓ"))</f>
        <v>NO CUMPLIÓ</v>
      </c>
      <c r="P669" s="141">
        <f t="shared" si="16"/>
        <v>2</v>
      </c>
      <c r="Q669" s="434" t="s">
        <v>13</v>
      </c>
      <c r="R669" s="4" t="s">
        <v>975</v>
      </c>
      <c r="S669" s="434" t="s">
        <v>1543</v>
      </c>
      <c r="U669" s="107" t="s">
        <v>1946</v>
      </c>
      <c r="X669" s="1">
        <f>MONTH(Tabla1[[#This Row],[fecha
de
pedido]])</f>
        <v>7</v>
      </c>
      <c r="Y669" s="1">
        <f>YEAR(Tabla1[[#This Row],[fecha
de
pedido]])</f>
        <v>2018</v>
      </c>
    </row>
    <row r="670" spans="1:25" ht="25.5" x14ac:dyDescent="0.2">
      <c r="A670" s="433">
        <v>43308</v>
      </c>
      <c r="B670" s="438">
        <v>18058</v>
      </c>
      <c r="C670" s="4" t="s">
        <v>2084</v>
      </c>
      <c r="D670" s="4" t="s">
        <v>33</v>
      </c>
      <c r="E670" s="4" t="s">
        <v>11</v>
      </c>
      <c r="F670" s="1" t="s">
        <v>772</v>
      </c>
      <c r="G670" s="4" t="s">
        <v>2085</v>
      </c>
      <c r="H670" s="1">
        <v>6</v>
      </c>
      <c r="I670" s="1" t="s">
        <v>784</v>
      </c>
      <c r="J670" s="4" t="s">
        <v>1795</v>
      </c>
      <c r="K670" s="1">
        <v>62.92</v>
      </c>
      <c r="L670" s="238">
        <f>(Tabla1[[#This Row],[Costo Unitario]]*Tabla1[[#This Row],[cantidad]])</f>
        <v>377.52</v>
      </c>
      <c r="M670" s="436">
        <v>43319</v>
      </c>
      <c r="N670" s="88">
        <v>43321</v>
      </c>
      <c r="O670" s="88" t="str">
        <f>IF( Tabla1[[#This Row],[Fecha de entrega real]]="","NO CONCRETADO",IF(N670&lt;=M670,"CUMPLIÓ","NO CUMPLIÓ"))</f>
        <v>NO CUMPLIÓ</v>
      </c>
      <c r="P670" s="141">
        <f t="shared" si="16"/>
        <v>2</v>
      </c>
      <c r="Q670" s="434" t="s">
        <v>13</v>
      </c>
      <c r="R670" s="4" t="s">
        <v>975</v>
      </c>
      <c r="S670" s="434" t="s">
        <v>1543</v>
      </c>
      <c r="U670" s="416" t="s">
        <v>1946</v>
      </c>
      <c r="X670" s="1">
        <f>MONTH(Tabla1[[#This Row],[fecha
de
pedido]])</f>
        <v>7</v>
      </c>
      <c r="Y670" s="1">
        <f>YEAR(Tabla1[[#This Row],[fecha
de
pedido]])</f>
        <v>2018</v>
      </c>
    </row>
    <row r="671" spans="1:25" ht="25.5" x14ac:dyDescent="0.2">
      <c r="A671" s="433">
        <v>43308</v>
      </c>
      <c r="B671" s="438">
        <v>18058</v>
      </c>
      <c r="C671" s="4" t="s">
        <v>2084</v>
      </c>
      <c r="D671" s="4" t="s">
        <v>33</v>
      </c>
      <c r="E671" s="4" t="s">
        <v>11</v>
      </c>
      <c r="F671" s="1" t="s">
        <v>772</v>
      </c>
      <c r="G671" s="4" t="s">
        <v>2086</v>
      </c>
      <c r="H671" s="1">
        <v>8</v>
      </c>
      <c r="I671" s="1" t="s">
        <v>784</v>
      </c>
      <c r="J671" s="4" t="s">
        <v>1795</v>
      </c>
      <c r="K671" s="1">
        <v>65.34</v>
      </c>
      <c r="L671" s="238">
        <f>(Tabla1[[#This Row],[Costo Unitario]]*Tabla1[[#This Row],[cantidad]])</f>
        <v>522.72</v>
      </c>
      <c r="M671" s="436">
        <v>43319</v>
      </c>
      <c r="N671" s="88">
        <v>43321</v>
      </c>
      <c r="O671" s="88" t="str">
        <f>IF( Tabla1[[#This Row],[Fecha de entrega real]]="","NO CONCRETADO",IF(N671&lt;=M671,"CUMPLIÓ","NO CUMPLIÓ"))</f>
        <v>NO CUMPLIÓ</v>
      </c>
      <c r="P671" s="141">
        <f t="shared" si="16"/>
        <v>2</v>
      </c>
      <c r="Q671" s="434" t="s">
        <v>13</v>
      </c>
      <c r="R671" s="4" t="s">
        <v>975</v>
      </c>
      <c r="S671" s="434" t="s">
        <v>1543</v>
      </c>
      <c r="U671" s="107" t="s">
        <v>1946</v>
      </c>
      <c r="X671" s="1">
        <f>MONTH(Tabla1[[#This Row],[fecha
de
pedido]])</f>
        <v>7</v>
      </c>
      <c r="Y671" s="1">
        <f>YEAR(Tabla1[[#This Row],[fecha
de
pedido]])</f>
        <v>2018</v>
      </c>
    </row>
    <row r="672" spans="1:25" ht="25.5" x14ac:dyDescent="0.2">
      <c r="A672" s="433">
        <v>43308</v>
      </c>
      <c r="B672" s="438">
        <v>18058</v>
      </c>
      <c r="C672" s="4" t="s">
        <v>2084</v>
      </c>
      <c r="D672" s="4" t="s">
        <v>33</v>
      </c>
      <c r="E672" s="4" t="s">
        <v>11</v>
      </c>
      <c r="F672" s="1" t="s">
        <v>772</v>
      </c>
      <c r="G672" s="4" t="s">
        <v>2087</v>
      </c>
      <c r="H672" s="1">
        <v>8</v>
      </c>
      <c r="I672" s="1" t="s">
        <v>784</v>
      </c>
      <c r="J672" s="4" t="s">
        <v>1795</v>
      </c>
      <c r="K672" s="1">
        <v>75.02</v>
      </c>
      <c r="L672" s="238">
        <f>(Tabla1[[#This Row],[Costo Unitario]]*Tabla1[[#This Row],[cantidad]])</f>
        <v>600.16</v>
      </c>
      <c r="M672" s="436">
        <v>43319</v>
      </c>
      <c r="N672" s="88">
        <v>43321</v>
      </c>
      <c r="O672" s="88" t="str">
        <f>IF( Tabla1[[#This Row],[Fecha de entrega real]]="","NO CONCRETADO",IF(N672&lt;=M672,"CUMPLIÓ","NO CUMPLIÓ"))</f>
        <v>NO CUMPLIÓ</v>
      </c>
      <c r="P672" s="141">
        <f t="shared" si="16"/>
        <v>2</v>
      </c>
      <c r="Q672" s="434" t="s">
        <v>13</v>
      </c>
      <c r="R672" s="4" t="s">
        <v>975</v>
      </c>
      <c r="S672" s="434" t="s">
        <v>1543</v>
      </c>
      <c r="U672" s="416" t="s">
        <v>1946</v>
      </c>
      <c r="X672" s="1">
        <f>MONTH(Tabla1[[#This Row],[fecha
de
pedido]])</f>
        <v>7</v>
      </c>
      <c r="Y672" s="1">
        <f>YEAR(Tabla1[[#This Row],[fecha
de
pedido]])</f>
        <v>2018</v>
      </c>
    </row>
    <row r="673" spans="1:25" ht="25.5" x14ac:dyDescent="0.2">
      <c r="A673" s="433">
        <v>43308</v>
      </c>
      <c r="B673" s="438">
        <v>18058</v>
      </c>
      <c r="C673" s="4" t="s">
        <v>2084</v>
      </c>
      <c r="D673" s="4" t="s">
        <v>33</v>
      </c>
      <c r="E673" s="4" t="s">
        <v>11</v>
      </c>
      <c r="F673" s="1" t="s">
        <v>772</v>
      </c>
      <c r="G673" s="4" t="s">
        <v>2088</v>
      </c>
      <c r="H673" s="1">
        <v>6</v>
      </c>
      <c r="I673" s="1" t="s">
        <v>784</v>
      </c>
      <c r="J673" s="4" t="s">
        <v>1795</v>
      </c>
      <c r="K673" s="1">
        <v>90.75</v>
      </c>
      <c r="L673" s="238">
        <f>(Tabla1[[#This Row],[Costo Unitario]]*Tabla1[[#This Row],[cantidad]])</f>
        <v>544.5</v>
      </c>
      <c r="M673" s="436">
        <v>43319</v>
      </c>
      <c r="N673" s="88">
        <v>43321</v>
      </c>
      <c r="O673" s="88" t="str">
        <f>IF( Tabla1[[#This Row],[Fecha de entrega real]]="","NO CONCRETADO",IF(N673&lt;=M673,"CUMPLIÓ","NO CUMPLIÓ"))</f>
        <v>NO CUMPLIÓ</v>
      </c>
      <c r="P673" s="141">
        <f t="shared" si="16"/>
        <v>2</v>
      </c>
      <c r="Q673" s="434" t="s">
        <v>13</v>
      </c>
      <c r="R673" s="4" t="s">
        <v>975</v>
      </c>
      <c r="S673" s="434" t="s">
        <v>1543</v>
      </c>
      <c r="U673" s="107" t="s">
        <v>1946</v>
      </c>
      <c r="X673" s="1">
        <f>MONTH(Tabla1[[#This Row],[fecha
de
pedido]])</f>
        <v>7</v>
      </c>
      <c r="Y673" s="1">
        <f>YEAR(Tabla1[[#This Row],[fecha
de
pedido]])</f>
        <v>2018</v>
      </c>
    </row>
    <row r="674" spans="1:25" ht="25.5" x14ac:dyDescent="0.2">
      <c r="A674" s="152">
        <v>43312</v>
      </c>
      <c r="B674" s="438">
        <v>18059</v>
      </c>
      <c r="C674" s="4" t="s">
        <v>976</v>
      </c>
      <c r="D674" s="1" t="s">
        <v>33</v>
      </c>
      <c r="E674" s="4" t="s">
        <v>2007</v>
      </c>
      <c r="F674" s="1" t="s">
        <v>778</v>
      </c>
      <c r="G674" s="4" t="s">
        <v>2089</v>
      </c>
      <c r="H674" s="1">
        <v>1</v>
      </c>
      <c r="I674" s="1" t="s">
        <v>821</v>
      </c>
      <c r="J674" s="4" t="s">
        <v>2009</v>
      </c>
      <c r="K674" s="1">
        <v>42</v>
      </c>
      <c r="L674" s="238">
        <f>(Tabla1[[#This Row],[Costo Unitario]]*Tabla1[[#This Row],[cantidad]])</f>
        <v>42</v>
      </c>
      <c r="M674" s="88">
        <v>43329</v>
      </c>
      <c r="N674" s="88">
        <v>43319</v>
      </c>
      <c r="O674" s="88" t="str">
        <f>IF( Tabla1[[#This Row],[Fecha de entrega real]]="","NO CONCRETADO",IF(N674&lt;=M674,"CUMPLIÓ","NO CUMPLIÓ"))</f>
        <v>CUMPLIÓ</v>
      </c>
      <c r="P674" s="141">
        <f t="shared" si="16"/>
        <v>-10</v>
      </c>
      <c r="Q674" s="4" t="s">
        <v>13</v>
      </c>
      <c r="R674" s="4" t="s">
        <v>33</v>
      </c>
      <c r="S674" s="4" t="s">
        <v>2006</v>
      </c>
      <c r="T674" s="1" t="s">
        <v>2090</v>
      </c>
      <c r="U674" s="107" t="s">
        <v>2091</v>
      </c>
      <c r="X674" s="1">
        <f>MONTH(Tabla1[[#This Row],[fecha
de
pedido]])</f>
        <v>7</v>
      </c>
      <c r="Y674" s="1">
        <f>YEAR(Tabla1[[#This Row],[fecha
de
pedido]])</f>
        <v>2018</v>
      </c>
    </row>
    <row r="675" spans="1:25" s="457" customFormat="1" ht="51" x14ac:dyDescent="0.2">
      <c r="A675" s="452">
        <v>43312</v>
      </c>
      <c r="B675" s="499">
        <v>18060</v>
      </c>
      <c r="C675" s="453" t="s">
        <v>2096</v>
      </c>
      <c r="D675" s="457" t="s">
        <v>33</v>
      </c>
      <c r="E675" s="453" t="s">
        <v>11</v>
      </c>
      <c r="F675" s="454" t="s">
        <v>830</v>
      </c>
      <c r="G675" s="453" t="s">
        <v>2097</v>
      </c>
      <c r="H675" s="454">
        <v>2</v>
      </c>
      <c r="I675" s="454" t="s">
        <v>2098</v>
      </c>
      <c r="J675" s="453" t="s">
        <v>2099</v>
      </c>
      <c r="K675" s="454">
        <v>6267.8</v>
      </c>
      <c r="L675" s="500">
        <f>(Tabla1[[#This Row],[Costo Unitario]]*Tabla1[[#This Row],[cantidad]])</f>
        <v>12535.6</v>
      </c>
      <c r="M675" s="455"/>
      <c r="N675" s="455"/>
      <c r="O675" s="455" t="str">
        <f>IF( Tabla1[[#This Row],[Fecha de entrega real]]="","NO CONCRETADO",IF(N675&lt;=M675,"CUMPLIÓ","NO CUMPLIÓ"))</f>
        <v>NO CONCRETADO</v>
      </c>
      <c r="P675" s="501" t="str">
        <f t="shared" si="16"/>
        <v>NO CONCRETADO</v>
      </c>
      <c r="Q675" s="453"/>
      <c r="R675" s="453"/>
      <c r="S675" s="453"/>
      <c r="T675" s="454"/>
      <c r="U675" s="456"/>
      <c r="V675" s="454"/>
      <c r="W675" s="454"/>
      <c r="X675" s="454">
        <f>MONTH(Tabla1[[#This Row],[fecha
de
pedido]])</f>
        <v>7</v>
      </c>
      <c r="Y675" s="454">
        <f>YEAR(Tabla1[[#This Row],[fecha
de
pedido]])</f>
        <v>2018</v>
      </c>
    </row>
    <row r="676" spans="1:25" s="457" customFormat="1" ht="51" x14ac:dyDescent="0.2">
      <c r="A676" s="452">
        <v>43312</v>
      </c>
      <c r="B676" s="499">
        <v>18060</v>
      </c>
      <c r="C676" s="453" t="s">
        <v>2096</v>
      </c>
      <c r="D676" s="457" t="s">
        <v>33</v>
      </c>
      <c r="E676" s="453" t="s">
        <v>11</v>
      </c>
      <c r="F676" s="454" t="s">
        <v>830</v>
      </c>
      <c r="G676" s="453" t="s">
        <v>2100</v>
      </c>
      <c r="H676" s="454">
        <v>1</v>
      </c>
      <c r="I676" s="454" t="s">
        <v>830</v>
      </c>
      <c r="J676" s="453" t="s">
        <v>2099</v>
      </c>
      <c r="K676" s="454">
        <v>7381</v>
      </c>
      <c r="L676" s="500">
        <f>(Tabla1[[#This Row],[Costo Unitario]]*Tabla1[[#This Row],[cantidad]])</f>
        <v>7381</v>
      </c>
      <c r="M676" s="455"/>
      <c r="N676" s="455"/>
      <c r="O676" s="455" t="str">
        <f>IF( Tabla1[[#This Row],[Fecha de entrega real]]="","NO CONCRETADO",IF(N676&lt;=M676,"CUMPLIÓ","NO CUMPLIÓ"))</f>
        <v>NO CONCRETADO</v>
      </c>
      <c r="P676" s="501" t="str">
        <f t="shared" si="16"/>
        <v>NO CONCRETADO</v>
      </c>
      <c r="Q676" s="453"/>
      <c r="R676" s="453"/>
      <c r="S676" s="453"/>
      <c r="T676" s="454"/>
      <c r="U676" s="456"/>
      <c r="V676" s="454"/>
      <c r="W676" s="454"/>
      <c r="X676" s="454">
        <f>MONTH(Tabla1[[#This Row],[fecha
de
pedido]])</f>
        <v>7</v>
      </c>
      <c r="Y676" s="454">
        <f>YEAR(Tabla1[[#This Row],[fecha
de
pedido]])</f>
        <v>2018</v>
      </c>
    </row>
    <row r="677" spans="1:25" ht="25.5" x14ac:dyDescent="0.2">
      <c r="A677" s="152">
        <v>43314</v>
      </c>
      <c r="B677" s="152" t="s">
        <v>487</v>
      </c>
      <c r="C677" s="4" t="s">
        <v>1020</v>
      </c>
      <c r="D677" s="1" t="s">
        <v>33</v>
      </c>
      <c r="E677" s="4" t="s">
        <v>2007</v>
      </c>
      <c r="F677" s="1" t="s">
        <v>1016</v>
      </c>
      <c r="G677" s="4" t="s">
        <v>1253</v>
      </c>
      <c r="H677" s="1">
        <v>3</v>
      </c>
      <c r="I677" s="1" t="s">
        <v>1254</v>
      </c>
      <c r="J677" s="4" t="s">
        <v>81</v>
      </c>
      <c r="L677" s="238">
        <f>(Tabla1[[#This Row],[Costo Unitario]]*Tabla1[[#This Row],[cantidad]])</f>
        <v>0</v>
      </c>
      <c r="M677" s="88">
        <v>43318</v>
      </c>
      <c r="N677" s="88">
        <v>43318</v>
      </c>
      <c r="O677" s="436" t="str">
        <f>IF( Tabla1[[#This Row],[Fecha de entrega real]]="","NO CONCRETADO",IF(N677&lt;=M677,"CUMPLIÓ","NO CUMPLIÓ"))</f>
        <v>CUMPLIÓ</v>
      </c>
      <c r="P677" s="141">
        <f t="shared" si="16"/>
        <v>0</v>
      </c>
      <c r="Q677" s="434"/>
      <c r="R677" s="434"/>
      <c r="S677" s="434"/>
      <c r="T677" s="435"/>
      <c r="U677" s="437"/>
      <c r="V677" s="435"/>
      <c r="W677" s="435"/>
      <c r="X677" s="435">
        <f>MONTH(Tabla1[[#This Row],[fecha
de
pedido]])</f>
        <v>8</v>
      </c>
      <c r="Y677" s="435">
        <f>YEAR(Tabla1[[#This Row],[fecha
de
pedido]])</f>
        <v>2018</v>
      </c>
    </row>
    <row r="678" spans="1:25" ht="25.5" x14ac:dyDescent="0.2">
      <c r="A678" s="433">
        <v>43319</v>
      </c>
      <c r="B678" s="438">
        <v>18061</v>
      </c>
      <c r="C678" s="434" t="s">
        <v>775</v>
      </c>
      <c r="D678" s="435" t="s">
        <v>33</v>
      </c>
      <c r="E678" s="434" t="s">
        <v>2092</v>
      </c>
      <c r="F678" s="435" t="s">
        <v>1199</v>
      </c>
      <c r="G678" s="434" t="s">
        <v>2101</v>
      </c>
      <c r="H678" s="435">
        <v>1</v>
      </c>
      <c r="I678" s="435" t="s">
        <v>1298</v>
      </c>
      <c r="J678" s="434" t="s">
        <v>1795</v>
      </c>
      <c r="K678" s="435">
        <v>370.26</v>
      </c>
      <c r="L678" s="238">
        <f>(Tabla1[[#This Row],[Costo Unitario]]*Tabla1[[#This Row],[cantidad]])</f>
        <v>370.26</v>
      </c>
      <c r="M678" s="436">
        <v>43326</v>
      </c>
      <c r="N678" s="436">
        <v>43339</v>
      </c>
      <c r="O678" s="436" t="str">
        <f>IF( Tabla1[[#This Row],[Fecha de entrega real]]="","NO CONCRETADO",IF(N678&lt;=M678,"CUMPLIÓ","NO CUMPLIÓ"))</f>
        <v>NO CUMPLIÓ</v>
      </c>
      <c r="P678" s="141">
        <f t="shared" si="16"/>
        <v>13</v>
      </c>
      <c r="Q678" s="434" t="s">
        <v>13</v>
      </c>
      <c r="R678" s="434" t="s">
        <v>33</v>
      </c>
      <c r="S678" s="434" t="s">
        <v>2157</v>
      </c>
      <c r="T678" s="435" t="s">
        <v>2158</v>
      </c>
      <c r="U678" s="437" t="s">
        <v>2159</v>
      </c>
      <c r="V678" s="435"/>
      <c r="W678" s="435"/>
      <c r="X678" s="435">
        <f>MONTH(Tabla1[[#This Row],[fecha
de
pedido]])</f>
        <v>8</v>
      </c>
      <c r="Y678" s="435">
        <f>YEAR(Tabla1[[#This Row],[fecha
de
pedido]])</f>
        <v>2018</v>
      </c>
    </row>
    <row r="679" spans="1:25" s="487" customFormat="1" ht="25.5" x14ac:dyDescent="0.2">
      <c r="A679" s="502">
        <v>43319</v>
      </c>
      <c r="B679" s="503">
        <v>18062</v>
      </c>
      <c r="C679" s="486" t="s">
        <v>775</v>
      </c>
      <c r="D679" s="482" t="s">
        <v>33</v>
      </c>
      <c r="E679" s="486" t="s">
        <v>2092</v>
      </c>
      <c r="F679" s="482" t="s">
        <v>778</v>
      </c>
      <c r="G679" s="486" t="s">
        <v>2102</v>
      </c>
      <c r="H679" s="482">
        <v>12</v>
      </c>
      <c r="I679" s="482" t="s">
        <v>2103</v>
      </c>
      <c r="J679" s="486" t="s">
        <v>1795</v>
      </c>
      <c r="K679" s="482">
        <v>660.66</v>
      </c>
      <c r="L679" s="488">
        <f>(Tabla1[[#This Row],[Costo Unitario]]*Tabla1[[#This Row],[cantidad]])</f>
        <v>7927.92</v>
      </c>
      <c r="M679" s="504">
        <v>43326</v>
      </c>
      <c r="N679" s="489" t="s">
        <v>2382</v>
      </c>
      <c r="O679" s="504" t="str">
        <f>IF( Tabla1[[#This Row],[Fecha de entrega real]]="","NO CONCRETADO",IF(N679&lt;=M679,"CUMPLIÓ","NO CUMPLIÓ"))</f>
        <v>NO CUMPLIÓ</v>
      </c>
      <c r="P679" s="141" t="e">
        <f t="shared" si="16"/>
        <v>#VALUE!</v>
      </c>
      <c r="Q679" s="484" t="s">
        <v>487</v>
      </c>
      <c r="R679" s="484" t="s">
        <v>487</v>
      </c>
      <c r="S679" s="484" t="s">
        <v>2383</v>
      </c>
      <c r="T679" s="482"/>
      <c r="U679" s="483"/>
      <c r="V679" s="482"/>
      <c r="W679" s="482"/>
      <c r="X679" s="482">
        <f>MONTH(Tabla1[[#This Row],[fecha
de
pedido]])</f>
        <v>8</v>
      </c>
      <c r="Y679" s="482">
        <f>YEAR(Tabla1[[#This Row],[fecha
de
pedido]])</f>
        <v>2018</v>
      </c>
    </row>
    <row r="680" spans="1:25" ht="25.5" x14ac:dyDescent="0.2">
      <c r="A680" s="433">
        <v>43320</v>
      </c>
      <c r="B680" s="438">
        <v>18063</v>
      </c>
      <c r="C680" s="434" t="s">
        <v>906</v>
      </c>
      <c r="D680" s="435" t="s">
        <v>33</v>
      </c>
      <c r="E680" s="434" t="s">
        <v>11</v>
      </c>
      <c r="F680" s="435" t="s">
        <v>807</v>
      </c>
      <c r="G680" s="434" t="s">
        <v>2104</v>
      </c>
      <c r="H680" s="435">
        <v>2</v>
      </c>
      <c r="I680" s="435" t="s">
        <v>800</v>
      </c>
      <c r="J680" s="434" t="s">
        <v>225</v>
      </c>
      <c r="K680" s="435">
        <v>60.2</v>
      </c>
      <c r="L680" s="238">
        <f>(Tabla1[[#This Row],[Costo Unitario]]*Tabla1[[#This Row],[cantidad]])</f>
        <v>120.4</v>
      </c>
      <c r="M680" s="436">
        <v>43368</v>
      </c>
      <c r="N680" s="88">
        <v>43368</v>
      </c>
      <c r="O680" s="436" t="str">
        <f>IF( Tabla1[[#This Row],[Fecha de entrega real]]="","NO CONCRETADO",IF(N680&lt;=M680,"CUMPLIÓ","NO CUMPLIÓ"))</f>
        <v>CUMPLIÓ</v>
      </c>
      <c r="P680" s="141">
        <f t="shared" si="16"/>
        <v>0</v>
      </c>
      <c r="Q680" s="4" t="s">
        <v>2384</v>
      </c>
      <c r="R680" s="4" t="s">
        <v>33</v>
      </c>
      <c r="S680" s="434" t="s">
        <v>2167</v>
      </c>
      <c r="T680" s="435"/>
      <c r="U680" s="107" t="s">
        <v>2385</v>
      </c>
      <c r="V680" s="435"/>
      <c r="W680" s="435"/>
      <c r="X680" s="435">
        <f>MONTH(Tabla1[[#This Row],[fecha
de
pedido]])</f>
        <v>8</v>
      </c>
      <c r="Y680" s="435">
        <f>YEAR(Tabla1[[#This Row],[fecha
de
pedido]])</f>
        <v>2018</v>
      </c>
    </row>
    <row r="681" spans="1:25" ht="25.5" x14ac:dyDescent="0.2">
      <c r="A681" s="433">
        <v>43320</v>
      </c>
      <c r="B681" s="438">
        <v>18064</v>
      </c>
      <c r="C681" s="434" t="s">
        <v>906</v>
      </c>
      <c r="D681" s="435" t="s">
        <v>33</v>
      </c>
      <c r="E681" s="434" t="s">
        <v>11</v>
      </c>
      <c r="F681" s="435" t="s">
        <v>807</v>
      </c>
      <c r="G681" s="434" t="s">
        <v>2104</v>
      </c>
      <c r="H681" s="435">
        <v>2</v>
      </c>
      <c r="I681" s="435" t="s">
        <v>800</v>
      </c>
      <c r="J681" s="434" t="s">
        <v>1727</v>
      </c>
      <c r="K681" s="435">
        <v>57</v>
      </c>
      <c r="L681" s="238">
        <f>(Tabla1[[#This Row],[Costo Unitario]]*Tabla1[[#This Row],[cantidad]])</f>
        <v>114</v>
      </c>
      <c r="M681" s="436">
        <v>43341</v>
      </c>
      <c r="N681" s="436">
        <v>43340</v>
      </c>
      <c r="O681" s="436" t="str">
        <f>IF( Tabla1[[#This Row],[Fecha de entrega real]]="","NO CONCRETADO",IF(N681&lt;=M681,"CUMPLIÓ","NO CUMPLIÓ"))</f>
        <v>CUMPLIÓ</v>
      </c>
      <c r="P681" s="141">
        <f t="shared" si="16"/>
        <v>-1</v>
      </c>
      <c r="Q681" s="434" t="s">
        <v>13</v>
      </c>
      <c r="R681" s="434" t="s">
        <v>33</v>
      </c>
      <c r="S681" s="434" t="s">
        <v>2167</v>
      </c>
      <c r="T681" s="435" t="s">
        <v>2168</v>
      </c>
      <c r="U681" s="437" t="s">
        <v>2169</v>
      </c>
      <c r="V681" s="435"/>
      <c r="W681" s="435"/>
      <c r="X681" s="435">
        <f>MONTH(Tabla1[[#This Row],[fecha
de
pedido]])</f>
        <v>8</v>
      </c>
      <c r="Y681" s="435">
        <f>YEAR(Tabla1[[#This Row],[fecha
de
pedido]])</f>
        <v>2018</v>
      </c>
    </row>
    <row r="682" spans="1:25" ht="38.25" x14ac:dyDescent="0.2">
      <c r="A682" s="433">
        <v>43320</v>
      </c>
      <c r="B682" s="438">
        <v>18065</v>
      </c>
      <c r="C682" s="434" t="s">
        <v>1744</v>
      </c>
      <c r="D682" s="435" t="s">
        <v>33</v>
      </c>
      <c r="E682" s="434" t="s">
        <v>2092</v>
      </c>
      <c r="F682" s="435" t="s">
        <v>807</v>
      </c>
      <c r="G682" s="434" t="s">
        <v>2105</v>
      </c>
      <c r="H682" s="435">
        <v>2</v>
      </c>
      <c r="I682" s="435" t="s">
        <v>800</v>
      </c>
      <c r="J682" s="434" t="s">
        <v>1727</v>
      </c>
      <c r="K682" s="435">
        <v>14</v>
      </c>
      <c r="L682" s="238">
        <f>(Tabla1[[#This Row],[Costo Unitario]]*Tabla1[[#This Row],[cantidad]])</f>
        <v>28</v>
      </c>
      <c r="M682" s="436">
        <v>43327</v>
      </c>
      <c r="N682" s="436"/>
      <c r="O682" s="436" t="str">
        <f>IF( Tabla1[[#This Row],[Fecha de entrega real]]="","NO CONCRETADO",IF(N682&lt;=M682,"CUMPLIÓ","NO CUMPLIÓ"))</f>
        <v>NO CONCRETADO</v>
      </c>
      <c r="P682" s="141" t="str">
        <f t="shared" si="16"/>
        <v>NO CONCRETADO</v>
      </c>
      <c r="Q682" s="434" t="s">
        <v>487</v>
      </c>
      <c r="R682" s="434" t="s">
        <v>487</v>
      </c>
      <c r="S682" s="434" t="s">
        <v>2106</v>
      </c>
      <c r="T682" s="445" t="s">
        <v>2188</v>
      </c>
      <c r="U682" s="445" t="s">
        <v>2188</v>
      </c>
      <c r="V682" s="435"/>
      <c r="W682" s="435"/>
      <c r="X682" s="435">
        <f>MONTH(Tabla1[[#This Row],[fecha
de
pedido]])</f>
        <v>8</v>
      </c>
      <c r="Y682" s="435">
        <f>YEAR(Tabla1[[#This Row],[fecha
de
pedido]])</f>
        <v>2018</v>
      </c>
    </row>
    <row r="683" spans="1:25" ht="25.5" x14ac:dyDescent="0.2">
      <c r="A683" s="433">
        <v>43320</v>
      </c>
      <c r="B683" s="438">
        <v>18066</v>
      </c>
      <c r="C683" s="434" t="s">
        <v>33</v>
      </c>
      <c r="D683" s="435" t="s">
        <v>33</v>
      </c>
      <c r="E683" s="434" t="s">
        <v>11</v>
      </c>
      <c r="F683" s="435" t="s">
        <v>1045</v>
      </c>
      <c r="G683" s="434" t="s">
        <v>2107</v>
      </c>
      <c r="H683" s="435">
        <v>13</v>
      </c>
      <c r="I683" s="435" t="s">
        <v>904</v>
      </c>
      <c r="J683" s="434" t="s">
        <v>267</v>
      </c>
      <c r="K683" s="435">
        <v>250</v>
      </c>
      <c r="L683" s="238">
        <f>(Tabla1[[#This Row],[Costo Unitario]]*Tabla1[[#This Row],[cantidad]])</f>
        <v>3250</v>
      </c>
      <c r="M683" s="436">
        <v>43335</v>
      </c>
      <c r="N683" s="436">
        <v>43334</v>
      </c>
      <c r="O683" s="436" t="str">
        <f>IF( Tabla1[[#This Row],[Fecha de entrega real]]="","NO CONCRETADO",IF(N683&lt;=M683,"CUMPLIÓ","NO CUMPLIÓ"))</f>
        <v>CUMPLIÓ</v>
      </c>
      <c r="P683" s="141">
        <f t="shared" si="16"/>
        <v>-1</v>
      </c>
      <c r="Q683" s="434" t="s">
        <v>13</v>
      </c>
      <c r="R683" s="434" t="s">
        <v>33</v>
      </c>
      <c r="S683" s="434" t="s">
        <v>2149</v>
      </c>
      <c r="T683" s="434" t="s">
        <v>2150</v>
      </c>
      <c r="U683" s="441" t="s">
        <v>2151</v>
      </c>
      <c r="V683" s="435"/>
      <c r="W683" s="435"/>
      <c r="X683" s="435">
        <f>MONTH(Tabla1[[#This Row],[fecha
de
pedido]])</f>
        <v>8</v>
      </c>
      <c r="Y683" s="435">
        <f>YEAR(Tabla1[[#This Row],[fecha
de
pedido]])</f>
        <v>2018</v>
      </c>
    </row>
    <row r="684" spans="1:25" ht="38.25" x14ac:dyDescent="0.2">
      <c r="A684" s="433">
        <v>43320</v>
      </c>
      <c r="B684" s="438">
        <v>18066</v>
      </c>
      <c r="C684" s="434" t="s">
        <v>33</v>
      </c>
      <c r="D684" s="435" t="s">
        <v>33</v>
      </c>
      <c r="E684" s="434" t="s">
        <v>11</v>
      </c>
      <c r="F684" s="435" t="s">
        <v>1045</v>
      </c>
      <c r="G684" s="434" t="s">
        <v>2108</v>
      </c>
      <c r="H684" s="435">
        <v>10</v>
      </c>
      <c r="I684" s="435" t="s">
        <v>904</v>
      </c>
      <c r="J684" s="434" t="s">
        <v>267</v>
      </c>
      <c r="K684" s="435">
        <v>250</v>
      </c>
      <c r="L684" s="238">
        <f>(Tabla1[[#This Row],[Costo Unitario]]*Tabla1[[#This Row],[cantidad]])</f>
        <v>2500</v>
      </c>
      <c r="M684" s="436">
        <v>43335</v>
      </c>
      <c r="N684" s="436">
        <v>43334</v>
      </c>
      <c r="O684" s="436" t="str">
        <f>IF( Tabla1[[#This Row],[Fecha de entrega real]]="","NO CONCRETADO",IF(N684&lt;=M684,"CUMPLIÓ","NO CUMPLIÓ"))</f>
        <v>CUMPLIÓ</v>
      </c>
      <c r="P684" s="141">
        <f t="shared" si="16"/>
        <v>-1</v>
      </c>
      <c r="Q684" s="434" t="s">
        <v>13</v>
      </c>
      <c r="R684" s="434" t="s">
        <v>33</v>
      </c>
      <c r="S684" s="434" t="s">
        <v>2152</v>
      </c>
      <c r="T684" s="434" t="s">
        <v>2150</v>
      </c>
      <c r="U684" s="441" t="s">
        <v>2151</v>
      </c>
      <c r="V684" s="435"/>
      <c r="W684" s="435"/>
      <c r="X684" s="435">
        <f>MONTH(Tabla1[[#This Row],[fecha
de
pedido]])</f>
        <v>8</v>
      </c>
      <c r="Y684" s="435">
        <f>YEAR(Tabla1[[#This Row],[fecha
de
pedido]])</f>
        <v>2018</v>
      </c>
    </row>
    <row r="685" spans="1:25" ht="38.25" x14ac:dyDescent="0.2">
      <c r="A685" s="433">
        <v>43320</v>
      </c>
      <c r="B685" s="438">
        <v>18066</v>
      </c>
      <c r="C685" s="434" t="s">
        <v>33</v>
      </c>
      <c r="D685" s="435" t="s">
        <v>33</v>
      </c>
      <c r="E685" s="434" t="s">
        <v>11</v>
      </c>
      <c r="F685" s="435" t="s">
        <v>1045</v>
      </c>
      <c r="G685" s="434" t="s">
        <v>2109</v>
      </c>
      <c r="H685" s="435">
        <v>10</v>
      </c>
      <c r="I685" s="435" t="s">
        <v>904</v>
      </c>
      <c r="J685" s="434" t="s">
        <v>267</v>
      </c>
      <c r="K685" s="435">
        <v>250</v>
      </c>
      <c r="L685" s="238">
        <f>(Tabla1[[#This Row],[Costo Unitario]]*Tabla1[[#This Row],[cantidad]])</f>
        <v>2500</v>
      </c>
      <c r="M685" s="436">
        <v>43335</v>
      </c>
      <c r="N685" s="436">
        <v>43334</v>
      </c>
      <c r="O685" s="436" t="str">
        <f>IF( Tabla1[[#This Row],[Fecha de entrega real]]="","NO CONCRETADO",IF(N685&lt;=M685,"CUMPLIÓ","NO CUMPLIÓ"))</f>
        <v>CUMPLIÓ</v>
      </c>
      <c r="P685" s="141">
        <f t="shared" si="16"/>
        <v>-1</v>
      </c>
      <c r="Q685" s="434" t="s">
        <v>13</v>
      </c>
      <c r="R685" s="434" t="s">
        <v>33</v>
      </c>
      <c r="S685" s="434" t="s">
        <v>334</v>
      </c>
      <c r="T685" s="434" t="s">
        <v>2153</v>
      </c>
      <c r="U685" s="441" t="s">
        <v>2154</v>
      </c>
      <c r="V685" s="435"/>
      <c r="W685" s="435"/>
      <c r="X685" s="435">
        <f>MONTH(Tabla1[[#This Row],[fecha
de
pedido]])</f>
        <v>8</v>
      </c>
      <c r="Y685" s="435">
        <f>YEAR(Tabla1[[#This Row],[fecha
de
pedido]])</f>
        <v>2018</v>
      </c>
    </row>
    <row r="686" spans="1:25" ht="25.5" x14ac:dyDescent="0.2">
      <c r="A686" s="433">
        <v>43320</v>
      </c>
      <c r="B686" s="438">
        <v>18066</v>
      </c>
      <c r="C686" s="434" t="s">
        <v>33</v>
      </c>
      <c r="D686" s="435" t="s">
        <v>33</v>
      </c>
      <c r="E686" s="434" t="s">
        <v>11</v>
      </c>
      <c r="F686" s="435" t="s">
        <v>1045</v>
      </c>
      <c r="G686" s="434" t="s">
        <v>2110</v>
      </c>
      <c r="H686" s="435">
        <v>3</v>
      </c>
      <c r="I686" s="435" t="s">
        <v>904</v>
      </c>
      <c r="J686" s="434" t="s">
        <v>267</v>
      </c>
      <c r="K686" s="435">
        <v>650</v>
      </c>
      <c r="L686" s="238">
        <f>(Tabla1[[#This Row],[Costo Unitario]]*Tabla1[[#This Row],[cantidad]])</f>
        <v>1950</v>
      </c>
      <c r="M686" s="436">
        <v>43329</v>
      </c>
      <c r="N686" s="436">
        <v>43334</v>
      </c>
      <c r="O686" s="436" t="str">
        <f>IF( Tabla1[[#This Row],[Fecha de entrega real]]="","NO CONCRETADO",IF(N686&lt;=M686,"CUMPLIÓ","NO CUMPLIÓ"))</f>
        <v>NO CUMPLIÓ</v>
      </c>
      <c r="P686" s="141">
        <f t="shared" si="16"/>
        <v>5</v>
      </c>
      <c r="Q686" s="434" t="s">
        <v>13</v>
      </c>
      <c r="R686" s="434" t="s">
        <v>33</v>
      </c>
      <c r="S686" s="434" t="s">
        <v>334</v>
      </c>
      <c r="T686" s="435" t="s">
        <v>2189</v>
      </c>
      <c r="U686" s="437" t="s">
        <v>2194</v>
      </c>
      <c r="V686" s="435"/>
      <c r="W686" s="435"/>
      <c r="X686" s="435">
        <f>MONTH(Tabla1[[#This Row],[fecha
de
pedido]])</f>
        <v>8</v>
      </c>
      <c r="Y686" s="435">
        <f>YEAR(Tabla1[[#This Row],[fecha
de
pedido]])</f>
        <v>2018</v>
      </c>
    </row>
    <row r="687" spans="1:25" ht="25.5" x14ac:dyDescent="0.2">
      <c r="A687" s="433">
        <v>43320</v>
      </c>
      <c r="B687" s="438">
        <v>18066</v>
      </c>
      <c r="C687" s="434" t="s">
        <v>33</v>
      </c>
      <c r="D687" s="435" t="s">
        <v>33</v>
      </c>
      <c r="E687" s="434" t="s">
        <v>11</v>
      </c>
      <c r="F687" s="435" t="s">
        <v>1045</v>
      </c>
      <c r="G687" s="434" t="s">
        <v>2111</v>
      </c>
      <c r="H687" s="435">
        <v>3</v>
      </c>
      <c r="I687" s="435" t="s">
        <v>904</v>
      </c>
      <c r="J687" s="434" t="s">
        <v>267</v>
      </c>
      <c r="K687" s="435">
        <v>580</v>
      </c>
      <c r="L687" s="238">
        <f>(Tabla1[[#This Row],[Costo Unitario]]*Tabla1[[#This Row],[cantidad]])</f>
        <v>1740</v>
      </c>
      <c r="M687" s="436">
        <v>43329</v>
      </c>
      <c r="N687" s="436">
        <v>43334</v>
      </c>
      <c r="O687" s="436" t="str">
        <f>IF( Tabla1[[#This Row],[Fecha de entrega real]]="","NO CONCRETADO",IF(N687&lt;=M687,"CUMPLIÓ","NO CUMPLIÓ"))</f>
        <v>NO CUMPLIÓ</v>
      </c>
      <c r="P687" s="141">
        <f t="shared" si="16"/>
        <v>5</v>
      </c>
      <c r="Q687" s="434" t="s">
        <v>13</v>
      </c>
      <c r="R687" s="434" t="s">
        <v>33</v>
      </c>
      <c r="S687" s="434" t="s">
        <v>334</v>
      </c>
      <c r="T687" s="435" t="s">
        <v>2189</v>
      </c>
      <c r="U687" s="437" t="s">
        <v>2194</v>
      </c>
      <c r="V687" s="435"/>
      <c r="W687" s="435"/>
      <c r="X687" s="435">
        <f>MONTH(Tabla1[[#This Row],[fecha
de
pedido]])</f>
        <v>8</v>
      </c>
      <c r="Y687" s="435">
        <f>YEAR(Tabla1[[#This Row],[fecha
de
pedido]])</f>
        <v>2018</v>
      </c>
    </row>
    <row r="688" spans="1:25" ht="25.5" x14ac:dyDescent="0.2">
      <c r="A688" s="433">
        <v>43320</v>
      </c>
      <c r="B688" s="438">
        <v>18067</v>
      </c>
      <c r="C688" s="434" t="s">
        <v>775</v>
      </c>
      <c r="D688" s="435" t="s">
        <v>33</v>
      </c>
      <c r="E688" s="434" t="s">
        <v>2092</v>
      </c>
      <c r="F688" s="435" t="s">
        <v>1045</v>
      </c>
      <c r="G688" s="434" t="s">
        <v>2112</v>
      </c>
      <c r="H688" s="435">
        <v>1</v>
      </c>
      <c r="I688" s="435" t="s">
        <v>1766</v>
      </c>
      <c r="J688" s="434" t="s">
        <v>267</v>
      </c>
      <c r="K688" s="435">
        <v>2250</v>
      </c>
      <c r="L688" s="238">
        <f>(Tabla1[[#This Row],[Costo Unitario]]*Tabla1[[#This Row],[cantidad]])</f>
        <v>2250</v>
      </c>
      <c r="M688" s="436">
        <v>43329</v>
      </c>
      <c r="N688" s="436">
        <v>43329</v>
      </c>
      <c r="O688" s="436" t="str">
        <f>IF( Tabla1[[#This Row],[Fecha de entrega real]]="","NO CONCRETADO",IF(N688&lt;=M688,"CUMPLIÓ","NO CUMPLIÓ"))</f>
        <v>CUMPLIÓ</v>
      </c>
      <c r="P688" s="141">
        <f t="shared" si="16"/>
        <v>0</v>
      </c>
      <c r="Q688" s="434" t="s">
        <v>13</v>
      </c>
      <c r="R688" s="434" t="s">
        <v>33</v>
      </c>
      <c r="S688" s="434" t="s">
        <v>2006</v>
      </c>
      <c r="T688" s="435" t="s">
        <v>2125</v>
      </c>
      <c r="U688" s="437" t="s">
        <v>2124</v>
      </c>
      <c r="V688" s="435"/>
      <c r="W688" s="435"/>
      <c r="X688" s="435">
        <f>MONTH(Tabla1[[#This Row],[fecha
de
pedido]])</f>
        <v>8</v>
      </c>
      <c r="Y688" s="435">
        <f>YEAR(Tabla1[[#This Row],[fecha
de
pedido]])</f>
        <v>2018</v>
      </c>
    </row>
    <row r="689" spans="1:25" ht="38.25" x14ac:dyDescent="0.2">
      <c r="A689" s="433">
        <v>43321</v>
      </c>
      <c r="B689" s="438">
        <v>18068</v>
      </c>
      <c r="C689" s="434" t="s">
        <v>849</v>
      </c>
      <c r="D689" s="435" t="s">
        <v>33</v>
      </c>
      <c r="E689" s="434" t="s">
        <v>2092</v>
      </c>
      <c r="F689" s="435" t="s">
        <v>852</v>
      </c>
      <c r="G689" s="434" t="s">
        <v>2113</v>
      </c>
      <c r="H689" s="435">
        <v>1</v>
      </c>
      <c r="I689" s="435" t="s">
        <v>2114</v>
      </c>
      <c r="J689" s="434" t="s">
        <v>2052</v>
      </c>
      <c r="K689" s="435">
        <v>376.31</v>
      </c>
      <c r="L689" s="238">
        <f>(Tabla1[[#This Row],[Costo Unitario]]*Tabla1[[#This Row],[cantidad]])</f>
        <v>376.31</v>
      </c>
      <c r="M689" s="436">
        <v>43382</v>
      </c>
      <c r="N689" s="436">
        <v>43385</v>
      </c>
      <c r="O689" s="436" t="str">
        <f>IF( Tabla1[[#This Row],[Fecha de entrega real]]="","NO CONCRETADO",IF(N689&lt;=M689,"CUMPLIÓ","NO CUMPLIÓ"))</f>
        <v>NO CUMPLIÓ</v>
      </c>
      <c r="P689" s="141">
        <f t="shared" si="16"/>
        <v>3</v>
      </c>
      <c r="Q689" s="434" t="s">
        <v>13</v>
      </c>
      <c r="R689" s="4" t="s">
        <v>849</v>
      </c>
      <c r="S689" s="434" t="s">
        <v>2115</v>
      </c>
      <c r="T689" s="435" t="s">
        <v>2195</v>
      </c>
      <c r="U689" s="437" t="s">
        <v>2166</v>
      </c>
      <c r="V689" s="435"/>
      <c r="W689" s="435"/>
      <c r="X689" s="435">
        <f>MONTH(Tabla1[[#This Row],[fecha
de
pedido]])</f>
        <v>8</v>
      </c>
      <c r="Y689" s="435">
        <f>YEAR(Tabla1[[#This Row],[fecha
de
pedido]])</f>
        <v>2018</v>
      </c>
    </row>
    <row r="690" spans="1:25" x14ac:dyDescent="0.2">
      <c r="A690" s="433">
        <v>43321</v>
      </c>
      <c r="B690" s="152" t="s">
        <v>487</v>
      </c>
      <c r="C690" s="434" t="s">
        <v>33</v>
      </c>
      <c r="D690" s="1" t="s">
        <v>33</v>
      </c>
      <c r="E690" s="434" t="s">
        <v>11</v>
      </c>
      <c r="F690" s="435" t="s">
        <v>772</v>
      </c>
      <c r="G690" s="434" t="s">
        <v>204</v>
      </c>
      <c r="H690" s="435">
        <v>150</v>
      </c>
      <c r="I690" s="435" t="s">
        <v>779</v>
      </c>
      <c r="J690" s="434" t="s">
        <v>12</v>
      </c>
      <c r="K690" s="435">
        <v>6</v>
      </c>
      <c r="L690" s="238">
        <f>(Tabla1[[#This Row],[Costo Unitario]]*Tabla1[[#This Row],[cantidad]])</f>
        <v>900</v>
      </c>
      <c r="M690" s="436">
        <v>43322</v>
      </c>
      <c r="N690" s="436">
        <v>43326</v>
      </c>
      <c r="O690" s="436" t="str">
        <f>IF( Tabla1[[#This Row],[Fecha de entrega real]]="","NO CONCRETADO",IF(N690&lt;=M690,"CUMPLIÓ","NO CUMPLIÓ"))</f>
        <v>NO CUMPLIÓ</v>
      </c>
      <c r="P690" s="141">
        <f t="shared" si="16"/>
        <v>4</v>
      </c>
      <c r="Q690" s="434" t="s">
        <v>13</v>
      </c>
      <c r="R690" s="434" t="s">
        <v>33</v>
      </c>
      <c r="S690" s="434" t="s">
        <v>2093</v>
      </c>
      <c r="T690" s="435" t="s">
        <v>2190</v>
      </c>
      <c r="U690" s="437" t="s">
        <v>2094</v>
      </c>
      <c r="V690" s="435"/>
      <c r="W690" s="435"/>
      <c r="X690" s="435">
        <f>MONTH(Tabla1[[#This Row],[fecha
de
pedido]])</f>
        <v>8</v>
      </c>
      <c r="Y690" s="435">
        <f>YEAR(Tabla1[[#This Row],[fecha
de
pedido]])</f>
        <v>2018</v>
      </c>
    </row>
    <row r="691" spans="1:25" ht="25.5" x14ac:dyDescent="0.2">
      <c r="A691" s="433">
        <v>43321</v>
      </c>
      <c r="B691" s="152" t="s">
        <v>487</v>
      </c>
      <c r="C691" s="434" t="s">
        <v>775</v>
      </c>
      <c r="D691" s="1" t="s">
        <v>33</v>
      </c>
      <c r="E691" s="434" t="s">
        <v>2092</v>
      </c>
      <c r="F691" s="435" t="s">
        <v>772</v>
      </c>
      <c r="G691" s="434" t="s">
        <v>1046</v>
      </c>
      <c r="H691" s="435">
        <v>100</v>
      </c>
      <c r="I691" s="435" t="s">
        <v>779</v>
      </c>
      <c r="J691" s="434" t="s">
        <v>12</v>
      </c>
      <c r="K691" s="435">
        <v>6</v>
      </c>
      <c r="L691" s="238">
        <f>(Tabla1[[#This Row],[Costo Unitario]]*Tabla1[[#This Row],[cantidad]])</f>
        <v>600</v>
      </c>
      <c r="M691" s="436">
        <v>43322</v>
      </c>
      <c r="N691" s="436">
        <v>43326</v>
      </c>
      <c r="O691" s="436" t="str">
        <f>IF( Tabla1[[#This Row],[Fecha de entrega real]]="","NO CONCRETADO",IF(N691&lt;=M691,"CUMPLIÓ","NO CUMPLIÓ"))</f>
        <v>NO CUMPLIÓ</v>
      </c>
      <c r="P691" s="141">
        <f t="shared" si="16"/>
        <v>4</v>
      </c>
      <c r="Q691" s="434" t="s">
        <v>13</v>
      </c>
      <c r="R691" s="434" t="s">
        <v>33</v>
      </c>
      <c r="S691" s="434" t="s">
        <v>1543</v>
      </c>
      <c r="T691" s="435" t="s">
        <v>2190</v>
      </c>
      <c r="U691" s="437" t="s">
        <v>2095</v>
      </c>
      <c r="V691" s="435"/>
      <c r="W691" s="435"/>
      <c r="X691" s="435">
        <f>MONTH(Tabla1[[#This Row],[fecha
de
pedido]])</f>
        <v>8</v>
      </c>
      <c r="Y691" s="435">
        <f>YEAR(Tabla1[[#This Row],[fecha
de
pedido]])</f>
        <v>2018</v>
      </c>
    </row>
    <row r="692" spans="1:25" ht="25.5" x14ac:dyDescent="0.2">
      <c r="A692" s="433">
        <v>43326</v>
      </c>
      <c r="B692" s="438">
        <v>18069</v>
      </c>
      <c r="C692" s="434" t="s">
        <v>1103</v>
      </c>
      <c r="D692" s="435" t="s">
        <v>33</v>
      </c>
      <c r="E692" s="434" t="s">
        <v>11</v>
      </c>
      <c r="F692" s="435" t="s">
        <v>772</v>
      </c>
      <c r="G692" s="434" t="s">
        <v>2116</v>
      </c>
      <c r="H692" s="435">
        <v>1</v>
      </c>
      <c r="I692" s="435" t="s">
        <v>1298</v>
      </c>
      <c r="J692" s="434" t="s">
        <v>2117</v>
      </c>
      <c r="K692" s="435">
        <v>3439.75</v>
      </c>
      <c r="L692" s="439">
        <f>(Tabla1[[#This Row],[Costo Unitario]]*Tabla1[[#This Row],[cantidad]])</f>
        <v>3439.75</v>
      </c>
      <c r="M692" s="436">
        <v>43333</v>
      </c>
      <c r="N692" s="436">
        <v>43340</v>
      </c>
      <c r="O692" s="436" t="str">
        <f>IF( Tabla1[[#This Row],[Fecha de entrega real]]="","NO CONCRETADO",IF(N692&lt;=M692,"CUMPLIÓ","NO CUMPLIÓ"))</f>
        <v>NO CUMPLIÓ</v>
      </c>
      <c r="P692" s="141">
        <f t="shared" si="16"/>
        <v>7</v>
      </c>
      <c r="Q692" s="434" t="s">
        <v>13</v>
      </c>
      <c r="R692" s="434" t="s">
        <v>33</v>
      </c>
      <c r="S692" s="434" t="s">
        <v>1543</v>
      </c>
      <c r="T692" s="435" t="s">
        <v>2191</v>
      </c>
      <c r="U692" s="437" t="s">
        <v>2170</v>
      </c>
      <c r="V692" s="435"/>
      <c r="W692" s="435"/>
      <c r="X692" s="435">
        <f>MONTH(Tabla1[[#This Row],[fecha
de
pedido]])</f>
        <v>8</v>
      </c>
      <c r="Y692" s="435">
        <f>YEAR(Tabla1[[#This Row],[fecha
de
pedido]])</f>
        <v>2018</v>
      </c>
    </row>
    <row r="693" spans="1:25" ht="25.5" x14ac:dyDescent="0.2">
      <c r="A693" s="433">
        <v>43326</v>
      </c>
      <c r="B693" s="438">
        <v>18070</v>
      </c>
      <c r="C693" s="434" t="s">
        <v>2096</v>
      </c>
      <c r="D693" s="435" t="s">
        <v>33</v>
      </c>
      <c r="E693" s="434" t="s">
        <v>11</v>
      </c>
      <c r="F693" s="435" t="s">
        <v>772</v>
      </c>
      <c r="G693" s="434" t="s">
        <v>2118</v>
      </c>
      <c r="H693" s="435">
        <v>1</v>
      </c>
      <c r="I693" s="435" t="s">
        <v>2049</v>
      </c>
      <c r="J693" s="434" t="s">
        <v>225</v>
      </c>
      <c r="K693" s="435">
        <v>23850</v>
      </c>
      <c r="L693" s="439">
        <f>(Tabla1[[#This Row],[Costo Unitario]]*Tabla1[[#This Row],[cantidad]])</f>
        <v>23850</v>
      </c>
      <c r="M693" s="436">
        <v>43342</v>
      </c>
      <c r="N693" s="436">
        <v>43342</v>
      </c>
      <c r="O693" s="436" t="str">
        <f>IF( Tabla1[[#This Row],[Fecha de entrega real]]="","NO CONCRETADO",IF(N693&lt;=M693,"CUMPLIÓ","NO CUMPLIÓ"))</f>
        <v>CUMPLIÓ</v>
      </c>
      <c r="P693" s="141">
        <f t="shared" si="16"/>
        <v>0</v>
      </c>
      <c r="Q693" s="434" t="s">
        <v>13</v>
      </c>
      <c r="R693" s="434" t="s">
        <v>33</v>
      </c>
      <c r="S693" s="434" t="s">
        <v>1543</v>
      </c>
      <c r="T693" s="435" t="s">
        <v>2172</v>
      </c>
      <c r="U693" s="437" t="s">
        <v>2171</v>
      </c>
      <c r="V693" s="435"/>
      <c r="W693" s="435"/>
      <c r="X693" s="435">
        <f>MONTH(Tabla1[[#This Row],[fecha
de
pedido]])</f>
        <v>8</v>
      </c>
      <c r="Y693" s="435">
        <f>YEAR(Tabla1[[#This Row],[fecha
de
pedido]])</f>
        <v>2018</v>
      </c>
    </row>
    <row r="694" spans="1:25" x14ac:dyDescent="0.2">
      <c r="A694" s="433">
        <v>43326</v>
      </c>
      <c r="B694" s="438">
        <v>18071</v>
      </c>
      <c r="C694" s="434" t="s">
        <v>33</v>
      </c>
      <c r="D694" s="435" t="s">
        <v>33</v>
      </c>
      <c r="E694" s="434" t="s">
        <v>11</v>
      </c>
      <c r="F694" s="435" t="s">
        <v>772</v>
      </c>
      <c r="G694" s="434" t="s">
        <v>2119</v>
      </c>
      <c r="H694" s="435">
        <v>10</v>
      </c>
      <c r="I694" s="435" t="s">
        <v>800</v>
      </c>
      <c r="J694" s="434" t="s">
        <v>1795</v>
      </c>
      <c r="K694" s="435">
        <v>387.2</v>
      </c>
      <c r="L694" s="439">
        <f>(Tabla1[[#This Row],[Costo Unitario]]*Tabla1[[#This Row],[cantidad]])</f>
        <v>3872</v>
      </c>
      <c r="M694" s="436">
        <v>43333</v>
      </c>
      <c r="N694" s="436">
        <v>43329</v>
      </c>
      <c r="O694" s="436" t="str">
        <f>IF( Tabla1[[#This Row],[Fecha de entrega real]]="","NO CONCRETADO",IF(N694&lt;=M694,"CUMPLIÓ","NO CUMPLIÓ"))</f>
        <v>CUMPLIÓ</v>
      </c>
      <c r="P694" s="141">
        <f t="shared" si="16"/>
        <v>-4</v>
      </c>
      <c r="Q694" s="434" t="s">
        <v>13</v>
      </c>
      <c r="R694" s="434" t="s">
        <v>33</v>
      </c>
      <c r="S694" s="434" t="s">
        <v>334</v>
      </c>
      <c r="T694" s="435" t="s">
        <v>2126</v>
      </c>
      <c r="U694" s="437" t="s">
        <v>2127</v>
      </c>
      <c r="V694" s="435"/>
      <c r="W694" s="435"/>
      <c r="X694" s="435">
        <f>MONTH(Tabla1[[#This Row],[fecha
de
pedido]])</f>
        <v>8</v>
      </c>
      <c r="Y694" s="435">
        <f>YEAR(Tabla1[[#This Row],[fecha
de
pedido]])</f>
        <v>2018</v>
      </c>
    </row>
    <row r="695" spans="1:25" ht="25.5" x14ac:dyDescent="0.2">
      <c r="A695" s="433">
        <v>43326</v>
      </c>
      <c r="B695" s="438">
        <v>18072</v>
      </c>
      <c r="C695" s="434" t="s">
        <v>906</v>
      </c>
      <c r="D695" s="435" t="s">
        <v>33</v>
      </c>
      <c r="E695" s="434" t="s">
        <v>11</v>
      </c>
      <c r="F695" s="435" t="s">
        <v>778</v>
      </c>
      <c r="G695" s="434" t="s">
        <v>2120</v>
      </c>
      <c r="H695" s="435">
        <v>1</v>
      </c>
      <c r="I695" s="435" t="s">
        <v>821</v>
      </c>
      <c r="J695" s="434" t="s">
        <v>1795</v>
      </c>
      <c r="K695" s="435">
        <v>1023.66</v>
      </c>
      <c r="L695" s="439">
        <f>(Tabla1[[#This Row],[Costo Unitario]]*Tabla1[[#This Row],[cantidad]])</f>
        <v>1023.66</v>
      </c>
      <c r="M695" s="436">
        <v>43333</v>
      </c>
      <c r="N695" s="436">
        <v>43329</v>
      </c>
      <c r="O695" s="436" t="str">
        <f>IF( Tabla1[[#This Row],[Fecha de entrega real]]="","NO CONCRETADO",IF(N695&lt;=M695,"CUMPLIÓ","NO CUMPLIÓ"))</f>
        <v>CUMPLIÓ</v>
      </c>
      <c r="P695" s="141">
        <f t="shared" si="16"/>
        <v>-4</v>
      </c>
      <c r="Q695" s="434" t="s">
        <v>13</v>
      </c>
      <c r="R695" s="434" t="s">
        <v>33</v>
      </c>
      <c r="S695" s="434" t="s">
        <v>334</v>
      </c>
      <c r="T695" s="435" t="s">
        <v>2128</v>
      </c>
      <c r="U695" s="437" t="s">
        <v>2130</v>
      </c>
      <c r="V695" s="435"/>
      <c r="W695" s="435"/>
      <c r="X695" s="435">
        <f>MONTH(Tabla1[[#This Row],[fecha
de
pedido]])</f>
        <v>8</v>
      </c>
      <c r="Y695" s="435">
        <f>YEAR(Tabla1[[#This Row],[fecha
de
pedido]])</f>
        <v>2018</v>
      </c>
    </row>
    <row r="696" spans="1:25" ht="25.5" x14ac:dyDescent="0.2">
      <c r="A696" s="433">
        <v>43326</v>
      </c>
      <c r="B696" s="438">
        <v>18073</v>
      </c>
      <c r="C696" s="434" t="s">
        <v>775</v>
      </c>
      <c r="D696" s="435" t="s">
        <v>33</v>
      </c>
      <c r="E696" s="434" t="s">
        <v>2092</v>
      </c>
      <c r="F696" s="435" t="s">
        <v>1199</v>
      </c>
      <c r="G696" s="434" t="s">
        <v>2121</v>
      </c>
      <c r="H696" s="435">
        <v>1</v>
      </c>
      <c r="I696" s="435" t="s">
        <v>821</v>
      </c>
      <c r="J696" s="434" t="s">
        <v>1795</v>
      </c>
      <c r="K696" s="435">
        <v>360.58</v>
      </c>
      <c r="L696" s="439">
        <f>(Tabla1[[#This Row],[Costo Unitario]]*Tabla1[[#This Row],[cantidad]])</f>
        <v>360.58</v>
      </c>
      <c r="M696" s="436">
        <v>43333</v>
      </c>
      <c r="N696" s="436">
        <v>43329</v>
      </c>
      <c r="O696" s="436" t="str">
        <f>IF( Tabla1[[#This Row],[Fecha de entrega real]]="","NO CONCRETADO",IF(N696&lt;=M696,"CUMPLIÓ","NO CUMPLIÓ"))</f>
        <v>CUMPLIÓ</v>
      </c>
      <c r="P696" s="141">
        <f t="shared" si="16"/>
        <v>-4</v>
      </c>
      <c r="Q696" s="434" t="s">
        <v>13</v>
      </c>
      <c r="R696" s="434" t="s">
        <v>33</v>
      </c>
      <c r="S696" s="434" t="s">
        <v>334</v>
      </c>
      <c r="T696" s="435" t="s">
        <v>2131</v>
      </c>
      <c r="U696" s="437" t="s">
        <v>2129</v>
      </c>
      <c r="V696" s="435"/>
      <c r="W696" s="435"/>
      <c r="X696" s="435">
        <f>MONTH(Tabla1[[#This Row],[fecha
de
pedido]])</f>
        <v>8</v>
      </c>
      <c r="Y696" s="435">
        <f>YEAR(Tabla1[[#This Row],[fecha
de
pedido]])</f>
        <v>2018</v>
      </c>
    </row>
    <row r="697" spans="1:25" ht="25.5" x14ac:dyDescent="0.2">
      <c r="A697" s="433">
        <v>43327</v>
      </c>
      <c r="B697" s="438">
        <v>18074</v>
      </c>
      <c r="C697" s="434" t="s">
        <v>775</v>
      </c>
      <c r="D697" s="435" t="s">
        <v>33</v>
      </c>
      <c r="E697" s="434" t="s">
        <v>2092</v>
      </c>
      <c r="F697" s="435" t="s">
        <v>778</v>
      </c>
      <c r="G697" s="434" t="s">
        <v>2122</v>
      </c>
      <c r="H697" s="435">
        <v>2</v>
      </c>
      <c r="I697" s="435" t="s">
        <v>1750</v>
      </c>
      <c r="J697" s="434" t="s">
        <v>2009</v>
      </c>
      <c r="K697" s="435">
        <v>22.85</v>
      </c>
      <c r="L697" s="439">
        <f>(Tabla1[[#This Row],[Costo Unitario]]*Tabla1[[#This Row],[cantidad]])</f>
        <v>45.7</v>
      </c>
      <c r="M697" s="436">
        <v>43342</v>
      </c>
      <c r="N697" s="436">
        <v>43339</v>
      </c>
      <c r="O697" s="436" t="str">
        <f>IF( Tabla1[[#This Row],[Fecha de entrega real]]="","NO CONCRETADO",IF(N697&lt;=M697,"CUMPLIÓ","NO CUMPLIÓ"))</f>
        <v>CUMPLIÓ</v>
      </c>
      <c r="P697" s="141">
        <f t="shared" si="16"/>
        <v>-3</v>
      </c>
      <c r="Q697" s="434" t="s">
        <v>13</v>
      </c>
      <c r="R697" s="434" t="s">
        <v>33</v>
      </c>
      <c r="S697" s="4" t="s">
        <v>2142</v>
      </c>
      <c r="T697" s="435"/>
      <c r="U697" s="107" t="s">
        <v>2386</v>
      </c>
      <c r="V697" s="435"/>
      <c r="W697" s="435"/>
      <c r="X697" s="435">
        <f>MONTH(Tabla1[[#This Row],[fecha
de
pedido]])</f>
        <v>8</v>
      </c>
      <c r="Y697" s="435">
        <f>YEAR(Tabla1[[#This Row],[fecha
de
pedido]])</f>
        <v>2018</v>
      </c>
    </row>
    <row r="698" spans="1:25" ht="25.5" x14ac:dyDescent="0.2">
      <c r="A698" s="433">
        <v>43327</v>
      </c>
      <c r="B698" s="438">
        <v>18074</v>
      </c>
      <c r="C698" s="434" t="s">
        <v>775</v>
      </c>
      <c r="D698" s="435" t="s">
        <v>33</v>
      </c>
      <c r="E698" s="434" t="s">
        <v>2092</v>
      </c>
      <c r="F698" s="435" t="s">
        <v>778</v>
      </c>
      <c r="G698" s="434" t="s">
        <v>2123</v>
      </c>
      <c r="H698" s="435">
        <v>1</v>
      </c>
      <c r="I698" s="435" t="s">
        <v>821</v>
      </c>
      <c r="J698" s="434" t="s">
        <v>2009</v>
      </c>
      <c r="K698" s="435">
        <v>15.5</v>
      </c>
      <c r="L698" s="439">
        <f>(Tabla1[[#This Row],[Costo Unitario]]*Tabla1[[#This Row],[cantidad]])</f>
        <v>15.5</v>
      </c>
      <c r="M698" s="436">
        <v>43342</v>
      </c>
      <c r="N698" s="436">
        <v>43339</v>
      </c>
      <c r="O698" s="436" t="str">
        <f>IF( Tabla1[[#This Row],[Fecha de entrega real]]="","NO CONCRETADO",IF(N698&lt;=M698,"CUMPLIÓ","NO CUMPLIÓ"))</f>
        <v>CUMPLIÓ</v>
      </c>
      <c r="P698" s="141">
        <f t="shared" si="16"/>
        <v>-3</v>
      </c>
      <c r="Q698" s="434" t="s">
        <v>13</v>
      </c>
      <c r="R698" s="434" t="s">
        <v>33</v>
      </c>
      <c r="S698" s="4" t="s">
        <v>2142</v>
      </c>
      <c r="T698" s="435"/>
      <c r="U698" s="107" t="s">
        <v>2386</v>
      </c>
      <c r="V698" s="435"/>
      <c r="W698" s="435"/>
      <c r="X698" s="435">
        <f>MONTH(Tabla1[[#This Row],[fecha
de
pedido]])</f>
        <v>8</v>
      </c>
      <c r="Y698" s="435">
        <f>YEAR(Tabla1[[#This Row],[fecha
de
pedido]])</f>
        <v>2018</v>
      </c>
    </row>
    <row r="699" spans="1:25" ht="165.75" x14ac:dyDescent="0.2">
      <c r="A699" s="433">
        <v>43326</v>
      </c>
      <c r="B699" s="438">
        <v>18075</v>
      </c>
      <c r="C699" s="4" t="s">
        <v>849</v>
      </c>
      <c r="D699" s="1" t="s">
        <v>33</v>
      </c>
      <c r="E699" s="4" t="s">
        <v>2092</v>
      </c>
      <c r="F699" s="1" t="s">
        <v>1016</v>
      </c>
      <c r="G699" s="4" t="s">
        <v>2135</v>
      </c>
      <c r="H699" s="435">
        <v>1</v>
      </c>
      <c r="I699" s="1" t="s">
        <v>1415</v>
      </c>
      <c r="J699" s="4" t="s">
        <v>2136</v>
      </c>
      <c r="K699" s="435">
        <v>285.56</v>
      </c>
      <c r="L699" s="439">
        <f>(Tabla1[[#This Row],[Costo Unitario]]*Tabla1[[#This Row],[cantidad]])</f>
        <v>285.56</v>
      </c>
      <c r="M699" s="436">
        <v>43376</v>
      </c>
      <c r="N699" s="436">
        <v>43368</v>
      </c>
      <c r="O699" s="436" t="str">
        <f>IF( Tabla1[[#This Row],[Fecha de entrega real]]="","NO CONCRETADO",IF(N699&lt;=M699,"CUMPLIÓ","NO CUMPLIÓ"))</f>
        <v>CUMPLIÓ</v>
      </c>
      <c r="P699" s="141">
        <f t="shared" si="16"/>
        <v>-8</v>
      </c>
      <c r="Q699" s="88" t="s">
        <v>13</v>
      </c>
      <c r="R699" s="434" t="s">
        <v>33</v>
      </c>
      <c r="S699" s="4" t="s">
        <v>2080</v>
      </c>
      <c r="T699" s="435"/>
      <c r="U699" s="450" t="s">
        <v>2387</v>
      </c>
      <c r="V699" s="435"/>
      <c r="W699" s="435"/>
      <c r="X699" s="435">
        <f>MONTH(Tabla1[[#This Row],[fecha
de
pedido]])</f>
        <v>8</v>
      </c>
      <c r="Y699" s="435">
        <f>YEAR(Tabla1[[#This Row],[fecha
de
pedido]])</f>
        <v>2018</v>
      </c>
    </row>
    <row r="700" spans="1:25" ht="153" x14ac:dyDescent="0.2">
      <c r="A700" s="433">
        <v>43326</v>
      </c>
      <c r="B700" s="438">
        <v>18075</v>
      </c>
      <c r="C700" s="4" t="s">
        <v>849</v>
      </c>
      <c r="D700" s="1" t="s">
        <v>33</v>
      </c>
      <c r="E700" s="4" t="s">
        <v>2092</v>
      </c>
      <c r="F700" s="1" t="s">
        <v>1016</v>
      </c>
      <c r="G700" s="4" t="s">
        <v>2137</v>
      </c>
      <c r="H700" s="435">
        <v>1</v>
      </c>
      <c r="I700" s="1" t="s">
        <v>1415</v>
      </c>
      <c r="J700" s="4" t="s">
        <v>2136</v>
      </c>
      <c r="K700" s="435">
        <v>286.56</v>
      </c>
      <c r="L700" s="439">
        <f>(Tabla1[[#This Row],[Costo Unitario]]*Tabla1[[#This Row],[cantidad]])</f>
        <v>286.56</v>
      </c>
      <c r="M700" s="88">
        <v>43376</v>
      </c>
      <c r="N700" s="436">
        <v>43368</v>
      </c>
      <c r="O700" s="88" t="str">
        <f>IF( Tabla1[[#This Row],[Fecha de entrega real]]="","NO CONCRETADO",IF(N700&lt;=M700,"CUMPLIÓ","NO CUMPLIÓ"))</f>
        <v>CUMPLIÓ</v>
      </c>
      <c r="P700" s="141">
        <f t="shared" si="16"/>
        <v>-8</v>
      </c>
      <c r="Q700" s="4" t="s">
        <v>13</v>
      </c>
      <c r="R700" s="434" t="s">
        <v>33</v>
      </c>
      <c r="S700" s="4" t="s">
        <v>2080</v>
      </c>
      <c r="T700" s="435"/>
      <c r="U700" s="450" t="s">
        <v>2387</v>
      </c>
      <c r="X700" s="1">
        <f>MONTH(Tabla1[[#This Row],[fecha
de
pedido]])</f>
        <v>8</v>
      </c>
      <c r="Y700" s="1">
        <f>YEAR(Tabla1[[#This Row],[fecha
de
pedido]])</f>
        <v>2018</v>
      </c>
    </row>
    <row r="701" spans="1:25" ht="89.25" x14ac:dyDescent="0.2">
      <c r="A701" s="433">
        <v>43327</v>
      </c>
      <c r="B701" s="438">
        <v>18075</v>
      </c>
      <c r="C701" s="4" t="s">
        <v>849</v>
      </c>
      <c r="D701" s="1" t="s">
        <v>33</v>
      </c>
      <c r="E701" s="4" t="s">
        <v>2092</v>
      </c>
      <c r="F701" s="1" t="s">
        <v>772</v>
      </c>
      <c r="G701" s="4" t="s">
        <v>2138</v>
      </c>
      <c r="H701" s="1">
        <v>1</v>
      </c>
      <c r="I701" s="1" t="s">
        <v>1415</v>
      </c>
      <c r="J701" s="4" t="s">
        <v>2136</v>
      </c>
      <c r="K701" s="1">
        <v>803.44</v>
      </c>
      <c r="L701" s="439">
        <f>(Tabla1[[#This Row],[Costo Unitario]]*Tabla1[[#This Row],[cantidad]])</f>
        <v>803.44</v>
      </c>
      <c r="M701" s="88">
        <v>43376</v>
      </c>
      <c r="N701" s="436">
        <v>43368</v>
      </c>
      <c r="O701" s="88" t="str">
        <f>IF( Tabla1[[#This Row],[Fecha de entrega real]]="","NO CONCRETADO",IF(N701&lt;=M701,"CUMPLIÓ","NO CUMPLIÓ"))</f>
        <v>CUMPLIÓ</v>
      </c>
      <c r="P701" s="141">
        <f t="shared" si="16"/>
        <v>-8</v>
      </c>
      <c r="Q701" s="4" t="s">
        <v>13</v>
      </c>
      <c r="R701" s="434" t="s">
        <v>33</v>
      </c>
      <c r="S701" s="4" t="s">
        <v>2080</v>
      </c>
      <c r="T701" s="435"/>
      <c r="U701" s="450" t="s">
        <v>2388</v>
      </c>
      <c r="X701" s="1">
        <f>MONTH(Tabla1[[#This Row],[fecha
de
pedido]])</f>
        <v>8</v>
      </c>
      <c r="Y701" s="1">
        <f>YEAR(Tabla1[[#This Row],[fecha
de
pedido]])</f>
        <v>2018</v>
      </c>
    </row>
    <row r="702" spans="1:25" ht="51" x14ac:dyDescent="0.2">
      <c r="A702" s="433">
        <v>43327</v>
      </c>
      <c r="B702" s="438">
        <v>18076</v>
      </c>
      <c r="C702" s="4" t="s">
        <v>1020</v>
      </c>
      <c r="D702" s="1" t="s">
        <v>33</v>
      </c>
      <c r="E702" s="4" t="s">
        <v>2092</v>
      </c>
      <c r="F702" s="1" t="s">
        <v>772</v>
      </c>
      <c r="G702" s="4" t="s">
        <v>2139</v>
      </c>
      <c r="H702" s="1">
        <v>2</v>
      </c>
      <c r="I702" s="1" t="s">
        <v>784</v>
      </c>
      <c r="J702" s="4" t="s">
        <v>48</v>
      </c>
      <c r="K702" s="160">
        <v>52177.4</v>
      </c>
      <c r="L702" s="439">
        <f>(Tabla1[[#This Row],[Costo Unitario]]*Tabla1[[#This Row],[cantidad]])</f>
        <v>104354.8</v>
      </c>
      <c r="M702" s="88">
        <v>43388</v>
      </c>
      <c r="N702" s="88">
        <v>43386</v>
      </c>
      <c r="O702" s="88" t="str">
        <f>IF( Tabla1[[#This Row],[Fecha de entrega real]]="","NO CONCRETADO",IF(N702&lt;=M702,"CUMPLIÓ","NO CUMPLIÓ"))</f>
        <v>CUMPLIÓ</v>
      </c>
      <c r="P702" s="141">
        <f t="shared" si="16"/>
        <v>-2</v>
      </c>
      <c r="Q702" s="4" t="s">
        <v>13</v>
      </c>
      <c r="R702" s="434" t="s">
        <v>33</v>
      </c>
      <c r="S702" s="4" t="s">
        <v>244</v>
      </c>
      <c r="T702" s="435"/>
      <c r="U702" s="107" t="s">
        <v>2390</v>
      </c>
      <c r="X702" s="1">
        <f>MONTH(Tabla1[[#This Row],[fecha
de
pedido]])</f>
        <v>8</v>
      </c>
      <c r="Y702" s="1">
        <f>YEAR(Tabla1[[#This Row],[fecha
de
pedido]])</f>
        <v>2018</v>
      </c>
    </row>
    <row r="703" spans="1:25" ht="51" x14ac:dyDescent="0.2">
      <c r="A703" s="152">
        <v>43327</v>
      </c>
      <c r="B703" s="426">
        <v>18077</v>
      </c>
      <c r="C703" s="4" t="s">
        <v>30</v>
      </c>
      <c r="D703" s="1" t="s">
        <v>33</v>
      </c>
      <c r="E703" s="4" t="s">
        <v>2092</v>
      </c>
      <c r="F703" s="1" t="s">
        <v>772</v>
      </c>
      <c r="G703" s="4" t="s">
        <v>2140</v>
      </c>
      <c r="H703" s="1">
        <v>4</v>
      </c>
      <c r="I703" s="1" t="s">
        <v>1511</v>
      </c>
      <c r="J703" s="4" t="s">
        <v>48</v>
      </c>
      <c r="K703" s="160">
        <v>2841.69</v>
      </c>
      <c r="L703" s="439">
        <f>(Tabla1[[#This Row],[Costo Unitario]]*Tabla1[[#This Row],[cantidad]])</f>
        <v>11366.76</v>
      </c>
      <c r="M703" s="88">
        <v>43335</v>
      </c>
      <c r="N703" s="88">
        <v>43339</v>
      </c>
      <c r="O703" s="88" t="str">
        <f>IF( Tabla1[[#This Row],[Fecha de entrega real]]="","NO CONCRETADO",IF(N703&lt;=M703,"CUMPLIÓ","NO CUMPLIÓ"))</f>
        <v>NO CUMPLIÓ</v>
      </c>
      <c r="P703" s="141">
        <f t="shared" si="16"/>
        <v>4</v>
      </c>
      <c r="Q703" s="4" t="s">
        <v>2160</v>
      </c>
      <c r="R703" s="4" t="s">
        <v>33</v>
      </c>
      <c r="S703" s="4" t="s">
        <v>2006</v>
      </c>
      <c r="T703" s="1" t="s">
        <v>2161</v>
      </c>
      <c r="U703" s="107" t="s">
        <v>2173</v>
      </c>
      <c r="X703" s="1">
        <f>MONTH(Tabla1[[#This Row],[fecha
de
pedido]])</f>
        <v>8</v>
      </c>
      <c r="Y703" s="1">
        <f>YEAR(Tabla1[[#This Row],[fecha
de
pedido]])</f>
        <v>2018</v>
      </c>
    </row>
    <row r="704" spans="1:25" ht="51" x14ac:dyDescent="0.2">
      <c r="A704" s="152">
        <v>43327</v>
      </c>
      <c r="B704" s="426">
        <v>18077</v>
      </c>
      <c r="C704" s="434" t="s">
        <v>921</v>
      </c>
      <c r="D704" s="434" t="s">
        <v>921</v>
      </c>
      <c r="E704" s="434" t="s">
        <v>921</v>
      </c>
      <c r="F704" s="435" t="s">
        <v>1041</v>
      </c>
      <c r="G704" s="434" t="s">
        <v>1003</v>
      </c>
      <c r="H704" s="435">
        <v>1</v>
      </c>
      <c r="I704" s="435" t="s">
        <v>830</v>
      </c>
      <c r="J704" s="434" t="s">
        <v>1004</v>
      </c>
      <c r="K704" s="443">
        <v>443.73</v>
      </c>
      <c r="L704" s="439">
        <f>(Tabla1[[#This Row],[Costo Unitario]]*Tabla1[[#This Row],[cantidad]])</f>
        <v>443.73</v>
      </c>
      <c r="M704" s="436">
        <v>43339</v>
      </c>
      <c r="N704" s="436">
        <v>43339</v>
      </c>
      <c r="O704" s="436" t="str">
        <f>IF( Tabla1[[#This Row],[Fecha de entrega real]]="","NO CONCRETADO",IF(N704&lt;=M704,"CUMPLIÓ","NO CUMPLIÓ"))</f>
        <v>CUMPLIÓ</v>
      </c>
      <c r="P704" s="141">
        <f t="shared" si="16"/>
        <v>0</v>
      </c>
      <c r="Q704" s="4" t="s">
        <v>2160</v>
      </c>
      <c r="R704" s="4" t="s">
        <v>33</v>
      </c>
      <c r="S704" s="434" t="s">
        <v>2006</v>
      </c>
      <c r="T704" s="435" t="s">
        <v>2192</v>
      </c>
      <c r="U704" s="437" t="s">
        <v>2162</v>
      </c>
      <c r="V704" s="435"/>
      <c r="W704" s="435"/>
      <c r="X704" s="435">
        <f>MONTH(Tabla1[[#This Row],[fecha
de
pedido]])</f>
        <v>8</v>
      </c>
      <c r="Y704" s="435">
        <f>YEAR(Tabla1[[#This Row],[fecha
de
pedido]])</f>
        <v>2018</v>
      </c>
    </row>
    <row r="705" spans="1:25" ht="38.25" x14ac:dyDescent="0.2">
      <c r="A705" s="152">
        <v>43327</v>
      </c>
      <c r="B705" s="438">
        <v>18078</v>
      </c>
      <c r="C705" s="4" t="s">
        <v>906</v>
      </c>
      <c r="D705" s="1" t="s">
        <v>33</v>
      </c>
      <c r="E705" s="4" t="s">
        <v>11</v>
      </c>
      <c r="F705" s="1" t="s">
        <v>772</v>
      </c>
      <c r="G705" s="4" t="s">
        <v>2141</v>
      </c>
      <c r="H705" s="1">
        <v>1</v>
      </c>
      <c r="I705" s="1" t="s">
        <v>799</v>
      </c>
      <c r="J705" s="4" t="s">
        <v>1727</v>
      </c>
      <c r="K705" s="160">
        <v>24</v>
      </c>
      <c r="L705" s="439">
        <f>(Tabla1[[#This Row],[Costo Unitario]]*Tabla1[[#This Row],[cantidad]])</f>
        <v>24</v>
      </c>
      <c r="M705" s="88">
        <v>43346</v>
      </c>
      <c r="N705" s="88">
        <v>43345</v>
      </c>
      <c r="O705" s="436" t="str">
        <f>IF( Tabla1[[#This Row],[Fecha de entrega real]]="","NO CONCRETADO",IF(N705&lt;=M705,"CUMPLIÓ","NO CUMPLIÓ"))</f>
        <v>CUMPLIÓ</v>
      </c>
      <c r="P705" s="141">
        <f t="shared" si="16"/>
        <v>-1</v>
      </c>
      <c r="Q705" s="4" t="s">
        <v>13</v>
      </c>
      <c r="R705" s="4" t="s">
        <v>33</v>
      </c>
      <c r="S705" s="4" t="s">
        <v>2142</v>
      </c>
      <c r="T705" s="435"/>
      <c r="X705" s="1">
        <f>MONTH(Tabla1[[#This Row],[fecha
de
pedido]])</f>
        <v>8</v>
      </c>
      <c r="Y705" s="1">
        <f>YEAR(Tabla1[[#This Row],[fecha
de
pedido]])</f>
        <v>2018</v>
      </c>
    </row>
    <row r="706" spans="1:25" ht="25.5" x14ac:dyDescent="0.2">
      <c r="A706" s="152">
        <v>43327</v>
      </c>
      <c r="B706" s="4">
        <v>18079</v>
      </c>
      <c r="C706" s="4" t="s">
        <v>775</v>
      </c>
      <c r="D706" s="1" t="s">
        <v>33</v>
      </c>
      <c r="E706" s="4" t="s">
        <v>2092</v>
      </c>
      <c r="F706" s="1" t="s">
        <v>778</v>
      </c>
      <c r="G706" s="4" t="s">
        <v>1885</v>
      </c>
      <c r="H706" s="1">
        <v>1</v>
      </c>
      <c r="I706" s="1" t="s">
        <v>821</v>
      </c>
      <c r="J706" s="4" t="s">
        <v>2133</v>
      </c>
      <c r="K706" s="1">
        <v>233.53</v>
      </c>
      <c r="L706" s="439">
        <f>(Tabla1[[#This Row],[Costo Unitario]]*Tabla1[[#This Row],[cantidad]])</f>
        <v>233.53</v>
      </c>
      <c r="M706" s="436">
        <v>43334</v>
      </c>
      <c r="N706" s="436">
        <v>43329</v>
      </c>
      <c r="O706" s="436" t="str">
        <f>IF( Tabla1[[#This Row],[Fecha de entrega real]]="","NO CONCRETADO",IF(N706&lt;=M706,"CUMPLIÓ","NO CUMPLIÓ"))</f>
        <v>CUMPLIÓ</v>
      </c>
      <c r="P706" s="141">
        <f t="shared" si="16"/>
        <v>-5</v>
      </c>
      <c r="Q706" s="4" t="s">
        <v>13</v>
      </c>
      <c r="R706" s="4" t="s">
        <v>33</v>
      </c>
      <c r="S706" s="4" t="s">
        <v>334</v>
      </c>
      <c r="T706" s="1" t="s">
        <v>2134</v>
      </c>
      <c r="U706" s="107" t="s">
        <v>2132</v>
      </c>
      <c r="V706" s="435"/>
      <c r="W706" s="435"/>
      <c r="X706" s="435">
        <f>MONTH(Tabla1[[#This Row],[fecha
de
pedido]])</f>
        <v>8</v>
      </c>
      <c r="Y706" s="435">
        <f>YEAR(Tabla1[[#This Row],[fecha
de
pedido]])</f>
        <v>2018</v>
      </c>
    </row>
    <row r="707" spans="1:25" ht="38.25" x14ac:dyDescent="0.2">
      <c r="A707" s="152">
        <v>43329</v>
      </c>
      <c r="B707" s="440" t="s">
        <v>2143</v>
      </c>
      <c r="C707" s="4" t="s">
        <v>775</v>
      </c>
      <c r="D707" s="1" t="s">
        <v>33</v>
      </c>
      <c r="E707" s="4" t="s">
        <v>2092</v>
      </c>
      <c r="F707" s="1" t="s">
        <v>778</v>
      </c>
      <c r="G707" s="4" t="s">
        <v>2145</v>
      </c>
      <c r="H707" s="435">
        <v>1</v>
      </c>
      <c r="I707" s="1" t="s">
        <v>821</v>
      </c>
      <c r="J707" s="4" t="s">
        <v>225</v>
      </c>
      <c r="K707" s="435">
        <v>202.92</v>
      </c>
      <c r="L707" s="439">
        <f>(Tabla1[[#This Row],[Costo Unitario]]*Tabla1[[#This Row],[cantidad]])</f>
        <v>202.92</v>
      </c>
      <c r="M707" s="436">
        <v>43346</v>
      </c>
      <c r="N707" s="436">
        <v>43344</v>
      </c>
      <c r="O707" s="436" t="str">
        <f>IF( Tabla1[[#This Row],[Fecha de entrega real]]="","NO CONCRETADO",IF(N707&lt;=M707,"CUMPLIÓ","NO CUMPLIÓ"))</f>
        <v>CUMPLIÓ</v>
      </c>
      <c r="P707" s="141">
        <f t="shared" si="16"/>
        <v>-2</v>
      </c>
      <c r="Q707" s="4" t="s">
        <v>13</v>
      </c>
      <c r="R707" s="4" t="s">
        <v>33</v>
      </c>
      <c r="S707" s="4" t="s">
        <v>334</v>
      </c>
      <c r="T707" s="435" t="s">
        <v>2212</v>
      </c>
      <c r="U707" s="437" t="s">
        <v>2211</v>
      </c>
      <c r="V707" s="435"/>
      <c r="W707" s="435"/>
      <c r="X707" s="435">
        <f>MONTH(Tabla1[[#This Row],[fecha
de
pedido]])</f>
        <v>8</v>
      </c>
      <c r="Y707" s="435">
        <f>YEAR(Tabla1[[#This Row],[fecha
de
pedido]])</f>
        <v>2018</v>
      </c>
    </row>
    <row r="708" spans="1:25" ht="38.25" x14ac:dyDescent="0.2">
      <c r="A708" s="152">
        <v>43329</v>
      </c>
      <c r="B708" s="440" t="s">
        <v>2144</v>
      </c>
      <c r="C708" s="4" t="s">
        <v>775</v>
      </c>
      <c r="D708" s="1" t="s">
        <v>33</v>
      </c>
      <c r="E708" s="4" t="s">
        <v>2092</v>
      </c>
      <c r="F708" s="1" t="s">
        <v>778</v>
      </c>
      <c r="G708" s="4" t="s">
        <v>2146</v>
      </c>
      <c r="H708" s="435">
        <v>2</v>
      </c>
      <c r="I708" s="1" t="s">
        <v>821</v>
      </c>
      <c r="J708" s="4" t="s">
        <v>225</v>
      </c>
      <c r="K708" s="435">
        <v>671.51</v>
      </c>
      <c r="L708" s="439">
        <f>(Tabla1[[#This Row],[Costo Unitario]]*Tabla1[[#This Row],[cantidad]])</f>
        <v>1343.02</v>
      </c>
      <c r="M708" s="436">
        <v>43346</v>
      </c>
      <c r="N708" s="436">
        <v>43344</v>
      </c>
      <c r="O708" s="436" t="str">
        <f>IF( Tabla1[[#This Row],[Fecha de entrega real]]="","NO CONCRETADO",IF(N708&lt;=M708,"CUMPLIÓ","NO CUMPLIÓ"))</f>
        <v>CUMPLIÓ</v>
      </c>
      <c r="P708" s="141">
        <f t="shared" si="16"/>
        <v>-2</v>
      </c>
      <c r="Q708" s="4" t="s">
        <v>13</v>
      </c>
      <c r="R708" s="4" t="s">
        <v>33</v>
      </c>
      <c r="S708" s="4" t="s">
        <v>334</v>
      </c>
      <c r="T708" s="435"/>
      <c r="U708" s="437" t="s">
        <v>2211</v>
      </c>
      <c r="V708" s="435"/>
      <c r="W708" s="435"/>
      <c r="X708" s="435">
        <f>MONTH(Tabla1[[#This Row],[fecha
de
pedido]])</f>
        <v>8</v>
      </c>
      <c r="Y708" s="435">
        <f>YEAR(Tabla1[[#This Row],[fecha
de
pedido]])</f>
        <v>2018</v>
      </c>
    </row>
    <row r="709" spans="1:25" ht="38.25" x14ac:dyDescent="0.2">
      <c r="A709" s="152">
        <v>43329</v>
      </c>
      <c r="B709" s="438">
        <v>18082</v>
      </c>
      <c r="C709" s="4" t="s">
        <v>1020</v>
      </c>
      <c r="D709" s="1" t="s">
        <v>1255</v>
      </c>
      <c r="E709" s="4" t="s">
        <v>2092</v>
      </c>
      <c r="F709" s="1" t="s">
        <v>778</v>
      </c>
      <c r="G709" s="4" t="s">
        <v>2147</v>
      </c>
      <c r="H709" s="435">
        <v>2</v>
      </c>
      <c r="I709" s="1" t="s">
        <v>1750</v>
      </c>
      <c r="J709" s="4" t="s">
        <v>1727</v>
      </c>
      <c r="K709" s="435">
        <v>22.5</v>
      </c>
      <c r="L709" s="439">
        <f>(Tabla1[[#This Row],[Costo Unitario]]*Tabla1[[#This Row],[cantidad]])</f>
        <v>45</v>
      </c>
      <c r="M709" s="436">
        <v>43346</v>
      </c>
      <c r="N709" s="436">
        <v>43344</v>
      </c>
      <c r="O709" s="436" t="str">
        <f>IF( Tabla1[[#This Row],[Fecha de entrega real]]="","NO CONCRETADO",IF(N709&lt;=M709,"CUMPLIÓ","NO CUMPLIÓ"))</f>
        <v>CUMPLIÓ</v>
      </c>
      <c r="P709" s="141">
        <f t="shared" si="16"/>
        <v>-2</v>
      </c>
      <c r="Q709" s="4" t="s">
        <v>13</v>
      </c>
      <c r="R709" s="4" t="s">
        <v>33</v>
      </c>
      <c r="S709" s="4" t="s">
        <v>2142</v>
      </c>
      <c r="T709" s="435"/>
      <c r="U709" s="107" t="s">
        <v>2390</v>
      </c>
      <c r="V709" s="435"/>
      <c r="W709" s="435"/>
      <c r="X709" s="435">
        <f>MONTH(Tabla1[[#This Row],[fecha
de
pedido]])</f>
        <v>8</v>
      </c>
      <c r="Y709" s="435">
        <f>YEAR(Tabla1[[#This Row],[fecha
de
pedido]])</f>
        <v>2018</v>
      </c>
    </row>
    <row r="710" spans="1:25" ht="38.25" x14ac:dyDescent="0.2">
      <c r="A710" s="152">
        <v>43333</v>
      </c>
      <c r="B710" s="426">
        <v>18083</v>
      </c>
      <c r="C710" s="4" t="s">
        <v>1213</v>
      </c>
      <c r="D710" s="1" t="s">
        <v>1255</v>
      </c>
      <c r="E710" s="4" t="s">
        <v>11</v>
      </c>
      <c r="F710" s="1" t="s">
        <v>778</v>
      </c>
      <c r="G710" s="4" t="s">
        <v>2148</v>
      </c>
      <c r="H710" s="1">
        <v>1</v>
      </c>
      <c r="I710" s="1" t="s">
        <v>821</v>
      </c>
      <c r="J710" s="4" t="s">
        <v>1727</v>
      </c>
      <c r="K710" s="1">
        <v>156</v>
      </c>
      <c r="L710" s="439">
        <f>(Tabla1[[#This Row],[Costo Unitario]]*Tabla1[[#This Row],[cantidad]])</f>
        <v>156</v>
      </c>
      <c r="M710" s="88">
        <v>43348</v>
      </c>
      <c r="N710" s="88">
        <v>43347</v>
      </c>
      <c r="O710" s="88" t="str">
        <f>IF( Tabla1[[#This Row],[Fecha de entrega real]]="","NO CONCRETADO",IF(N710&lt;=M710,"CUMPLIÓ","NO CUMPLIÓ"))</f>
        <v>CUMPLIÓ</v>
      </c>
      <c r="P710" s="141">
        <f t="shared" si="16"/>
        <v>-1</v>
      </c>
      <c r="Q710" s="4" t="s">
        <v>13</v>
      </c>
      <c r="R710" s="4" t="s">
        <v>33</v>
      </c>
      <c r="S710" s="4" t="s">
        <v>2142</v>
      </c>
      <c r="T710" s="435" t="s">
        <v>2193</v>
      </c>
      <c r="U710" s="107" t="s">
        <v>2390</v>
      </c>
      <c r="X710" s="1">
        <f>MONTH(Tabla1[[#This Row],[fecha
de
pedido]])</f>
        <v>8</v>
      </c>
      <c r="Y710" s="1">
        <f>YEAR(Tabla1[[#This Row],[fecha
de
pedido]])</f>
        <v>2018</v>
      </c>
    </row>
    <row r="711" spans="1:25" ht="89.25" x14ac:dyDescent="0.2">
      <c r="A711" s="152">
        <v>43334</v>
      </c>
      <c r="B711" s="426">
        <v>18084</v>
      </c>
      <c r="C711" s="434" t="s">
        <v>1864</v>
      </c>
      <c r="D711" s="434" t="s">
        <v>2197</v>
      </c>
      <c r="E711" s="434" t="s">
        <v>1864</v>
      </c>
      <c r="F711" s="435" t="s">
        <v>830</v>
      </c>
      <c r="G711" s="434" t="s">
        <v>2198</v>
      </c>
      <c r="H711" s="435">
        <v>1</v>
      </c>
      <c r="I711" s="435" t="s">
        <v>830</v>
      </c>
      <c r="J711" s="434" t="s">
        <v>2199</v>
      </c>
      <c r="K711" s="435"/>
      <c r="L711" s="439"/>
      <c r="M711" s="436">
        <v>43341</v>
      </c>
      <c r="N711" s="436">
        <v>43341</v>
      </c>
      <c r="O711" s="436" t="str">
        <f>IF( Tabla1[[#This Row],[Fecha de entrega real]]="","NO CONCRETADO",IF(N711&lt;=M711,"CUMPLIÓ","NO CUMPLIÓ"))</f>
        <v>CUMPLIÓ</v>
      </c>
      <c r="P711" s="141">
        <f t="shared" si="16"/>
        <v>0</v>
      </c>
      <c r="Q711" s="4" t="s">
        <v>13</v>
      </c>
      <c r="R711" s="4" t="s">
        <v>33</v>
      </c>
      <c r="S711" s="434"/>
      <c r="T711" s="435"/>
      <c r="U711" s="450" t="s">
        <v>2391</v>
      </c>
      <c r="V711" s="435"/>
      <c r="W711" s="435"/>
      <c r="X711" s="435">
        <f>MONTH(Tabla1[[#This Row],[fecha
de
pedido]])</f>
        <v>8</v>
      </c>
      <c r="Y711" s="435">
        <f>YEAR(Tabla1[[#This Row],[fecha
de
pedido]])</f>
        <v>2018</v>
      </c>
    </row>
    <row r="712" spans="1:25" ht="38.25" x14ac:dyDescent="0.2">
      <c r="A712" s="152">
        <v>43334</v>
      </c>
      <c r="B712" s="426">
        <v>18084</v>
      </c>
      <c r="C712" s="434" t="s">
        <v>1864</v>
      </c>
      <c r="D712" s="434" t="s">
        <v>2197</v>
      </c>
      <c r="E712" s="434" t="s">
        <v>1864</v>
      </c>
      <c r="F712" s="435" t="s">
        <v>852</v>
      </c>
      <c r="G712" s="434" t="s">
        <v>2200</v>
      </c>
      <c r="H712" s="435">
        <v>1</v>
      </c>
      <c r="I712" s="435" t="s">
        <v>488</v>
      </c>
      <c r="J712" s="434" t="s">
        <v>2199</v>
      </c>
      <c r="K712" s="435">
        <v>3410.2</v>
      </c>
      <c r="L712" s="446" t="s">
        <v>2203</v>
      </c>
      <c r="M712" s="436">
        <v>43341</v>
      </c>
      <c r="N712" s="436">
        <v>43341</v>
      </c>
      <c r="O712" s="436" t="str">
        <f>IF( Tabla1[[#This Row],[Fecha de entrega real]]="","NO CONCRETADO",IF(N712&lt;=M712,"CUMPLIÓ","NO CUMPLIÓ"))</f>
        <v>CUMPLIÓ</v>
      </c>
      <c r="P712" s="141">
        <f t="shared" si="16"/>
        <v>0</v>
      </c>
      <c r="Q712" s="4" t="s">
        <v>13</v>
      </c>
      <c r="R712" s="4" t="s">
        <v>33</v>
      </c>
      <c r="S712" s="434"/>
      <c r="T712" s="435"/>
      <c r="U712" s="450" t="s">
        <v>2391</v>
      </c>
      <c r="V712" s="435"/>
      <c r="W712" s="435"/>
      <c r="X712" s="435">
        <f>MONTH(Tabla1[[#This Row],[fecha
de
pedido]])</f>
        <v>8</v>
      </c>
      <c r="Y712" s="435">
        <f>YEAR(Tabla1[[#This Row],[fecha
de
pedido]])</f>
        <v>2018</v>
      </c>
    </row>
    <row r="713" spans="1:25" ht="38.25" x14ac:dyDescent="0.2">
      <c r="A713" s="152">
        <v>43334</v>
      </c>
      <c r="B713" s="426">
        <v>18084</v>
      </c>
      <c r="C713" s="434" t="s">
        <v>1864</v>
      </c>
      <c r="D713" s="434" t="s">
        <v>2197</v>
      </c>
      <c r="E713" s="434" t="s">
        <v>1864</v>
      </c>
      <c r="F713" s="435" t="s">
        <v>852</v>
      </c>
      <c r="G713" s="434" t="s">
        <v>2201</v>
      </c>
      <c r="H713" s="435">
        <v>1</v>
      </c>
      <c r="I713" s="435" t="s">
        <v>488</v>
      </c>
      <c r="J713" s="434" t="s">
        <v>2199</v>
      </c>
      <c r="K713" s="435">
        <v>3223.2</v>
      </c>
      <c r="L713" s="439"/>
      <c r="M713" s="436">
        <v>43341</v>
      </c>
      <c r="N713" s="436">
        <v>43341</v>
      </c>
      <c r="O713" s="436" t="str">
        <f>IF( Tabla1[[#This Row],[Fecha de entrega real]]="","NO CONCRETADO",IF(N713&lt;=M713,"CUMPLIÓ","NO CUMPLIÓ"))</f>
        <v>CUMPLIÓ</v>
      </c>
      <c r="P713" s="141">
        <f t="shared" si="16"/>
        <v>0</v>
      </c>
      <c r="Q713" s="4" t="s">
        <v>13</v>
      </c>
      <c r="R713" s="4" t="s">
        <v>33</v>
      </c>
      <c r="S713" s="434"/>
      <c r="T713" s="435"/>
      <c r="U713" s="450" t="s">
        <v>2391</v>
      </c>
      <c r="V713" s="435"/>
      <c r="W713" s="435"/>
      <c r="X713" s="435">
        <f>MONTH(Tabla1[[#This Row],[fecha
de
pedido]])</f>
        <v>8</v>
      </c>
      <c r="Y713" s="435">
        <f>YEAR(Tabla1[[#This Row],[fecha
de
pedido]])</f>
        <v>2018</v>
      </c>
    </row>
    <row r="714" spans="1:25" ht="38.25" x14ac:dyDescent="0.2">
      <c r="A714" s="152">
        <v>43334</v>
      </c>
      <c r="B714" s="426">
        <v>18084</v>
      </c>
      <c r="C714" s="434" t="s">
        <v>1864</v>
      </c>
      <c r="D714" s="434" t="s">
        <v>2197</v>
      </c>
      <c r="E714" s="434" t="s">
        <v>1864</v>
      </c>
      <c r="F714" s="435" t="s">
        <v>852</v>
      </c>
      <c r="G714" s="434" t="s">
        <v>2202</v>
      </c>
      <c r="H714" s="435">
        <v>1</v>
      </c>
      <c r="I714" s="435" t="s">
        <v>488</v>
      </c>
      <c r="J714" s="434" t="s">
        <v>2199</v>
      </c>
      <c r="K714" s="435"/>
      <c r="L714" s="439"/>
      <c r="M714" s="436">
        <v>43341</v>
      </c>
      <c r="N714" s="436">
        <v>43341</v>
      </c>
      <c r="O714" s="436" t="str">
        <f>IF( Tabla1[[#This Row],[Fecha de entrega real]]="","NO CONCRETADO",IF(N714&lt;=M714,"CUMPLIÓ","NO CUMPLIÓ"))</f>
        <v>CUMPLIÓ</v>
      </c>
      <c r="P714" s="141">
        <f t="shared" si="16"/>
        <v>0</v>
      </c>
      <c r="Q714" s="4" t="s">
        <v>13</v>
      </c>
      <c r="R714" s="4" t="s">
        <v>33</v>
      </c>
      <c r="S714" s="434"/>
      <c r="T714" s="435"/>
      <c r="U714" s="450" t="s">
        <v>2391</v>
      </c>
      <c r="V714" s="435"/>
      <c r="W714" s="435"/>
      <c r="X714" s="435">
        <f>MONTH(Tabla1[[#This Row],[fecha
de
pedido]])</f>
        <v>8</v>
      </c>
      <c r="Y714" s="435">
        <f>YEAR(Tabla1[[#This Row],[fecha
de
pedido]])</f>
        <v>2018</v>
      </c>
    </row>
    <row r="715" spans="1:25" ht="38.25" x14ac:dyDescent="0.2">
      <c r="A715" s="433">
        <v>43340</v>
      </c>
      <c r="B715" s="426">
        <v>18085</v>
      </c>
      <c r="C715" s="434" t="s">
        <v>1020</v>
      </c>
      <c r="D715" s="435" t="s">
        <v>33</v>
      </c>
      <c r="E715" s="434" t="s">
        <v>2092</v>
      </c>
      <c r="F715" s="435" t="s">
        <v>778</v>
      </c>
      <c r="G715" s="434" t="s">
        <v>2196</v>
      </c>
      <c r="H715" s="435">
        <v>1</v>
      </c>
      <c r="I715" s="435" t="s">
        <v>821</v>
      </c>
      <c r="J715" s="434" t="s">
        <v>225</v>
      </c>
      <c r="K715" s="443">
        <v>3003.55</v>
      </c>
      <c r="L715" s="439">
        <f>(Tabla1[[#This Row],[Costo Unitario]]*Tabla1[[#This Row],[cantidad]])</f>
        <v>3003.55</v>
      </c>
      <c r="M715" s="436">
        <v>43361</v>
      </c>
      <c r="N715" s="436">
        <v>43359</v>
      </c>
      <c r="O715" s="436" t="str">
        <f>IF( Tabla1[[#This Row],[Fecha de entrega real]]="","NO CONCRETADO",IF(N715&lt;=M715,"CUMPLIÓ","NO CUMPLIÓ"))</f>
        <v>CUMPLIÓ</v>
      </c>
      <c r="P715" s="141">
        <f t="shared" si="16"/>
        <v>-2</v>
      </c>
      <c r="Q715" s="4" t="s">
        <v>13</v>
      </c>
      <c r="R715" s="4" t="s">
        <v>33</v>
      </c>
      <c r="S715" s="434"/>
      <c r="T715" s="435"/>
      <c r="U715" s="437" t="s">
        <v>2392</v>
      </c>
      <c r="V715" s="435"/>
      <c r="W715" s="435"/>
      <c r="X715" s="435">
        <f>MONTH(Tabla1[[#This Row],[fecha
de
pedido]])</f>
        <v>8</v>
      </c>
      <c r="Y715" s="435">
        <f>YEAR(Tabla1[[#This Row],[fecha
de
pedido]])</f>
        <v>2018</v>
      </c>
    </row>
    <row r="716" spans="1:25" ht="51" x14ac:dyDescent="0.2">
      <c r="A716" s="433">
        <v>43340</v>
      </c>
      <c r="B716" s="433" t="s">
        <v>487</v>
      </c>
      <c r="C716" s="434" t="s">
        <v>2204</v>
      </c>
      <c r="D716" s="435" t="s">
        <v>33</v>
      </c>
      <c r="E716" s="434" t="s">
        <v>11</v>
      </c>
      <c r="F716" s="435" t="s">
        <v>772</v>
      </c>
      <c r="G716" s="434" t="s">
        <v>204</v>
      </c>
      <c r="H716" s="435">
        <v>210</v>
      </c>
      <c r="I716" s="435" t="s">
        <v>779</v>
      </c>
      <c r="J716" s="434" t="s">
        <v>2205</v>
      </c>
      <c r="K716" s="443">
        <v>7</v>
      </c>
      <c r="L716" s="439">
        <f>(Tabla1[[#This Row],[Costo Unitario]]*Tabla1[[#This Row],[cantidad]])</f>
        <v>1470</v>
      </c>
      <c r="M716" s="436">
        <v>43342</v>
      </c>
      <c r="N716" s="436">
        <v>43342</v>
      </c>
      <c r="O716" s="436" t="str">
        <f>IF( Tabla1[[#This Row],[Fecha de entrega real]]="","NO CONCRETADO",IF(N716&lt;=M716,"CUMPLIÓ","NO CUMPLIÓ"))</f>
        <v>CUMPLIÓ</v>
      </c>
      <c r="P716" s="141">
        <f t="shared" si="16"/>
        <v>0</v>
      </c>
      <c r="Q716" s="434" t="s">
        <v>13</v>
      </c>
      <c r="R716" s="434" t="s">
        <v>33</v>
      </c>
      <c r="S716" s="434" t="s">
        <v>2208</v>
      </c>
      <c r="T716" s="435"/>
      <c r="U716" s="437" t="s">
        <v>2206</v>
      </c>
      <c r="V716" s="435"/>
      <c r="W716" s="435"/>
      <c r="X716" s="435">
        <f>MONTH(Tabla1[[#This Row],[fecha
de
pedido]])</f>
        <v>8</v>
      </c>
      <c r="Y716" s="435">
        <f>YEAR(Tabla1[[#This Row],[fecha
de
pedido]])</f>
        <v>2018</v>
      </c>
    </row>
    <row r="717" spans="1:25" ht="25.5" x14ac:dyDescent="0.2">
      <c r="A717" s="433">
        <v>43340</v>
      </c>
      <c r="B717" s="433" t="s">
        <v>487</v>
      </c>
      <c r="C717" s="434" t="s">
        <v>775</v>
      </c>
      <c r="D717" s="435" t="s">
        <v>33</v>
      </c>
      <c r="E717" s="434" t="s">
        <v>2092</v>
      </c>
      <c r="F717" s="435" t="s">
        <v>772</v>
      </c>
      <c r="G717" s="434" t="s">
        <v>1046</v>
      </c>
      <c r="H717" s="435">
        <v>100</v>
      </c>
      <c r="I717" s="435" t="s">
        <v>779</v>
      </c>
      <c r="J717" s="434" t="s">
        <v>2205</v>
      </c>
      <c r="K717" s="443">
        <v>7</v>
      </c>
      <c r="L717" s="439">
        <f>(Tabla1[[#This Row],[Costo Unitario]]*Tabla1[[#This Row],[cantidad]])</f>
        <v>700</v>
      </c>
      <c r="M717" s="436">
        <v>43342</v>
      </c>
      <c r="N717" s="436">
        <v>43342</v>
      </c>
      <c r="O717" s="436" t="str">
        <f>IF( Tabla1[[#This Row],[Fecha de entrega real]]="","NO CONCRETADO",IF(N717&lt;=M717,"CUMPLIÓ","NO CUMPLIÓ"))</f>
        <v>CUMPLIÓ</v>
      </c>
      <c r="P717" s="141">
        <f t="shared" si="16"/>
        <v>0</v>
      </c>
      <c r="Q717" s="434" t="s">
        <v>13</v>
      </c>
      <c r="R717" s="434" t="s">
        <v>775</v>
      </c>
      <c r="S717" s="434" t="s">
        <v>1543</v>
      </c>
      <c r="T717" s="435"/>
      <c r="U717" s="437" t="s">
        <v>2207</v>
      </c>
      <c r="V717" s="435"/>
      <c r="W717" s="435"/>
      <c r="X717" s="435">
        <f>MONTH(Tabla1[[#This Row],[fecha
de
pedido]])</f>
        <v>8</v>
      </c>
      <c r="Y717" s="435">
        <f>YEAR(Tabla1[[#This Row],[fecha
de
pedido]])</f>
        <v>2018</v>
      </c>
    </row>
    <row r="718" spans="1:25" ht="38.25" x14ac:dyDescent="0.2">
      <c r="A718" s="433">
        <v>43346</v>
      </c>
      <c r="B718" s="438">
        <v>18086</v>
      </c>
      <c r="C718" s="4" t="s">
        <v>33</v>
      </c>
      <c r="D718" s="435" t="s">
        <v>33</v>
      </c>
      <c r="E718" s="4" t="s">
        <v>11</v>
      </c>
      <c r="F718" s="435" t="s">
        <v>772</v>
      </c>
      <c r="G718" s="4" t="s">
        <v>2210</v>
      </c>
      <c r="H718" s="435">
        <v>1</v>
      </c>
      <c r="I718" s="1" t="s">
        <v>912</v>
      </c>
      <c r="J718" s="4" t="s">
        <v>1727</v>
      </c>
      <c r="K718" s="443">
        <v>60</v>
      </c>
      <c r="L718" s="439">
        <f>(Tabla1[[#This Row],[Costo Unitario]]*Tabla1[[#This Row],[cantidad]])</f>
        <v>60</v>
      </c>
      <c r="M718" s="436">
        <v>43353</v>
      </c>
      <c r="N718" s="436">
        <v>43349</v>
      </c>
      <c r="O718" s="436" t="str">
        <f>IF( Tabla1[[#This Row],[Fecha de entrega real]]="","NO CONCRETADO",IF(N718&lt;=M718,"CUMPLIÓ","NO CUMPLIÓ"))</f>
        <v>CUMPLIÓ</v>
      </c>
      <c r="P718" s="141">
        <f t="shared" si="16"/>
        <v>-4</v>
      </c>
      <c r="Q718" s="434" t="s">
        <v>13</v>
      </c>
      <c r="R718" s="434" t="s">
        <v>33</v>
      </c>
      <c r="S718" s="434" t="s">
        <v>1543</v>
      </c>
      <c r="T718" s="435"/>
      <c r="U718" s="107" t="s">
        <v>2393</v>
      </c>
      <c r="V718" s="435"/>
      <c r="W718" s="435"/>
      <c r="X718" s="435">
        <f>MONTH(Tabla1[[#This Row],[fecha
de
pedido]])</f>
        <v>9</v>
      </c>
      <c r="Y718" s="435">
        <f>YEAR(Tabla1[[#This Row],[fecha
de
pedido]])</f>
        <v>2018</v>
      </c>
    </row>
    <row r="719" spans="1:25" ht="38.25" x14ac:dyDescent="0.2">
      <c r="A719" s="433">
        <v>43347</v>
      </c>
      <c r="B719" s="438">
        <v>18087</v>
      </c>
      <c r="C719" s="4" t="s">
        <v>811</v>
      </c>
      <c r="D719" s="435" t="s">
        <v>33</v>
      </c>
      <c r="E719" s="4" t="s">
        <v>2209</v>
      </c>
      <c r="F719" s="1" t="s">
        <v>830</v>
      </c>
      <c r="G719" s="434" t="s">
        <v>2299</v>
      </c>
      <c r="H719" s="435">
        <v>1</v>
      </c>
      <c r="I719" s="435" t="s">
        <v>830</v>
      </c>
      <c r="J719" s="434" t="s">
        <v>48</v>
      </c>
      <c r="K719" s="443">
        <v>13451.57</v>
      </c>
      <c r="L719" s="439">
        <f>Tabla1[[#This Row],[Costo Unitario]]*Tabla1[[#This Row],[cantidad]]</f>
        <v>13451.57</v>
      </c>
      <c r="M719" s="436" t="s">
        <v>1569</v>
      </c>
      <c r="N719" s="436">
        <v>43749</v>
      </c>
      <c r="O719" s="436" t="str">
        <f>IF( Tabla1[[#This Row],[Fecha de entrega real]]="","NO CONCRETADO",IF(N719&lt;=M719,"CUMPLIÓ","NO CUMPLIÓ"))</f>
        <v>CUMPLIÓ</v>
      </c>
      <c r="P719" s="141" t="e">
        <f t="shared" si="16"/>
        <v>#VALUE!</v>
      </c>
      <c r="Q719" s="434" t="s">
        <v>2302</v>
      </c>
      <c r="R719" s="434" t="s">
        <v>2092</v>
      </c>
      <c r="S719" s="434" t="s">
        <v>1543</v>
      </c>
      <c r="T719" s="435"/>
      <c r="U719" s="107" t="s">
        <v>2394</v>
      </c>
      <c r="V719" s="435"/>
      <c r="W719" s="435"/>
      <c r="X719" s="435">
        <f>MONTH(Tabla1[[#This Row],[fecha
de
pedido]])</f>
        <v>9</v>
      </c>
      <c r="Y719" s="435">
        <f>YEAR(Tabla1[[#This Row],[fecha
de
pedido]])</f>
        <v>2018</v>
      </c>
    </row>
    <row r="720" spans="1:25" ht="51" x14ac:dyDescent="0.2">
      <c r="A720" s="433">
        <v>43347</v>
      </c>
      <c r="B720" s="438">
        <v>18087</v>
      </c>
      <c r="C720" s="4" t="s">
        <v>811</v>
      </c>
      <c r="D720" s="435" t="s">
        <v>33</v>
      </c>
      <c r="E720" s="4" t="s">
        <v>2209</v>
      </c>
      <c r="F720" s="1" t="s">
        <v>830</v>
      </c>
      <c r="G720" s="434" t="s">
        <v>2300</v>
      </c>
      <c r="H720" s="435">
        <v>2</v>
      </c>
      <c r="I720" s="435" t="s">
        <v>830</v>
      </c>
      <c r="J720" s="434" t="s">
        <v>48</v>
      </c>
      <c r="K720" s="443">
        <v>5436.53</v>
      </c>
      <c r="L720" s="439">
        <f>Tabla1[[#This Row],[Costo Unitario]]*Tabla1[[#This Row],[cantidad]]</f>
        <v>10873.06</v>
      </c>
      <c r="M720" s="436" t="s">
        <v>1569</v>
      </c>
      <c r="N720" s="436">
        <v>43749</v>
      </c>
      <c r="O720" s="436" t="str">
        <f>IF( Tabla1[[#This Row],[Fecha de entrega real]]="","NO CONCRETADO",IF(N720&lt;=M720,"CUMPLIÓ","NO CUMPLIÓ"))</f>
        <v>CUMPLIÓ</v>
      </c>
      <c r="P720" s="141" t="e">
        <f>IF(N720="","NO CONCRETADO",N720-M720)</f>
        <v>#VALUE!</v>
      </c>
      <c r="Q720" s="434" t="s">
        <v>2302</v>
      </c>
      <c r="R720" s="434" t="s">
        <v>2092</v>
      </c>
      <c r="S720" s="434" t="s">
        <v>1543</v>
      </c>
      <c r="T720" s="435"/>
      <c r="U720" s="107" t="s">
        <v>2394</v>
      </c>
      <c r="V720" s="435"/>
      <c r="W720" s="435"/>
      <c r="X720" s="435">
        <f>MONTH(Tabla1[[#This Row],[fecha
de
pedido]])</f>
        <v>9</v>
      </c>
      <c r="Y720" s="435">
        <f>YEAR(Tabla1[[#This Row],[fecha
de
pedido]])</f>
        <v>2018</v>
      </c>
    </row>
    <row r="721" spans="1:25" ht="38.25" x14ac:dyDescent="0.2">
      <c r="A721" s="433">
        <v>43347</v>
      </c>
      <c r="B721" s="438">
        <v>18087</v>
      </c>
      <c r="C721" s="4" t="s">
        <v>811</v>
      </c>
      <c r="D721" s="435" t="s">
        <v>33</v>
      </c>
      <c r="E721" s="4" t="s">
        <v>2209</v>
      </c>
      <c r="F721" s="1" t="s">
        <v>830</v>
      </c>
      <c r="G721" s="434" t="s">
        <v>2301</v>
      </c>
      <c r="H721" s="435">
        <v>1</v>
      </c>
      <c r="I721" s="435" t="s">
        <v>830</v>
      </c>
      <c r="J721" s="434" t="s">
        <v>48</v>
      </c>
      <c r="K721" s="443">
        <v>30250</v>
      </c>
      <c r="L721" s="439">
        <f>Tabla1[[#This Row],[Costo Unitario]]*Tabla1[[#This Row],[cantidad]]</f>
        <v>30250</v>
      </c>
      <c r="M721" s="436" t="s">
        <v>1569</v>
      </c>
      <c r="N721" s="436">
        <v>43749</v>
      </c>
      <c r="O721" s="436" t="str">
        <f>IF( Tabla1[[#This Row],[Fecha de entrega real]]="","NO CONCRETADO",IF(N721&lt;=M721,"CUMPLIÓ","NO CUMPLIÓ"))</f>
        <v>CUMPLIÓ</v>
      </c>
      <c r="P721" s="141" t="e">
        <f>IF(N721="","NO CONCRETADO",N721-M721)</f>
        <v>#VALUE!</v>
      </c>
      <c r="Q721" s="434" t="s">
        <v>2302</v>
      </c>
      <c r="R721" s="434" t="s">
        <v>2092</v>
      </c>
      <c r="S721" s="434" t="s">
        <v>1543</v>
      </c>
      <c r="T721" s="435"/>
      <c r="U721" s="107" t="s">
        <v>2394</v>
      </c>
      <c r="V721" s="435"/>
      <c r="W721" s="435"/>
      <c r="X721" s="435">
        <f>MONTH(Tabla1[[#This Row],[fecha
de
pedido]])</f>
        <v>9</v>
      </c>
      <c r="Y721" s="435">
        <f>YEAR(Tabla1[[#This Row],[fecha
de
pedido]])</f>
        <v>2018</v>
      </c>
    </row>
    <row r="722" spans="1:25" ht="51" x14ac:dyDescent="0.2">
      <c r="A722" s="433">
        <v>43364</v>
      </c>
      <c r="B722" s="438">
        <v>18088</v>
      </c>
      <c r="C722" s="4" t="s">
        <v>811</v>
      </c>
      <c r="D722" s="435" t="s">
        <v>33</v>
      </c>
      <c r="E722" s="4" t="s">
        <v>2209</v>
      </c>
      <c r="F722" s="1" t="s">
        <v>778</v>
      </c>
      <c r="G722" s="4" t="s">
        <v>2303</v>
      </c>
      <c r="H722" s="1">
        <v>3</v>
      </c>
      <c r="I722" s="1" t="s">
        <v>779</v>
      </c>
      <c r="J722" s="4" t="s">
        <v>1727</v>
      </c>
      <c r="K722" s="160">
        <v>9.8000000000000007</v>
      </c>
      <c r="L722" s="439">
        <f>Tabla1[[#This Row],[Costo Unitario]]*Tabla1[[#This Row],[cantidad]]</f>
        <v>29.400000000000002</v>
      </c>
      <c r="M722" s="88">
        <v>43371</v>
      </c>
      <c r="N722" s="88"/>
      <c r="O722" s="88" t="str">
        <f>IF( Tabla1[[#This Row],[Fecha de entrega real]]="","NO CONCRETADO",IF(N722&lt;=M722,"CUMPLIÓ","NO CUMPLIÓ"))</f>
        <v>NO CONCRETADO</v>
      </c>
      <c r="P722" s="141" t="str">
        <f t="shared" ref="P722:P819" si="17">IF(N722="","NO CONCRETADO",N722-M722)</f>
        <v>NO CONCRETADO</v>
      </c>
      <c r="S722" s="434" t="s">
        <v>1543</v>
      </c>
      <c r="X722" s="1">
        <f>MONTH(Tabla1[[#This Row],[fecha
de
pedido]])</f>
        <v>9</v>
      </c>
      <c r="Y722" s="1">
        <f>YEAR(Tabla1[[#This Row],[fecha
de
pedido]])</f>
        <v>2018</v>
      </c>
    </row>
    <row r="723" spans="1:25" ht="38.25" x14ac:dyDescent="0.2">
      <c r="A723" s="433">
        <v>43364</v>
      </c>
      <c r="B723" s="438">
        <v>18089</v>
      </c>
      <c r="C723" s="4" t="s">
        <v>811</v>
      </c>
      <c r="D723" s="435" t="s">
        <v>33</v>
      </c>
      <c r="E723" s="4" t="s">
        <v>2209</v>
      </c>
      <c r="F723" s="1" t="s">
        <v>830</v>
      </c>
      <c r="G723" s="4" t="s">
        <v>2304</v>
      </c>
      <c r="H723" s="1">
        <v>3</v>
      </c>
      <c r="I723" s="1" t="s">
        <v>779</v>
      </c>
      <c r="J723" s="4" t="s">
        <v>225</v>
      </c>
      <c r="K723" s="160">
        <v>349</v>
      </c>
      <c r="L723" s="439">
        <f>Tabla1[[#This Row],[Costo Unitario]]*Tabla1[[#This Row],[cantidad]]</f>
        <v>1047</v>
      </c>
      <c r="M723" s="88">
        <v>43371</v>
      </c>
      <c r="N723" s="88"/>
      <c r="O723" s="88" t="str">
        <f>IF( Tabla1[[#This Row],[Fecha de entrega real]]="","NO CONCRETADO",IF(N723&lt;=M723,"CUMPLIÓ","NO CUMPLIÓ"))</f>
        <v>NO CONCRETADO</v>
      </c>
      <c r="P723" s="141" t="str">
        <f t="shared" si="17"/>
        <v>NO CONCRETADO</v>
      </c>
      <c r="S723" s="434" t="s">
        <v>1543</v>
      </c>
      <c r="X723" s="1">
        <f>MONTH(Tabla1[[#This Row],[fecha
de
pedido]])</f>
        <v>9</v>
      </c>
      <c r="Y723" s="1">
        <f>YEAR(Tabla1[[#This Row],[fecha
de
pedido]])</f>
        <v>2018</v>
      </c>
    </row>
    <row r="724" spans="1:25" ht="38.25" x14ac:dyDescent="0.2">
      <c r="A724" s="433">
        <v>43385</v>
      </c>
      <c r="B724" s="438">
        <v>18090</v>
      </c>
      <c r="C724" s="4" t="s">
        <v>811</v>
      </c>
      <c r="D724" s="435" t="s">
        <v>33</v>
      </c>
      <c r="E724" s="4" t="s">
        <v>2209</v>
      </c>
      <c r="F724" s="1" t="s">
        <v>830</v>
      </c>
      <c r="G724" s="4" t="s">
        <v>2305</v>
      </c>
      <c r="H724" s="1">
        <v>1</v>
      </c>
      <c r="I724" s="1" t="s">
        <v>488</v>
      </c>
      <c r="J724" s="4" t="s">
        <v>48</v>
      </c>
      <c r="K724" s="160">
        <v>6413.69</v>
      </c>
      <c r="L724" s="439">
        <f>Tabla1[[#This Row],[Costo Unitario]]*Tabla1[[#This Row],[cantidad]]</f>
        <v>6413.69</v>
      </c>
      <c r="M724" s="88">
        <v>43384</v>
      </c>
      <c r="N724" s="88">
        <v>43384</v>
      </c>
      <c r="O724" s="88" t="str">
        <f>IF( Tabla1[[#This Row],[Fecha de entrega real]]="","NO CONCRETADO",IF(N724&lt;=M724,"CUMPLIÓ","NO CUMPLIÓ"))</f>
        <v>CUMPLIÓ</v>
      </c>
      <c r="P724" s="141">
        <f t="shared" si="17"/>
        <v>0</v>
      </c>
      <c r="Q724" s="4" t="s">
        <v>1096</v>
      </c>
      <c r="R724" s="4" t="s">
        <v>2307</v>
      </c>
      <c r="S724" s="4" t="s">
        <v>2308</v>
      </c>
      <c r="X724" s="1">
        <f>MONTH(Tabla1[[#This Row],[fecha
de
pedido]])</f>
        <v>10</v>
      </c>
      <c r="Y724" s="1">
        <f>YEAR(Tabla1[[#This Row],[fecha
de
pedido]])</f>
        <v>2018</v>
      </c>
    </row>
    <row r="725" spans="1:25" ht="38.25" x14ac:dyDescent="0.2">
      <c r="A725" s="433">
        <v>43385</v>
      </c>
      <c r="B725" s="438">
        <v>18090</v>
      </c>
      <c r="C725" s="4" t="s">
        <v>811</v>
      </c>
      <c r="D725" s="435" t="s">
        <v>33</v>
      </c>
      <c r="E725" s="4" t="s">
        <v>2209</v>
      </c>
      <c r="F725" s="1" t="s">
        <v>830</v>
      </c>
      <c r="G725" s="434" t="s">
        <v>2306</v>
      </c>
      <c r="H725" s="435">
        <v>1</v>
      </c>
      <c r="I725" s="435" t="s">
        <v>488</v>
      </c>
      <c r="J725" s="434" t="s">
        <v>48</v>
      </c>
      <c r="K725" s="443">
        <v>5220.7</v>
      </c>
      <c r="L725" s="439">
        <f>Tabla1[[#This Row],[Costo Unitario]]*Tabla1[[#This Row],[cantidad]]</f>
        <v>5220.7</v>
      </c>
      <c r="M725" s="88">
        <v>43384</v>
      </c>
      <c r="N725" s="436"/>
      <c r="O725" s="436" t="str">
        <f>IF( Tabla1[[#This Row],[Fecha de entrega real]]="","NO CONCRETADO",IF(N725&lt;=M725,"CUMPLIÓ","NO CUMPLIÓ"))</f>
        <v>NO CONCRETADO</v>
      </c>
      <c r="P725" s="141" t="str">
        <f t="shared" si="17"/>
        <v>NO CONCRETADO</v>
      </c>
      <c r="Q725" s="434"/>
      <c r="R725" s="434"/>
      <c r="S725" s="434"/>
      <c r="T725" s="435"/>
      <c r="U725" s="437"/>
      <c r="V725" s="435"/>
      <c r="W725" s="435"/>
      <c r="X725" s="435">
        <f>MONTH(Tabla1[[#This Row],[fecha
de
pedido]])</f>
        <v>10</v>
      </c>
      <c r="Y725" s="435">
        <f>YEAR(Tabla1[[#This Row],[fecha
de
pedido]])</f>
        <v>2018</v>
      </c>
    </row>
    <row r="726" spans="1:25" ht="38.25" x14ac:dyDescent="0.2">
      <c r="A726" s="433">
        <v>43374</v>
      </c>
      <c r="B726" s="433" t="s">
        <v>487</v>
      </c>
      <c r="C726" s="4" t="s">
        <v>811</v>
      </c>
      <c r="D726" s="435" t="s">
        <v>33</v>
      </c>
      <c r="E726" s="4" t="s">
        <v>2209</v>
      </c>
      <c r="F726" s="435" t="s">
        <v>1016</v>
      </c>
      <c r="G726" s="434" t="s">
        <v>1253</v>
      </c>
      <c r="H726" s="435">
        <v>2</v>
      </c>
      <c r="I726" s="435" t="s">
        <v>812</v>
      </c>
      <c r="J726" s="434" t="s">
        <v>81</v>
      </c>
      <c r="K726" s="435"/>
      <c r="L726" s="435"/>
      <c r="M726" s="436">
        <v>43376</v>
      </c>
      <c r="N726" s="435"/>
      <c r="O726" s="436" t="str">
        <f>IF( Tabla1[[#This Row],[Fecha de entrega real]]="","NO CONCRETADO",IF(N726&lt;=M726,"CUMPLIÓ","NO CUMPLIÓ"))</f>
        <v>NO CONCRETADO</v>
      </c>
      <c r="P726" s="141" t="str">
        <f t="shared" si="17"/>
        <v>NO CONCRETADO</v>
      </c>
      <c r="R726" s="434"/>
      <c r="S726" s="434"/>
      <c r="T726" s="435"/>
      <c r="U726" s="437"/>
      <c r="V726" s="435"/>
      <c r="W726" s="435"/>
      <c r="X726" s="435">
        <f>MONTH(Tabla1[[#This Row],[fecha
de
pedido]])</f>
        <v>10</v>
      </c>
      <c r="Y726" s="435">
        <f>YEAR(Tabla1[[#This Row],[fecha
de
pedido]])</f>
        <v>2018</v>
      </c>
    </row>
    <row r="727" spans="1:25" ht="38.25" x14ac:dyDescent="0.2">
      <c r="A727" s="152">
        <v>43396</v>
      </c>
      <c r="B727" s="426">
        <v>18091</v>
      </c>
      <c r="C727" s="4" t="s">
        <v>2092</v>
      </c>
      <c r="D727" s="4" t="s">
        <v>1996</v>
      </c>
      <c r="E727" s="4" t="s">
        <v>2209</v>
      </c>
      <c r="F727" s="1" t="s">
        <v>1045</v>
      </c>
      <c r="G727" s="4" t="s">
        <v>2228</v>
      </c>
      <c r="H727" s="1">
        <v>1</v>
      </c>
      <c r="I727" s="1" t="s">
        <v>781</v>
      </c>
      <c r="J727" s="4" t="s">
        <v>2229</v>
      </c>
      <c r="K727" s="1">
        <v>35.68</v>
      </c>
      <c r="L727" s="1">
        <f>Tabla1[[#This Row],[Costo Unitario]]*Tabla1[[#This Row],[cantidad]]</f>
        <v>35.68</v>
      </c>
      <c r="M727" s="88" t="s">
        <v>1569</v>
      </c>
      <c r="O727" s="88" t="str">
        <f>IF( Tabla1[[#This Row],[Fecha de entrega real]]="","NO CONCRETADO",IF(N727&lt;=M727,"CUMPLIÓ","NO CUMPLIÓ"))</f>
        <v>NO CONCRETADO</v>
      </c>
      <c r="P727" s="141" t="str">
        <f t="shared" si="17"/>
        <v>NO CONCRETADO</v>
      </c>
      <c r="X727" s="1">
        <f>MONTH(Tabla1[[#This Row],[fecha
de
pedido]])</f>
        <v>10</v>
      </c>
      <c r="Y727" s="1">
        <f>YEAR(Tabla1[[#This Row],[fecha
de
pedido]])</f>
        <v>2018</v>
      </c>
    </row>
    <row r="728" spans="1:25" ht="51" x14ac:dyDescent="0.2">
      <c r="A728" s="152">
        <v>43399</v>
      </c>
      <c r="B728" s="426">
        <v>18092</v>
      </c>
      <c r="C728" s="4" t="s">
        <v>2231</v>
      </c>
      <c r="D728" s="4" t="s">
        <v>1996</v>
      </c>
      <c r="E728" s="4" t="s">
        <v>2209</v>
      </c>
      <c r="F728" s="1" t="s">
        <v>1045</v>
      </c>
      <c r="G728" s="4" t="s">
        <v>2230</v>
      </c>
      <c r="H728" s="1">
        <v>5</v>
      </c>
      <c r="I728" s="1" t="s">
        <v>1511</v>
      </c>
      <c r="J728" s="4" t="s">
        <v>48</v>
      </c>
      <c r="K728" s="160">
        <v>3493.88</v>
      </c>
      <c r="L728" s="1">
        <f>Tabla1[[#This Row],[Costo Unitario]]*Tabla1[[#This Row],[cantidad]]</f>
        <v>17469.400000000001</v>
      </c>
      <c r="M728" s="88">
        <v>43409</v>
      </c>
      <c r="O728" s="88" t="str">
        <f>IF( Tabla1[[#This Row],[Fecha de entrega real]]="","NO CONCRETADO",IF(N728&lt;=M728,"CUMPLIÓ","NO CUMPLIÓ"))</f>
        <v>NO CONCRETADO</v>
      </c>
      <c r="P728" s="141" t="str">
        <f t="shared" si="17"/>
        <v>NO CONCRETADO</v>
      </c>
      <c r="X728" s="1">
        <f>MONTH(Tabla1[[#This Row],[fecha
de
pedido]])</f>
        <v>10</v>
      </c>
      <c r="Y728" s="1">
        <f>YEAR(Tabla1[[#This Row],[fecha
de
pedido]])</f>
        <v>2018</v>
      </c>
    </row>
    <row r="729" spans="1:25" ht="38.25" x14ac:dyDescent="0.2">
      <c r="A729" s="152">
        <v>43404</v>
      </c>
      <c r="B729" s="426">
        <v>18093</v>
      </c>
      <c r="C729" s="4" t="s">
        <v>1020</v>
      </c>
      <c r="D729" s="4" t="s">
        <v>1996</v>
      </c>
      <c r="E729" s="4" t="s">
        <v>2209</v>
      </c>
      <c r="F729" s="1" t="s">
        <v>778</v>
      </c>
      <c r="G729" s="4" t="s">
        <v>2232</v>
      </c>
      <c r="H729" s="1">
        <v>4</v>
      </c>
      <c r="I729" s="1" t="s">
        <v>779</v>
      </c>
      <c r="J729" s="4" t="s">
        <v>1727</v>
      </c>
      <c r="K729" s="1">
        <v>23.7</v>
      </c>
      <c r="L729" s="1">
        <f>Tabla1[[#This Row],[Costo Unitario]]*Tabla1[[#This Row],[cantidad]]</f>
        <v>94.8</v>
      </c>
      <c r="M729" s="88">
        <v>43417</v>
      </c>
      <c r="O729" s="88" t="str">
        <f>IF( Tabla1[[#This Row],[Fecha de entrega real]]="","NO CONCRETADO",IF(N729&lt;=M729,"CUMPLIÓ","NO CUMPLIÓ"))</f>
        <v>NO CONCRETADO</v>
      </c>
      <c r="P729" s="141" t="str">
        <f t="shared" si="17"/>
        <v>NO CONCRETADO</v>
      </c>
      <c r="X729" s="1">
        <f>MONTH(Tabla1[[#This Row],[fecha
de
pedido]])</f>
        <v>10</v>
      </c>
      <c r="Y729" s="1">
        <f>YEAR(Tabla1[[#This Row],[fecha
de
pedido]])</f>
        <v>2018</v>
      </c>
    </row>
    <row r="730" spans="1:25" ht="38.25" x14ac:dyDescent="0.2">
      <c r="A730" s="152">
        <v>43404</v>
      </c>
      <c r="B730" s="426">
        <v>18094</v>
      </c>
      <c r="C730" s="4" t="s">
        <v>1020</v>
      </c>
      <c r="D730" s="4" t="s">
        <v>1996</v>
      </c>
      <c r="E730" s="4" t="s">
        <v>2209</v>
      </c>
      <c r="F730" s="1" t="s">
        <v>778</v>
      </c>
      <c r="G730" s="4" t="s">
        <v>2233</v>
      </c>
      <c r="H730" s="1">
        <v>3</v>
      </c>
      <c r="I730" s="1" t="s">
        <v>779</v>
      </c>
      <c r="J730" s="4" t="s">
        <v>15</v>
      </c>
      <c r="K730" s="1">
        <v>12.52</v>
      </c>
      <c r="L730" s="1">
        <f>Tabla1[[#This Row],[Costo Unitario]]*Tabla1[[#This Row],[cantidad]]</f>
        <v>37.56</v>
      </c>
      <c r="M730" s="88">
        <v>43420</v>
      </c>
      <c r="O730" s="88" t="str">
        <f>IF( Tabla1[[#This Row],[Fecha de entrega real]]="","NO CONCRETADO",IF(N730&lt;=M730,"CUMPLIÓ","NO CUMPLIÓ"))</f>
        <v>NO CONCRETADO</v>
      </c>
      <c r="P730" s="141" t="str">
        <f t="shared" si="17"/>
        <v>NO CONCRETADO</v>
      </c>
      <c r="X730" s="1">
        <f>MONTH(Tabla1[[#This Row],[fecha
de
pedido]])</f>
        <v>10</v>
      </c>
      <c r="Y730" s="1">
        <f>YEAR(Tabla1[[#This Row],[fecha
de
pedido]])</f>
        <v>2018</v>
      </c>
    </row>
    <row r="731" spans="1:25" ht="25.5" customHeight="1" x14ac:dyDescent="0.2">
      <c r="A731" s="152">
        <v>43404</v>
      </c>
      <c r="B731" s="426">
        <v>18095</v>
      </c>
      <c r="C731" s="4" t="s">
        <v>33</v>
      </c>
      <c r="D731" s="4" t="s">
        <v>1996</v>
      </c>
      <c r="E731" s="4" t="s">
        <v>2209</v>
      </c>
      <c r="F731" s="1" t="s">
        <v>772</v>
      </c>
      <c r="G731" s="4" t="s">
        <v>2309</v>
      </c>
      <c r="H731" s="1">
        <v>1</v>
      </c>
      <c r="I731" s="1" t="s">
        <v>781</v>
      </c>
      <c r="J731" s="4" t="s">
        <v>771</v>
      </c>
      <c r="K731" s="1">
        <v>425</v>
      </c>
      <c r="L731" s="1">
        <f>Tabla1[[#This Row],[Costo Unitario]]*Tabla1[[#This Row],[cantidad]]</f>
        <v>425</v>
      </c>
      <c r="M731" s="88">
        <v>43406</v>
      </c>
      <c r="N731" s="88">
        <v>43406</v>
      </c>
      <c r="O731" s="88" t="str">
        <f>IF( Tabla1[[#This Row],[Fecha de entrega real]]="","NO CONCRETADO",IF(N731&lt;=M731,"CUMPLIÓ","NO CUMPLIÓ"))</f>
        <v>CUMPLIÓ</v>
      </c>
      <c r="P731" s="141">
        <f t="shared" si="17"/>
        <v>0</v>
      </c>
      <c r="Q731" s="4" t="s">
        <v>13</v>
      </c>
      <c r="R731" s="4" t="s">
        <v>33</v>
      </c>
      <c r="X731" s="1">
        <f>MONTH(Tabla1[[#This Row],[fecha
de
pedido]])</f>
        <v>10</v>
      </c>
      <c r="Y731" s="1">
        <f>YEAR(Tabla1[[#This Row],[fecha
de
pedido]])</f>
        <v>2018</v>
      </c>
    </row>
    <row r="732" spans="1:25" ht="25.5" x14ac:dyDescent="0.2">
      <c r="A732" s="152">
        <v>43404</v>
      </c>
      <c r="B732" s="426">
        <v>18095</v>
      </c>
      <c r="C732" s="4" t="s">
        <v>33</v>
      </c>
      <c r="D732" s="4" t="s">
        <v>1996</v>
      </c>
      <c r="E732" s="4" t="s">
        <v>2209</v>
      </c>
      <c r="F732" s="1" t="s">
        <v>772</v>
      </c>
      <c r="G732" s="4" t="s">
        <v>2309</v>
      </c>
      <c r="H732" s="435">
        <v>3</v>
      </c>
      <c r="I732" s="435" t="s">
        <v>781</v>
      </c>
      <c r="J732" s="434" t="s">
        <v>771</v>
      </c>
      <c r="K732" s="1">
        <v>425</v>
      </c>
      <c r="L732" s="1">
        <f>Tabla1[[#This Row],[Costo Unitario]]*Tabla1[[#This Row],[cantidad]]</f>
        <v>1275</v>
      </c>
      <c r="M732" s="88">
        <v>43406</v>
      </c>
      <c r="N732" s="88">
        <v>43406</v>
      </c>
      <c r="O732" s="436" t="str">
        <f>IF( Tabla1[[#This Row],[Fecha de entrega real]]="","NO CONCRETADO",IF(N732&lt;=M732,"CUMPLIÓ","NO CUMPLIÓ"))</f>
        <v>CUMPLIÓ</v>
      </c>
      <c r="P732" s="141">
        <f t="shared" si="17"/>
        <v>0</v>
      </c>
      <c r="Q732" s="434" t="s">
        <v>13</v>
      </c>
      <c r="R732" s="434" t="s">
        <v>33</v>
      </c>
      <c r="S732" s="434"/>
      <c r="T732" s="435"/>
      <c r="U732" s="437"/>
      <c r="V732" s="435"/>
      <c r="W732" s="435"/>
      <c r="X732" s="435">
        <f>MONTH(Tabla1[[#This Row],[fecha
de
pedido]])</f>
        <v>10</v>
      </c>
      <c r="Y732" s="435">
        <f>YEAR(Tabla1[[#This Row],[fecha
de
pedido]])</f>
        <v>2018</v>
      </c>
    </row>
    <row r="733" spans="1:25" ht="25.5" x14ac:dyDescent="0.2">
      <c r="A733" s="152">
        <v>43404</v>
      </c>
      <c r="B733" s="426">
        <v>18095</v>
      </c>
      <c r="C733" s="4" t="s">
        <v>33</v>
      </c>
      <c r="D733" s="4" t="s">
        <v>1996</v>
      </c>
      <c r="E733" s="4" t="s">
        <v>2209</v>
      </c>
      <c r="F733" s="1" t="s">
        <v>772</v>
      </c>
      <c r="G733" s="434" t="s">
        <v>2311</v>
      </c>
      <c r="H733" s="435">
        <v>2</v>
      </c>
      <c r="I733" s="435" t="s">
        <v>1351</v>
      </c>
      <c r="J733" s="434" t="s">
        <v>771</v>
      </c>
      <c r="K733" s="435">
        <v>155</v>
      </c>
      <c r="L733" s="1">
        <f>Tabla1[[#This Row],[Costo Unitario]]*Tabla1[[#This Row],[cantidad]]</f>
        <v>310</v>
      </c>
      <c r="M733" s="88">
        <v>43406</v>
      </c>
      <c r="N733" s="88">
        <v>43406</v>
      </c>
      <c r="O733" s="436" t="str">
        <f>IF( Tabla1[[#This Row],[Fecha de entrega real]]="","NO CONCRETADO",IF(N733&lt;=M733,"CUMPLIÓ","NO CUMPLIÓ"))</f>
        <v>CUMPLIÓ</v>
      </c>
      <c r="P733" s="141">
        <f t="shared" si="17"/>
        <v>0</v>
      </c>
      <c r="Q733" s="434" t="s">
        <v>13</v>
      </c>
      <c r="R733" s="434" t="s">
        <v>33</v>
      </c>
      <c r="S733" s="434"/>
      <c r="T733" s="435"/>
      <c r="U733" s="437"/>
      <c r="V733" s="435"/>
      <c r="W733" s="435"/>
      <c r="X733" s="435">
        <f>MONTH(Tabla1[[#This Row],[fecha
de
pedido]])</f>
        <v>10</v>
      </c>
      <c r="Y733" s="435">
        <f>YEAR(Tabla1[[#This Row],[fecha
de
pedido]])</f>
        <v>2018</v>
      </c>
    </row>
    <row r="734" spans="1:25" ht="25.5" x14ac:dyDescent="0.2">
      <c r="A734" s="152">
        <v>43404</v>
      </c>
      <c r="B734" s="426">
        <v>18095</v>
      </c>
      <c r="C734" s="4" t="s">
        <v>33</v>
      </c>
      <c r="D734" s="4" t="s">
        <v>1996</v>
      </c>
      <c r="E734" s="4" t="s">
        <v>2209</v>
      </c>
      <c r="F734" s="1" t="s">
        <v>772</v>
      </c>
      <c r="G734" s="434" t="s">
        <v>2311</v>
      </c>
      <c r="H734" s="435">
        <v>1</v>
      </c>
      <c r="I734" s="435" t="s">
        <v>1351</v>
      </c>
      <c r="J734" s="434" t="s">
        <v>771</v>
      </c>
      <c r="K734" s="435">
        <v>100</v>
      </c>
      <c r="L734" s="1">
        <f>Tabla1[[#This Row],[Costo Unitario]]*Tabla1[[#This Row],[cantidad]]</f>
        <v>100</v>
      </c>
      <c r="M734" s="88">
        <v>43406</v>
      </c>
      <c r="N734" s="88">
        <v>43406</v>
      </c>
      <c r="O734" s="436" t="str">
        <f>IF( Tabla1[[#This Row],[Fecha de entrega real]]="","NO CONCRETADO",IF(N734&lt;=M734,"CUMPLIÓ","NO CUMPLIÓ"))</f>
        <v>CUMPLIÓ</v>
      </c>
      <c r="P734" s="141">
        <f t="shared" si="17"/>
        <v>0</v>
      </c>
      <c r="Q734" s="434" t="s">
        <v>13</v>
      </c>
      <c r="R734" s="434" t="s">
        <v>33</v>
      </c>
      <c r="S734" s="434" t="s">
        <v>2312</v>
      </c>
      <c r="T734" s="435"/>
      <c r="U734" s="437"/>
      <c r="V734" s="435"/>
      <c r="W734" s="435"/>
      <c r="X734" s="435">
        <f>MONTH(Tabla1[[#This Row],[fecha
de
pedido]])</f>
        <v>10</v>
      </c>
      <c r="Y734" s="435">
        <f>YEAR(Tabla1[[#This Row],[fecha
de
pedido]])</f>
        <v>2018</v>
      </c>
    </row>
    <row r="735" spans="1:25" ht="25.5" x14ac:dyDescent="0.2">
      <c r="A735" s="152">
        <v>43404</v>
      </c>
      <c r="B735" s="426">
        <v>18095</v>
      </c>
      <c r="C735" s="4" t="s">
        <v>33</v>
      </c>
      <c r="D735" s="4" t="s">
        <v>1996</v>
      </c>
      <c r="E735" s="4" t="s">
        <v>2209</v>
      </c>
      <c r="F735" s="1" t="s">
        <v>772</v>
      </c>
      <c r="G735" s="434" t="s">
        <v>2310</v>
      </c>
      <c r="H735" s="435">
        <v>2</v>
      </c>
      <c r="I735" s="435" t="s">
        <v>781</v>
      </c>
      <c r="J735" s="434" t="s">
        <v>771</v>
      </c>
      <c r="K735">
        <v>425</v>
      </c>
      <c r="L735" s="1">
        <f>Tabla1[[#This Row],[Costo Unitario]]*Tabla1[[#This Row],[cantidad]]</f>
        <v>850</v>
      </c>
      <c r="M735" s="88">
        <v>43406</v>
      </c>
      <c r="N735" s="88">
        <v>43406</v>
      </c>
      <c r="O735" s="436" t="str">
        <f>IF( Tabla1[[#This Row],[Fecha de entrega real]]="","NO CONCRETADO",IF(N735&lt;=M735,"CUMPLIÓ","NO CUMPLIÓ"))</f>
        <v>CUMPLIÓ</v>
      </c>
      <c r="P735" s="141">
        <f t="shared" si="17"/>
        <v>0</v>
      </c>
      <c r="Q735" s="434" t="s">
        <v>13</v>
      </c>
      <c r="R735" s="434" t="s">
        <v>33</v>
      </c>
      <c r="S735" s="434"/>
      <c r="T735" s="435"/>
      <c r="U735" s="437"/>
      <c r="V735" s="435"/>
      <c r="W735" s="435"/>
      <c r="X735" s="435">
        <f>MONTH(Tabla1[[#This Row],[fecha
de
pedido]])</f>
        <v>10</v>
      </c>
      <c r="Y735" s="435">
        <f>YEAR(Tabla1[[#This Row],[fecha
de
pedido]])</f>
        <v>2018</v>
      </c>
    </row>
    <row r="736" spans="1:25" ht="25.5" x14ac:dyDescent="0.2">
      <c r="A736" s="152">
        <v>43404</v>
      </c>
      <c r="B736" s="426">
        <v>18095</v>
      </c>
      <c r="C736" s="4" t="s">
        <v>33</v>
      </c>
      <c r="D736" s="4" t="s">
        <v>1996</v>
      </c>
      <c r="E736" s="4" t="s">
        <v>2209</v>
      </c>
      <c r="F736" s="1" t="s">
        <v>772</v>
      </c>
      <c r="G736" s="434" t="s">
        <v>2311</v>
      </c>
      <c r="H736" s="435">
        <v>1</v>
      </c>
      <c r="I736" s="435" t="s">
        <v>1351</v>
      </c>
      <c r="J736" s="434" t="s">
        <v>771</v>
      </c>
      <c r="K736" s="435">
        <v>155</v>
      </c>
      <c r="L736" s="1">
        <f>Tabla1[[#This Row],[Costo Unitario]]*Tabla1[[#This Row],[cantidad]]</f>
        <v>155</v>
      </c>
      <c r="M736" s="88">
        <v>43406</v>
      </c>
      <c r="N736" s="88">
        <v>43406</v>
      </c>
      <c r="O736" s="436" t="str">
        <f>IF( Tabla1[[#This Row],[Fecha de entrega real]]="","NO CONCRETADO",IF(N736&lt;=M736,"CUMPLIÓ","NO CUMPLIÓ"))</f>
        <v>CUMPLIÓ</v>
      </c>
      <c r="P736" s="141">
        <f t="shared" si="17"/>
        <v>0</v>
      </c>
      <c r="Q736" s="434" t="s">
        <v>13</v>
      </c>
      <c r="R736" s="434" t="s">
        <v>33</v>
      </c>
      <c r="S736" s="434" t="s">
        <v>2314</v>
      </c>
      <c r="T736" s="435"/>
      <c r="U736" s="437"/>
      <c r="V736" s="435"/>
      <c r="W736" s="435"/>
      <c r="X736" s="435">
        <f>MONTH(Tabla1[[#This Row],[fecha
de
pedido]])</f>
        <v>10</v>
      </c>
      <c r="Y736" s="435">
        <f>YEAR(Tabla1[[#This Row],[fecha
de
pedido]])</f>
        <v>2018</v>
      </c>
    </row>
    <row r="737" spans="1:25" ht="25.5" x14ac:dyDescent="0.2">
      <c r="A737" s="152">
        <v>43404</v>
      </c>
      <c r="B737" s="426">
        <v>18095</v>
      </c>
      <c r="C737" s="4" t="s">
        <v>33</v>
      </c>
      <c r="D737" s="4" t="s">
        <v>1996</v>
      </c>
      <c r="E737" s="4" t="s">
        <v>2209</v>
      </c>
      <c r="F737" s="1" t="s">
        <v>772</v>
      </c>
      <c r="G737" s="4" t="s">
        <v>2313</v>
      </c>
      <c r="H737" s="1">
        <v>8</v>
      </c>
      <c r="I737" s="1" t="s">
        <v>781</v>
      </c>
      <c r="J737" s="4" t="s">
        <v>771</v>
      </c>
      <c r="K737" s="1">
        <v>40</v>
      </c>
      <c r="L737" s="1">
        <f>Tabla1[[#This Row],[Costo Unitario]]*Tabla1[[#This Row],[cantidad]]</f>
        <v>320</v>
      </c>
      <c r="M737" s="88">
        <v>43406</v>
      </c>
      <c r="N737" s="88">
        <v>43406</v>
      </c>
      <c r="O737" s="88" t="str">
        <f>IF( Tabla1[[#This Row],[Fecha de entrega real]]="","NO CONCRETADO",IF(N737&lt;=M737,"CUMPLIÓ","NO CUMPLIÓ"))</f>
        <v>CUMPLIÓ</v>
      </c>
      <c r="P737" s="141">
        <f t="shared" si="17"/>
        <v>0</v>
      </c>
      <c r="Q737" s="4" t="s">
        <v>13</v>
      </c>
      <c r="R737" s="4" t="s">
        <v>33</v>
      </c>
      <c r="X737" s="1">
        <f>MONTH(Tabla1[[#This Row],[fecha
de
pedido]])</f>
        <v>10</v>
      </c>
      <c r="Y737" s="1">
        <f>YEAR(Tabla1[[#This Row],[fecha
de
pedido]])</f>
        <v>2018</v>
      </c>
    </row>
    <row r="738" spans="1:25" ht="51" x14ac:dyDescent="0.2">
      <c r="A738" s="152">
        <v>43404</v>
      </c>
      <c r="B738" s="426">
        <v>18096</v>
      </c>
      <c r="C738" s="4" t="s">
        <v>2234</v>
      </c>
      <c r="D738" s="4" t="s">
        <v>1996</v>
      </c>
      <c r="E738" s="4" t="s">
        <v>2209</v>
      </c>
      <c r="F738" s="1" t="s">
        <v>2235</v>
      </c>
      <c r="G738" s="4" t="s">
        <v>2236</v>
      </c>
      <c r="H738" s="1">
        <v>1</v>
      </c>
      <c r="I738" s="435" t="s">
        <v>488</v>
      </c>
      <c r="J738" s="4" t="s">
        <v>2073</v>
      </c>
      <c r="K738" s="1">
        <v>58.45</v>
      </c>
      <c r="L738" s="1">
        <f>Tabla1[[#This Row],[Costo Unitario]]*Tabla1[[#This Row],[cantidad]]</f>
        <v>58.45</v>
      </c>
      <c r="M738" s="88">
        <v>43502</v>
      </c>
      <c r="N738" s="88">
        <v>43502</v>
      </c>
      <c r="O738" s="88" t="str">
        <f>IF( Tabla1[[#This Row],[Fecha de entrega real]]="","NO CONCRETADO",IF(N738&lt;=M738,"CUMPLIÓ","NO CUMPLIÓ"))</f>
        <v>CUMPLIÓ</v>
      </c>
      <c r="P738" s="141">
        <f t="shared" si="17"/>
        <v>0</v>
      </c>
      <c r="Q738" s="4" t="s">
        <v>2279</v>
      </c>
      <c r="R738" s="4" t="s">
        <v>2280</v>
      </c>
      <c r="S738" s="4" t="s">
        <v>2006</v>
      </c>
      <c r="T738" s="1" t="s">
        <v>2283</v>
      </c>
      <c r="U738" s="107" t="s">
        <v>2281</v>
      </c>
      <c r="X738" s="1">
        <f>MONTH(Tabla1[[#This Row],[fecha
de
pedido]])</f>
        <v>10</v>
      </c>
      <c r="Y738" s="1">
        <f>YEAR(Tabla1[[#This Row],[fecha
de
pedido]])</f>
        <v>2018</v>
      </c>
    </row>
    <row r="739" spans="1:25" ht="51" x14ac:dyDescent="0.2">
      <c r="A739" s="152">
        <v>43404</v>
      </c>
      <c r="B739" s="426">
        <v>18096</v>
      </c>
      <c r="C739" s="4" t="s">
        <v>2234</v>
      </c>
      <c r="D739" s="4" t="s">
        <v>1996</v>
      </c>
      <c r="E739" s="4" t="s">
        <v>2209</v>
      </c>
      <c r="F739" s="1" t="s">
        <v>2235</v>
      </c>
      <c r="G739" s="4" t="s">
        <v>2237</v>
      </c>
      <c r="H739" s="1">
        <v>1</v>
      </c>
      <c r="I739" s="435" t="s">
        <v>488</v>
      </c>
      <c r="J739" s="4" t="s">
        <v>2073</v>
      </c>
      <c r="K739" s="1">
        <v>53.61</v>
      </c>
      <c r="L739" s="1">
        <f>Tabla1[[#This Row],[Costo Unitario]]*Tabla1[[#This Row],[cantidad]]</f>
        <v>53.61</v>
      </c>
      <c r="M739" s="88">
        <v>43502</v>
      </c>
      <c r="N739" s="88">
        <v>43502</v>
      </c>
      <c r="O739" s="88" t="str">
        <f>IF( Tabla1[[#This Row],[Fecha de entrega real]]="","NO CONCRETADO",IF(N739&lt;=M739,"CUMPLIÓ","NO CUMPLIÓ"))</f>
        <v>CUMPLIÓ</v>
      </c>
      <c r="P739" s="141">
        <f t="shared" si="17"/>
        <v>0</v>
      </c>
      <c r="Q739" s="4" t="s">
        <v>2279</v>
      </c>
      <c r="R739" s="4" t="s">
        <v>2280</v>
      </c>
      <c r="S739" s="4" t="s">
        <v>2006</v>
      </c>
      <c r="T739" s="1" t="s">
        <v>2283</v>
      </c>
      <c r="U739" s="107" t="s">
        <v>2281</v>
      </c>
      <c r="X739" s="1">
        <f>MONTH(Tabla1[[#This Row],[fecha
de
pedido]])</f>
        <v>10</v>
      </c>
      <c r="Y739" s="1">
        <f>YEAR(Tabla1[[#This Row],[fecha
de
pedido]])</f>
        <v>2018</v>
      </c>
    </row>
    <row r="740" spans="1:25" ht="51" x14ac:dyDescent="0.2">
      <c r="A740" s="152">
        <v>43404</v>
      </c>
      <c r="B740" s="426">
        <v>18096</v>
      </c>
      <c r="C740" s="4" t="s">
        <v>2234</v>
      </c>
      <c r="D740" s="4" t="s">
        <v>1996</v>
      </c>
      <c r="E740" s="4" t="s">
        <v>2209</v>
      </c>
      <c r="F740" s="1" t="s">
        <v>2235</v>
      </c>
      <c r="G740" s="4" t="s">
        <v>2239</v>
      </c>
      <c r="H740" s="1">
        <v>1</v>
      </c>
      <c r="I740" s="1" t="s">
        <v>488</v>
      </c>
      <c r="J740" s="4" t="s">
        <v>2073</v>
      </c>
      <c r="K740" s="1">
        <v>53.61</v>
      </c>
      <c r="L740" s="1">
        <f>Tabla1[[#This Row],[Costo Unitario]]*Tabla1[[#This Row],[cantidad]]</f>
        <v>53.61</v>
      </c>
      <c r="M740" s="88">
        <v>43502</v>
      </c>
      <c r="N740" s="88">
        <v>43502</v>
      </c>
      <c r="O740" s="88" t="str">
        <f>IF( Tabla1[[#This Row],[Fecha de entrega real]]="","NO CONCRETADO",IF(N740&lt;=M740,"CUMPLIÓ","NO CUMPLIÓ"))</f>
        <v>CUMPLIÓ</v>
      </c>
      <c r="P740" s="141">
        <f t="shared" si="17"/>
        <v>0</v>
      </c>
      <c r="Q740" s="4" t="s">
        <v>2279</v>
      </c>
      <c r="R740" s="4" t="s">
        <v>2280</v>
      </c>
      <c r="S740" s="4" t="s">
        <v>2006</v>
      </c>
      <c r="T740" s="1" t="s">
        <v>2283</v>
      </c>
      <c r="U740" s="107" t="s">
        <v>2282</v>
      </c>
      <c r="X740" s="1">
        <f>MONTH(Tabla1[[#This Row],[fecha
de
pedido]])</f>
        <v>10</v>
      </c>
      <c r="Y740" s="1">
        <f>YEAR(Tabla1[[#This Row],[fecha
de
pedido]])</f>
        <v>2018</v>
      </c>
    </row>
    <row r="741" spans="1:25" ht="51" x14ac:dyDescent="0.2">
      <c r="A741" s="152">
        <v>43404</v>
      </c>
      <c r="B741" s="426">
        <v>18096</v>
      </c>
      <c r="C741" s="4" t="s">
        <v>2234</v>
      </c>
      <c r="D741" s="4" t="s">
        <v>1996</v>
      </c>
      <c r="E741" s="4" t="s">
        <v>2209</v>
      </c>
      <c r="F741" s="1" t="s">
        <v>2235</v>
      </c>
      <c r="G741" s="4" t="s">
        <v>2238</v>
      </c>
      <c r="H741" s="1">
        <v>1</v>
      </c>
      <c r="I741" s="1" t="s">
        <v>488</v>
      </c>
      <c r="J741" s="4" t="s">
        <v>2073</v>
      </c>
      <c r="K741" s="1">
        <v>66.92</v>
      </c>
      <c r="L741" s="1">
        <f>Tabla1[[#This Row],[Costo Unitario]]*Tabla1[[#This Row],[cantidad]]</f>
        <v>66.92</v>
      </c>
      <c r="M741" s="88">
        <v>43502</v>
      </c>
      <c r="N741" s="88">
        <v>43502</v>
      </c>
      <c r="O741" s="88" t="str">
        <f>IF( Tabla1[[#This Row],[Fecha de entrega real]]="","NO CONCRETADO",IF(N741&lt;=M741,"CUMPLIÓ","NO CUMPLIÓ"))</f>
        <v>CUMPLIÓ</v>
      </c>
      <c r="P741" s="141">
        <f t="shared" si="17"/>
        <v>0</v>
      </c>
      <c r="Q741" s="4" t="s">
        <v>2279</v>
      </c>
      <c r="R741" s="4" t="s">
        <v>2280</v>
      </c>
      <c r="S741" s="4" t="s">
        <v>2006</v>
      </c>
      <c r="T741" s="1" t="s">
        <v>2283</v>
      </c>
      <c r="U741" s="107" t="s">
        <v>2282</v>
      </c>
      <c r="X741" s="1">
        <f>MONTH(Tabla1[[#This Row],[fecha
de
pedido]])</f>
        <v>10</v>
      </c>
      <c r="Y741" s="1">
        <f>YEAR(Tabla1[[#This Row],[fecha
de
pedido]])</f>
        <v>2018</v>
      </c>
    </row>
    <row r="742" spans="1:25" ht="38.25" x14ac:dyDescent="0.2">
      <c r="A742" s="433">
        <v>43406</v>
      </c>
      <c r="B742" s="433" t="s">
        <v>487</v>
      </c>
      <c r="C742" s="4" t="s">
        <v>811</v>
      </c>
      <c r="D742" s="435" t="s">
        <v>33</v>
      </c>
      <c r="E742" s="4" t="s">
        <v>2209</v>
      </c>
      <c r="F742" s="435" t="s">
        <v>1016</v>
      </c>
      <c r="G742" s="434" t="s">
        <v>1427</v>
      </c>
      <c r="H742" s="435">
        <v>1</v>
      </c>
      <c r="I742" s="435" t="s">
        <v>1415</v>
      </c>
      <c r="J742" s="434" t="s">
        <v>81</v>
      </c>
      <c r="K742" s="435"/>
      <c r="L742" s="1">
        <f>Tabla1[[#This Row],[Costo Unitario]]*Tabla1[[#This Row],[cantidad]]</f>
        <v>0</v>
      </c>
      <c r="M742" s="436">
        <v>43410</v>
      </c>
      <c r="N742" s="435"/>
      <c r="O742" s="436" t="str">
        <f>IF( Tabla1[[#This Row],[Fecha de entrega real]]="","NO CONCRETADO",IF(N742&lt;=M742,"CUMPLIÓ","NO CUMPLIÓ"))</f>
        <v>NO CONCRETADO</v>
      </c>
      <c r="P742" s="141" t="str">
        <f t="shared" si="17"/>
        <v>NO CONCRETADO</v>
      </c>
      <c r="R742" s="434"/>
      <c r="S742" s="434" t="s">
        <v>2213</v>
      </c>
      <c r="T742" s="435"/>
      <c r="U742" s="437"/>
      <c r="V742" s="435"/>
      <c r="W742" s="435"/>
      <c r="X742" s="435">
        <f>MONTH(Tabla1[[#This Row],[fecha
de
pedido]])</f>
        <v>11</v>
      </c>
      <c r="Y742" s="435">
        <f>YEAR(Tabla1[[#This Row],[fecha
de
pedido]])</f>
        <v>2018</v>
      </c>
    </row>
    <row r="743" spans="1:25" ht="38.25" x14ac:dyDescent="0.2">
      <c r="A743" s="433">
        <v>43406</v>
      </c>
      <c r="B743" s="438">
        <v>18097</v>
      </c>
      <c r="C743" s="4" t="s">
        <v>2243</v>
      </c>
      <c r="D743" s="1" t="s">
        <v>33</v>
      </c>
      <c r="E743" s="4" t="s">
        <v>11</v>
      </c>
      <c r="F743" s="1" t="s">
        <v>778</v>
      </c>
      <c r="G743" s="4" t="s">
        <v>2315</v>
      </c>
      <c r="H743" s="435">
        <v>1</v>
      </c>
      <c r="I743" s="1" t="s">
        <v>821</v>
      </c>
      <c r="J743" s="4" t="s">
        <v>2009</v>
      </c>
      <c r="K743" s="435">
        <v>16</v>
      </c>
      <c r="L743" s="1">
        <f>Tabla1[[#This Row],[Costo Unitario]]*Tabla1[[#This Row],[cantidad]]</f>
        <v>16</v>
      </c>
      <c r="M743" s="436">
        <v>43788</v>
      </c>
      <c r="N743" s="435"/>
      <c r="O743" s="436" t="str">
        <f>IF( Tabla1[[#This Row],[Fecha de entrega real]]="","NO CONCRETADO",IF(N743&lt;=M743,"CUMPLIÓ","NO CUMPLIÓ"))</f>
        <v>NO CONCRETADO</v>
      </c>
      <c r="P743" s="141" t="str">
        <f t="shared" si="17"/>
        <v>NO CONCRETADO</v>
      </c>
      <c r="Q743" s="434"/>
      <c r="R743" s="434"/>
      <c r="S743" s="434"/>
      <c r="T743" s="435"/>
      <c r="U743" s="450" t="s">
        <v>2295</v>
      </c>
      <c r="V743" s="435"/>
      <c r="W743" s="435"/>
      <c r="X743" s="435">
        <f>MONTH(Tabla1[[#This Row],[fecha
de
pedido]])</f>
        <v>11</v>
      </c>
      <c r="Y743" s="435">
        <f>YEAR(Tabla1[[#This Row],[fecha
de
pedido]])</f>
        <v>2018</v>
      </c>
    </row>
    <row r="744" spans="1:25" ht="38.25" x14ac:dyDescent="0.2">
      <c r="A744" s="433">
        <v>43406</v>
      </c>
      <c r="B744" s="438">
        <v>18097</v>
      </c>
      <c r="C744" s="4" t="s">
        <v>2243</v>
      </c>
      <c r="D744" s="1" t="s">
        <v>33</v>
      </c>
      <c r="E744" s="4" t="s">
        <v>11</v>
      </c>
      <c r="F744" s="1" t="s">
        <v>778</v>
      </c>
      <c r="G744" s="4" t="s">
        <v>2316</v>
      </c>
      <c r="H744" s="435">
        <v>1</v>
      </c>
      <c r="I744" s="1" t="s">
        <v>821</v>
      </c>
      <c r="J744" s="4" t="s">
        <v>2009</v>
      </c>
      <c r="K744" s="435">
        <v>9</v>
      </c>
      <c r="L744" s="1">
        <f>Tabla1[[#This Row],[Costo Unitario]]*Tabla1[[#This Row],[cantidad]]</f>
        <v>9</v>
      </c>
      <c r="M744" s="436">
        <v>43783</v>
      </c>
      <c r="N744" s="435"/>
      <c r="O744" s="436" t="str">
        <f>IF( Tabla1[[#This Row],[Fecha de entrega real]]="","NO CONCRETADO",IF(N744&lt;=M744,"CUMPLIÓ","NO CUMPLIÓ"))</f>
        <v>NO CONCRETADO</v>
      </c>
      <c r="P744" s="141" t="str">
        <f t="shared" si="17"/>
        <v>NO CONCRETADO</v>
      </c>
      <c r="Q744" s="434"/>
      <c r="R744" s="434"/>
      <c r="S744" s="434"/>
      <c r="T744" s="435"/>
      <c r="U744" s="437"/>
      <c r="V744" s="435"/>
      <c r="W744" s="435"/>
      <c r="X744" s="435">
        <f>MONTH(Tabla1[[#This Row],[fecha
de
pedido]])</f>
        <v>11</v>
      </c>
      <c r="Y744" s="435">
        <f>YEAR(Tabla1[[#This Row],[fecha
de
pedido]])</f>
        <v>2018</v>
      </c>
    </row>
    <row r="745" spans="1:25" ht="38.25" x14ac:dyDescent="0.2">
      <c r="A745" s="433">
        <v>43406</v>
      </c>
      <c r="B745" s="438">
        <v>18098</v>
      </c>
      <c r="C745" s="4" t="s">
        <v>2243</v>
      </c>
      <c r="D745" s="1" t="s">
        <v>33</v>
      </c>
      <c r="E745" s="4" t="s">
        <v>11</v>
      </c>
      <c r="F745" s="1" t="s">
        <v>778</v>
      </c>
      <c r="G745" s="4" t="s">
        <v>2316</v>
      </c>
      <c r="H745" s="1">
        <v>1</v>
      </c>
      <c r="I745" s="1" t="s">
        <v>821</v>
      </c>
      <c r="J745" s="4" t="s">
        <v>267</v>
      </c>
      <c r="K745" s="1">
        <v>8.35</v>
      </c>
      <c r="L745" s="1">
        <f>Tabla1[[#This Row],[Costo Unitario]]*Tabla1[[#This Row],[cantidad]]</f>
        <v>8.35</v>
      </c>
      <c r="M745" s="88">
        <v>43785</v>
      </c>
      <c r="N745" s="88">
        <v>43785</v>
      </c>
      <c r="O745" s="88" t="str">
        <f>IF( Tabla1[[#This Row],[Fecha de entrega real]]="","NO CONCRETADO",IF(N745&lt;=M745,"CUMPLIÓ","NO CUMPLIÓ"))</f>
        <v>CUMPLIÓ</v>
      </c>
      <c r="P745" s="141">
        <f t="shared" si="17"/>
        <v>0</v>
      </c>
      <c r="X745" s="1">
        <f>MONTH(Tabla1[[#This Row],[fecha
de
pedido]])</f>
        <v>11</v>
      </c>
      <c r="Y745" s="1">
        <f>YEAR(Tabla1[[#This Row],[fecha
de
pedido]])</f>
        <v>2018</v>
      </c>
    </row>
    <row r="746" spans="1:25" ht="38.25" x14ac:dyDescent="0.2">
      <c r="A746" s="152">
        <v>43406</v>
      </c>
      <c r="B746" s="438">
        <v>18099</v>
      </c>
      <c r="C746" s="4" t="s">
        <v>2243</v>
      </c>
      <c r="D746" s="1" t="s">
        <v>33</v>
      </c>
      <c r="E746" s="4" t="s">
        <v>11</v>
      </c>
      <c r="F746" s="1" t="s">
        <v>778</v>
      </c>
      <c r="G746" s="4" t="s">
        <v>2317</v>
      </c>
      <c r="H746" s="1">
        <v>1</v>
      </c>
      <c r="I746" s="1" t="s">
        <v>821</v>
      </c>
      <c r="J746" s="4" t="s">
        <v>267</v>
      </c>
      <c r="K746" s="1">
        <v>26.35</v>
      </c>
      <c r="L746" s="1">
        <f>Tabla1[[#This Row],[Costo Unitario]]*Tabla1[[#This Row],[cantidad]]</f>
        <v>26.35</v>
      </c>
      <c r="M746" s="88">
        <v>43785</v>
      </c>
      <c r="N746" s="88">
        <v>43785</v>
      </c>
      <c r="O746" s="88" t="str">
        <f>IF( Tabla1[[#This Row],[Fecha de entrega real]]="","NO CONCRETADO",IF(N746&lt;=M746,"CUMPLIÓ","NO CUMPLIÓ"))</f>
        <v>CUMPLIÓ</v>
      </c>
      <c r="P746" s="141">
        <f t="shared" si="17"/>
        <v>0</v>
      </c>
      <c r="X746" s="1">
        <f>MONTH(Tabla1[[#This Row],[fecha
de
pedido]])</f>
        <v>11</v>
      </c>
      <c r="Y746" s="1">
        <f>YEAR(Tabla1[[#This Row],[fecha
de
pedido]])</f>
        <v>2018</v>
      </c>
    </row>
    <row r="747" spans="1:25" ht="63.75" x14ac:dyDescent="0.2">
      <c r="A747" s="152">
        <v>43409</v>
      </c>
      <c r="B747" s="438">
        <v>18100</v>
      </c>
      <c r="C747" s="4" t="s">
        <v>935</v>
      </c>
      <c r="D747" s="1" t="s">
        <v>33</v>
      </c>
      <c r="E747" s="4" t="s">
        <v>11</v>
      </c>
      <c r="F747" s="1" t="s">
        <v>1045</v>
      </c>
      <c r="G747" s="4" t="s">
        <v>2326</v>
      </c>
      <c r="H747" s="1">
        <v>4</v>
      </c>
      <c r="I747" s="1" t="s">
        <v>781</v>
      </c>
      <c r="J747" s="4" t="s">
        <v>1910</v>
      </c>
      <c r="K747" s="1">
        <v>1574.77</v>
      </c>
      <c r="L747" s="1">
        <f>Tabla1[[#This Row],[Costo Unitario]]*Tabla1[[#This Row],[cantidad]]</f>
        <v>6299.08</v>
      </c>
      <c r="M747" s="88"/>
      <c r="N747" s="88"/>
      <c r="O747" s="88" t="str">
        <f>IF( Tabla1[[#This Row],[Fecha de entrega real]]="","NO CONCRETADO",IF(N747&lt;=M747,"CUMPLIÓ","NO CUMPLIÓ"))</f>
        <v>NO CONCRETADO</v>
      </c>
      <c r="P747" s="141" t="str">
        <f t="shared" si="17"/>
        <v>NO CONCRETADO</v>
      </c>
      <c r="X747" s="1">
        <f>MONTH(Tabla1[[#This Row],[fecha
de
pedido]])</f>
        <v>11</v>
      </c>
      <c r="Y747" s="1">
        <f>YEAR(Tabla1[[#This Row],[fecha
de
pedido]])</f>
        <v>2018</v>
      </c>
    </row>
    <row r="748" spans="1:25" ht="63.75" x14ac:dyDescent="0.2">
      <c r="A748" s="152">
        <v>43409</v>
      </c>
      <c r="B748" s="438">
        <v>18100</v>
      </c>
      <c r="C748" s="4" t="s">
        <v>935</v>
      </c>
      <c r="D748" s="1" t="s">
        <v>33</v>
      </c>
      <c r="E748" s="4" t="s">
        <v>11</v>
      </c>
      <c r="F748" s="1" t="s">
        <v>1045</v>
      </c>
      <c r="G748" s="4" t="s">
        <v>1371</v>
      </c>
      <c r="H748" s="1">
        <v>12</v>
      </c>
      <c r="I748" s="1" t="s">
        <v>1889</v>
      </c>
      <c r="J748" s="4" t="s">
        <v>1910</v>
      </c>
      <c r="K748" s="1">
        <v>168.48</v>
      </c>
      <c r="L748" s="1">
        <f>Tabla1[[#This Row],[Costo Unitario]]*Tabla1[[#This Row],[cantidad]]</f>
        <v>2021.7599999999998</v>
      </c>
      <c r="M748" s="88"/>
      <c r="N748" s="88"/>
      <c r="O748" s="88" t="str">
        <f>IF( Tabla1[[#This Row],[Fecha de entrega real]]="","NO CONCRETADO",IF(N748&lt;=M748,"CUMPLIÓ","NO CUMPLIÓ"))</f>
        <v>NO CONCRETADO</v>
      </c>
      <c r="P748" s="141" t="str">
        <f t="shared" si="17"/>
        <v>NO CONCRETADO</v>
      </c>
      <c r="X748" s="1">
        <f>MONTH(Tabla1[[#This Row],[fecha
de
pedido]])</f>
        <v>11</v>
      </c>
      <c r="Y748" s="1">
        <f>YEAR(Tabla1[[#This Row],[fecha
de
pedido]])</f>
        <v>2018</v>
      </c>
    </row>
    <row r="749" spans="1:25" ht="63.75" x14ac:dyDescent="0.2">
      <c r="A749" s="152">
        <v>43409</v>
      </c>
      <c r="B749" s="438">
        <v>18100</v>
      </c>
      <c r="C749" s="4" t="s">
        <v>935</v>
      </c>
      <c r="D749" s="1" t="s">
        <v>33</v>
      </c>
      <c r="E749" s="4" t="s">
        <v>11</v>
      </c>
      <c r="F749" s="1" t="s">
        <v>1045</v>
      </c>
      <c r="G749" s="4" t="s">
        <v>2327</v>
      </c>
      <c r="H749" s="1">
        <v>3</v>
      </c>
      <c r="J749" s="4" t="s">
        <v>1910</v>
      </c>
      <c r="K749" s="1">
        <v>135.08000000000001</v>
      </c>
      <c r="L749" s="1">
        <f>Tabla1[[#This Row],[Costo Unitario]]*Tabla1[[#This Row],[cantidad]]</f>
        <v>405.24</v>
      </c>
      <c r="M749" s="88"/>
      <c r="N749" s="88"/>
      <c r="O749" s="88" t="str">
        <f>IF( Tabla1[[#This Row],[Fecha de entrega real]]="","NO CONCRETADO",IF(N749&lt;=M749,"CUMPLIÓ","NO CUMPLIÓ"))</f>
        <v>NO CONCRETADO</v>
      </c>
      <c r="P749" s="141" t="str">
        <f t="shared" si="17"/>
        <v>NO CONCRETADO</v>
      </c>
      <c r="X749" s="1">
        <f>MONTH(Tabla1[[#This Row],[fecha
de
pedido]])</f>
        <v>11</v>
      </c>
      <c r="Y749" s="1">
        <f>YEAR(Tabla1[[#This Row],[fecha
de
pedido]])</f>
        <v>2018</v>
      </c>
    </row>
    <row r="750" spans="1:25" ht="63.75" x14ac:dyDescent="0.2">
      <c r="A750" s="152">
        <v>43409</v>
      </c>
      <c r="B750" s="438">
        <v>18100</v>
      </c>
      <c r="C750" s="4" t="s">
        <v>935</v>
      </c>
      <c r="D750" s="1" t="s">
        <v>33</v>
      </c>
      <c r="E750" s="4" t="s">
        <v>11</v>
      </c>
      <c r="F750" s="1" t="s">
        <v>1045</v>
      </c>
      <c r="G750" s="4" t="s">
        <v>2328</v>
      </c>
      <c r="H750" s="1">
        <v>2</v>
      </c>
      <c r="J750" s="4" t="s">
        <v>1910</v>
      </c>
      <c r="K750" s="1">
        <v>135.08000000000001</v>
      </c>
      <c r="L750" s="1">
        <f>Tabla1[[#This Row],[Costo Unitario]]*Tabla1[[#This Row],[cantidad]]</f>
        <v>270.16000000000003</v>
      </c>
      <c r="M750" s="88"/>
      <c r="N750" s="88"/>
      <c r="O750" s="88" t="str">
        <f>IF( Tabla1[[#This Row],[Fecha de entrega real]]="","NO CONCRETADO",IF(N750&lt;=M750,"CUMPLIÓ","NO CUMPLIÓ"))</f>
        <v>NO CONCRETADO</v>
      </c>
      <c r="P750" s="141" t="str">
        <f t="shared" si="17"/>
        <v>NO CONCRETADO</v>
      </c>
      <c r="X750" s="1">
        <f>MONTH(Tabla1[[#This Row],[fecha
de
pedido]])</f>
        <v>11</v>
      </c>
      <c r="Y750" s="1">
        <f>YEAR(Tabla1[[#This Row],[fecha
de
pedido]])</f>
        <v>2018</v>
      </c>
    </row>
    <row r="751" spans="1:25" ht="63.75" x14ac:dyDescent="0.2">
      <c r="A751" s="152">
        <v>43409</v>
      </c>
      <c r="B751" s="438">
        <v>18100</v>
      </c>
      <c r="C751" s="4" t="s">
        <v>935</v>
      </c>
      <c r="D751" s="1" t="s">
        <v>33</v>
      </c>
      <c r="E751" s="4" t="s">
        <v>11</v>
      </c>
      <c r="F751" s="1" t="s">
        <v>1045</v>
      </c>
      <c r="G751" s="4" t="s">
        <v>2329</v>
      </c>
      <c r="H751" s="1">
        <v>1</v>
      </c>
      <c r="J751" s="4" t="s">
        <v>1910</v>
      </c>
      <c r="K751" s="1">
        <v>469.81</v>
      </c>
      <c r="L751" s="1">
        <f>Tabla1[[#This Row],[Costo Unitario]]*Tabla1[[#This Row],[cantidad]]</f>
        <v>469.81</v>
      </c>
      <c r="M751" s="88"/>
      <c r="N751" s="88"/>
      <c r="O751" s="88" t="str">
        <f>IF( Tabla1[[#This Row],[Fecha de entrega real]]="","NO CONCRETADO",IF(N751&lt;=M751,"CUMPLIÓ","NO CUMPLIÓ"))</f>
        <v>NO CONCRETADO</v>
      </c>
      <c r="P751" s="141" t="str">
        <f t="shared" si="17"/>
        <v>NO CONCRETADO</v>
      </c>
      <c r="X751" s="1">
        <f>MONTH(Tabla1[[#This Row],[fecha
de
pedido]])</f>
        <v>11</v>
      </c>
      <c r="Y751" s="1">
        <f>YEAR(Tabla1[[#This Row],[fecha
de
pedido]])</f>
        <v>2018</v>
      </c>
    </row>
    <row r="752" spans="1:25" ht="63.75" x14ac:dyDescent="0.2">
      <c r="A752" s="152">
        <v>43409</v>
      </c>
      <c r="B752" s="438">
        <v>18100</v>
      </c>
      <c r="C752" s="4" t="s">
        <v>935</v>
      </c>
      <c r="D752" s="1" t="s">
        <v>33</v>
      </c>
      <c r="E752" s="4" t="s">
        <v>11</v>
      </c>
      <c r="F752" s="1" t="s">
        <v>1045</v>
      </c>
      <c r="G752" s="4" t="s">
        <v>2330</v>
      </c>
      <c r="H752" s="1">
        <v>3</v>
      </c>
      <c r="J752" s="4" t="s">
        <v>1910</v>
      </c>
      <c r="K752" s="1">
        <v>54.14</v>
      </c>
      <c r="L752" s="1">
        <f>Tabla1[[#This Row],[Costo Unitario]]*Tabla1[[#This Row],[cantidad]]</f>
        <v>162.42000000000002</v>
      </c>
      <c r="M752" s="88"/>
      <c r="N752" s="88"/>
      <c r="O752" s="88" t="str">
        <f>IF( Tabla1[[#This Row],[Fecha de entrega real]]="","NO CONCRETADO",IF(N752&lt;=M752,"CUMPLIÓ","NO CUMPLIÓ"))</f>
        <v>NO CONCRETADO</v>
      </c>
      <c r="P752" s="141" t="str">
        <f t="shared" si="17"/>
        <v>NO CONCRETADO</v>
      </c>
      <c r="X752" s="1">
        <f>MONTH(Tabla1[[#This Row],[fecha
de
pedido]])</f>
        <v>11</v>
      </c>
      <c r="Y752" s="1">
        <f>YEAR(Tabla1[[#This Row],[fecha
de
pedido]])</f>
        <v>2018</v>
      </c>
    </row>
    <row r="753" spans="1:25" ht="63.75" x14ac:dyDescent="0.2">
      <c r="A753" s="152">
        <v>43409</v>
      </c>
      <c r="B753" s="438">
        <v>18100</v>
      </c>
      <c r="C753" s="4" t="s">
        <v>935</v>
      </c>
      <c r="D753" s="1" t="s">
        <v>33</v>
      </c>
      <c r="E753" s="4" t="s">
        <v>11</v>
      </c>
      <c r="F753" s="1" t="s">
        <v>1045</v>
      </c>
      <c r="G753" s="4" t="s">
        <v>2331</v>
      </c>
      <c r="H753" s="1">
        <v>4</v>
      </c>
      <c r="J753" s="4" t="s">
        <v>1910</v>
      </c>
      <c r="K753" s="1">
        <v>73.599999999999994</v>
      </c>
      <c r="L753" s="1">
        <f>Tabla1[[#This Row],[Costo Unitario]]*Tabla1[[#This Row],[cantidad]]</f>
        <v>294.39999999999998</v>
      </c>
      <c r="M753" s="88"/>
      <c r="N753" s="88"/>
      <c r="O753" s="88" t="str">
        <f>IF( Tabla1[[#This Row],[Fecha de entrega real]]="","NO CONCRETADO",IF(N753&lt;=M753,"CUMPLIÓ","NO CUMPLIÓ"))</f>
        <v>NO CONCRETADO</v>
      </c>
      <c r="P753" s="141" t="str">
        <f t="shared" si="17"/>
        <v>NO CONCRETADO</v>
      </c>
      <c r="X753" s="1">
        <f>MONTH(Tabla1[[#This Row],[fecha
de
pedido]])</f>
        <v>11</v>
      </c>
      <c r="Y753" s="1">
        <f>YEAR(Tabla1[[#This Row],[fecha
de
pedido]])</f>
        <v>2018</v>
      </c>
    </row>
    <row r="754" spans="1:25" ht="63.75" x14ac:dyDescent="0.2">
      <c r="A754" s="152">
        <v>43409</v>
      </c>
      <c r="B754" s="438">
        <v>18100</v>
      </c>
      <c r="C754" s="4" t="s">
        <v>935</v>
      </c>
      <c r="D754" s="1" t="s">
        <v>33</v>
      </c>
      <c r="E754" s="4" t="s">
        <v>11</v>
      </c>
      <c r="F754" s="1" t="s">
        <v>1045</v>
      </c>
      <c r="G754" s="4" t="s">
        <v>2332</v>
      </c>
      <c r="H754" s="1">
        <v>5</v>
      </c>
      <c r="J754" s="4" t="s">
        <v>1910</v>
      </c>
      <c r="K754" s="1">
        <v>11.63</v>
      </c>
      <c r="L754" s="1">
        <f>Tabla1[[#This Row],[Costo Unitario]]*Tabla1[[#This Row],[cantidad]]</f>
        <v>58.150000000000006</v>
      </c>
      <c r="M754" s="88"/>
      <c r="N754" s="88"/>
      <c r="O754" s="88" t="str">
        <f>IF( Tabla1[[#This Row],[Fecha de entrega real]]="","NO CONCRETADO",IF(N754&lt;=M754,"CUMPLIÓ","NO CUMPLIÓ"))</f>
        <v>NO CONCRETADO</v>
      </c>
      <c r="P754" s="141" t="str">
        <f t="shared" si="17"/>
        <v>NO CONCRETADO</v>
      </c>
      <c r="X754" s="1">
        <f>MONTH(Tabla1[[#This Row],[fecha
de
pedido]])</f>
        <v>11</v>
      </c>
      <c r="Y754" s="1">
        <f>YEAR(Tabla1[[#This Row],[fecha
de
pedido]])</f>
        <v>2018</v>
      </c>
    </row>
    <row r="755" spans="1:25" ht="63.75" x14ac:dyDescent="0.2">
      <c r="A755" s="152">
        <v>43409</v>
      </c>
      <c r="B755" s="438">
        <v>18100</v>
      </c>
      <c r="C755" s="4" t="s">
        <v>935</v>
      </c>
      <c r="D755" s="1" t="s">
        <v>33</v>
      </c>
      <c r="E755" s="4" t="s">
        <v>11</v>
      </c>
      <c r="F755" s="1" t="s">
        <v>1045</v>
      </c>
      <c r="G755" s="131" t="s">
        <v>2333</v>
      </c>
      <c r="H755" s="1">
        <v>3</v>
      </c>
      <c r="J755" s="4" t="s">
        <v>1910</v>
      </c>
      <c r="K755" s="1">
        <v>17.09</v>
      </c>
      <c r="L755" s="1">
        <f>Tabla1[[#This Row],[Costo Unitario]]*Tabla1[[#This Row],[cantidad]]</f>
        <v>51.269999999999996</v>
      </c>
      <c r="M755" s="88"/>
      <c r="N755" s="88"/>
      <c r="O755" s="88" t="str">
        <f>IF( Tabla1[[#This Row],[Fecha de entrega real]]="","NO CONCRETADO",IF(N755&lt;=M755,"CUMPLIÓ","NO CUMPLIÓ"))</f>
        <v>NO CONCRETADO</v>
      </c>
      <c r="P755" s="141" t="str">
        <f t="shared" si="17"/>
        <v>NO CONCRETADO</v>
      </c>
      <c r="X755" s="1">
        <f>MONTH(Tabla1[[#This Row],[fecha
de
pedido]])</f>
        <v>11</v>
      </c>
      <c r="Y755" s="1">
        <f>YEAR(Tabla1[[#This Row],[fecha
de
pedido]])</f>
        <v>2018</v>
      </c>
    </row>
    <row r="756" spans="1:25" ht="63.75" x14ac:dyDescent="0.2">
      <c r="A756" s="152">
        <v>43409</v>
      </c>
      <c r="B756" s="438">
        <v>18100</v>
      </c>
      <c r="C756" s="4" t="s">
        <v>935</v>
      </c>
      <c r="D756" s="1" t="s">
        <v>33</v>
      </c>
      <c r="E756" s="4" t="s">
        <v>11</v>
      </c>
      <c r="F756" s="1" t="s">
        <v>1045</v>
      </c>
      <c r="G756" s="4" t="s">
        <v>2334</v>
      </c>
      <c r="H756" s="1">
        <v>3</v>
      </c>
      <c r="J756" s="4" t="s">
        <v>1910</v>
      </c>
      <c r="K756" s="1">
        <v>15.31</v>
      </c>
      <c r="L756" s="1">
        <f>Tabla1[[#This Row],[Costo Unitario]]*Tabla1[[#This Row],[cantidad]]</f>
        <v>45.93</v>
      </c>
      <c r="M756" s="88"/>
      <c r="N756" s="88"/>
      <c r="O756" s="88" t="str">
        <f>IF( Tabla1[[#This Row],[Fecha de entrega real]]="","NO CONCRETADO",IF(N756&lt;=M756,"CUMPLIÓ","NO CUMPLIÓ"))</f>
        <v>NO CONCRETADO</v>
      </c>
      <c r="P756" s="141" t="str">
        <f t="shared" si="17"/>
        <v>NO CONCRETADO</v>
      </c>
      <c r="X756" s="1">
        <f>MONTH(Tabla1[[#This Row],[fecha
de
pedido]])</f>
        <v>11</v>
      </c>
      <c r="Y756" s="1">
        <f>YEAR(Tabla1[[#This Row],[fecha
de
pedido]])</f>
        <v>2018</v>
      </c>
    </row>
    <row r="757" spans="1:25" ht="63.75" x14ac:dyDescent="0.2">
      <c r="A757" s="152">
        <v>43409</v>
      </c>
      <c r="B757" s="438">
        <v>18100</v>
      </c>
      <c r="C757" s="4" t="s">
        <v>935</v>
      </c>
      <c r="D757" s="1" t="s">
        <v>33</v>
      </c>
      <c r="E757" s="4" t="s">
        <v>11</v>
      </c>
      <c r="F757" s="1" t="s">
        <v>1045</v>
      </c>
      <c r="G757" s="131" t="s">
        <v>2335</v>
      </c>
      <c r="H757" s="1">
        <v>6</v>
      </c>
      <c r="J757" s="4" t="s">
        <v>1910</v>
      </c>
      <c r="K757" s="1">
        <v>19.579999999999998</v>
      </c>
      <c r="L757" s="1">
        <f>Tabla1[[#This Row],[Costo Unitario]]*Tabla1[[#This Row],[cantidad]]</f>
        <v>117.47999999999999</v>
      </c>
      <c r="M757" s="88"/>
      <c r="N757" s="88"/>
      <c r="O757" s="88" t="str">
        <f>IF( Tabla1[[#This Row],[Fecha de entrega real]]="","NO CONCRETADO",IF(N757&lt;=M757,"CUMPLIÓ","NO CUMPLIÓ"))</f>
        <v>NO CONCRETADO</v>
      </c>
      <c r="P757" s="141" t="str">
        <f t="shared" si="17"/>
        <v>NO CONCRETADO</v>
      </c>
      <c r="X757" s="1">
        <f>MONTH(Tabla1[[#This Row],[fecha
de
pedido]])</f>
        <v>11</v>
      </c>
      <c r="Y757" s="1">
        <f>YEAR(Tabla1[[#This Row],[fecha
de
pedido]])</f>
        <v>2018</v>
      </c>
    </row>
    <row r="758" spans="1:25" ht="63.75" x14ac:dyDescent="0.2">
      <c r="A758" s="152">
        <v>43409</v>
      </c>
      <c r="B758" s="438">
        <v>18100</v>
      </c>
      <c r="C758" s="4" t="s">
        <v>935</v>
      </c>
      <c r="D758" s="1" t="s">
        <v>33</v>
      </c>
      <c r="E758" s="4" t="s">
        <v>11</v>
      </c>
      <c r="F758" s="1" t="s">
        <v>1045</v>
      </c>
      <c r="G758" s="4" t="s">
        <v>2336</v>
      </c>
      <c r="H758" s="1">
        <v>4</v>
      </c>
      <c r="J758" s="4" t="s">
        <v>1910</v>
      </c>
      <c r="K758" s="1">
        <v>54.69</v>
      </c>
      <c r="L758" s="1">
        <f>Tabla1[[#This Row],[Costo Unitario]]*Tabla1[[#This Row],[cantidad]]</f>
        <v>218.76</v>
      </c>
      <c r="M758" s="88"/>
      <c r="N758" s="88"/>
      <c r="O758" s="88" t="str">
        <f>IF( Tabla1[[#This Row],[Fecha de entrega real]]="","NO CONCRETADO",IF(N758&lt;=M758,"CUMPLIÓ","NO CUMPLIÓ"))</f>
        <v>NO CONCRETADO</v>
      </c>
      <c r="P758" s="141" t="str">
        <f t="shared" si="17"/>
        <v>NO CONCRETADO</v>
      </c>
      <c r="X758" s="1">
        <f>MONTH(Tabla1[[#This Row],[fecha
de
pedido]])</f>
        <v>11</v>
      </c>
      <c r="Y758" s="1">
        <f>YEAR(Tabla1[[#This Row],[fecha
de
pedido]])</f>
        <v>2018</v>
      </c>
    </row>
    <row r="759" spans="1:25" ht="63.75" x14ac:dyDescent="0.2">
      <c r="A759" s="152">
        <v>43409</v>
      </c>
      <c r="B759" s="438">
        <v>18100</v>
      </c>
      <c r="C759" s="4" t="s">
        <v>935</v>
      </c>
      <c r="D759" s="1" t="s">
        <v>33</v>
      </c>
      <c r="E759" s="4" t="s">
        <v>11</v>
      </c>
      <c r="F759" s="1" t="s">
        <v>1045</v>
      </c>
      <c r="G759" s="4" t="s">
        <v>2337</v>
      </c>
      <c r="H759" s="1">
        <v>7</v>
      </c>
      <c r="J759" s="4" t="s">
        <v>1910</v>
      </c>
      <c r="K759" s="1">
        <v>46.39</v>
      </c>
      <c r="L759" s="1">
        <f>Tabla1[[#This Row],[Costo Unitario]]*Tabla1[[#This Row],[cantidad]]</f>
        <v>324.73</v>
      </c>
      <c r="M759" s="88"/>
      <c r="N759" s="88"/>
      <c r="O759" s="88" t="str">
        <f>IF( Tabla1[[#This Row],[Fecha de entrega real]]="","NO CONCRETADO",IF(N759&lt;=M759,"CUMPLIÓ","NO CUMPLIÓ"))</f>
        <v>NO CONCRETADO</v>
      </c>
      <c r="P759" s="141" t="str">
        <f t="shared" si="17"/>
        <v>NO CONCRETADO</v>
      </c>
      <c r="X759" s="1">
        <f>MONTH(Tabla1[[#This Row],[fecha
de
pedido]])</f>
        <v>11</v>
      </c>
      <c r="Y759" s="1">
        <f>YEAR(Tabla1[[#This Row],[fecha
de
pedido]])</f>
        <v>2018</v>
      </c>
    </row>
    <row r="760" spans="1:25" ht="63.75" x14ac:dyDescent="0.2">
      <c r="A760" s="152">
        <v>43409</v>
      </c>
      <c r="B760" s="438">
        <v>18100</v>
      </c>
      <c r="C760" s="4" t="s">
        <v>935</v>
      </c>
      <c r="D760" s="1" t="s">
        <v>33</v>
      </c>
      <c r="E760" s="4" t="s">
        <v>11</v>
      </c>
      <c r="F760" s="1" t="s">
        <v>1045</v>
      </c>
      <c r="G760" s="4" t="s">
        <v>2338</v>
      </c>
      <c r="H760" s="1">
        <v>3</v>
      </c>
      <c r="J760" s="4" t="s">
        <v>1910</v>
      </c>
      <c r="K760" s="1">
        <v>277.58999999999997</v>
      </c>
      <c r="L760" s="1">
        <f>Tabla1[[#This Row],[Costo Unitario]]*Tabla1[[#This Row],[cantidad]]</f>
        <v>832.77</v>
      </c>
      <c r="M760" s="88"/>
      <c r="N760" s="88"/>
      <c r="O760" s="88" t="str">
        <f>IF( Tabla1[[#This Row],[Fecha de entrega real]]="","NO CONCRETADO",IF(N760&lt;=M760,"CUMPLIÓ","NO CUMPLIÓ"))</f>
        <v>NO CONCRETADO</v>
      </c>
      <c r="P760" s="141" t="str">
        <f t="shared" si="17"/>
        <v>NO CONCRETADO</v>
      </c>
      <c r="X760" s="1">
        <f>MONTH(Tabla1[[#This Row],[fecha
de
pedido]])</f>
        <v>11</v>
      </c>
      <c r="Y760" s="1">
        <f>YEAR(Tabla1[[#This Row],[fecha
de
pedido]])</f>
        <v>2018</v>
      </c>
    </row>
    <row r="761" spans="1:25" ht="63.75" x14ac:dyDescent="0.2">
      <c r="A761" s="152">
        <v>43409</v>
      </c>
      <c r="B761" s="438">
        <v>18100</v>
      </c>
      <c r="C761" s="4" t="s">
        <v>935</v>
      </c>
      <c r="D761" s="1" t="s">
        <v>33</v>
      </c>
      <c r="E761" s="4" t="s">
        <v>11</v>
      </c>
      <c r="F761" s="1" t="s">
        <v>1045</v>
      </c>
      <c r="G761" s="4" t="s">
        <v>2339</v>
      </c>
      <c r="H761" s="1">
        <v>2</v>
      </c>
      <c r="J761" s="4" t="s">
        <v>1910</v>
      </c>
      <c r="K761" s="1">
        <v>630.71</v>
      </c>
      <c r="L761" s="1">
        <f>Tabla1[[#This Row],[Costo Unitario]]*Tabla1[[#This Row],[cantidad]]</f>
        <v>1261.42</v>
      </c>
      <c r="M761" s="88"/>
      <c r="N761" s="88"/>
      <c r="O761" s="88" t="str">
        <f>IF( Tabla1[[#This Row],[Fecha de entrega real]]="","NO CONCRETADO",IF(N761&lt;=M761,"CUMPLIÓ","NO CUMPLIÓ"))</f>
        <v>NO CONCRETADO</v>
      </c>
      <c r="P761" s="141" t="str">
        <f t="shared" si="17"/>
        <v>NO CONCRETADO</v>
      </c>
      <c r="X761" s="1">
        <f>MONTH(Tabla1[[#This Row],[fecha
de
pedido]])</f>
        <v>11</v>
      </c>
      <c r="Y761" s="1">
        <f>YEAR(Tabla1[[#This Row],[fecha
de
pedido]])</f>
        <v>2018</v>
      </c>
    </row>
    <row r="762" spans="1:25" ht="63.75" x14ac:dyDescent="0.2">
      <c r="A762" s="152">
        <v>43409</v>
      </c>
      <c r="B762" s="438">
        <v>18100</v>
      </c>
      <c r="C762" s="4" t="s">
        <v>935</v>
      </c>
      <c r="D762" s="1" t="s">
        <v>33</v>
      </c>
      <c r="E762" s="4" t="s">
        <v>11</v>
      </c>
      <c r="F762" s="1" t="s">
        <v>1045</v>
      </c>
      <c r="G762" s="131" t="s">
        <v>2340</v>
      </c>
      <c r="H762" s="1">
        <v>1</v>
      </c>
      <c r="J762" s="4" t="s">
        <v>1910</v>
      </c>
      <c r="K762" s="1">
        <v>331.64</v>
      </c>
      <c r="L762" s="1">
        <f>Tabla1[[#This Row],[Costo Unitario]]*Tabla1[[#This Row],[cantidad]]</f>
        <v>331.64</v>
      </c>
      <c r="M762" s="88"/>
      <c r="N762" s="88"/>
      <c r="O762" s="88" t="str">
        <f>IF( Tabla1[[#This Row],[Fecha de entrega real]]="","NO CONCRETADO",IF(N762&lt;=M762,"CUMPLIÓ","NO CUMPLIÓ"))</f>
        <v>NO CONCRETADO</v>
      </c>
      <c r="P762" s="141" t="str">
        <f t="shared" si="17"/>
        <v>NO CONCRETADO</v>
      </c>
      <c r="X762" s="1">
        <f>MONTH(Tabla1[[#This Row],[fecha
de
pedido]])</f>
        <v>11</v>
      </c>
      <c r="Y762" s="1">
        <f>YEAR(Tabla1[[#This Row],[fecha
de
pedido]])</f>
        <v>2018</v>
      </c>
    </row>
    <row r="763" spans="1:25" ht="38.25" x14ac:dyDescent="0.2">
      <c r="A763" s="152">
        <v>43409</v>
      </c>
      <c r="B763" s="438">
        <v>18101</v>
      </c>
      <c r="C763" s="4" t="s">
        <v>33</v>
      </c>
      <c r="D763" s="1" t="s">
        <v>33</v>
      </c>
      <c r="E763" s="4" t="s">
        <v>11</v>
      </c>
      <c r="F763" s="1" t="s">
        <v>958</v>
      </c>
      <c r="G763" s="131" t="s">
        <v>2341</v>
      </c>
      <c r="H763" s="1">
        <v>1</v>
      </c>
      <c r="I763" s="1" t="s">
        <v>784</v>
      </c>
      <c r="J763" s="4" t="s">
        <v>1296</v>
      </c>
      <c r="K763" s="1">
        <v>569.91</v>
      </c>
      <c r="L763" s="1">
        <f>Tabla1[[#This Row],[Costo Unitario]]*Tabla1[[#This Row],[cantidad]]</f>
        <v>569.91</v>
      </c>
      <c r="M763" s="88" t="s">
        <v>1569</v>
      </c>
      <c r="N763" s="88"/>
      <c r="O763" s="88" t="str">
        <f>IF( Tabla1[[#This Row],[Fecha de entrega real]]="","NO CONCRETADO",IF(N763&lt;=M763,"CUMPLIÓ","NO CUMPLIÓ"))</f>
        <v>NO CONCRETADO</v>
      </c>
      <c r="P763" s="141" t="str">
        <f t="shared" si="17"/>
        <v>NO CONCRETADO</v>
      </c>
      <c r="X763" s="1">
        <f>MONTH(Tabla1[[#This Row],[fecha
de
pedido]])</f>
        <v>11</v>
      </c>
      <c r="Y763" s="1">
        <f>YEAR(Tabla1[[#This Row],[fecha
de
pedido]])</f>
        <v>2018</v>
      </c>
    </row>
    <row r="764" spans="1:25" ht="51" x14ac:dyDescent="0.2">
      <c r="A764" s="152">
        <v>43409</v>
      </c>
      <c r="B764" s="438">
        <v>18101</v>
      </c>
      <c r="C764" s="4" t="s">
        <v>33</v>
      </c>
      <c r="D764" s="1" t="s">
        <v>33</v>
      </c>
      <c r="E764" s="4" t="s">
        <v>11</v>
      </c>
      <c r="F764" s="1" t="s">
        <v>958</v>
      </c>
      <c r="G764" s="434" t="s">
        <v>2342</v>
      </c>
      <c r="H764" s="435">
        <v>3</v>
      </c>
      <c r="I764" s="435" t="s">
        <v>784</v>
      </c>
      <c r="J764" s="434" t="s">
        <v>1296</v>
      </c>
      <c r="K764" s="435">
        <v>1771.44</v>
      </c>
      <c r="L764" s="1">
        <f>Tabla1[[#This Row],[Costo Unitario]]*Tabla1[[#This Row],[cantidad]]</f>
        <v>5314.32</v>
      </c>
      <c r="M764" s="436" t="s">
        <v>1569</v>
      </c>
      <c r="N764" s="436"/>
      <c r="O764" s="436" t="str">
        <f>IF( Tabla1[[#This Row],[Fecha de entrega real]]="","NO CONCRETADO",IF(N764&lt;=M764,"CUMPLIÓ","NO CUMPLIÓ"))</f>
        <v>NO CONCRETADO</v>
      </c>
      <c r="P764" s="141" t="str">
        <f t="shared" si="17"/>
        <v>NO CONCRETADO</v>
      </c>
      <c r="Q764" s="434"/>
      <c r="R764" s="434"/>
      <c r="S764" s="434"/>
      <c r="T764" s="435"/>
      <c r="U764" s="437"/>
      <c r="V764" s="435"/>
      <c r="W764" s="435"/>
      <c r="X764" s="435">
        <f>MONTH(Tabla1[[#This Row],[fecha
de
pedido]])</f>
        <v>11</v>
      </c>
      <c r="Y764" s="435">
        <f>YEAR(Tabla1[[#This Row],[fecha
de
pedido]])</f>
        <v>2018</v>
      </c>
    </row>
    <row r="765" spans="1:25" ht="51" x14ac:dyDescent="0.2">
      <c r="A765" s="152">
        <v>43409</v>
      </c>
      <c r="B765" s="438">
        <v>18101</v>
      </c>
      <c r="C765" s="4" t="s">
        <v>33</v>
      </c>
      <c r="D765" s="1" t="s">
        <v>33</v>
      </c>
      <c r="E765" s="4" t="s">
        <v>11</v>
      </c>
      <c r="F765" s="1" t="s">
        <v>958</v>
      </c>
      <c r="G765" s="434" t="s">
        <v>2343</v>
      </c>
      <c r="H765" s="435">
        <v>1</v>
      </c>
      <c r="I765" s="435" t="s">
        <v>488</v>
      </c>
      <c r="J765" s="434" t="s">
        <v>1296</v>
      </c>
      <c r="K765" s="435">
        <v>590.48</v>
      </c>
      <c r="L765" s="1">
        <f>Tabla1[[#This Row],[Costo Unitario]]*Tabla1[[#This Row],[cantidad]]</f>
        <v>590.48</v>
      </c>
      <c r="M765" s="436" t="s">
        <v>1569</v>
      </c>
      <c r="N765" s="436"/>
      <c r="O765" s="436" t="str">
        <f>IF( Tabla1[[#This Row],[Fecha de entrega real]]="","NO CONCRETADO",IF(N765&lt;=M765,"CUMPLIÓ","NO CUMPLIÓ"))</f>
        <v>NO CONCRETADO</v>
      </c>
      <c r="P765" s="141" t="str">
        <f t="shared" si="17"/>
        <v>NO CONCRETADO</v>
      </c>
      <c r="Q765" s="434"/>
      <c r="R765" s="434"/>
      <c r="S765" s="434"/>
      <c r="T765" s="435"/>
      <c r="U765" s="437"/>
      <c r="V765" s="435"/>
      <c r="W765" s="435"/>
      <c r="X765" s="435">
        <f>MONTH(Tabla1[[#This Row],[fecha
de
pedido]])</f>
        <v>11</v>
      </c>
      <c r="Y765" s="435">
        <f>YEAR(Tabla1[[#This Row],[fecha
de
pedido]])</f>
        <v>2018</v>
      </c>
    </row>
    <row r="766" spans="1:25" ht="51" x14ac:dyDescent="0.2">
      <c r="A766" s="433">
        <v>43410</v>
      </c>
      <c r="B766" s="433">
        <v>18102</v>
      </c>
      <c r="C766" s="434" t="s">
        <v>33</v>
      </c>
      <c r="D766" s="435" t="s">
        <v>33</v>
      </c>
      <c r="E766" s="434" t="s">
        <v>11</v>
      </c>
      <c r="F766" s="435" t="s">
        <v>772</v>
      </c>
      <c r="G766" s="434" t="s">
        <v>2344</v>
      </c>
      <c r="H766" s="435">
        <v>1</v>
      </c>
      <c r="I766" s="435" t="s">
        <v>488</v>
      </c>
      <c r="J766" s="434" t="s">
        <v>225</v>
      </c>
      <c r="K766" s="435">
        <v>299</v>
      </c>
      <c r="L766" s="435">
        <v>299</v>
      </c>
      <c r="M766" s="436">
        <v>43790</v>
      </c>
      <c r="N766" s="436"/>
      <c r="O766" s="436" t="str">
        <f>IF( Tabla1[[#This Row],[Fecha de entrega real]]="","NO CONCRETADO",IF(N766&lt;=M766,"CUMPLIÓ","NO CUMPLIÓ"))</f>
        <v>NO CONCRETADO</v>
      </c>
      <c r="P766" s="141" t="str">
        <f t="shared" si="17"/>
        <v>NO CONCRETADO</v>
      </c>
      <c r="Q766" s="434"/>
      <c r="R766" s="434"/>
      <c r="S766" s="434" t="s">
        <v>2345</v>
      </c>
      <c r="T766" s="435"/>
      <c r="U766" s="437"/>
      <c r="V766" s="435"/>
      <c r="W766" s="435"/>
      <c r="X766" s="435">
        <f>MONTH(Tabla1[[#This Row],[fecha
de
pedido]])</f>
        <v>11</v>
      </c>
      <c r="Y766" s="435">
        <f>YEAR(Tabla1[[#This Row],[fecha
de
pedido]])</f>
        <v>2018</v>
      </c>
    </row>
    <row r="767" spans="1:25" ht="165.75" x14ac:dyDescent="0.2">
      <c r="A767" s="152">
        <v>43413</v>
      </c>
      <c r="B767" s="152" t="s">
        <v>2270</v>
      </c>
      <c r="C767" s="4" t="s">
        <v>2092</v>
      </c>
      <c r="D767" s="4" t="s">
        <v>2271</v>
      </c>
      <c r="E767" s="4" t="s">
        <v>2209</v>
      </c>
      <c r="F767" s="1" t="s">
        <v>817</v>
      </c>
      <c r="G767" s="4" t="s">
        <v>2272</v>
      </c>
      <c r="H767" s="1">
        <v>1</v>
      </c>
      <c r="I767" s="1" t="s">
        <v>817</v>
      </c>
      <c r="J767" s="4" t="s">
        <v>48</v>
      </c>
      <c r="K767" s="1">
        <v>8736</v>
      </c>
      <c r="L767" s="1">
        <f>Tabla1[[#This Row],[Costo Unitario]]*Tabla1[[#This Row],[cantidad]]</f>
        <v>8736</v>
      </c>
      <c r="M767" s="88">
        <v>43508</v>
      </c>
      <c r="N767" s="88">
        <v>43500</v>
      </c>
      <c r="O767" s="88" t="str">
        <f>IF( Tabla1[[#This Row],[Fecha de entrega real]]="","NO CONCRETADO",IF(N767&lt;=M767,"CUMPLIÓ","NO CUMPLIÓ"))</f>
        <v>CUMPLIÓ</v>
      </c>
      <c r="P767" s="141">
        <f t="shared" si="17"/>
        <v>-8</v>
      </c>
      <c r="Q767" s="4" t="s">
        <v>1231</v>
      </c>
      <c r="R767" s="4" t="s">
        <v>2263</v>
      </c>
      <c r="S767" s="4" t="s">
        <v>2292</v>
      </c>
      <c r="U767" s="148" t="s">
        <v>2276</v>
      </c>
      <c r="X767" s="1">
        <f>MONTH(Tabla1[[#This Row],[fecha
de
pedido]])</f>
        <v>11</v>
      </c>
      <c r="Y767" s="1">
        <f>YEAR(Tabla1[[#This Row],[fecha
de
pedido]])</f>
        <v>2018</v>
      </c>
    </row>
    <row r="768" spans="1:25" ht="51" x14ac:dyDescent="0.2">
      <c r="A768" s="152">
        <v>43413</v>
      </c>
      <c r="B768" s="152" t="s">
        <v>2270</v>
      </c>
      <c r="C768" s="4" t="s">
        <v>2092</v>
      </c>
      <c r="D768" s="4" t="s">
        <v>2271</v>
      </c>
      <c r="E768" s="4" t="s">
        <v>2209</v>
      </c>
      <c r="F768" s="1" t="s">
        <v>817</v>
      </c>
      <c r="G768" s="4" t="s">
        <v>2273</v>
      </c>
      <c r="H768" s="1">
        <v>1</v>
      </c>
      <c r="I768" s="1" t="s">
        <v>2275</v>
      </c>
      <c r="J768" s="4" t="s">
        <v>48</v>
      </c>
      <c r="K768" s="1">
        <v>12.63</v>
      </c>
      <c r="L768" s="1">
        <f>Tabla1[[#This Row],[Costo Unitario]]*Tabla1[[#This Row],[cantidad]]</f>
        <v>12.63</v>
      </c>
      <c r="M768" s="88">
        <v>43508</v>
      </c>
      <c r="N768" s="88">
        <v>43500</v>
      </c>
      <c r="O768" s="88" t="str">
        <f>IF( Tabla1[[#This Row],[Fecha de entrega real]]="","NO CONCRETADO",IF(N768&lt;=M768,"CUMPLIÓ","NO CUMPLIÓ"))</f>
        <v>CUMPLIÓ</v>
      </c>
      <c r="P768" s="141">
        <f t="shared" si="17"/>
        <v>-8</v>
      </c>
      <c r="Q768" s="4" t="s">
        <v>1231</v>
      </c>
      <c r="R768" s="4" t="s">
        <v>2263</v>
      </c>
      <c r="S768" s="4" t="s">
        <v>2292</v>
      </c>
      <c r="U768" s="148" t="s">
        <v>2277</v>
      </c>
      <c r="X768" s="1">
        <f>MONTH(Tabla1[[#This Row],[fecha
de
pedido]])</f>
        <v>11</v>
      </c>
      <c r="Y768" s="1">
        <f>YEAR(Tabla1[[#This Row],[fecha
de
pedido]])</f>
        <v>2018</v>
      </c>
    </row>
    <row r="769" spans="1:25" ht="51" x14ac:dyDescent="0.2">
      <c r="A769" s="152">
        <v>43413</v>
      </c>
      <c r="B769" s="447" t="s">
        <v>2270</v>
      </c>
      <c r="C769" s="4" t="s">
        <v>2092</v>
      </c>
      <c r="D769" s="4" t="s">
        <v>2271</v>
      </c>
      <c r="E769" s="4" t="s">
        <v>2209</v>
      </c>
      <c r="F769" s="1" t="s">
        <v>817</v>
      </c>
      <c r="G769" s="4" t="s">
        <v>2274</v>
      </c>
      <c r="H769" s="1">
        <v>1</v>
      </c>
      <c r="I769" s="1" t="s">
        <v>817</v>
      </c>
      <c r="J769" s="4" t="s">
        <v>48</v>
      </c>
      <c r="K769" s="1">
        <v>832</v>
      </c>
      <c r="L769" s="1">
        <f>Tabla1[[#This Row],[Costo Unitario]]*Tabla1[[#This Row],[cantidad]]</f>
        <v>832</v>
      </c>
      <c r="M769" s="88">
        <v>43508</v>
      </c>
      <c r="N769" s="88">
        <v>43500</v>
      </c>
      <c r="O769" s="88" t="str">
        <f>IF( Tabla1[[#This Row],[Fecha de entrega real]]="","NO CONCRETADO",IF(N769&lt;=M769,"CUMPLIÓ","NO CUMPLIÓ"))</f>
        <v>CUMPLIÓ</v>
      </c>
      <c r="P769" s="141">
        <f t="shared" si="17"/>
        <v>-8</v>
      </c>
      <c r="Q769" s="4" t="s">
        <v>1231</v>
      </c>
      <c r="R769" s="4" t="s">
        <v>2263</v>
      </c>
      <c r="S769" s="4" t="s">
        <v>2292</v>
      </c>
      <c r="U769" s="148" t="s">
        <v>2278</v>
      </c>
      <c r="X769" s="1">
        <f>MONTH(Tabla1[[#This Row],[fecha
de
pedido]])</f>
        <v>11</v>
      </c>
      <c r="Y769" s="1">
        <f>YEAR(Tabla1[[#This Row],[fecha
de
pedido]])</f>
        <v>2018</v>
      </c>
    </row>
    <row r="770" spans="1:25" ht="51" x14ac:dyDescent="0.2">
      <c r="A770" s="433">
        <v>43783</v>
      </c>
      <c r="B770" s="430">
        <v>18104</v>
      </c>
      <c r="C770" s="434" t="s">
        <v>1020</v>
      </c>
      <c r="D770" s="434" t="s">
        <v>33</v>
      </c>
      <c r="E770" s="434" t="s">
        <v>2209</v>
      </c>
      <c r="F770" s="435" t="s">
        <v>772</v>
      </c>
      <c r="G770" s="434" t="s">
        <v>2139</v>
      </c>
      <c r="H770" s="435">
        <v>1</v>
      </c>
      <c r="I770" s="435" t="s">
        <v>488</v>
      </c>
      <c r="J770" s="434" t="s">
        <v>48</v>
      </c>
      <c r="K770" s="435">
        <v>68304.960000000006</v>
      </c>
      <c r="L770" s="1">
        <f>Tabla1[[#This Row],[Costo Unitario]]*Tabla1[[#This Row],[cantidad]]</f>
        <v>68304.960000000006</v>
      </c>
      <c r="M770" s="436">
        <v>43790</v>
      </c>
      <c r="N770" s="436"/>
      <c r="O770" s="436" t="str">
        <f>IF( Tabla1[[#This Row],[Fecha de entrega real]]="","NO CONCRETADO",IF(N770&lt;=M770,"CUMPLIÓ","NO CUMPLIÓ"))</f>
        <v>NO CONCRETADO</v>
      </c>
      <c r="P770" s="141" t="str">
        <f t="shared" si="17"/>
        <v>NO CONCRETADO</v>
      </c>
      <c r="Q770" s="434"/>
      <c r="R770" s="434"/>
      <c r="S770" s="434"/>
      <c r="T770" s="435"/>
      <c r="U770" s="441"/>
      <c r="V770" s="435"/>
      <c r="W770" s="435"/>
      <c r="X770" s="435">
        <f>MONTH(Tabla1[[#This Row],[fecha
de
pedido]])</f>
        <v>11</v>
      </c>
      <c r="Y770" s="435">
        <f>YEAR(Tabla1[[#This Row],[fecha
de
pedido]])</f>
        <v>2019</v>
      </c>
    </row>
    <row r="771" spans="1:25" ht="38.25" x14ac:dyDescent="0.2">
      <c r="A771" s="152">
        <v>43783</v>
      </c>
      <c r="B771" s="430">
        <v>18105</v>
      </c>
      <c r="C771" s="4" t="s">
        <v>1103</v>
      </c>
      <c r="D771" s="4" t="s">
        <v>33</v>
      </c>
      <c r="E771" s="4" t="s">
        <v>11</v>
      </c>
      <c r="F771" s="1" t="s">
        <v>830</v>
      </c>
      <c r="G771" s="4" t="s">
        <v>2346</v>
      </c>
      <c r="H771" s="1">
        <v>2</v>
      </c>
      <c r="I771" s="1" t="s">
        <v>1053</v>
      </c>
      <c r="J771" s="4" t="s">
        <v>2347</v>
      </c>
      <c r="K771" s="449">
        <v>2449.085</v>
      </c>
      <c r="L771" s="1">
        <f>Tabla1[[#This Row],[Costo Unitario]]*Tabla1[[#This Row],[cantidad]]</f>
        <v>4898.17</v>
      </c>
      <c r="M771" s="88" t="s">
        <v>1569</v>
      </c>
      <c r="N771" s="88"/>
      <c r="O771" s="88" t="str">
        <f>IF( Tabla1[[#This Row],[Fecha de entrega real]]="","NO CONCRETADO",IF(N771&lt;=M771,"CUMPLIÓ","NO CUMPLIÓ"))</f>
        <v>NO CONCRETADO</v>
      </c>
      <c r="P771" s="141" t="str">
        <f t="shared" si="17"/>
        <v>NO CONCRETADO</v>
      </c>
      <c r="U771" s="148"/>
      <c r="X771" s="1">
        <f>MONTH(Tabla1[[#This Row],[fecha
de
pedido]])</f>
        <v>11</v>
      </c>
      <c r="Y771" s="1">
        <f>YEAR(Tabla1[[#This Row],[fecha
de
pedido]])</f>
        <v>2019</v>
      </c>
    </row>
    <row r="772" spans="1:25" ht="51" x14ac:dyDescent="0.2">
      <c r="A772" s="152">
        <v>43784</v>
      </c>
      <c r="B772" s="430">
        <v>18106</v>
      </c>
      <c r="C772" s="4" t="s">
        <v>33</v>
      </c>
      <c r="D772" s="4" t="s">
        <v>33</v>
      </c>
      <c r="E772" s="4" t="s">
        <v>2092</v>
      </c>
      <c r="F772" s="1" t="s">
        <v>772</v>
      </c>
      <c r="G772" s="4" t="s">
        <v>2349</v>
      </c>
      <c r="H772" s="1">
        <v>3</v>
      </c>
      <c r="I772" s="1" t="s">
        <v>897</v>
      </c>
      <c r="J772" s="4" t="s">
        <v>225</v>
      </c>
      <c r="K772" s="449">
        <v>19.88</v>
      </c>
      <c r="L772" s="1">
        <f>Tabla1[[#This Row],[Costo Unitario]]*Tabla1[[#This Row],[cantidad]]</f>
        <v>59.64</v>
      </c>
      <c r="M772" s="88">
        <v>43425</v>
      </c>
      <c r="N772" s="88">
        <v>43420</v>
      </c>
      <c r="O772" s="88" t="str">
        <f>IF( Tabla1[[#This Row],[Fecha de entrega real]]="","NO CONCRETADO",IF(N772&lt;=M772,"CUMPLIÓ","NO CUMPLIÓ"))</f>
        <v>CUMPLIÓ</v>
      </c>
      <c r="P772" s="141">
        <f t="shared" si="17"/>
        <v>-5</v>
      </c>
      <c r="U772" s="148"/>
      <c r="X772" s="1">
        <f>MONTH(Tabla1[[#This Row],[fecha
de
pedido]])</f>
        <v>11</v>
      </c>
      <c r="Y772" s="1">
        <f>YEAR(Tabla1[[#This Row],[fecha
de
pedido]])</f>
        <v>2019</v>
      </c>
    </row>
    <row r="773" spans="1:25" ht="51" x14ac:dyDescent="0.2">
      <c r="A773" s="152">
        <v>43785</v>
      </c>
      <c r="B773" s="430">
        <v>18106</v>
      </c>
      <c r="C773" s="4" t="s">
        <v>33</v>
      </c>
      <c r="D773" s="4" t="s">
        <v>2348</v>
      </c>
      <c r="E773" s="4" t="s">
        <v>2092</v>
      </c>
      <c r="F773" s="1" t="s">
        <v>772</v>
      </c>
      <c r="G773" s="4" t="s">
        <v>2350</v>
      </c>
      <c r="H773" s="1">
        <v>3</v>
      </c>
      <c r="I773" s="1" t="s">
        <v>897</v>
      </c>
      <c r="J773" s="4" t="s">
        <v>225</v>
      </c>
      <c r="K773" s="449">
        <v>19.920000000000002</v>
      </c>
      <c r="L773" s="1">
        <f>Tabla1[[#This Row],[Costo Unitario]]*Tabla1[[#This Row],[cantidad]]</f>
        <v>59.760000000000005</v>
      </c>
      <c r="M773" s="88">
        <v>43425</v>
      </c>
      <c r="N773" s="88">
        <v>43420</v>
      </c>
      <c r="O773" s="88" t="str">
        <f>IF( Tabla1[[#This Row],[Fecha de entrega real]]="","NO CONCRETADO",IF(N773&lt;=M773,"CUMPLIÓ","NO CUMPLIÓ"))</f>
        <v>CUMPLIÓ</v>
      </c>
      <c r="P773" s="141">
        <f t="shared" si="17"/>
        <v>-5</v>
      </c>
      <c r="U773" s="148"/>
      <c r="X773" s="1">
        <f>MONTH(Tabla1[[#This Row],[fecha
de
pedido]])</f>
        <v>11</v>
      </c>
      <c r="Y773" s="1">
        <f>YEAR(Tabla1[[#This Row],[fecha
de
pedido]])</f>
        <v>2019</v>
      </c>
    </row>
    <row r="774" spans="1:25" ht="51" x14ac:dyDescent="0.2">
      <c r="A774" s="152">
        <v>43786</v>
      </c>
      <c r="B774" s="430">
        <v>18106</v>
      </c>
      <c r="C774" s="4" t="s">
        <v>33</v>
      </c>
      <c r="D774" s="4" t="s">
        <v>33</v>
      </c>
      <c r="E774" s="4" t="s">
        <v>2092</v>
      </c>
      <c r="F774" s="1" t="s">
        <v>772</v>
      </c>
      <c r="G774" s="4" t="s">
        <v>2351</v>
      </c>
      <c r="H774" s="1">
        <v>3</v>
      </c>
      <c r="I774" s="1" t="s">
        <v>897</v>
      </c>
      <c r="J774" s="4" t="s">
        <v>225</v>
      </c>
      <c r="K774" s="449">
        <v>22.36</v>
      </c>
      <c r="L774" s="1">
        <f>Tabla1[[#This Row],[Costo Unitario]]*Tabla1[[#This Row],[cantidad]]</f>
        <v>67.08</v>
      </c>
      <c r="M774" s="88">
        <v>43425</v>
      </c>
      <c r="N774" s="88">
        <v>43420</v>
      </c>
      <c r="O774" s="88" t="str">
        <f>IF( Tabla1[[#This Row],[Fecha de entrega real]]="","NO CONCRETADO",IF(N774&lt;=M774,"CUMPLIÓ","NO CUMPLIÓ"))</f>
        <v>CUMPLIÓ</v>
      </c>
      <c r="P774" s="141">
        <f t="shared" si="17"/>
        <v>-5</v>
      </c>
      <c r="U774" s="148"/>
      <c r="X774" s="1">
        <f>MONTH(Tabla1[[#This Row],[fecha
de
pedido]])</f>
        <v>11</v>
      </c>
      <c r="Y774" s="1">
        <f>YEAR(Tabla1[[#This Row],[fecha
de
pedido]])</f>
        <v>2019</v>
      </c>
    </row>
    <row r="775" spans="1:25" ht="25.5" x14ac:dyDescent="0.2">
      <c r="A775" s="152">
        <v>43791</v>
      </c>
      <c r="B775" s="447" t="s">
        <v>2287</v>
      </c>
      <c r="C775" s="4" t="s">
        <v>849</v>
      </c>
      <c r="D775" s="4" t="s">
        <v>849</v>
      </c>
      <c r="E775" s="4" t="s">
        <v>2209</v>
      </c>
      <c r="F775" s="1" t="s">
        <v>2288</v>
      </c>
      <c r="G775" s="4" t="s">
        <v>2289</v>
      </c>
      <c r="H775" s="1">
        <v>1</v>
      </c>
      <c r="I775" s="1" t="s">
        <v>2290</v>
      </c>
      <c r="J775" s="4" t="s">
        <v>2291</v>
      </c>
      <c r="K775" s="102">
        <v>1362.46</v>
      </c>
      <c r="L775" s="1">
        <f>Tabla1[[#This Row],[Costo Unitario]]*Tabla1[[#This Row],[cantidad]]</f>
        <v>1362.46</v>
      </c>
      <c r="M775" s="88">
        <v>43487</v>
      </c>
      <c r="N775" s="88">
        <v>43483</v>
      </c>
      <c r="O775" s="88" t="str">
        <f>IF( Tabla1[[#This Row],[Fecha de entrega real]]="","NO CONCRETADO",IF(N775&lt;=M775,"CUMPLIÓ","NO CUMPLIÓ"))</f>
        <v>CUMPLIÓ</v>
      </c>
      <c r="P775" s="141">
        <f t="shared" si="17"/>
        <v>-4</v>
      </c>
      <c r="Q775" s="4" t="s">
        <v>13</v>
      </c>
      <c r="R775" s="4" t="s">
        <v>33</v>
      </c>
      <c r="S775" s="4" t="s">
        <v>2294</v>
      </c>
      <c r="U775" s="148" t="s">
        <v>2295</v>
      </c>
      <c r="X775" s="1">
        <f>MONTH(Tabla1[[#This Row],[fecha
de
pedido]])</f>
        <v>11</v>
      </c>
      <c r="Y775" s="1">
        <f>YEAR(Tabla1[[#This Row],[fecha
de
pedido]])</f>
        <v>2019</v>
      </c>
    </row>
    <row r="776" spans="1:25" ht="25.5" x14ac:dyDescent="0.2">
      <c r="A776" s="152">
        <v>43791</v>
      </c>
      <c r="B776" s="447" t="s">
        <v>2287</v>
      </c>
      <c r="C776" s="4" t="s">
        <v>849</v>
      </c>
      <c r="D776" s="4" t="s">
        <v>849</v>
      </c>
      <c r="E776" s="4" t="s">
        <v>2209</v>
      </c>
      <c r="F776" s="1" t="s">
        <v>830</v>
      </c>
      <c r="G776" s="4" t="s">
        <v>2296</v>
      </c>
      <c r="H776" s="1">
        <v>1</v>
      </c>
      <c r="I776" s="1" t="s">
        <v>488</v>
      </c>
      <c r="J776" s="4" t="s">
        <v>2291</v>
      </c>
      <c r="K776" s="1">
        <v>484</v>
      </c>
      <c r="L776" s="1">
        <f>Tabla1[[#This Row],[Costo Unitario]]*Tabla1[[#This Row],[cantidad]]</f>
        <v>484</v>
      </c>
      <c r="M776" s="88">
        <v>43487</v>
      </c>
      <c r="N776" s="88">
        <v>43483</v>
      </c>
      <c r="O776" s="88" t="str">
        <f>IF( Tabla1[[#This Row],[Fecha de entrega real]]="","NO CONCRETADO",IF(N776&lt;=M776,"CUMPLIÓ","NO CUMPLIÓ"))</f>
        <v>CUMPLIÓ</v>
      </c>
      <c r="P776" s="141">
        <f t="shared" si="17"/>
        <v>-4</v>
      </c>
      <c r="Q776" s="4" t="s">
        <v>13</v>
      </c>
      <c r="R776" s="4" t="s">
        <v>33</v>
      </c>
      <c r="S776" s="4" t="s">
        <v>1543</v>
      </c>
      <c r="U776" s="148" t="s">
        <v>2297</v>
      </c>
      <c r="X776" s="1">
        <f>MONTH(Tabla1[[#This Row],[fecha
de
pedido]])</f>
        <v>11</v>
      </c>
      <c r="Y776" s="1">
        <f>YEAR(Tabla1[[#This Row],[fecha
de
pedido]])</f>
        <v>2019</v>
      </c>
    </row>
    <row r="777" spans="1:25" ht="38.25" x14ac:dyDescent="0.2">
      <c r="A777" s="152">
        <v>43789</v>
      </c>
      <c r="B777" s="430" t="s">
        <v>2353</v>
      </c>
      <c r="C777" s="4" t="s">
        <v>1020</v>
      </c>
      <c r="D777" s="4" t="s">
        <v>2204</v>
      </c>
      <c r="E777" s="4" t="s">
        <v>11</v>
      </c>
      <c r="F777" s="1" t="s">
        <v>778</v>
      </c>
      <c r="G777" s="4" t="s">
        <v>2352</v>
      </c>
      <c r="H777" s="1">
        <v>1</v>
      </c>
      <c r="I777" s="1" t="s">
        <v>799</v>
      </c>
      <c r="J777" s="4" t="s">
        <v>225</v>
      </c>
      <c r="K777" s="1">
        <v>180.5</v>
      </c>
      <c r="L777" s="1">
        <f>Tabla1[[#This Row],[Costo Unitario]]*Tabla1[[#This Row],[cantidad]]</f>
        <v>180.5</v>
      </c>
      <c r="M777" s="88">
        <v>43438</v>
      </c>
      <c r="N777" s="88"/>
      <c r="O777" s="88" t="str">
        <f>IF( Tabla1[[#This Row],[Fecha de entrega real]]="","NO CONCRETADO",IF(N777&lt;=M777,"CUMPLIÓ","NO CUMPLIÓ"))</f>
        <v>NO CONCRETADO</v>
      </c>
      <c r="P777" s="141" t="str">
        <f t="shared" si="17"/>
        <v>NO CONCRETADO</v>
      </c>
      <c r="U777" s="450" t="s">
        <v>2387</v>
      </c>
      <c r="X777" s="1">
        <f>MONTH(Tabla1[[#This Row],[fecha
de
pedido]])</f>
        <v>11</v>
      </c>
      <c r="Y777" s="1">
        <f>YEAR(Tabla1[[#This Row],[fecha
de
pedido]])</f>
        <v>2019</v>
      </c>
    </row>
    <row r="778" spans="1:25" ht="51" x14ac:dyDescent="0.2">
      <c r="A778" s="152">
        <v>43805</v>
      </c>
      <c r="B778" s="426">
        <v>18109</v>
      </c>
      <c r="C778" s="4" t="s">
        <v>2092</v>
      </c>
      <c r="D778" s="4" t="s">
        <v>2204</v>
      </c>
      <c r="E778" s="4" t="s">
        <v>2092</v>
      </c>
      <c r="F778" s="1" t="s">
        <v>772</v>
      </c>
      <c r="G778" s="4" t="s">
        <v>2354</v>
      </c>
      <c r="H778" s="1">
        <v>1</v>
      </c>
      <c r="I778" s="1" t="s">
        <v>488</v>
      </c>
      <c r="J778" s="4" t="s">
        <v>48</v>
      </c>
      <c r="K778" s="1">
        <v>89.1</v>
      </c>
      <c r="L778" s="1">
        <f>Tabla1[[#This Row],[Costo Unitario]]*Tabla1[[#This Row],[cantidad]]</f>
        <v>89.1</v>
      </c>
      <c r="M778" s="88">
        <v>43447</v>
      </c>
      <c r="N778" s="88"/>
      <c r="O778" s="88" t="str">
        <f>IF( Tabla1[[#This Row],[Fecha de entrega real]]="","NO CONCRETADO",IF(N778&lt;=M778,"CUMPLIÓ","NO CUMPLIÓ"))</f>
        <v>NO CONCRETADO</v>
      </c>
      <c r="P778" s="141" t="str">
        <f t="shared" si="17"/>
        <v>NO CONCRETADO</v>
      </c>
      <c r="U778" s="450" t="s">
        <v>2387</v>
      </c>
      <c r="X778" s="1">
        <f>MONTH(Tabla1[[#This Row],[fecha
de
pedido]])</f>
        <v>12</v>
      </c>
      <c r="Y778" s="1">
        <f>YEAR(Tabla1[[#This Row],[fecha
de
pedido]])</f>
        <v>2019</v>
      </c>
    </row>
    <row r="779" spans="1:25" ht="38.25" x14ac:dyDescent="0.2">
      <c r="A779" s="152">
        <v>43810</v>
      </c>
      <c r="B779" s="426">
        <v>18110</v>
      </c>
      <c r="C779" s="4" t="s">
        <v>1103</v>
      </c>
      <c r="D779" s="4" t="s">
        <v>2204</v>
      </c>
      <c r="E779" s="4" t="s">
        <v>11</v>
      </c>
      <c r="F779" s="1" t="s">
        <v>1199</v>
      </c>
      <c r="G779" s="4" t="s">
        <v>2355</v>
      </c>
      <c r="H779" s="1">
        <v>24</v>
      </c>
      <c r="I779" s="1" t="s">
        <v>779</v>
      </c>
      <c r="J779" s="4" t="s">
        <v>65</v>
      </c>
      <c r="K779" s="1">
        <v>20</v>
      </c>
      <c r="L779" s="1">
        <f>Tabla1[[#This Row],[Costo Unitario]]*Tabla1[[#This Row],[cantidad]]</f>
        <v>480</v>
      </c>
      <c r="M779" s="88">
        <v>43461</v>
      </c>
      <c r="N779" s="88">
        <v>43461</v>
      </c>
      <c r="O779" s="88" t="str">
        <f>IF( Tabla1[[#This Row],[Fecha de entrega real]]="","NO CONCRETADO",IF(N779&lt;=M779,"CUMPLIÓ","NO CUMPLIÓ"))</f>
        <v>CUMPLIÓ</v>
      </c>
      <c r="P779" s="141">
        <f t="shared" si="17"/>
        <v>0</v>
      </c>
      <c r="U779" s="450" t="s">
        <v>2387</v>
      </c>
      <c r="X779" s="1">
        <f>MONTH(Tabla1[[#This Row],[fecha
de
pedido]])</f>
        <v>12</v>
      </c>
      <c r="Y779" s="1">
        <f>YEAR(Tabla1[[#This Row],[fecha
de
pedido]])</f>
        <v>2019</v>
      </c>
    </row>
    <row r="780" spans="1:25" ht="63.75" x14ac:dyDescent="0.2">
      <c r="A780" s="152">
        <v>43447</v>
      </c>
      <c r="B780" s="447" t="s">
        <v>2284</v>
      </c>
      <c r="C780" s="4" t="s">
        <v>2092</v>
      </c>
      <c r="D780" s="4" t="s">
        <v>33</v>
      </c>
      <c r="E780" s="4" t="s">
        <v>2209</v>
      </c>
      <c r="F780" s="1" t="s">
        <v>772</v>
      </c>
      <c r="G780" s="4" t="s">
        <v>2285</v>
      </c>
      <c r="H780" s="1">
        <v>1</v>
      </c>
      <c r="I780" s="1" t="s">
        <v>488</v>
      </c>
      <c r="J780" s="4" t="s">
        <v>48</v>
      </c>
      <c r="K780" s="1">
        <v>379.5</v>
      </c>
      <c r="L780" s="1">
        <f>Tabla1[[#This Row],[Costo Unitario]]*Tabla1[[#This Row],[cantidad]]</f>
        <v>379.5</v>
      </c>
      <c r="M780" s="88">
        <v>43507</v>
      </c>
      <c r="N780" s="88">
        <v>43514</v>
      </c>
      <c r="O780" s="88" t="str">
        <f>IF( Tabla1[[#This Row],[Fecha de entrega real]]="","NO CONCRETADO",IF(N780&lt;=M780,"CUMPLIÓ","NO CUMPLIÓ"))</f>
        <v>NO CUMPLIÓ</v>
      </c>
      <c r="P780" s="141">
        <f t="shared" si="17"/>
        <v>7</v>
      </c>
      <c r="U780" s="148" t="s">
        <v>2286</v>
      </c>
      <c r="X780" s="1">
        <f>MONTH(Tabla1[[#This Row],[fecha
de
pedido]])</f>
        <v>12</v>
      </c>
      <c r="Y780" s="1">
        <f>YEAR(Tabla1[[#This Row],[fecha
de
pedido]])</f>
        <v>2018</v>
      </c>
    </row>
    <row r="781" spans="1:25" ht="38.25" x14ac:dyDescent="0.2">
      <c r="A781" s="152">
        <v>43447</v>
      </c>
      <c r="B781" s="430">
        <v>18112</v>
      </c>
      <c r="C781" s="4" t="s">
        <v>2243</v>
      </c>
      <c r="D781" s="4" t="s">
        <v>33</v>
      </c>
      <c r="E781" s="4" t="s">
        <v>11</v>
      </c>
      <c r="F781" s="1" t="s">
        <v>778</v>
      </c>
      <c r="G781" s="4" t="s">
        <v>2356</v>
      </c>
      <c r="H781" s="1">
        <v>1</v>
      </c>
      <c r="I781" s="1" t="s">
        <v>488</v>
      </c>
      <c r="J781" s="4" t="s">
        <v>1795</v>
      </c>
      <c r="K781" s="1">
        <v>1706.1</v>
      </c>
      <c r="L781" s="1">
        <f>Tabla1[[#This Row],[Costo Unitario]]*Tabla1[[#This Row],[cantidad]]</f>
        <v>1706.1</v>
      </c>
      <c r="M781" s="88" t="s">
        <v>854</v>
      </c>
      <c r="N781" s="88"/>
      <c r="O781" s="88" t="str">
        <f>IF( Tabla1[[#This Row],[Fecha de entrega real]]="","NO CONCRETADO",IF(N781&lt;=M781,"CUMPLIÓ","NO CUMPLIÓ"))</f>
        <v>NO CONCRETADO</v>
      </c>
      <c r="P781" s="141" t="str">
        <f t="shared" si="17"/>
        <v>NO CONCRETADO</v>
      </c>
      <c r="U781" s="148"/>
      <c r="X781" s="1">
        <f>MONTH(Tabla1[[#This Row],[fecha
de
pedido]])</f>
        <v>12</v>
      </c>
      <c r="Y781" s="1">
        <f>YEAR(Tabla1[[#This Row],[fecha
de
pedido]])</f>
        <v>2018</v>
      </c>
    </row>
    <row r="782" spans="1:25" ht="38.25" x14ac:dyDescent="0.2">
      <c r="A782" s="152">
        <v>43447</v>
      </c>
      <c r="B782" s="430">
        <v>18112</v>
      </c>
      <c r="C782" s="4" t="s">
        <v>983</v>
      </c>
      <c r="D782" s="4" t="s">
        <v>33</v>
      </c>
      <c r="E782" s="4" t="s">
        <v>11</v>
      </c>
      <c r="F782" s="1" t="s">
        <v>772</v>
      </c>
      <c r="G782" s="451" t="s">
        <v>2357</v>
      </c>
      <c r="H782" s="1">
        <v>3</v>
      </c>
      <c r="I782" s="1" t="s">
        <v>986</v>
      </c>
      <c r="J782" s="4" t="s">
        <v>1795</v>
      </c>
      <c r="K782" s="1">
        <f>315*1.21</f>
        <v>381.15</v>
      </c>
      <c r="L782" s="1">
        <f>Tabla1[[#This Row],[Costo Unitario]]*Tabla1[[#This Row],[cantidad]]</f>
        <v>1143.4499999999998</v>
      </c>
      <c r="M782" s="88" t="s">
        <v>854</v>
      </c>
      <c r="N782" s="88"/>
      <c r="O782" s="88" t="str">
        <f>IF( Tabla1[[#This Row],[Fecha de entrega real]]="","NO CONCRETADO",IF(N782&lt;=M782,"CUMPLIÓ","NO CUMPLIÓ"))</f>
        <v>NO CONCRETADO</v>
      </c>
      <c r="P782" s="141" t="str">
        <f t="shared" si="17"/>
        <v>NO CONCRETADO</v>
      </c>
      <c r="U782" s="148"/>
      <c r="X782" s="1">
        <f>MONTH(Tabla1[[#This Row],[fecha
de
pedido]])</f>
        <v>12</v>
      </c>
      <c r="Y782" s="1">
        <f>YEAR(Tabla1[[#This Row],[fecha
de
pedido]])</f>
        <v>2018</v>
      </c>
    </row>
    <row r="783" spans="1:25" ht="51" x14ac:dyDescent="0.2">
      <c r="A783" s="152">
        <v>43447</v>
      </c>
      <c r="B783" s="430">
        <v>18113</v>
      </c>
      <c r="C783" s="4" t="s">
        <v>1313</v>
      </c>
      <c r="D783" s="4" t="s">
        <v>33</v>
      </c>
      <c r="E783" s="4" t="s">
        <v>2209</v>
      </c>
      <c r="F783" s="1" t="s">
        <v>772</v>
      </c>
      <c r="G783" s="4" t="s">
        <v>2358</v>
      </c>
      <c r="H783" s="1">
        <v>2</v>
      </c>
      <c r="I783" s="1" t="s">
        <v>897</v>
      </c>
      <c r="J783" s="4" t="s">
        <v>1727</v>
      </c>
      <c r="K783" s="1">
        <v>33</v>
      </c>
      <c r="L783" s="1">
        <f>Tabla1[[#This Row],[Costo Unitario]]*Tabla1[[#This Row],[cantidad]]</f>
        <v>66</v>
      </c>
      <c r="M783" s="88">
        <v>43454</v>
      </c>
      <c r="N783" s="88"/>
      <c r="O783" s="88" t="str">
        <f>IF( Tabla1[[#This Row],[Fecha de entrega real]]="","NO CONCRETADO",IF(N783&lt;=M783,"CUMPLIÓ","NO CUMPLIÓ"))</f>
        <v>NO CONCRETADO</v>
      </c>
      <c r="P783" s="141" t="str">
        <f t="shared" si="17"/>
        <v>NO CONCRETADO</v>
      </c>
      <c r="U783" s="148"/>
      <c r="X783" s="1">
        <f>MONTH(Tabla1[[#This Row],[fecha
de
pedido]])</f>
        <v>12</v>
      </c>
      <c r="Y783" s="1">
        <f>YEAR(Tabla1[[#This Row],[fecha
de
pedido]])</f>
        <v>2018</v>
      </c>
    </row>
    <row r="784" spans="1:25" ht="38.25" x14ac:dyDescent="0.2">
      <c r="A784" s="152">
        <v>43454</v>
      </c>
      <c r="B784" s="430" t="s">
        <v>2359</v>
      </c>
      <c r="C784" s="4" t="s">
        <v>11</v>
      </c>
      <c r="D784" s="4" t="s">
        <v>33</v>
      </c>
      <c r="E784" s="4" t="s">
        <v>11</v>
      </c>
      <c r="F784" s="1" t="s">
        <v>1041</v>
      </c>
      <c r="G784" s="4" t="s">
        <v>2361</v>
      </c>
      <c r="H784" s="1">
        <v>1</v>
      </c>
      <c r="I784" s="1" t="s">
        <v>1041</v>
      </c>
      <c r="J784" s="4" t="s">
        <v>2363</v>
      </c>
      <c r="K784" s="1">
        <v>786.5</v>
      </c>
      <c r="L784" s="1">
        <f>Tabla1[[#This Row],[Costo Unitario]]*Tabla1[[#This Row],[cantidad]]</f>
        <v>786.5</v>
      </c>
      <c r="M784" s="88">
        <v>43461</v>
      </c>
      <c r="N784" s="88"/>
      <c r="O784" s="88" t="str">
        <f>IF( Tabla1[[#This Row],[Fecha de entrega real]]="","NO CONCRETADO",IF(N784&lt;=M784,"CUMPLIÓ","NO CUMPLIÓ"))</f>
        <v>NO CONCRETADO</v>
      </c>
      <c r="P784" s="141" t="str">
        <f t="shared" si="17"/>
        <v>NO CONCRETADO</v>
      </c>
      <c r="U784" s="148"/>
      <c r="X784" s="1">
        <f>MONTH(Tabla1[[#This Row],[fecha
de
pedido]])</f>
        <v>12</v>
      </c>
      <c r="Y784" s="1">
        <f>YEAR(Tabla1[[#This Row],[fecha
de
pedido]])</f>
        <v>2018</v>
      </c>
    </row>
    <row r="785" spans="1:25" ht="51" x14ac:dyDescent="0.2">
      <c r="A785" s="152">
        <v>43454</v>
      </c>
      <c r="B785" s="430" t="s">
        <v>2360</v>
      </c>
      <c r="C785" s="4" t="s">
        <v>11</v>
      </c>
      <c r="D785" s="4" t="s">
        <v>33</v>
      </c>
      <c r="E785" s="4" t="s">
        <v>11</v>
      </c>
      <c r="F785" s="1" t="s">
        <v>1041</v>
      </c>
      <c r="G785" s="4" t="s">
        <v>2362</v>
      </c>
      <c r="H785" s="1">
        <v>1</v>
      </c>
      <c r="I785" s="1" t="s">
        <v>830</v>
      </c>
      <c r="J785" s="4" t="s">
        <v>2363</v>
      </c>
      <c r="K785" s="1">
        <v>322.23</v>
      </c>
      <c r="L785" s="1">
        <f>Tabla1[[#This Row],[Costo Unitario]]*Tabla1[[#This Row],[cantidad]]</f>
        <v>322.23</v>
      </c>
      <c r="M785" s="88">
        <v>43461</v>
      </c>
      <c r="N785" s="88"/>
      <c r="O785" s="88" t="str">
        <f>IF( Tabla1[[#This Row],[Fecha de entrega real]]="","NO CONCRETADO",IF(N785&lt;=M785,"CUMPLIÓ","NO CUMPLIÓ"))</f>
        <v>NO CONCRETADO</v>
      </c>
      <c r="P785" s="141" t="str">
        <f t="shared" si="17"/>
        <v>NO CONCRETADO</v>
      </c>
      <c r="U785" s="148"/>
      <c r="X785" s="1">
        <f>MONTH(Tabla1[[#This Row],[fecha
de
pedido]])</f>
        <v>12</v>
      </c>
      <c r="Y785" s="1">
        <f>YEAR(Tabla1[[#This Row],[fecha
de
pedido]])</f>
        <v>2018</v>
      </c>
    </row>
    <row r="786" spans="1:25" ht="38.25" x14ac:dyDescent="0.2">
      <c r="A786" s="152">
        <v>42356</v>
      </c>
      <c r="B786" s="430">
        <v>18115</v>
      </c>
      <c r="C786" s="4" t="s">
        <v>2209</v>
      </c>
      <c r="D786" s="4" t="s">
        <v>33</v>
      </c>
      <c r="E786" s="4" t="s">
        <v>2092</v>
      </c>
      <c r="F786" s="1" t="s">
        <v>2364</v>
      </c>
      <c r="G786" s="4" t="s">
        <v>2365</v>
      </c>
      <c r="H786" s="1">
        <v>1</v>
      </c>
      <c r="I786" s="1" t="s">
        <v>488</v>
      </c>
      <c r="J786" s="4" t="s">
        <v>2073</v>
      </c>
      <c r="K786" s="1">
        <v>165.77</v>
      </c>
      <c r="L786" s="1">
        <f>Tabla1[[#This Row],[Costo Unitario]]*Tabla1[[#This Row],[cantidad]]</f>
        <v>165.77</v>
      </c>
      <c r="M786" s="88">
        <v>43542</v>
      </c>
      <c r="N786" s="88">
        <v>43549</v>
      </c>
      <c r="O786" s="88" t="str">
        <f>IF( Tabla1[[#This Row],[Fecha de entrega real]]="","NO CONCRETADO",IF(N786&lt;=M786,"CUMPLIÓ","NO CUMPLIÓ"))</f>
        <v>NO CUMPLIÓ</v>
      </c>
      <c r="P786" s="141">
        <f t="shared" si="17"/>
        <v>7</v>
      </c>
      <c r="Q786" s="4" t="s">
        <v>838</v>
      </c>
      <c r="R786" s="4" t="s">
        <v>33</v>
      </c>
      <c r="S786" s="4" t="s">
        <v>1543</v>
      </c>
      <c r="T786" s="1" t="s">
        <v>2366</v>
      </c>
      <c r="U786" s="148"/>
      <c r="X786" s="1">
        <f>MONTH(Tabla1[[#This Row],[fecha
de
pedido]])</f>
        <v>12</v>
      </c>
      <c r="Y786" s="1">
        <f>YEAR(Tabla1[[#This Row],[fecha
de
pedido]])</f>
        <v>2015</v>
      </c>
    </row>
    <row r="787" spans="1:25" ht="38.25" x14ac:dyDescent="0.2">
      <c r="A787" s="152">
        <v>43454</v>
      </c>
      <c r="B787" s="430">
        <v>18116</v>
      </c>
      <c r="C787" s="4" t="s">
        <v>11</v>
      </c>
      <c r="D787" s="4" t="s">
        <v>33</v>
      </c>
      <c r="E787" s="4" t="s">
        <v>2092</v>
      </c>
      <c r="F787" s="1" t="s">
        <v>1041</v>
      </c>
      <c r="G787" s="4" t="s">
        <v>2368</v>
      </c>
      <c r="H787" s="1">
        <v>1</v>
      </c>
      <c r="I787" s="1" t="s">
        <v>488</v>
      </c>
      <c r="J787" s="4" t="s">
        <v>2363</v>
      </c>
      <c r="K787" s="1">
        <v>786.5</v>
      </c>
      <c r="L787" s="1">
        <f>Tabla1[[#This Row],[Costo Unitario]]*Tabla1[[#This Row],[cantidad]]</f>
        <v>786.5</v>
      </c>
      <c r="M787" s="88">
        <v>43437</v>
      </c>
      <c r="N787" s="88">
        <v>43447</v>
      </c>
      <c r="O787" s="88" t="str">
        <f>IF( Tabla1[[#This Row],[Fecha de entrega real]]="","NO CONCRETADO",IF(N787&lt;=M787,"CUMPLIÓ","NO CUMPLIÓ"))</f>
        <v>NO CUMPLIÓ</v>
      </c>
      <c r="P787" s="141">
        <f t="shared" si="17"/>
        <v>10</v>
      </c>
      <c r="Q787" s="4" t="s">
        <v>838</v>
      </c>
      <c r="R787" s="4" t="s">
        <v>33</v>
      </c>
      <c r="S787" s="4" t="s">
        <v>2370</v>
      </c>
      <c r="U787" s="450" t="s">
        <v>2371</v>
      </c>
      <c r="X787" s="1">
        <f>MONTH(Tabla1[[#This Row],[fecha
de
pedido]])</f>
        <v>12</v>
      </c>
      <c r="Y787" s="1">
        <f>YEAR(Tabla1[[#This Row],[fecha
de
pedido]])</f>
        <v>2018</v>
      </c>
    </row>
    <row r="788" spans="1:25" ht="51" x14ac:dyDescent="0.2">
      <c r="A788" s="152">
        <v>43454</v>
      </c>
      <c r="B788" s="430">
        <v>18116</v>
      </c>
      <c r="C788" s="4" t="s">
        <v>11</v>
      </c>
      <c r="D788" s="4" t="s">
        <v>33</v>
      </c>
      <c r="E788" s="4" t="s">
        <v>2092</v>
      </c>
      <c r="F788" s="1" t="s">
        <v>2367</v>
      </c>
      <c r="G788" s="4" t="s">
        <v>2369</v>
      </c>
      <c r="H788" s="1">
        <v>1</v>
      </c>
      <c r="I788" s="1" t="s">
        <v>2367</v>
      </c>
      <c r="J788" s="4" t="s">
        <v>2363</v>
      </c>
      <c r="K788" s="1">
        <v>322.23</v>
      </c>
      <c r="L788" s="1">
        <f>Tabla1[[#This Row],[Costo Unitario]]*Tabla1[[#This Row],[cantidad]]</f>
        <v>322.23</v>
      </c>
      <c r="M788" s="88">
        <v>43437</v>
      </c>
      <c r="N788" s="88">
        <v>43447</v>
      </c>
      <c r="O788" s="88" t="str">
        <f>IF( Tabla1[[#This Row],[Fecha de entrega real]]="","NO CONCRETADO",IF(N788&lt;=M788,"CUMPLIÓ","NO CUMPLIÓ"))</f>
        <v>NO CUMPLIÓ</v>
      </c>
      <c r="P788" s="141">
        <f t="shared" si="17"/>
        <v>10</v>
      </c>
      <c r="Q788" s="4" t="s">
        <v>838</v>
      </c>
      <c r="R788" s="4" t="s">
        <v>33</v>
      </c>
      <c r="S788" s="4" t="s">
        <v>2370</v>
      </c>
      <c r="U788" s="450" t="s">
        <v>2371</v>
      </c>
      <c r="X788" s="1">
        <f>MONTH(Tabla1[[#This Row],[fecha
de
pedido]])</f>
        <v>12</v>
      </c>
      <c r="Y788" s="1">
        <f>YEAR(Tabla1[[#This Row],[fecha
de
pedido]])</f>
        <v>2018</v>
      </c>
    </row>
    <row r="789" spans="1:25" ht="51" x14ac:dyDescent="0.2">
      <c r="A789" s="152">
        <v>43455</v>
      </c>
      <c r="B789" s="430">
        <v>18117</v>
      </c>
      <c r="C789" s="4" t="s">
        <v>30</v>
      </c>
      <c r="D789" s="4" t="s">
        <v>33</v>
      </c>
      <c r="E789" s="4" t="s">
        <v>2092</v>
      </c>
      <c r="F789" s="1" t="s">
        <v>772</v>
      </c>
      <c r="G789" s="4" t="s">
        <v>2140</v>
      </c>
      <c r="H789" s="1">
        <v>6</v>
      </c>
      <c r="I789" s="1" t="s">
        <v>898</v>
      </c>
      <c r="J789" s="4" t="s">
        <v>48</v>
      </c>
      <c r="K789" s="1">
        <v>3633.63</v>
      </c>
      <c r="L789" s="1">
        <f>Tabla1[[#This Row],[Costo Unitario]]*Tabla1[[#This Row],[cantidad]]</f>
        <v>21801.78</v>
      </c>
      <c r="M789" s="88">
        <v>43461</v>
      </c>
      <c r="N789" s="88"/>
      <c r="O789" s="88" t="str">
        <f>IF( Tabla1[[#This Row],[Fecha de entrega real]]="","NO CONCRETADO",IF(N789&lt;=M789,"CUMPLIÓ","NO CUMPLIÓ"))</f>
        <v>NO CONCRETADO</v>
      </c>
      <c r="P789" s="141" t="str">
        <f t="shared" si="17"/>
        <v>NO CONCRETADO</v>
      </c>
      <c r="X789" s="1">
        <f>MONTH(Tabla1[[#This Row],[fecha
de
pedido]])</f>
        <v>12</v>
      </c>
      <c r="Y789" s="1">
        <f>YEAR(Tabla1[[#This Row],[fecha
de
pedido]])</f>
        <v>2018</v>
      </c>
    </row>
    <row r="790" spans="1:25" s="464" customFormat="1" ht="22.5" x14ac:dyDescent="0.3">
      <c r="A790" s="465"/>
      <c r="B790" s="458"/>
      <c r="C790" s="459"/>
      <c r="D790" s="459"/>
      <c r="E790" s="459"/>
      <c r="F790" s="460"/>
      <c r="G790" s="466" t="s">
        <v>2372</v>
      </c>
      <c r="H790" s="460"/>
      <c r="I790" s="460"/>
      <c r="J790" s="459"/>
      <c r="K790" s="460"/>
      <c r="L790" s="460"/>
      <c r="M790" s="461"/>
      <c r="N790" s="461"/>
      <c r="O790" s="461" t="str">
        <f>IF( Tabla1[[#This Row],[Fecha de entrega real]]="","NO CONCRETADO",IF(N790&lt;=M790,"CUMPLIÓ","NO CUMPLIÓ"))</f>
        <v>NO CONCRETADO</v>
      </c>
      <c r="P790" s="462"/>
      <c r="Q790" s="459"/>
      <c r="R790" s="459"/>
      <c r="S790" s="459"/>
      <c r="T790" s="460"/>
      <c r="U790" s="463"/>
      <c r="V790" s="460"/>
      <c r="W790" s="460"/>
      <c r="X790" s="460">
        <f>MONTH(Tabla1[[#This Row],[fecha
de
pedido]])</f>
        <v>1</v>
      </c>
      <c r="Y790" s="460">
        <f>YEAR(Tabla1[[#This Row],[fecha
de
pedido]])</f>
        <v>1900</v>
      </c>
    </row>
    <row r="791" spans="1:25" ht="25.5" x14ac:dyDescent="0.2">
      <c r="A791" s="467">
        <v>43480</v>
      </c>
      <c r="B791" s="468">
        <v>19001</v>
      </c>
      <c r="C791" s="469" t="s">
        <v>33</v>
      </c>
      <c r="D791" s="470" t="s">
        <v>33</v>
      </c>
      <c r="E791" s="469" t="s">
        <v>2209</v>
      </c>
      <c r="F791" s="470" t="s">
        <v>1045</v>
      </c>
      <c r="G791" s="469" t="s">
        <v>2215</v>
      </c>
      <c r="H791" s="471">
        <v>8</v>
      </c>
      <c r="I791" s="470" t="s">
        <v>1351</v>
      </c>
      <c r="J791" s="469" t="s">
        <v>771</v>
      </c>
      <c r="K791" s="471">
        <v>455</v>
      </c>
      <c r="L791" s="470">
        <f>Tabla1[[#This Row],[Costo Unitario]]*Tabla1[[#This Row],[cantidad]]</f>
        <v>3640</v>
      </c>
      <c r="M791" s="472">
        <v>43480</v>
      </c>
      <c r="N791" s="472">
        <v>43480</v>
      </c>
      <c r="O791" s="472" t="str">
        <f>IF( Tabla1[[#This Row],[Fecha de entrega real]]="","NO CONCRETADO",IF(N791&lt;=M791,"CUMPLIÓ","NO CUMPLIÓ"))</f>
        <v>CUMPLIÓ</v>
      </c>
      <c r="P791" s="473">
        <f t="shared" si="17"/>
        <v>0</v>
      </c>
      <c r="Q791" s="469" t="s">
        <v>13</v>
      </c>
      <c r="R791" s="469" t="s">
        <v>33</v>
      </c>
      <c r="S791" s="469" t="s">
        <v>2219</v>
      </c>
      <c r="T791" s="470" t="s">
        <v>1983</v>
      </c>
      <c r="U791" s="474" t="s">
        <v>2220</v>
      </c>
      <c r="V791" s="471"/>
      <c r="W791" s="435"/>
      <c r="X791" s="435">
        <f>MONTH(Tabla1[[#This Row],[fecha
de
pedido]])</f>
        <v>1</v>
      </c>
      <c r="Y791" s="435">
        <f>YEAR(Tabla1[[#This Row],[fecha
de
pedido]])</f>
        <v>2019</v>
      </c>
    </row>
    <row r="792" spans="1:25" ht="25.5" x14ac:dyDescent="0.2">
      <c r="A792" s="467">
        <v>43480</v>
      </c>
      <c r="B792" s="468">
        <v>19001</v>
      </c>
      <c r="C792" s="469" t="s">
        <v>33</v>
      </c>
      <c r="D792" s="470" t="s">
        <v>849</v>
      </c>
      <c r="E792" s="469" t="s">
        <v>2209</v>
      </c>
      <c r="F792" s="470" t="s">
        <v>1045</v>
      </c>
      <c r="G792" s="469" t="s">
        <v>2214</v>
      </c>
      <c r="H792" s="471">
        <v>4</v>
      </c>
      <c r="I792" s="470" t="s">
        <v>1351</v>
      </c>
      <c r="J792" s="469" t="s">
        <v>771</v>
      </c>
      <c r="K792" s="471">
        <v>170</v>
      </c>
      <c r="L792" s="471">
        <f>Tabla1[[#This Row],[Costo Unitario]]*Tabla1[[#This Row],[cantidad]]</f>
        <v>680</v>
      </c>
      <c r="M792" s="472">
        <v>43480</v>
      </c>
      <c r="N792" s="472">
        <v>43480</v>
      </c>
      <c r="O792" s="472" t="str">
        <f>IF( Tabla1[[#This Row],[Fecha de entrega real]]="","NO CONCRETADO",IF(N792&lt;=M792,"CUMPLIÓ","NO CUMPLIÓ"))</f>
        <v>CUMPLIÓ</v>
      </c>
      <c r="P792" s="473">
        <f t="shared" si="17"/>
        <v>0</v>
      </c>
      <c r="Q792" s="469" t="s">
        <v>13</v>
      </c>
      <c r="R792" s="469" t="s">
        <v>33</v>
      </c>
      <c r="S792" s="469" t="s">
        <v>2219</v>
      </c>
      <c r="T792" s="470" t="s">
        <v>1983</v>
      </c>
      <c r="U792" s="474" t="s">
        <v>2220</v>
      </c>
      <c r="V792" s="471"/>
      <c r="W792" s="435"/>
      <c r="X792" s="435">
        <f>MONTH(Tabla1[[#This Row],[fecha
de
pedido]])</f>
        <v>1</v>
      </c>
      <c r="Y792" s="435">
        <f>YEAR(Tabla1[[#This Row],[fecha
de
pedido]])</f>
        <v>2019</v>
      </c>
    </row>
    <row r="793" spans="1:25" ht="25.5" x14ac:dyDescent="0.2">
      <c r="A793" s="467">
        <v>43480</v>
      </c>
      <c r="B793" s="468">
        <v>19001</v>
      </c>
      <c r="C793" s="469" t="s">
        <v>33</v>
      </c>
      <c r="D793" s="470" t="s">
        <v>33</v>
      </c>
      <c r="E793" s="469" t="s">
        <v>2209</v>
      </c>
      <c r="F793" s="470" t="s">
        <v>1045</v>
      </c>
      <c r="G793" s="469" t="s">
        <v>2216</v>
      </c>
      <c r="H793" s="471">
        <v>1</v>
      </c>
      <c r="I793" s="470" t="s">
        <v>781</v>
      </c>
      <c r="J793" s="469" t="s">
        <v>771</v>
      </c>
      <c r="K793" s="471">
        <v>70</v>
      </c>
      <c r="L793" s="471">
        <f>Tabla1[[#This Row],[Costo Unitario]]*Tabla1[[#This Row],[cantidad]]</f>
        <v>70</v>
      </c>
      <c r="M793" s="472">
        <v>43480</v>
      </c>
      <c r="N793" s="472">
        <v>43480</v>
      </c>
      <c r="O793" s="472" t="str">
        <f>IF( Tabla1[[#This Row],[Fecha de entrega real]]="","NO CONCRETADO",IF(N793&lt;=M793,"CUMPLIÓ","NO CUMPLIÓ"))</f>
        <v>CUMPLIÓ</v>
      </c>
      <c r="P793" s="473">
        <f t="shared" si="17"/>
        <v>0</v>
      </c>
      <c r="Q793" s="469" t="s">
        <v>13</v>
      </c>
      <c r="R793" s="469" t="s">
        <v>33</v>
      </c>
      <c r="S793" s="469" t="s">
        <v>2219</v>
      </c>
      <c r="T793" s="470" t="s">
        <v>1983</v>
      </c>
      <c r="U793" s="474" t="s">
        <v>2220</v>
      </c>
      <c r="V793" s="471"/>
      <c r="W793" s="435"/>
      <c r="X793" s="435">
        <f>MONTH(Tabla1[[#This Row],[fecha
de
pedido]])</f>
        <v>1</v>
      </c>
      <c r="Y793" s="435">
        <f>YEAR(Tabla1[[#This Row],[fecha
de
pedido]])</f>
        <v>2019</v>
      </c>
    </row>
    <row r="794" spans="1:25" ht="25.5" x14ac:dyDescent="0.2">
      <c r="A794" s="467">
        <v>43480</v>
      </c>
      <c r="B794" s="468">
        <v>19001</v>
      </c>
      <c r="C794" s="469" t="s">
        <v>2218</v>
      </c>
      <c r="D794" s="469" t="s">
        <v>1996</v>
      </c>
      <c r="E794" s="469" t="s">
        <v>2209</v>
      </c>
      <c r="F794" s="470" t="s">
        <v>1045</v>
      </c>
      <c r="G794" s="469" t="s">
        <v>2217</v>
      </c>
      <c r="H794" s="471">
        <v>2</v>
      </c>
      <c r="I794" s="470" t="s">
        <v>781</v>
      </c>
      <c r="J794" s="469" t="s">
        <v>771</v>
      </c>
      <c r="K794" s="471">
        <v>35</v>
      </c>
      <c r="L794" s="471">
        <f>Tabla1[[#This Row],[Costo Unitario]]*Tabla1[[#This Row],[cantidad]]</f>
        <v>70</v>
      </c>
      <c r="M794" s="472">
        <v>43480</v>
      </c>
      <c r="N794" s="472">
        <v>43480</v>
      </c>
      <c r="O794" s="472" t="str">
        <f>IF( Tabla1[[#This Row],[Fecha de entrega real]]="","NO CONCRETADO",IF(N794&lt;=M794,"CUMPLIÓ","NO CUMPLIÓ"))</f>
        <v>CUMPLIÓ</v>
      </c>
      <c r="P794" s="473">
        <f t="shared" si="17"/>
        <v>0</v>
      </c>
      <c r="Q794" s="469" t="s">
        <v>13</v>
      </c>
      <c r="R794" s="469" t="s">
        <v>33</v>
      </c>
      <c r="S794" s="469" t="s">
        <v>2219</v>
      </c>
      <c r="T794" s="470" t="s">
        <v>1983</v>
      </c>
      <c r="U794" s="474" t="s">
        <v>2220</v>
      </c>
      <c r="V794" s="471"/>
      <c r="W794" s="435"/>
      <c r="X794" s="435">
        <f>MONTH(Tabla1[[#This Row],[fecha
de
pedido]])</f>
        <v>1</v>
      </c>
      <c r="Y794" s="435">
        <f>YEAR(Tabla1[[#This Row],[fecha
de
pedido]])</f>
        <v>2019</v>
      </c>
    </row>
    <row r="795" spans="1:25" ht="63.75" x14ac:dyDescent="0.2">
      <c r="A795" s="467">
        <v>43481</v>
      </c>
      <c r="B795" s="468">
        <v>19002</v>
      </c>
      <c r="C795" s="469" t="s">
        <v>1020</v>
      </c>
      <c r="D795" s="469" t="s">
        <v>1996</v>
      </c>
      <c r="E795" s="469" t="s">
        <v>2209</v>
      </c>
      <c r="F795" s="470" t="s">
        <v>1045</v>
      </c>
      <c r="G795" s="469" t="s">
        <v>2221</v>
      </c>
      <c r="H795" s="471">
        <v>4</v>
      </c>
      <c r="I795" s="470" t="s">
        <v>784</v>
      </c>
      <c r="J795" s="469" t="s">
        <v>48</v>
      </c>
      <c r="K795" s="475">
        <v>2363.4899999999998</v>
      </c>
      <c r="L795" s="471">
        <f>Tabla1[[#This Row],[Costo Unitario]]*Tabla1[[#This Row],[cantidad]]</f>
        <v>9453.9599999999991</v>
      </c>
      <c r="M795" s="472">
        <v>43490</v>
      </c>
      <c r="N795" s="472">
        <v>43494</v>
      </c>
      <c r="O795" s="472" t="str">
        <f>IF( Tabla1[[#This Row],[Fecha de entrega real]]="","NO CONCRETADO",IF(N795&lt;=M795,"CUMPLIÓ","NO CUMPLIÓ"))</f>
        <v>NO CUMPLIÓ</v>
      </c>
      <c r="P795" s="473">
        <f t="shared" si="17"/>
        <v>4</v>
      </c>
      <c r="Q795" s="476" t="s">
        <v>2262</v>
      </c>
      <c r="R795" s="476" t="s">
        <v>2263</v>
      </c>
      <c r="S795" s="476" t="s">
        <v>2264</v>
      </c>
      <c r="T795" s="470" t="s">
        <v>2268</v>
      </c>
      <c r="U795" s="474" t="s">
        <v>2267</v>
      </c>
      <c r="V795" s="471"/>
      <c r="W795" s="435"/>
      <c r="X795" s="435">
        <f>MONTH(Tabla1[[#This Row],[fecha
de
pedido]])</f>
        <v>1</v>
      </c>
      <c r="Y795" s="435">
        <f>YEAR(Tabla1[[#This Row],[fecha
de
pedido]])</f>
        <v>2019</v>
      </c>
    </row>
    <row r="796" spans="1:25" ht="51" x14ac:dyDescent="0.2">
      <c r="A796" s="467">
        <v>43481</v>
      </c>
      <c r="B796" s="468">
        <v>19002</v>
      </c>
      <c r="C796" s="476" t="s">
        <v>921</v>
      </c>
      <c r="D796" s="476" t="s">
        <v>48</v>
      </c>
      <c r="E796" s="469" t="s">
        <v>2209</v>
      </c>
      <c r="F796" s="471" t="s">
        <v>834</v>
      </c>
      <c r="G796" s="476" t="s">
        <v>2265</v>
      </c>
      <c r="H796" s="471">
        <v>1</v>
      </c>
      <c r="I796" s="471" t="s">
        <v>830</v>
      </c>
      <c r="J796" s="476" t="s">
        <v>1004</v>
      </c>
      <c r="K796" s="475">
        <v>503.3</v>
      </c>
      <c r="L796" s="471">
        <f>Tabla1[[#This Row],[Costo Unitario]]*Tabla1[[#This Row],[cantidad]]</f>
        <v>503.3</v>
      </c>
      <c r="M796" s="472" t="s">
        <v>487</v>
      </c>
      <c r="N796" s="472">
        <v>43494</v>
      </c>
      <c r="O796" s="472" t="str">
        <f>IF( Tabla1[[#This Row],[Fecha de entrega real]]="","NO CONCRETADO",IF(N796&lt;=M796,"CUMPLIÓ","NO CUMPLIÓ"))</f>
        <v>CUMPLIÓ</v>
      </c>
      <c r="P796" s="473" t="e">
        <f t="shared" si="17"/>
        <v>#VALUE!</v>
      </c>
      <c r="Q796" s="476" t="s">
        <v>2262</v>
      </c>
      <c r="R796" s="476" t="s">
        <v>2263</v>
      </c>
      <c r="S796" s="476" t="s">
        <v>2264</v>
      </c>
      <c r="T796" s="470" t="s">
        <v>2268</v>
      </c>
      <c r="U796" s="477" t="s">
        <v>2266</v>
      </c>
      <c r="V796" s="471"/>
      <c r="W796" s="435"/>
      <c r="X796" s="435">
        <f>MONTH(Tabla1[[#This Row],[fecha
de
pedido]])</f>
        <v>1</v>
      </c>
      <c r="Y796" s="435">
        <f>YEAR(Tabla1[[#This Row],[fecha
de
pedido]])</f>
        <v>2019</v>
      </c>
    </row>
    <row r="797" spans="1:25" ht="63.75" x14ac:dyDescent="0.2">
      <c r="A797" s="467">
        <v>43481</v>
      </c>
      <c r="B797" s="468">
        <v>19003</v>
      </c>
      <c r="C797" s="469" t="s">
        <v>33</v>
      </c>
      <c r="D797" s="469" t="s">
        <v>1996</v>
      </c>
      <c r="E797" s="469" t="s">
        <v>11</v>
      </c>
      <c r="F797" s="469" t="s">
        <v>2222</v>
      </c>
      <c r="G797" s="469" t="s">
        <v>2223</v>
      </c>
      <c r="H797" s="471">
        <v>7</v>
      </c>
      <c r="I797" s="470" t="s">
        <v>784</v>
      </c>
      <c r="J797" s="469" t="s">
        <v>1296</v>
      </c>
      <c r="K797" s="471">
        <f>417*1.21</f>
        <v>504.57</v>
      </c>
      <c r="L797" s="471">
        <f>Tabla1[[#This Row],[Costo Unitario]]*Tabla1[[#This Row],[cantidad]]</f>
        <v>3531.99</v>
      </c>
      <c r="M797" s="470" t="s">
        <v>922</v>
      </c>
      <c r="N797" s="471"/>
      <c r="O797" s="472" t="str">
        <f>IF( Tabla1[[#This Row],[Fecha de entrega real]]="","NO CONCRETADO",IF(N797&lt;=M797,"CUMPLIÓ","NO CUMPLIÓ"))</f>
        <v>NO CONCRETADO</v>
      </c>
      <c r="P797" s="473" t="str">
        <f t="shared" si="17"/>
        <v>NO CONCRETADO</v>
      </c>
      <c r="Q797" s="476"/>
      <c r="R797" s="476"/>
      <c r="S797" s="476"/>
      <c r="T797" s="470"/>
      <c r="U797" s="474" t="s">
        <v>2269</v>
      </c>
      <c r="V797" s="471"/>
      <c r="W797" s="435"/>
      <c r="X797" s="435">
        <f>MONTH(Tabla1[[#This Row],[fecha
de
pedido]])</f>
        <v>1</v>
      </c>
      <c r="Y797" s="435">
        <f>YEAR(Tabla1[[#This Row],[fecha
de
pedido]])</f>
        <v>2019</v>
      </c>
    </row>
    <row r="798" spans="1:25" ht="63.75" x14ac:dyDescent="0.2">
      <c r="A798" s="467">
        <v>43481</v>
      </c>
      <c r="B798" s="468">
        <v>19003</v>
      </c>
      <c r="C798" s="469" t="s">
        <v>33</v>
      </c>
      <c r="D798" s="469" t="s">
        <v>1996</v>
      </c>
      <c r="E798" s="469" t="s">
        <v>11</v>
      </c>
      <c r="F798" s="469" t="s">
        <v>2222</v>
      </c>
      <c r="G798" s="469" t="s">
        <v>2224</v>
      </c>
      <c r="H798" s="471">
        <v>6</v>
      </c>
      <c r="I798" s="470" t="s">
        <v>784</v>
      </c>
      <c r="J798" s="469" t="s">
        <v>1296</v>
      </c>
      <c r="K798" s="471">
        <f>457*1.21</f>
        <v>552.97</v>
      </c>
      <c r="L798" s="471">
        <f>Tabla1[[#This Row],[Costo Unitario]]*Tabla1[[#This Row],[cantidad]]</f>
        <v>3317.82</v>
      </c>
      <c r="M798" s="470" t="s">
        <v>922</v>
      </c>
      <c r="N798" s="471"/>
      <c r="O798" s="472" t="str">
        <f>IF( Tabla1[[#This Row],[Fecha de entrega real]]="","NO CONCRETADO",IF(N798&lt;=M798,"CUMPLIÓ","NO CUMPLIÓ"))</f>
        <v>NO CONCRETADO</v>
      </c>
      <c r="P798" s="473" t="str">
        <f t="shared" si="17"/>
        <v>NO CONCRETADO</v>
      </c>
      <c r="Q798" s="476"/>
      <c r="R798" s="476"/>
      <c r="S798" s="476"/>
      <c r="T798" s="470"/>
      <c r="U798" s="474" t="s">
        <v>2269</v>
      </c>
      <c r="V798" s="471"/>
      <c r="W798" s="435"/>
      <c r="X798" s="435">
        <f>MONTH(Tabla1[[#This Row],[fecha
de
pedido]])</f>
        <v>1</v>
      </c>
      <c r="Y798" s="435">
        <f>YEAR(Tabla1[[#This Row],[fecha
de
pedido]])</f>
        <v>2019</v>
      </c>
    </row>
    <row r="799" spans="1:25" ht="63.75" x14ac:dyDescent="0.2">
      <c r="A799" s="467">
        <v>43481</v>
      </c>
      <c r="B799" s="468">
        <v>19003</v>
      </c>
      <c r="C799" s="469" t="s">
        <v>33</v>
      </c>
      <c r="D799" s="469" t="s">
        <v>1996</v>
      </c>
      <c r="E799" s="469" t="s">
        <v>11</v>
      </c>
      <c r="F799" s="469" t="s">
        <v>2222</v>
      </c>
      <c r="G799" s="469" t="s">
        <v>2225</v>
      </c>
      <c r="H799" s="471">
        <v>1</v>
      </c>
      <c r="I799" s="470" t="s">
        <v>784</v>
      </c>
      <c r="J799" s="469" t="s">
        <v>1296</v>
      </c>
      <c r="K799" s="471">
        <f>436*1.21</f>
        <v>527.55999999999995</v>
      </c>
      <c r="L799" s="471">
        <f>Tabla1[[#This Row],[Costo Unitario]]*Tabla1[[#This Row],[cantidad]]</f>
        <v>527.55999999999995</v>
      </c>
      <c r="M799" s="470" t="s">
        <v>922</v>
      </c>
      <c r="N799" s="471"/>
      <c r="O799" s="472" t="str">
        <f>IF( Tabla1[[#This Row],[Fecha de entrega real]]="","NO CONCRETADO",IF(N799&lt;=M799,"CUMPLIÓ","NO CUMPLIÓ"))</f>
        <v>NO CONCRETADO</v>
      </c>
      <c r="P799" s="473" t="str">
        <f t="shared" si="17"/>
        <v>NO CONCRETADO</v>
      </c>
      <c r="Q799" s="476"/>
      <c r="R799" s="476"/>
      <c r="S799" s="476"/>
      <c r="T799" s="471"/>
      <c r="U799" s="474" t="s">
        <v>2269</v>
      </c>
      <c r="V799" s="471"/>
      <c r="W799" s="435"/>
      <c r="X799" s="435">
        <f>MONTH(Tabla1[[#This Row],[fecha
de
pedido]])</f>
        <v>1</v>
      </c>
      <c r="Y799" s="435">
        <f>YEAR(Tabla1[[#This Row],[fecha
de
pedido]])</f>
        <v>2019</v>
      </c>
    </row>
    <row r="800" spans="1:25" ht="63.75" x14ac:dyDescent="0.2">
      <c r="A800" s="467">
        <v>43481</v>
      </c>
      <c r="B800" s="468">
        <v>19003</v>
      </c>
      <c r="C800" s="469" t="s">
        <v>33</v>
      </c>
      <c r="D800" s="469" t="s">
        <v>1996</v>
      </c>
      <c r="E800" s="469" t="s">
        <v>11</v>
      </c>
      <c r="F800" s="469" t="s">
        <v>2222</v>
      </c>
      <c r="G800" s="469" t="s">
        <v>2226</v>
      </c>
      <c r="H800" s="471">
        <v>5</v>
      </c>
      <c r="I800" s="470" t="s">
        <v>784</v>
      </c>
      <c r="J800" s="469" t="s">
        <v>1296</v>
      </c>
      <c r="K800" s="471">
        <f>480*1.21</f>
        <v>580.79999999999995</v>
      </c>
      <c r="L800" s="471">
        <f>Tabla1[[#This Row],[Costo Unitario]]*Tabla1[[#This Row],[cantidad]]</f>
        <v>2904</v>
      </c>
      <c r="M800" s="470" t="s">
        <v>922</v>
      </c>
      <c r="N800" s="471"/>
      <c r="O800" s="472" t="str">
        <f>IF( Tabla1[[#This Row],[Fecha de entrega real]]="","NO CONCRETADO",IF(N800&lt;=M800,"CUMPLIÓ","NO CUMPLIÓ"))</f>
        <v>NO CONCRETADO</v>
      </c>
      <c r="P800" s="473" t="str">
        <f t="shared" si="17"/>
        <v>NO CONCRETADO</v>
      </c>
      <c r="Q800" s="476"/>
      <c r="R800" s="476"/>
      <c r="S800" s="476"/>
      <c r="T800" s="471"/>
      <c r="U800" s="474" t="s">
        <v>2269</v>
      </c>
      <c r="V800" s="471"/>
      <c r="W800" s="435"/>
      <c r="X800" s="435">
        <f>MONTH(Tabla1[[#This Row],[fecha
de
pedido]])</f>
        <v>1</v>
      </c>
      <c r="Y800" s="435">
        <f>YEAR(Tabla1[[#This Row],[fecha
de
pedido]])</f>
        <v>2019</v>
      </c>
    </row>
    <row r="801" spans="1:25" ht="76.5" x14ac:dyDescent="0.2">
      <c r="A801" s="467">
        <v>43481</v>
      </c>
      <c r="B801" s="468">
        <v>19003</v>
      </c>
      <c r="C801" s="469" t="s">
        <v>33</v>
      </c>
      <c r="D801" s="469" t="s">
        <v>1996</v>
      </c>
      <c r="E801" s="469" t="s">
        <v>11</v>
      </c>
      <c r="F801" s="469" t="s">
        <v>2222</v>
      </c>
      <c r="G801" s="469" t="s">
        <v>2227</v>
      </c>
      <c r="H801" s="471">
        <v>4</v>
      </c>
      <c r="I801" s="470" t="s">
        <v>784</v>
      </c>
      <c r="J801" s="469" t="s">
        <v>1296</v>
      </c>
      <c r="K801" s="471">
        <f>528*1.21</f>
        <v>638.88</v>
      </c>
      <c r="L801" s="471">
        <f>Tabla1[[#This Row],[Costo Unitario]]*Tabla1[[#This Row],[cantidad]]</f>
        <v>2555.52</v>
      </c>
      <c r="M801" s="470" t="s">
        <v>922</v>
      </c>
      <c r="N801" s="471"/>
      <c r="O801" s="472" t="str">
        <f>IF( Tabla1[[#This Row],[Fecha de entrega real]]="","NO CONCRETADO",IF(N801&lt;=M801,"CUMPLIÓ","NO CUMPLIÓ"))</f>
        <v>NO CONCRETADO</v>
      </c>
      <c r="P801" s="473" t="str">
        <f t="shared" si="17"/>
        <v>NO CONCRETADO</v>
      </c>
      <c r="Q801" s="476"/>
      <c r="R801" s="476"/>
      <c r="S801" s="476"/>
      <c r="T801" s="471"/>
      <c r="U801" s="474" t="s">
        <v>2269</v>
      </c>
      <c r="V801" s="471"/>
      <c r="W801" s="435"/>
      <c r="X801" s="435">
        <f>MONTH(Tabla1[[#This Row],[fecha
de
pedido]])</f>
        <v>1</v>
      </c>
      <c r="Y801" s="435">
        <f>YEAR(Tabla1[[#This Row],[fecha
de
pedido]])</f>
        <v>2019</v>
      </c>
    </row>
    <row r="802" spans="1:25" ht="51" x14ac:dyDescent="0.2">
      <c r="A802" s="467">
        <v>43482</v>
      </c>
      <c r="B802" s="468">
        <v>19004</v>
      </c>
      <c r="C802" s="469" t="s">
        <v>2092</v>
      </c>
      <c r="D802" s="469" t="s">
        <v>1996</v>
      </c>
      <c r="E802" s="469" t="s">
        <v>2092</v>
      </c>
      <c r="F802" s="470" t="s">
        <v>772</v>
      </c>
      <c r="G802" s="469" t="s">
        <v>2240</v>
      </c>
      <c r="H802" s="470">
        <v>1</v>
      </c>
      <c r="I802" s="470" t="s">
        <v>488</v>
      </c>
      <c r="J802" s="469" t="s">
        <v>1727</v>
      </c>
      <c r="K802" s="470">
        <v>59</v>
      </c>
      <c r="L802" s="470">
        <f>Tabla1[[#This Row],[Costo Unitario]]*Tabla1[[#This Row],[cantidad]]</f>
        <v>59</v>
      </c>
      <c r="M802" s="478">
        <v>43502</v>
      </c>
      <c r="N802" s="470"/>
      <c r="O802" s="478" t="str">
        <f>IF( Tabla1[[#This Row],[Fecha de entrega real]]="","NO CONCRETADO",IF(N802&lt;=M802,"CUMPLIÓ","NO CUMPLIÓ"))</f>
        <v>NO CONCRETADO</v>
      </c>
      <c r="P802" s="473" t="str">
        <f t="shared" si="17"/>
        <v>NO CONCRETADO</v>
      </c>
      <c r="Q802" s="469"/>
      <c r="R802" s="469"/>
      <c r="S802" s="469" t="s">
        <v>2248</v>
      </c>
      <c r="T802" s="470"/>
      <c r="U802" s="474"/>
      <c r="V802" s="470"/>
      <c r="X802" s="1">
        <f>MONTH(Tabla1[[#This Row],[fecha
de
pedido]])</f>
        <v>1</v>
      </c>
      <c r="Y802" s="1">
        <f>YEAR(Tabla1[[#This Row],[fecha
de
pedido]])</f>
        <v>2019</v>
      </c>
    </row>
    <row r="803" spans="1:25" ht="51" x14ac:dyDescent="0.2">
      <c r="A803" s="467">
        <v>43482</v>
      </c>
      <c r="B803" s="468">
        <v>19004</v>
      </c>
      <c r="C803" s="469" t="s">
        <v>2092</v>
      </c>
      <c r="D803" s="469" t="s">
        <v>1996</v>
      </c>
      <c r="E803" s="469" t="s">
        <v>2092</v>
      </c>
      <c r="F803" s="470" t="s">
        <v>772</v>
      </c>
      <c r="G803" s="469" t="s">
        <v>2241</v>
      </c>
      <c r="H803" s="470">
        <v>1</v>
      </c>
      <c r="I803" s="470" t="s">
        <v>912</v>
      </c>
      <c r="J803" s="469" t="s">
        <v>2009</v>
      </c>
      <c r="K803" s="470">
        <v>3.2</v>
      </c>
      <c r="L803" s="470">
        <f>Tabla1[[#This Row],[Costo Unitario]]*Tabla1[[#This Row],[cantidad]]</f>
        <v>3.2</v>
      </c>
      <c r="M803" s="478">
        <v>43502</v>
      </c>
      <c r="N803" s="470"/>
      <c r="O803" s="478" t="str">
        <f>IF( Tabla1[[#This Row],[Fecha de entrega real]]="","NO CONCRETADO",IF(N803&lt;=M803,"CUMPLIÓ","NO CUMPLIÓ"))</f>
        <v>NO CONCRETADO</v>
      </c>
      <c r="P803" s="473" t="str">
        <f t="shared" si="17"/>
        <v>NO CONCRETADO</v>
      </c>
      <c r="Q803" s="469"/>
      <c r="R803" s="469"/>
      <c r="S803" s="469" t="s">
        <v>2248</v>
      </c>
      <c r="T803" s="470"/>
      <c r="U803" s="474"/>
      <c r="V803" s="470"/>
      <c r="X803" s="1">
        <f>MONTH(Tabla1[[#This Row],[fecha
de
pedido]])</f>
        <v>1</v>
      </c>
      <c r="Y803" s="1">
        <f>YEAR(Tabla1[[#This Row],[fecha
de
pedido]])</f>
        <v>2019</v>
      </c>
    </row>
    <row r="804" spans="1:25" ht="38.25" x14ac:dyDescent="0.2">
      <c r="A804" s="467">
        <v>43482</v>
      </c>
      <c r="B804" s="468">
        <v>19004</v>
      </c>
      <c r="C804" s="469" t="s">
        <v>2092</v>
      </c>
      <c r="D804" s="469" t="s">
        <v>1996</v>
      </c>
      <c r="E804" s="469" t="s">
        <v>2092</v>
      </c>
      <c r="F804" s="470" t="s">
        <v>772</v>
      </c>
      <c r="G804" s="469" t="s">
        <v>2242</v>
      </c>
      <c r="H804" s="470">
        <v>1</v>
      </c>
      <c r="I804" s="470" t="s">
        <v>912</v>
      </c>
      <c r="J804" s="469" t="s">
        <v>2009</v>
      </c>
      <c r="K804" s="470">
        <v>2.2000000000000002</v>
      </c>
      <c r="L804" s="470">
        <f>Tabla1[[#This Row],[Costo Unitario]]*Tabla1[[#This Row],[cantidad]]</f>
        <v>2.2000000000000002</v>
      </c>
      <c r="M804" s="478">
        <v>43502</v>
      </c>
      <c r="N804" s="470"/>
      <c r="O804" s="478" t="str">
        <f>IF( Tabla1[[#This Row],[Fecha de entrega real]]="","NO CONCRETADO",IF(N804&lt;=M804,"CUMPLIÓ","NO CUMPLIÓ"))</f>
        <v>NO CONCRETADO</v>
      </c>
      <c r="P804" s="473" t="str">
        <f t="shared" si="17"/>
        <v>NO CONCRETADO</v>
      </c>
      <c r="Q804" s="469"/>
      <c r="R804" s="469"/>
      <c r="S804" s="469" t="s">
        <v>2248</v>
      </c>
      <c r="T804" s="470"/>
      <c r="U804" s="474"/>
      <c r="V804" s="470"/>
      <c r="X804" s="1">
        <f>MONTH(Tabla1[[#This Row],[fecha
de
pedido]])</f>
        <v>1</v>
      </c>
      <c r="Y804" s="1">
        <f>YEAR(Tabla1[[#This Row],[fecha
de
pedido]])</f>
        <v>2019</v>
      </c>
    </row>
    <row r="805" spans="1:25" ht="38.25" x14ac:dyDescent="0.2">
      <c r="A805" s="467">
        <v>43483</v>
      </c>
      <c r="B805" s="468">
        <v>19005</v>
      </c>
      <c r="C805" s="469" t="s">
        <v>2243</v>
      </c>
      <c r="D805" s="469" t="s">
        <v>1996</v>
      </c>
      <c r="E805" s="469" t="s">
        <v>2092</v>
      </c>
      <c r="F805" s="470" t="s">
        <v>778</v>
      </c>
      <c r="G805" s="469" t="s">
        <v>2244</v>
      </c>
      <c r="H805" s="470">
        <v>1</v>
      </c>
      <c r="I805" s="470" t="s">
        <v>488</v>
      </c>
      <c r="J805" s="469" t="s">
        <v>2009</v>
      </c>
      <c r="K805" s="470">
        <v>11217</v>
      </c>
      <c r="L805" s="470">
        <f>Tabla1[[#This Row],[Costo Unitario]]*Tabla1[[#This Row],[cantidad]]</f>
        <v>11217</v>
      </c>
      <c r="M805" s="478">
        <v>43502</v>
      </c>
      <c r="N805" s="470"/>
      <c r="O805" s="478" t="str">
        <f>IF( Tabla1[[#This Row],[Fecha de entrega real]]="","NO CONCRETADO",IF(N805&lt;=M805,"CUMPLIÓ","NO CUMPLIÓ"))</f>
        <v>NO CONCRETADO</v>
      </c>
      <c r="P805" s="473" t="str">
        <f t="shared" si="17"/>
        <v>NO CONCRETADO</v>
      </c>
      <c r="Q805" s="469"/>
      <c r="R805" s="469"/>
      <c r="S805" s="469"/>
      <c r="T805" s="470"/>
      <c r="U805" s="474"/>
      <c r="V805" s="470"/>
      <c r="X805" s="1">
        <f>MONTH(Tabla1[[#This Row],[fecha
de
pedido]])</f>
        <v>1</v>
      </c>
      <c r="Y805" s="1">
        <f>YEAR(Tabla1[[#This Row],[fecha
de
pedido]])</f>
        <v>2019</v>
      </c>
    </row>
    <row r="806" spans="1:25" ht="38.25" x14ac:dyDescent="0.2">
      <c r="A806" s="467">
        <v>43483</v>
      </c>
      <c r="B806" s="468">
        <v>19005</v>
      </c>
      <c r="C806" s="469" t="s">
        <v>2243</v>
      </c>
      <c r="D806" s="470" t="s">
        <v>33</v>
      </c>
      <c r="E806" s="469" t="s">
        <v>2209</v>
      </c>
      <c r="F806" s="470" t="s">
        <v>772</v>
      </c>
      <c r="G806" s="469" t="s">
        <v>2245</v>
      </c>
      <c r="H806" s="470">
        <v>3</v>
      </c>
      <c r="I806" s="470" t="s">
        <v>488</v>
      </c>
      <c r="J806" s="469" t="s">
        <v>2009</v>
      </c>
      <c r="K806" s="470">
        <v>154</v>
      </c>
      <c r="L806" s="470">
        <f>Tabla1[[#This Row],[Costo Unitario]]*Tabla1[[#This Row],[cantidad]]</f>
        <v>462</v>
      </c>
      <c r="M806" s="478">
        <v>43502</v>
      </c>
      <c r="N806" s="470"/>
      <c r="O806" s="478" t="str">
        <f>IF( Tabla1[[#This Row],[Fecha de entrega real]]="","NO CONCRETADO",IF(N806&lt;=M806,"CUMPLIÓ","NO CUMPLIÓ"))</f>
        <v>NO CONCRETADO</v>
      </c>
      <c r="P806" s="473" t="str">
        <f t="shared" si="17"/>
        <v>NO CONCRETADO</v>
      </c>
      <c r="Q806" s="469"/>
      <c r="R806" s="469"/>
      <c r="S806" s="469"/>
      <c r="T806" s="470"/>
      <c r="U806" s="474"/>
      <c r="V806" s="470"/>
      <c r="X806" s="1">
        <f>MONTH(Tabla1[[#This Row],[fecha
de
pedido]])</f>
        <v>1</v>
      </c>
      <c r="Y806" s="1">
        <f>YEAR(Tabla1[[#This Row],[fecha
de
pedido]])</f>
        <v>2019</v>
      </c>
    </row>
    <row r="807" spans="1:25" ht="51" x14ac:dyDescent="0.2">
      <c r="A807" s="467">
        <v>43483</v>
      </c>
      <c r="B807" s="468">
        <v>19005</v>
      </c>
      <c r="C807" s="469" t="s">
        <v>2243</v>
      </c>
      <c r="D807" s="470" t="s">
        <v>33</v>
      </c>
      <c r="E807" s="469" t="s">
        <v>2209</v>
      </c>
      <c r="F807" s="470" t="s">
        <v>772</v>
      </c>
      <c r="G807" s="469" t="s">
        <v>2246</v>
      </c>
      <c r="H807" s="470">
        <v>2</v>
      </c>
      <c r="I807" s="470" t="s">
        <v>912</v>
      </c>
      <c r="J807" s="469" t="s">
        <v>2009</v>
      </c>
      <c r="K807" s="470">
        <v>1290</v>
      </c>
      <c r="L807" s="470">
        <f>Tabla1[[#This Row],[Costo Unitario]]*Tabla1[[#This Row],[cantidad]]</f>
        <v>2580</v>
      </c>
      <c r="M807" s="478">
        <v>43502</v>
      </c>
      <c r="N807" s="470"/>
      <c r="O807" s="478" t="str">
        <f>IF( Tabla1[[#This Row],[Fecha de entrega real]]="","NO CONCRETADO",IF(N807&lt;=M807,"CUMPLIÓ","NO CUMPLIÓ"))</f>
        <v>NO CONCRETADO</v>
      </c>
      <c r="P807" s="473" t="str">
        <f t="shared" si="17"/>
        <v>NO CONCRETADO</v>
      </c>
      <c r="Q807" s="469"/>
      <c r="R807" s="469"/>
      <c r="S807" s="469"/>
      <c r="T807" s="470"/>
      <c r="U807" s="474"/>
      <c r="V807" s="470"/>
      <c r="X807" s="1">
        <f>MONTH(Tabla1[[#This Row],[fecha
de
pedido]])</f>
        <v>1</v>
      </c>
      <c r="Y807" s="1">
        <f>YEAR(Tabla1[[#This Row],[fecha
de
pedido]])</f>
        <v>2019</v>
      </c>
    </row>
    <row r="808" spans="1:25" ht="38.25" x14ac:dyDescent="0.2">
      <c r="A808" s="467">
        <v>43483</v>
      </c>
      <c r="B808" s="468">
        <v>19005</v>
      </c>
      <c r="C808" s="469" t="s">
        <v>2243</v>
      </c>
      <c r="D808" s="470" t="s">
        <v>33</v>
      </c>
      <c r="E808" s="469" t="s">
        <v>2209</v>
      </c>
      <c r="F808" s="470" t="s">
        <v>778</v>
      </c>
      <c r="G808" s="469" t="s">
        <v>2247</v>
      </c>
      <c r="H808" s="470">
        <v>1</v>
      </c>
      <c r="I808" s="470" t="s">
        <v>488</v>
      </c>
      <c r="J808" s="469" t="s">
        <v>2009</v>
      </c>
      <c r="K808" s="470">
        <v>3505.6</v>
      </c>
      <c r="L808" s="470">
        <f>Tabla1[[#This Row],[Costo Unitario]]*Tabla1[[#This Row],[cantidad]]</f>
        <v>3505.6</v>
      </c>
      <c r="M808" s="478">
        <v>43502</v>
      </c>
      <c r="N808" s="470"/>
      <c r="O808" s="478" t="str">
        <f>IF( Tabla1[[#This Row],[Fecha de entrega real]]="","NO CONCRETADO",IF(N808&lt;=M808,"CUMPLIÓ","NO CUMPLIÓ"))</f>
        <v>NO CONCRETADO</v>
      </c>
      <c r="P808" s="473" t="str">
        <f t="shared" si="17"/>
        <v>NO CONCRETADO</v>
      </c>
      <c r="Q808" s="469"/>
      <c r="R808" s="469"/>
      <c r="S808" s="469"/>
      <c r="T808" s="470"/>
      <c r="U808" s="474"/>
      <c r="V808" s="470"/>
      <c r="X808" s="1">
        <f>MONTH(Tabla1[[#This Row],[fecha
de
pedido]])</f>
        <v>1</v>
      </c>
      <c r="Y808" s="1">
        <f>YEAR(Tabla1[[#This Row],[fecha
de
pedido]])</f>
        <v>2019</v>
      </c>
    </row>
    <row r="809" spans="1:25" ht="51" x14ac:dyDescent="0.2">
      <c r="A809" s="467">
        <v>43483</v>
      </c>
      <c r="B809" s="468">
        <v>19006</v>
      </c>
      <c r="C809" s="469" t="s">
        <v>2251</v>
      </c>
      <c r="D809" s="470" t="s">
        <v>33</v>
      </c>
      <c r="E809" s="469" t="s">
        <v>2209</v>
      </c>
      <c r="F809" s="470" t="s">
        <v>778</v>
      </c>
      <c r="G809" s="469" t="s">
        <v>2249</v>
      </c>
      <c r="H809" s="470">
        <v>24</v>
      </c>
      <c r="I809" s="470" t="s">
        <v>779</v>
      </c>
      <c r="J809" s="469" t="s">
        <v>1280</v>
      </c>
      <c r="K809" s="470">
        <v>41.35</v>
      </c>
      <c r="L809" s="470">
        <f>Tabla1[[#This Row],[Costo Unitario]]*Tabla1[[#This Row],[cantidad]]</f>
        <v>992.40000000000009</v>
      </c>
      <c r="M809" s="470" t="s">
        <v>1569</v>
      </c>
      <c r="N809" s="470"/>
      <c r="O809" s="478" t="str">
        <f>IF( Tabla1[[#This Row],[Fecha de entrega real]]="","NO CONCRETADO",IF(N809&lt;=M809,"CUMPLIÓ","NO CUMPLIÓ"))</f>
        <v>NO CONCRETADO</v>
      </c>
      <c r="P809" s="473" t="str">
        <f t="shared" si="17"/>
        <v>NO CONCRETADO</v>
      </c>
      <c r="Q809" s="469"/>
      <c r="R809" s="469"/>
      <c r="S809" s="469" t="s">
        <v>2257</v>
      </c>
      <c r="T809" s="470"/>
      <c r="U809" s="474"/>
      <c r="V809" s="470"/>
      <c r="X809" s="1">
        <f>MONTH(Tabla1[[#This Row],[fecha
de
pedido]])</f>
        <v>1</v>
      </c>
      <c r="Y809" s="1">
        <f>YEAR(Tabla1[[#This Row],[fecha
de
pedido]])</f>
        <v>2019</v>
      </c>
    </row>
    <row r="810" spans="1:25" ht="51" x14ac:dyDescent="0.2">
      <c r="A810" s="467">
        <v>43483</v>
      </c>
      <c r="B810" s="468">
        <v>19006</v>
      </c>
      <c r="C810" s="469" t="s">
        <v>2251</v>
      </c>
      <c r="D810" s="470" t="s">
        <v>33</v>
      </c>
      <c r="E810" s="469" t="s">
        <v>2209</v>
      </c>
      <c r="F810" s="469" t="s">
        <v>1199</v>
      </c>
      <c r="G810" s="469" t="s">
        <v>2250</v>
      </c>
      <c r="H810" s="470">
        <v>12</v>
      </c>
      <c r="I810" s="470" t="s">
        <v>779</v>
      </c>
      <c r="J810" s="469" t="s">
        <v>1280</v>
      </c>
      <c r="K810" s="470">
        <v>9.6</v>
      </c>
      <c r="L810" s="470">
        <f>Tabla1[[#This Row],[Costo Unitario]]*Tabla1[[#This Row],[cantidad]]</f>
        <v>115.19999999999999</v>
      </c>
      <c r="M810" s="470" t="s">
        <v>1569</v>
      </c>
      <c r="N810" s="470"/>
      <c r="O810" s="478" t="str">
        <f>IF( Tabla1[[#This Row],[Fecha de entrega real]]="","NO CONCRETADO",IF(N810&lt;=M810,"CUMPLIÓ","NO CUMPLIÓ"))</f>
        <v>NO CONCRETADO</v>
      </c>
      <c r="P810" s="473" t="str">
        <f t="shared" si="17"/>
        <v>NO CONCRETADO</v>
      </c>
      <c r="Q810" s="469"/>
      <c r="R810" s="469"/>
      <c r="S810" s="469" t="s">
        <v>2257</v>
      </c>
      <c r="T810" s="470"/>
      <c r="U810" s="474"/>
      <c r="V810" s="470"/>
      <c r="X810" s="1">
        <f>MONTH(Tabla1[[#This Row],[fecha
de
pedido]])</f>
        <v>1</v>
      </c>
      <c r="Y810" s="1">
        <f>YEAR(Tabla1[[#This Row],[fecha
de
pedido]])</f>
        <v>2019</v>
      </c>
    </row>
    <row r="811" spans="1:25" ht="38.25" x14ac:dyDescent="0.2">
      <c r="A811" s="467">
        <v>43483</v>
      </c>
      <c r="B811" s="468">
        <v>19005</v>
      </c>
      <c r="C811" s="469" t="s">
        <v>2252</v>
      </c>
      <c r="D811" s="470" t="s">
        <v>33</v>
      </c>
      <c r="E811" s="469" t="s">
        <v>2209</v>
      </c>
      <c r="F811" s="469" t="s">
        <v>1199</v>
      </c>
      <c r="G811" s="476" t="s">
        <v>2254</v>
      </c>
      <c r="H811" s="471">
        <v>48</v>
      </c>
      <c r="I811" s="471" t="s">
        <v>779</v>
      </c>
      <c r="J811" s="476" t="s">
        <v>1280</v>
      </c>
      <c r="K811" s="471">
        <v>10.25</v>
      </c>
      <c r="L811" s="470">
        <f>Tabla1[[#This Row],[Costo Unitario]]*Tabla1[[#This Row],[cantidad]]</f>
        <v>492</v>
      </c>
      <c r="M811" s="470" t="s">
        <v>1569</v>
      </c>
      <c r="N811" s="471"/>
      <c r="O811" s="472" t="str">
        <f>IF( Tabla1[[#This Row],[Fecha de entrega real]]="","NO CONCRETADO",IF(N811&lt;=M811,"CUMPLIÓ","NO CUMPLIÓ"))</f>
        <v>NO CONCRETADO</v>
      </c>
      <c r="P811" s="473" t="str">
        <f t="shared" si="17"/>
        <v>NO CONCRETADO</v>
      </c>
      <c r="Q811" s="476"/>
      <c r="R811" s="476"/>
      <c r="S811" s="469" t="s">
        <v>2257</v>
      </c>
      <c r="T811" s="471"/>
      <c r="U811" s="479"/>
      <c r="V811" s="471"/>
      <c r="W811" s="435"/>
      <c r="X811" s="435">
        <f>MONTH(Tabla1[[#This Row],[fecha
de
pedido]])</f>
        <v>1</v>
      </c>
      <c r="Y811" s="435">
        <f>YEAR(Tabla1[[#This Row],[fecha
de
pedido]])</f>
        <v>2019</v>
      </c>
    </row>
    <row r="812" spans="1:25" ht="38.25" x14ac:dyDescent="0.2">
      <c r="A812" s="467">
        <v>43483</v>
      </c>
      <c r="B812" s="468">
        <v>19007</v>
      </c>
      <c r="C812" s="469" t="s">
        <v>2252</v>
      </c>
      <c r="D812" s="470" t="s">
        <v>33</v>
      </c>
      <c r="E812" s="469" t="s">
        <v>2209</v>
      </c>
      <c r="F812" s="469" t="s">
        <v>1199</v>
      </c>
      <c r="G812" s="476" t="s">
        <v>2253</v>
      </c>
      <c r="H812" s="471">
        <v>24</v>
      </c>
      <c r="I812" s="471" t="s">
        <v>779</v>
      </c>
      <c r="J812" s="476" t="s">
        <v>1280</v>
      </c>
      <c r="K812" s="471">
        <v>11.27</v>
      </c>
      <c r="L812" s="470">
        <f>Tabla1[[#This Row],[Costo Unitario]]*Tabla1[[#This Row],[cantidad]]</f>
        <v>270.48</v>
      </c>
      <c r="M812" s="470" t="s">
        <v>1569</v>
      </c>
      <c r="N812" s="471"/>
      <c r="O812" s="472" t="str">
        <f>IF( Tabla1[[#This Row],[Fecha de entrega real]]="","NO CONCRETADO",IF(N812&lt;=M812,"CUMPLIÓ","NO CUMPLIÓ"))</f>
        <v>NO CONCRETADO</v>
      </c>
      <c r="P812" s="473" t="str">
        <f t="shared" si="17"/>
        <v>NO CONCRETADO</v>
      </c>
      <c r="Q812" s="476"/>
      <c r="R812" s="476"/>
      <c r="S812" s="469" t="s">
        <v>2257</v>
      </c>
      <c r="T812" s="471"/>
      <c r="U812" s="479"/>
      <c r="V812" s="471"/>
      <c r="W812" s="435"/>
      <c r="X812" s="435">
        <f>MONTH(Tabla1[[#This Row],[fecha
de
pedido]])</f>
        <v>1</v>
      </c>
      <c r="Y812" s="435">
        <f>YEAR(Tabla1[[#This Row],[fecha
de
pedido]])</f>
        <v>2019</v>
      </c>
    </row>
    <row r="813" spans="1:25" ht="38.25" x14ac:dyDescent="0.2">
      <c r="A813" s="467">
        <v>43483</v>
      </c>
      <c r="B813" s="468">
        <v>19007</v>
      </c>
      <c r="C813" s="469" t="s">
        <v>2252</v>
      </c>
      <c r="D813" s="470" t="s">
        <v>33</v>
      </c>
      <c r="E813" s="469" t="s">
        <v>2209</v>
      </c>
      <c r="F813" s="469" t="s">
        <v>1199</v>
      </c>
      <c r="G813" s="476" t="s">
        <v>2255</v>
      </c>
      <c r="H813" s="471">
        <v>24</v>
      </c>
      <c r="I813" s="471" t="s">
        <v>779</v>
      </c>
      <c r="J813" s="476" t="s">
        <v>1280</v>
      </c>
      <c r="K813" s="471">
        <v>9.65</v>
      </c>
      <c r="L813" s="470">
        <f>Tabla1[[#This Row],[Costo Unitario]]*Tabla1[[#This Row],[cantidad]]</f>
        <v>231.60000000000002</v>
      </c>
      <c r="M813" s="470" t="s">
        <v>1569</v>
      </c>
      <c r="N813" s="471"/>
      <c r="O813" s="472" t="str">
        <f>IF( Tabla1[[#This Row],[Fecha de entrega real]]="","NO CONCRETADO",IF(N813&lt;=M813,"CUMPLIÓ","NO CUMPLIÓ"))</f>
        <v>NO CONCRETADO</v>
      </c>
      <c r="P813" s="473" t="str">
        <f t="shared" si="17"/>
        <v>NO CONCRETADO</v>
      </c>
      <c r="Q813" s="476"/>
      <c r="R813" s="476"/>
      <c r="S813" s="469" t="s">
        <v>2257</v>
      </c>
      <c r="T813" s="471"/>
      <c r="U813" s="479"/>
      <c r="V813" s="471"/>
      <c r="W813" s="435"/>
      <c r="X813" s="435">
        <f>MONTH(Tabla1[[#This Row],[fecha
de
pedido]])</f>
        <v>1</v>
      </c>
      <c r="Y813" s="435">
        <f>YEAR(Tabla1[[#This Row],[fecha
de
pedido]])</f>
        <v>2019</v>
      </c>
    </row>
    <row r="814" spans="1:25" ht="38.25" x14ac:dyDescent="0.2">
      <c r="A814" s="467">
        <v>43483</v>
      </c>
      <c r="B814" s="468">
        <v>19007</v>
      </c>
      <c r="C814" s="469" t="s">
        <v>2252</v>
      </c>
      <c r="D814" s="470" t="s">
        <v>33</v>
      </c>
      <c r="E814" s="469" t="s">
        <v>2209</v>
      </c>
      <c r="F814" s="469" t="s">
        <v>1199</v>
      </c>
      <c r="G814" s="476" t="s">
        <v>2256</v>
      </c>
      <c r="H814" s="471">
        <v>24</v>
      </c>
      <c r="I814" s="471" t="s">
        <v>779</v>
      </c>
      <c r="J814" s="476" t="s">
        <v>1280</v>
      </c>
      <c r="K814" s="471">
        <v>20.260000000000002</v>
      </c>
      <c r="L814" s="470">
        <f>Tabla1[[#This Row],[Costo Unitario]]*Tabla1[[#This Row],[cantidad]]</f>
        <v>486.24</v>
      </c>
      <c r="M814" s="470" t="s">
        <v>1569</v>
      </c>
      <c r="N814" s="471"/>
      <c r="O814" s="472" t="str">
        <f>IF( Tabla1[[#This Row],[Fecha de entrega real]]="","NO CONCRETADO",IF(N814&lt;=M814,"CUMPLIÓ","NO CUMPLIÓ"))</f>
        <v>NO CONCRETADO</v>
      </c>
      <c r="P814" s="473" t="str">
        <f t="shared" si="17"/>
        <v>NO CONCRETADO</v>
      </c>
      <c r="Q814" s="476"/>
      <c r="R814" s="476"/>
      <c r="S814" s="469" t="s">
        <v>2257</v>
      </c>
      <c r="T814" s="471"/>
      <c r="U814" s="479"/>
      <c r="V814" s="471"/>
      <c r="W814" s="435"/>
      <c r="X814" s="435">
        <f>MONTH(Tabla1[[#This Row],[fecha
de
pedido]])</f>
        <v>1</v>
      </c>
      <c r="Y814" s="435">
        <f>YEAR(Tabla1[[#This Row],[fecha
de
pedido]])</f>
        <v>2019</v>
      </c>
    </row>
    <row r="815" spans="1:25" ht="38.25" x14ac:dyDescent="0.2">
      <c r="A815" s="467">
        <v>43483</v>
      </c>
      <c r="B815" s="468">
        <v>19008</v>
      </c>
      <c r="C815" s="469"/>
      <c r="D815" s="470" t="s">
        <v>33</v>
      </c>
      <c r="E815" s="469" t="s">
        <v>2209</v>
      </c>
      <c r="F815" s="471" t="s">
        <v>772</v>
      </c>
      <c r="G815" s="476" t="s">
        <v>2258</v>
      </c>
      <c r="H815" s="471">
        <v>1</v>
      </c>
      <c r="I815" s="471" t="s">
        <v>1766</v>
      </c>
      <c r="J815" s="476" t="s">
        <v>225</v>
      </c>
      <c r="K815" s="471">
        <v>82.28</v>
      </c>
      <c r="L815" s="470">
        <f>Tabla1[[#This Row],[Costo Unitario]]*Tabla1[[#This Row],[cantidad]]</f>
        <v>82.28</v>
      </c>
      <c r="M815" s="478">
        <v>43504</v>
      </c>
      <c r="N815" s="471"/>
      <c r="O815" s="472" t="str">
        <f>IF( Tabla1[[#This Row],[Fecha de entrega real]]="","NO CONCRETADO",IF(N815&lt;=M815,"CUMPLIÓ","NO CUMPLIÓ"))</f>
        <v>NO CONCRETADO</v>
      </c>
      <c r="P815" s="473" t="str">
        <f t="shared" si="17"/>
        <v>NO CONCRETADO</v>
      </c>
      <c r="Q815" s="476"/>
      <c r="R815" s="476"/>
      <c r="S815" s="469"/>
      <c r="T815" s="471"/>
      <c r="U815" s="479"/>
      <c r="V815" s="471"/>
      <c r="W815" s="435"/>
      <c r="X815" s="435">
        <f>MONTH(Tabla1[[#This Row],[fecha
de
pedido]])</f>
        <v>1</v>
      </c>
      <c r="Y815" s="435">
        <f>YEAR(Tabla1[[#This Row],[fecha
de
pedido]])</f>
        <v>2019</v>
      </c>
    </row>
    <row r="816" spans="1:25" ht="38.25" x14ac:dyDescent="0.2">
      <c r="A816" s="467">
        <v>43483</v>
      </c>
      <c r="B816" s="468">
        <v>19008</v>
      </c>
      <c r="C816" s="476"/>
      <c r="D816" s="470" t="s">
        <v>33</v>
      </c>
      <c r="E816" s="469" t="s">
        <v>2209</v>
      </c>
      <c r="F816" s="480" t="s">
        <v>1199</v>
      </c>
      <c r="G816" s="476" t="s">
        <v>2259</v>
      </c>
      <c r="H816" s="471">
        <v>6</v>
      </c>
      <c r="I816" s="471" t="s">
        <v>779</v>
      </c>
      <c r="J816" s="476" t="s">
        <v>225</v>
      </c>
      <c r="K816" s="471">
        <v>8.42</v>
      </c>
      <c r="L816" s="470">
        <f>Tabla1[[#This Row],[Costo Unitario]]*Tabla1[[#This Row],[cantidad]]</f>
        <v>50.519999999999996</v>
      </c>
      <c r="M816" s="470" t="s">
        <v>1569</v>
      </c>
      <c r="N816" s="471"/>
      <c r="O816" s="472" t="str">
        <f>IF( Tabla1[[#This Row],[Fecha de entrega real]]="","NO CONCRETADO",IF(N816&lt;=M816,"CUMPLIÓ","NO CUMPLIÓ"))</f>
        <v>NO CONCRETADO</v>
      </c>
      <c r="P816" s="473" t="str">
        <f t="shared" si="17"/>
        <v>NO CONCRETADO</v>
      </c>
      <c r="Q816" s="476"/>
      <c r="R816" s="476"/>
      <c r="S816" s="476"/>
      <c r="T816" s="471"/>
      <c r="U816" s="479"/>
      <c r="V816" s="471"/>
      <c r="W816" s="435"/>
      <c r="X816" s="435">
        <f>MONTH(Tabla1[[#This Row],[fecha
de
pedido]])</f>
        <v>1</v>
      </c>
      <c r="Y816" s="435">
        <f>YEAR(Tabla1[[#This Row],[fecha
de
pedido]])</f>
        <v>2019</v>
      </c>
    </row>
    <row r="817" spans="1:25" ht="51" x14ac:dyDescent="0.2">
      <c r="A817" s="467">
        <v>43483</v>
      </c>
      <c r="B817" s="468">
        <v>19008</v>
      </c>
      <c r="C817" s="476"/>
      <c r="D817" s="470" t="s">
        <v>33</v>
      </c>
      <c r="E817" s="469" t="s">
        <v>2209</v>
      </c>
      <c r="F817" s="471" t="s">
        <v>772</v>
      </c>
      <c r="G817" s="476" t="s">
        <v>2260</v>
      </c>
      <c r="H817" s="471">
        <v>1</v>
      </c>
      <c r="I817" s="471" t="s">
        <v>912</v>
      </c>
      <c r="J817" s="476" t="s">
        <v>225</v>
      </c>
      <c r="K817" s="471">
        <v>30</v>
      </c>
      <c r="L817" s="470">
        <f>Tabla1[[#This Row],[Costo Unitario]]*Tabla1[[#This Row],[cantidad]]</f>
        <v>30</v>
      </c>
      <c r="M817" s="478">
        <v>43504</v>
      </c>
      <c r="N817" s="471"/>
      <c r="O817" s="472" t="str">
        <f>IF( Tabla1[[#This Row],[Fecha de entrega real]]="","NO CONCRETADO",IF(N817&lt;=M817,"CUMPLIÓ","NO CUMPLIÓ"))</f>
        <v>NO CONCRETADO</v>
      </c>
      <c r="P817" s="473" t="str">
        <f t="shared" si="17"/>
        <v>NO CONCRETADO</v>
      </c>
      <c r="Q817" s="476"/>
      <c r="R817" s="476"/>
      <c r="S817" s="476"/>
      <c r="T817" s="471"/>
      <c r="U817" s="479"/>
      <c r="V817" s="471"/>
      <c r="W817" s="435"/>
      <c r="X817" s="435">
        <f>MONTH(Tabla1[[#This Row],[fecha
de
pedido]])</f>
        <v>1</v>
      </c>
      <c r="Y817" s="435">
        <f>YEAR(Tabla1[[#This Row],[fecha
de
pedido]])</f>
        <v>2019</v>
      </c>
    </row>
    <row r="818" spans="1:25" ht="38.25" x14ac:dyDescent="0.2">
      <c r="A818" s="467">
        <v>43483</v>
      </c>
      <c r="B818" s="468">
        <v>19008</v>
      </c>
      <c r="C818" s="476"/>
      <c r="D818" s="470" t="s">
        <v>33</v>
      </c>
      <c r="E818" s="469" t="s">
        <v>2209</v>
      </c>
      <c r="F818" s="481" t="s">
        <v>1199</v>
      </c>
      <c r="G818" s="476" t="s">
        <v>2261</v>
      </c>
      <c r="H818" s="471">
        <v>6</v>
      </c>
      <c r="I818" s="471" t="s">
        <v>779</v>
      </c>
      <c r="J818" s="476" t="s">
        <v>225</v>
      </c>
      <c r="K818" s="471">
        <v>10.91</v>
      </c>
      <c r="L818" s="470">
        <f>Tabla1[[#This Row],[Costo Unitario]]*Tabla1[[#This Row],[cantidad]]</f>
        <v>65.460000000000008</v>
      </c>
      <c r="M818" s="470" t="s">
        <v>1569</v>
      </c>
      <c r="N818" s="471"/>
      <c r="O818" s="472" t="str">
        <f>IF( Tabla1[[#This Row],[Fecha de entrega real]]="","NO CONCRETADO",IF(N818&lt;=M818,"CUMPLIÓ","NO CUMPLIÓ"))</f>
        <v>NO CONCRETADO</v>
      </c>
      <c r="P818" s="473" t="str">
        <f t="shared" si="17"/>
        <v>NO CONCRETADO</v>
      </c>
      <c r="Q818" s="476"/>
      <c r="R818" s="476"/>
      <c r="S818" s="476"/>
      <c r="T818" s="471"/>
      <c r="U818" s="479"/>
      <c r="V818" s="471"/>
      <c r="W818" s="435"/>
      <c r="X818" s="435">
        <f>MONTH(Tabla1[[#This Row],[fecha
de
pedido]])</f>
        <v>1</v>
      </c>
      <c r="Y818" s="435">
        <f>YEAR(Tabla1[[#This Row],[fecha
de
pedido]])</f>
        <v>2019</v>
      </c>
    </row>
    <row r="819" spans="1:25" ht="38.25" x14ac:dyDescent="0.2">
      <c r="A819" s="467">
        <v>43493</v>
      </c>
      <c r="B819" s="468">
        <v>19009</v>
      </c>
      <c r="C819" s="476" t="s">
        <v>11</v>
      </c>
      <c r="D819" s="471" t="s">
        <v>11</v>
      </c>
      <c r="E819" s="476" t="s">
        <v>11</v>
      </c>
      <c r="F819" s="471" t="s">
        <v>1041</v>
      </c>
      <c r="G819" s="476" t="s">
        <v>2298</v>
      </c>
      <c r="H819" s="471"/>
      <c r="I819" s="471"/>
      <c r="J819" s="476"/>
      <c r="K819" s="471"/>
      <c r="L819" s="471"/>
      <c r="M819" s="471"/>
      <c r="N819" s="471"/>
      <c r="O819" s="472" t="str">
        <f>IF( Tabla1[[#This Row],[Fecha de entrega real]]="","NO CONCRETADO",IF(N819&lt;=M819,"CUMPLIÓ","NO CUMPLIÓ"))</f>
        <v>NO CONCRETADO</v>
      </c>
      <c r="P819" s="473" t="str">
        <f t="shared" si="17"/>
        <v>NO CONCRETADO</v>
      </c>
      <c r="Q819" s="476"/>
      <c r="R819" s="476"/>
      <c r="S819" s="476"/>
      <c r="T819" s="471"/>
      <c r="U819" s="479"/>
      <c r="V819" s="471"/>
      <c r="W819" s="435"/>
      <c r="X819" s="435">
        <f>MONTH(Tabla1[[#This Row],[fecha
de
pedido]])</f>
        <v>1</v>
      </c>
      <c r="Y819" s="435">
        <f>YEAR(Tabla1[[#This Row],[fecha
de
pedido]])</f>
        <v>2019</v>
      </c>
    </row>
    <row r="820" spans="1:25" x14ac:dyDescent="0.2">
      <c r="A820" s="467"/>
      <c r="B820" s="467"/>
      <c r="C820" s="476"/>
      <c r="D820" s="471"/>
      <c r="E820" s="476"/>
      <c r="F820" s="471"/>
      <c r="G820" s="476"/>
      <c r="H820" s="471"/>
      <c r="I820" s="471"/>
      <c r="J820" s="476"/>
      <c r="K820" s="471"/>
      <c r="L820" s="471"/>
      <c r="M820" s="472"/>
      <c r="N820" s="472"/>
      <c r="O820" s="472"/>
      <c r="P820" s="473"/>
      <c r="Q820" s="476"/>
      <c r="R820" s="476"/>
      <c r="S820" s="476"/>
      <c r="T820" s="471"/>
      <c r="U820" s="479"/>
      <c r="V820" s="471"/>
      <c r="W820" s="435"/>
      <c r="X820" s="435">
        <f>MONTH(Tabla1[[#This Row],[fecha
de
pedido]])</f>
        <v>1</v>
      </c>
      <c r="Y820" s="435">
        <f>YEAR(Tabla1[[#This Row],[fecha
de
pedido]])</f>
        <v>1900</v>
      </c>
    </row>
    <row r="821" spans="1:25" x14ac:dyDescent="0.2">
      <c r="A821" s="467"/>
      <c r="B821" s="467"/>
      <c r="C821" s="476"/>
      <c r="D821" s="471"/>
      <c r="E821" s="476"/>
      <c r="F821" s="471"/>
      <c r="G821" s="476"/>
      <c r="H821" s="471"/>
      <c r="I821" s="471"/>
      <c r="J821" s="476"/>
      <c r="K821" s="471"/>
      <c r="L821" s="471"/>
      <c r="M821" s="471"/>
      <c r="N821" s="471"/>
      <c r="O821" s="472"/>
      <c r="P821" s="473"/>
      <c r="Q821" s="476"/>
      <c r="R821" s="476"/>
      <c r="S821" s="476"/>
      <c r="T821" s="471"/>
      <c r="U821" s="479"/>
      <c r="V821" s="471"/>
      <c r="W821" s="435"/>
      <c r="X821" s="435">
        <f>MONTH(Tabla1[[#This Row],[fecha
de
pedido]])</f>
        <v>1</v>
      </c>
      <c r="Y821" s="435">
        <f>YEAR(Tabla1[[#This Row],[fecha
de
pedido]])</f>
        <v>1900</v>
      </c>
    </row>
    <row r="822" spans="1:25" x14ac:dyDescent="0.2">
      <c r="A822" s="467"/>
      <c r="B822" s="467"/>
      <c r="C822" s="476"/>
      <c r="D822" s="471"/>
      <c r="E822" s="476"/>
      <c r="F822" s="471"/>
      <c r="G822" s="476"/>
      <c r="H822" s="471"/>
      <c r="I822" s="471"/>
      <c r="J822" s="476"/>
      <c r="K822" s="471"/>
      <c r="L822" s="471"/>
      <c r="M822" s="471"/>
      <c r="N822" s="471"/>
      <c r="O822" s="472"/>
      <c r="P822" s="473"/>
      <c r="Q822" s="476"/>
      <c r="R822" s="476"/>
      <c r="S822" s="476"/>
      <c r="T822" s="471"/>
      <c r="U822" s="479"/>
      <c r="V822" s="471"/>
      <c r="W822" s="435"/>
      <c r="X822" s="435">
        <f>MONTH(Tabla1[[#This Row],[fecha
de
pedido]])</f>
        <v>1</v>
      </c>
      <c r="Y822" s="435">
        <f>YEAR(Tabla1[[#This Row],[fecha
de
pedido]])</f>
        <v>1900</v>
      </c>
    </row>
    <row r="823" spans="1:25" x14ac:dyDescent="0.2">
      <c r="A823" s="467"/>
      <c r="B823" s="467"/>
      <c r="C823" s="476"/>
      <c r="D823" s="471"/>
      <c r="E823" s="476"/>
      <c r="F823" s="471"/>
      <c r="G823" s="476"/>
      <c r="H823" s="471"/>
      <c r="I823" s="471"/>
      <c r="J823" s="476"/>
      <c r="K823" s="471"/>
      <c r="L823" s="471"/>
      <c r="M823" s="471"/>
      <c r="N823" s="471"/>
      <c r="O823" s="472"/>
      <c r="P823" s="473"/>
      <c r="Q823" s="476"/>
      <c r="R823" s="476"/>
      <c r="S823" s="476"/>
      <c r="T823" s="471"/>
      <c r="U823" s="479"/>
      <c r="V823" s="471"/>
      <c r="W823" s="435"/>
      <c r="X823" s="435">
        <f>MONTH(Tabla1[[#This Row],[fecha
de
pedido]])</f>
        <v>1</v>
      </c>
      <c r="Y823" s="435">
        <f>YEAR(Tabla1[[#This Row],[fecha
de
pedido]])</f>
        <v>1900</v>
      </c>
    </row>
  </sheetData>
  <mergeCells count="1">
    <mergeCell ref="E1:G1"/>
  </mergeCells>
  <conditionalFormatting sqref="M4:N9 M13:N17 M19:M50">
    <cfRule type="cellIs" dxfId="5" priority="10" operator="lessThan">
      <formula>1</formula>
    </cfRule>
  </conditionalFormatting>
  <conditionalFormatting sqref="N4">
    <cfRule type="cellIs" dxfId="4" priority="18" operator="greaterThan">
      <formula>$M$4</formula>
    </cfRule>
  </conditionalFormatting>
  <conditionalFormatting sqref="N19:N50">
    <cfRule type="cellIs" dxfId="3" priority="9" operator="lessThan">
      <formula>1</formula>
    </cfRule>
  </conditionalFormatting>
  <conditionalFormatting sqref="O4:O9 O13:O17 O19:O96 O98:O155 O157:O165 O168:O169 O171:O177">
    <cfRule type="cellIs" dxfId="2" priority="5" operator="equal">
      <formula>"CUMPLIO"</formula>
    </cfRule>
    <cfRule type="cellIs" dxfId="1" priority="16" operator="equal">
      <formula>"OK"</formula>
    </cfRule>
    <cfRule type="cellIs" dxfId="0" priority="17" operator="equal">
      <formula>"OK"</formula>
    </cfRule>
  </conditionalFormatting>
  <conditionalFormatting sqref="P3:P96 P98:P1048576">
    <cfRule type="iconSet" priority="20">
      <iconSet reverse="1">
        <cfvo type="percent" val="0"/>
        <cfvo type="num" val="0" gte="0"/>
        <cfvo type="num" val="10"/>
      </iconSet>
    </cfRule>
  </conditionalFormatting>
  <conditionalFormatting sqref="P97">
    <cfRule type="iconSet" priority="2">
      <iconSet reverse="1">
        <cfvo type="percent" val="0"/>
        <cfvo type="num" val="0" gte="0"/>
        <cfvo type="num" val="10"/>
      </iconSet>
    </cfRule>
  </conditionalFormatting>
  <pageMargins left="0.55118110236220474" right="0.15748031496062992" top="0.27559055118110237" bottom="0.11811023622047245" header="0.11811023622047245" footer="0"/>
  <pageSetup paperSize="9" scale="35" orientation="landscape" horizontalDpi="300" verticalDpi="300" r:id="rId1"/>
  <headerFooter alignWithMargins="0">
    <oddFooter>&amp;L&amp;8Emisión formato: 01/06/2017
Revisión: 7&amp;C&amp;8Prepara: F. Perazzo
Revisa y Aprueba Ing. Ruth Clausen&amp;R.............</oddFooter>
  </headerFooter>
  <rowBreaks count="2" manualBreakCount="2">
    <brk id="83" max="18" man="1"/>
    <brk id="181" max="18" man="1"/>
  </rowBreaks>
  <colBreaks count="1" manualBreakCount="1">
    <brk id="19" max="1048575" man="1"/>
  </colBreaks>
  <drawing r:id="rId2"/>
  <tableParts count="1">
    <tablePart r:id="rId3"/>
  </tableParts>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00000000-0002-0000-1A00-000000000000}">
          <x14:formula1>
            <xm:f>BDatos!$C$4:$C$12</xm:f>
          </x14:formula1>
          <xm:sqref>R15 R20:R21</xm:sqref>
        </x14:dataValidation>
        <x14:dataValidation type="list" allowBlank="1" showInputMessage="1" showErrorMessage="1" xr:uid="{00000000-0002-0000-1A00-000001000000}">
          <x14:formula1>
            <xm:f>BDatos!$C$4:$C$11</xm:f>
          </x14:formula1>
          <xm:sqref>R22:R23 R25:R49 R16:R17 R19 R4:R9 R13:R14</xm:sqref>
        </x14:dataValidation>
        <x14:dataValidation type="list" allowBlank="1" showInputMessage="1" showErrorMessage="1" xr:uid="{00000000-0002-0000-1A00-000002000000}">
          <x14:formula1>
            <xm:f>BDatos!$C$4:$C$14</xm:f>
          </x14:formula1>
          <xm:sqref>R24</xm:sqref>
        </x14:dataValidation>
        <x14:dataValidation type="list" allowBlank="1" showInputMessage="1" showErrorMessage="1" xr:uid="{00000000-0002-0000-1A00-000003000000}">
          <x14:formula1>
            <xm:f>BDatos!$C$4:$C$13</xm:f>
          </x14:formula1>
          <xm:sqref>R50:R60</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4:H135"/>
  <sheetViews>
    <sheetView workbookViewId="0"/>
  </sheetViews>
  <sheetFormatPr baseColWidth="10" defaultRowHeight="12.75" x14ac:dyDescent="0.2"/>
  <cols>
    <col min="1" max="1" width="30.140625" bestFit="1" customWidth="1"/>
    <col min="2" max="2" width="27.7109375" customWidth="1"/>
    <col min="3" max="3" width="21.42578125" customWidth="1"/>
    <col min="4" max="4" width="15.140625" style="321" customWidth="1"/>
    <col min="5" max="8" width="13.85546875" customWidth="1"/>
    <col min="9" max="9" width="8.42578125" customWidth="1"/>
    <col min="10" max="11" width="10.140625" bestFit="1" customWidth="1"/>
    <col min="12" max="12" width="5.140625" customWidth="1"/>
    <col min="13" max="13" width="7.140625" customWidth="1"/>
    <col min="14" max="21" width="5.140625" customWidth="1"/>
  </cols>
  <sheetData>
    <row r="4" spans="1:8" x14ac:dyDescent="0.2">
      <c r="A4" s="82" t="s">
        <v>767</v>
      </c>
      <c r="B4" s="82" t="s">
        <v>766</v>
      </c>
      <c r="C4" s="321"/>
      <c r="D4"/>
    </row>
    <row r="5" spans="1:8" x14ac:dyDescent="0.2">
      <c r="A5" s="82" t="s">
        <v>879</v>
      </c>
      <c r="B5">
        <v>1900</v>
      </c>
      <c r="C5">
        <v>2016</v>
      </c>
      <c r="D5" s="321">
        <v>2017</v>
      </c>
      <c r="E5" t="s">
        <v>1642</v>
      </c>
      <c r="F5" t="s">
        <v>878</v>
      </c>
      <c r="G5">
        <v>2018</v>
      </c>
      <c r="H5" s="131" t="s">
        <v>763</v>
      </c>
    </row>
    <row r="6" spans="1:8" x14ac:dyDescent="0.2">
      <c r="A6" s="83" t="s">
        <v>1493</v>
      </c>
      <c r="D6" s="321">
        <v>3</v>
      </c>
      <c r="H6">
        <v>3</v>
      </c>
    </row>
    <row r="7" spans="1:8" x14ac:dyDescent="0.2">
      <c r="A7" s="263" t="s">
        <v>1581</v>
      </c>
      <c r="D7" s="321">
        <v>1</v>
      </c>
      <c r="H7">
        <v>1</v>
      </c>
    </row>
    <row r="8" spans="1:8" x14ac:dyDescent="0.2">
      <c r="A8" s="263" t="s">
        <v>1582</v>
      </c>
      <c r="D8" s="321">
        <v>2</v>
      </c>
      <c r="H8">
        <v>2</v>
      </c>
    </row>
    <row r="9" spans="1:8" x14ac:dyDescent="0.2">
      <c r="A9" s="261" t="s">
        <v>299</v>
      </c>
      <c r="B9" s="262"/>
      <c r="C9" s="262">
        <v>10</v>
      </c>
      <c r="D9" s="322">
        <v>9</v>
      </c>
      <c r="E9" s="262"/>
      <c r="F9" s="262"/>
      <c r="G9" s="262"/>
      <c r="H9" s="262">
        <v>19</v>
      </c>
    </row>
    <row r="10" spans="1:8" x14ac:dyDescent="0.2">
      <c r="A10" s="263" t="s">
        <v>1581</v>
      </c>
      <c r="C10">
        <v>9</v>
      </c>
      <c r="D10" s="321">
        <v>9</v>
      </c>
      <c r="H10">
        <v>18</v>
      </c>
    </row>
    <row r="11" spans="1:8" x14ac:dyDescent="0.2">
      <c r="A11" s="263" t="s">
        <v>1583</v>
      </c>
      <c r="C11">
        <v>1</v>
      </c>
      <c r="H11">
        <v>1</v>
      </c>
    </row>
    <row r="12" spans="1:8" x14ac:dyDescent="0.2">
      <c r="A12" s="261" t="s">
        <v>466</v>
      </c>
      <c r="B12" s="262"/>
      <c r="C12" s="262"/>
      <c r="D12" s="322">
        <v>3</v>
      </c>
      <c r="E12" s="262"/>
      <c r="F12" s="262"/>
      <c r="G12" s="262"/>
      <c r="H12" s="262">
        <v>3</v>
      </c>
    </row>
    <row r="13" spans="1:8" x14ac:dyDescent="0.2">
      <c r="A13" s="263" t="s">
        <v>1581</v>
      </c>
      <c r="D13" s="321">
        <v>2</v>
      </c>
      <c r="H13">
        <v>2</v>
      </c>
    </row>
    <row r="14" spans="1:8" x14ac:dyDescent="0.2">
      <c r="A14" s="263" t="s">
        <v>1583</v>
      </c>
      <c r="D14" s="321">
        <v>1</v>
      </c>
      <c r="H14">
        <v>1</v>
      </c>
    </row>
    <row r="15" spans="1:8" x14ac:dyDescent="0.2">
      <c r="A15" s="83" t="s">
        <v>1205</v>
      </c>
      <c r="D15" s="321">
        <v>2</v>
      </c>
      <c r="H15">
        <v>2</v>
      </c>
    </row>
    <row r="16" spans="1:8" x14ac:dyDescent="0.2">
      <c r="A16" s="263" t="s">
        <v>1581</v>
      </c>
      <c r="D16" s="321">
        <v>2</v>
      </c>
      <c r="H16">
        <v>2</v>
      </c>
    </row>
    <row r="17" spans="1:8" x14ac:dyDescent="0.2">
      <c r="A17" s="83" t="s">
        <v>1124</v>
      </c>
      <c r="D17" s="321">
        <v>3</v>
      </c>
      <c r="F17">
        <v>1</v>
      </c>
      <c r="H17">
        <v>4</v>
      </c>
    </row>
    <row r="18" spans="1:8" x14ac:dyDescent="0.2">
      <c r="A18" s="263" t="s">
        <v>1581</v>
      </c>
      <c r="D18" s="321">
        <v>3</v>
      </c>
      <c r="H18">
        <v>3</v>
      </c>
    </row>
    <row r="19" spans="1:8" x14ac:dyDescent="0.2">
      <c r="A19" s="263" t="s">
        <v>1582</v>
      </c>
      <c r="F19">
        <v>1</v>
      </c>
      <c r="H19">
        <v>1</v>
      </c>
    </row>
    <row r="20" spans="1:8" x14ac:dyDescent="0.2">
      <c r="A20" s="83" t="s">
        <v>1556</v>
      </c>
      <c r="G20">
        <v>1</v>
      </c>
      <c r="H20">
        <v>1</v>
      </c>
    </row>
    <row r="21" spans="1:8" x14ac:dyDescent="0.2">
      <c r="A21" s="263" t="s">
        <v>1581</v>
      </c>
      <c r="G21">
        <v>1</v>
      </c>
      <c r="H21">
        <v>1</v>
      </c>
    </row>
    <row r="22" spans="1:8" x14ac:dyDescent="0.2">
      <c r="A22" s="83" t="s">
        <v>1231</v>
      </c>
      <c r="D22" s="321">
        <v>2</v>
      </c>
      <c r="H22">
        <v>2</v>
      </c>
    </row>
    <row r="23" spans="1:8" x14ac:dyDescent="0.2">
      <c r="A23" s="263" t="s">
        <v>1581</v>
      </c>
      <c r="D23" s="321">
        <v>2</v>
      </c>
      <c r="H23">
        <v>2</v>
      </c>
    </row>
    <row r="24" spans="1:8" x14ac:dyDescent="0.2">
      <c r="A24" s="83" t="s">
        <v>1054</v>
      </c>
      <c r="D24" s="321">
        <v>3</v>
      </c>
      <c r="H24">
        <v>3</v>
      </c>
    </row>
    <row r="25" spans="1:8" x14ac:dyDescent="0.2">
      <c r="A25" s="263" t="s">
        <v>1581</v>
      </c>
      <c r="D25" s="321">
        <v>3</v>
      </c>
      <c r="H25">
        <v>3</v>
      </c>
    </row>
    <row r="26" spans="1:8" x14ac:dyDescent="0.2">
      <c r="A26" s="261" t="s">
        <v>225</v>
      </c>
      <c r="B26" s="262"/>
      <c r="C26" s="262">
        <v>37</v>
      </c>
      <c r="D26" s="322">
        <v>64</v>
      </c>
      <c r="E26" s="262"/>
      <c r="F26" s="262"/>
      <c r="G26" s="262">
        <v>6</v>
      </c>
      <c r="H26" s="262">
        <v>107</v>
      </c>
    </row>
    <row r="27" spans="1:8" x14ac:dyDescent="0.2">
      <c r="A27" s="263" t="s">
        <v>1581</v>
      </c>
      <c r="C27">
        <v>28</v>
      </c>
      <c r="D27" s="321">
        <v>28</v>
      </c>
      <c r="G27">
        <v>4</v>
      </c>
      <c r="H27">
        <v>60</v>
      </c>
    </row>
    <row r="28" spans="1:8" x14ac:dyDescent="0.2">
      <c r="A28" s="263" t="s">
        <v>1582</v>
      </c>
      <c r="D28" s="321">
        <v>14</v>
      </c>
      <c r="G28">
        <v>2</v>
      </c>
      <c r="H28">
        <v>16</v>
      </c>
    </row>
    <row r="29" spans="1:8" x14ac:dyDescent="0.2">
      <c r="A29" s="263" t="s">
        <v>1583</v>
      </c>
      <c r="C29">
        <v>9</v>
      </c>
      <c r="D29" s="321">
        <v>22</v>
      </c>
      <c r="H29">
        <v>31</v>
      </c>
    </row>
    <row r="30" spans="1:8" x14ac:dyDescent="0.2">
      <c r="A30" s="83" t="s">
        <v>1339</v>
      </c>
      <c r="D30" s="321">
        <v>6</v>
      </c>
      <c r="H30">
        <v>6</v>
      </c>
    </row>
    <row r="31" spans="1:8" x14ac:dyDescent="0.2">
      <c r="A31" s="263" t="s">
        <v>1583</v>
      </c>
      <c r="D31" s="321">
        <v>6</v>
      </c>
      <c r="H31">
        <v>6</v>
      </c>
    </row>
    <row r="32" spans="1:8" x14ac:dyDescent="0.2">
      <c r="A32" s="83" t="s">
        <v>1060</v>
      </c>
      <c r="D32" s="321">
        <v>1</v>
      </c>
      <c r="H32">
        <v>1</v>
      </c>
    </row>
    <row r="33" spans="1:8" x14ac:dyDescent="0.2">
      <c r="A33" s="263" t="s">
        <v>1581</v>
      </c>
      <c r="D33" s="321">
        <v>1</v>
      </c>
      <c r="H33">
        <v>1</v>
      </c>
    </row>
    <row r="34" spans="1:8" x14ac:dyDescent="0.2">
      <c r="A34" s="261" t="s">
        <v>313</v>
      </c>
      <c r="B34" s="262"/>
      <c r="C34" s="262">
        <v>2</v>
      </c>
      <c r="D34" s="322"/>
      <c r="E34" s="262"/>
      <c r="F34" s="262"/>
      <c r="G34" s="262"/>
      <c r="H34" s="262">
        <v>2</v>
      </c>
    </row>
    <row r="35" spans="1:8" x14ac:dyDescent="0.2">
      <c r="A35" s="263" t="s">
        <v>1583</v>
      </c>
      <c r="C35">
        <v>2</v>
      </c>
      <c r="H35">
        <v>2</v>
      </c>
    </row>
    <row r="36" spans="1:8" x14ac:dyDescent="0.2">
      <c r="A36" s="83" t="s">
        <v>910</v>
      </c>
      <c r="D36" s="321">
        <v>6</v>
      </c>
      <c r="E36">
        <v>1</v>
      </c>
      <c r="H36">
        <v>7</v>
      </c>
    </row>
    <row r="37" spans="1:8" x14ac:dyDescent="0.2">
      <c r="A37" s="263" t="s">
        <v>1581</v>
      </c>
      <c r="D37" s="321">
        <v>6</v>
      </c>
      <c r="E37">
        <v>1</v>
      </c>
      <c r="H37">
        <v>7</v>
      </c>
    </row>
    <row r="38" spans="1:8" x14ac:dyDescent="0.2">
      <c r="A38" s="261" t="s">
        <v>272</v>
      </c>
      <c r="B38" s="262"/>
      <c r="C38" s="262">
        <v>1</v>
      </c>
      <c r="D38" s="322"/>
      <c r="E38" s="262"/>
      <c r="F38" s="262"/>
      <c r="G38" s="262"/>
      <c r="H38" s="262">
        <v>1</v>
      </c>
    </row>
    <row r="39" spans="1:8" x14ac:dyDescent="0.2">
      <c r="A39" s="263" t="s">
        <v>1583</v>
      </c>
      <c r="C39">
        <v>1</v>
      </c>
      <c r="H39">
        <v>1</v>
      </c>
    </row>
    <row r="40" spans="1:8" x14ac:dyDescent="0.2">
      <c r="A40" s="83" t="s">
        <v>1117</v>
      </c>
      <c r="D40" s="321">
        <v>2</v>
      </c>
      <c r="H40">
        <v>2</v>
      </c>
    </row>
    <row r="41" spans="1:8" x14ac:dyDescent="0.2">
      <c r="A41" s="263" t="s">
        <v>1582</v>
      </c>
      <c r="D41" s="321">
        <v>2</v>
      </c>
      <c r="H41">
        <v>2</v>
      </c>
    </row>
    <row r="42" spans="1:8" x14ac:dyDescent="0.2">
      <c r="A42" s="83" t="s">
        <v>841</v>
      </c>
      <c r="D42" s="321">
        <v>1</v>
      </c>
      <c r="E42">
        <v>1</v>
      </c>
      <c r="G42">
        <v>1</v>
      </c>
      <c r="H42">
        <v>3</v>
      </c>
    </row>
    <row r="43" spans="1:8" x14ac:dyDescent="0.2">
      <c r="A43" s="263" t="s">
        <v>1581</v>
      </c>
      <c r="D43" s="321">
        <v>1</v>
      </c>
      <c r="E43">
        <v>1</v>
      </c>
      <c r="G43">
        <v>1</v>
      </c>
      <c r="H43">
        <v>3</v>
      </c>
    </row>
    <row r="44" spans="1:8" x14ac:dyDescent="0.2">
      <c r="A44" s="83" t="s">
        <v>1010</v>
      </c>
      <c r="D44" s="321">
        <v>2</v>
      </c>
      <c r="H44">
        <v>2</v>
      </c>
    </row>
    <row r="45" spans="1:8" x14ac:dyDescent="0.2">
      <c r="A45" s="263" t="s">
        <v>1581</v>
      </c>
      <c r="D45" s="321">
        <v>2</v>
      </c>
      <c r="H45">
        <v>2</v>
      </c>
    </row>
    <row r="46" spans="1:8" x14ac:dyDescent="0.2">
      <c r="A46" s="83" t="s">
        <v>909</v>
      </c>
      <c r="D46" s="321">
        <v>10</v>
      </c>
      <c r="H46">
        <v>10</v>
      </c>
    </row>
    <row r="47" spans="1:8" x14ac:dyDescent="0.2">
      <c r="A47" s="263" t="s">
        <v>1581</v>
      </c>
      <c r="D47" s="321">
        <v>10</v>
      </c>
      <c r="H47">
        <v>10</v>
      </c>
    </row>
    <row r="48" spans="1:8" x14ac:dyDescent="0.2">
      <c r="A48" s="261" t="s">
        <v>79</v>
      </c>
      <c r="B48" s="262"/>
      <c r="C48" s="262">
        <v>1</v>
      </c>
      <c r="D48" s="322"/>
      <c r="E48" s="262"/>
      <c r="F48" s="262"/>
      <c r="G48" s="262"/>
      <c r="H48" s="262">
        <v>1</v>
      </c>
    </row>
    <row r="49" spans="1:8" x14ac:dyDescent="0.2">
      <c r="A49" s="263" t="s">
        <v>1581</v>
      </c>
      <c r="C49">
        <v>1</v>
      </c>
      <c r="H49">
        <v>1</v>
      </c>
    </row>
    <row r="50" spans="1:8" x14ac:dyDescent="0.2">
      <c r="A50" s="83" t="s">
        <v>1573</v>
      </c>
      <c r="G50">
        <v>1</v>
      </c>
      <c r="H50">
        <v>1</v>
      </c>
    </row>
    <row r="51" spans="1:8" x14ac:dyDescent="0.2">
      <c r="A51" s="263" t="s">
        <v>1582</v>
      </c>
      <c r="G51">
        <v>1</v>
      </c>
      <c r="H51">
        <v>1</v>
      </c>
    </row>
    <row r="52" spans="1:8" x14ac:dyDescent="0.2">
      <c r="A52" s="261" t="s">
        <v>81</v>
      </c>
      <c r="B52" s="262">
        <v>2</v>
      </c>
      <c r="C52" s="262"/>
      <c r="D52" s="322">
        <v>16</v>
      </c>
      <c r="E52" s="262"/>
      <c r="F52" s="262">
        <v>1</v>
      </c>
      <c r="G52" s="262"/>
      <c r="H52" s="262">
        <v>19</v>
      </c>
    </row>
    <row r="53" spans="1:8" x14ac:dyDescent="0.2">
      <c r="A53" s="263" t="s">
        <v>1581</v>
      </c>
      <c r="B53">
        <v>2</v>
      </c>
      <c r="D53" s="321">
        <v>15</v>
      </c>
      <c r="F53">
        <v>1</v>
      </c>
      <c r="H53">
        <v>18</v>
      </c>
    </row>
    <row r="54" spans="1:8" x14ac:dyDescent="0.2">
      <c r="A54" s="263" t="s">
        <v>1583</v>
      </c>
      <c r="D54" s="321">
        <v>1</v>
      </c>
      <c r="H54">
        <v>1</v>
      </c>
    </row>
    <row r="55" spans="1:8" x14ac:dyDescent="0.2">
      <c r="A55" s="261" t="s">
        <v>82</v>
      </c>
      <c r="B55" s="262"/>
      <c r="C55" s="262">
        <v>3</v>
      </c>
      <c r="D55" s="322">
        <v>19</v>
      </c>
      <c r="E55" s="262"/>
      <c r="F55" s="262">
        <v>1</v>
      </c>
      <c r="G55" s="262"/>
      <c r="H55" s="262">
        <v>23</v>
      </c>
    </row>
    <row r="56" spans="1:8" x14ac:dyDescent="0.2">
      <c r="A56" s="263" t="s">
        <v>1581</v>
      </c>
      <c r="C56">
        <v>3</v>
      </c>
      <c r="D56" s="321">
        <v>14</v>
      </c>
      <c r="H56">
        <v>17</v>
      </c>
    </row>
    <row r="57" spans="1:8" x14ac:dyDescent="0.2">
      <c r="A57" s="263" t="s">
        <v>1582</v>
      </c>
      <c r="D57" s="321">
        <v>2</v>
      </c>
      <c r="H57">
        <v>2</v>
      </c>
    </row>
    <row r="58" spans="1:8" x14ac:dyDescent="0.2">
      <c r="A58" s="263" t="s">
        <v>1583</v>
      </c>
      <c r="D58" s="321">
        <v>3</v>
      </c>
      <c r="F58">
        <v>1</v>
      </c>
      <c r="H58">
        <v>4</v>
      </c>
    </row>
    <row r="59" spans="1:8" x14ac:dyDescent="0.2">
      <c r="A59" s="83" t="s">
        <v>1418</v>
      </c>
      <c r="D59" s="321">
        <v>1</v>
      </c>
      <c r="H59">
        <v>1</v>
      </c>
    </row>
    <row r="60" spans="1:8" x14ac:dyDescent="0.2">
      <c r="A60" s="263" t="s">
        <v>1581</v>
      </c>
      <c r="D60" s="321">
        <v>1</v>
      </c>
      <c r="H60">
        <v>1</v>
      </c>
    </row>
    <row r="61" spans="1:8" x14ac:dyDescent="0.2">
      <c r="A61" s="83" t="s">
        <v>1441</v>
      </c>
      <c r="D61" s="321">
        <v>1</v>
      </c>
      <c r="H61">
        <v>1</v>
      </c>
    </row>
    <row r="62" spans="1:8" x14ac:dyDescent="0.2">
      <c r="A62" s="263" t="s">
        <v>1583</v>
      </c>
      <c r="D62" s="321">
        <v>1</v>
      </c>
      <c r="H62">
        <v>1</v>
      </c>
    </row>
    <row r="63" spans="1:8" x14ac:dyDescent="0.2">
      <c r="A63" s="83" t="s">
        <v>1066</v>
      </c>
      <c r="D63" s="321">
        <v>1</v>
      </c>
      <c r="G63">
        <v>1</v>
      </c>
      <c r="H63">
        <v>2</v>
      </c>
    </row>
    <row r="64" spans="1:8" x14ac:dyDescent="0.2">
      <c r="A64" s="263" t="s">
        <v>1582</v>
      </c>
      <c r="D64" s="321">
        <v>1</v>
      </c>
      <c r="G64">
        <v>1</v>
      </c>
      <c r="H64">
        <v>2</v>
      </c>
    </row>
    <row r="65" spans="1:8" x14ac:dyDescent="0.2">
      <c r="A65" s="83" t="s">
        <v>47</v>
      </c>
      <c r="D65" s="321">
        <v>1</v>
      </c>
      <c r="H65">
        <v>1</v>
      </c>
    </row>
    <row r="66" spans="1:8" x14ac:dyDescent="0.2">
      <c r="A66" s="263" t="s">
        <v>1582</v>
      </c>
      <c r="D66" s="321">
        <v>1</v>
      </c>
      <c r="H66">
        <v>1</v>
      </c>
    </row>
    <row r="67" spans="1:8" x14ac:dyDescent="0.2">
      <c r="A67" s="83" t="s">
        <v>1014</v>
      </c>
      <c r="D67" s="321">
        <v>2</v>
      </c>
      <c r="H67">
        <v>2</v>
      </c>
    </row>
    <row r="68" spans="1:8" x14ac:dyDescent="0.2">
      <c r="A68" s="263" t="s">
        <v>1582</v>
      </c>
      <c r="D68" s="321">
        <v>2</v>
      </c>
      <c r="H68">
        <v>2</v>
      </c>
    </row>
    <row r="69" spans="1:8" x14ac:dyDescent="0.2">
      <c r="A69" s="261" t="s">
        <v>848</v>
      </c>
      <c r="B69" s="262"/>
      <c r="C69" s="262"/>
      <c r="D69" s="322">
        <v>1</v>
      </c>
      <c r="E69" s="262"/>
      <c r="F69" s="262"/>
      <c r="G69" s="262"/>
      <c r="H69" s="262">
        <v>1</v>
      </c>
    </row>
    <row r="70" spans="1:8" x14ac:dyDescent="0.2">
      <c r="A70" s="263" t="s">
        <v>1581</v>
      </c>
      <c r="D70" s="321">
        <v>1</v>
      </c>
      <c r="H70">
        <v>1</v>
      </c>
    </row>
    <row r="71" spans="1:8" x14ac:dyDescent="0.2">
      <c r="A71" s="261" t="s">
        <v>787</v>
      </c>
      <c r="B71" s="262"/>
      <c r="C71" s="262">
        <v>1</v>
      </c>
      <c r="D71" s="322">
        <v>8</v>
      </c>
      <c r="E71" s="262"/>
      <c r="F71" s="262">
        <v>1</v>
      </c>
      <c r="G71" s="262"/>
      <c r="H71" s="262">
        <v>10</v>
      </c>
    </row>
    <row r="72" spans="1:8" x14ac:dyDescent="0.2">
      <c r="A72" s="83" t="s">
        <v>48</v>
      </c>
      <c r="D72" s="321">
        <v>2</v>
      </c>
      <c r="H72">
        <v>2</v>
      </c>
    </row>
    <row r="73" spans="1:8" x14ac:dyDescent="0.2">
      <c r="A73" s="263" t="s">
        <v>1583</v>
      </c>
      <c r="D73" s="321">
        <v>2</v>
      </c>
      <c r="H73">
        <v>2</v>
      </c>
    </row>
    <row r="74" spans="1:8" x14ac:dyDescent="0.2">
      <c r="A74" s="83" t="s">
        <v>1432</v>
      </c>
      <c r="D74" s="321">
        <v>1</v>
      </c>
      <c r="H74">
        <v>1</v>
      </c>
    </row>
    <row r="75" spans="1:8" x14ac:dyDescent="0.2">
      <c r="A75" s="263" t="s">
        <v>1583</v>
      </c>
      <c r="D75" s="321">
        <v>1</v>
      </c>
      <c r="H75">
        <v>1</v>
      </c>
    </row>
    <row r="76" spans="1:8" x14ac:dyDescent="0.2">
      <c r="A76" s="261" t="s">
        <v>872</v>
      </c>
      <c r="B76" s="262"/>
      <c r="C76" s="262"/>
      <c r="D76" s="322">
        <v>7</v>
      </c>
      <c r="E76" s="262"/>
      <c r="F76" s="262"/>
      <c r="G76" s="262"/>
      <c r="H76" s="262">
        <v>7</v>
      </c>
    </row>
    <row r="77" spans="1:8" x14ac:dyDescent="0.2">
      <c r="A77" s="263" t="s">
        <v>1581</v>
      </c>
      <c r="D77" s="321">
        <v>7</v>
      </c>
      <c r="H77">
        <v>7</v>
      </c>
    </row>
    <row r="78" spans="1:8" x14ac:dyDescent="0.2">
      <c r="A78" s="261" t="s">
        <v>75</v>
      </c>
      <c r="B78" s="262"/>
      <c r="C78" s="262">
        <v>1</v>
      </c>
      <c r="D78" s="322">
        <v>1</v>
      </c>
      <c r="E78" s="262"/>
      <c r="F78" s="262"/>
      <c r="G78" s="262">
        <v>1</v>
      </c>
      <c r="H78" s="262">
        <v>3</v>
      </c>
    </row>
    <row r="79" spans="1:8" x14ac:dyDescent="0.2">
      <c r="A79" s="263" t="s">
        <v>1581</v>
      </c>
      <c r="C79">
        <v>1</v>
      </c>
      <c r="H79">
        <v>1</v>
      </c>
    </row>
    <row r="80" spans="1:8" x14ac:dyDescent="0.2">
      <c r="A80" s="263" t="s">
        <v>1582</v>
      </c>
      <c r="D80" s="321">
        <v>1</v>
      </c>
      <c r="G80">
        <v>1</v>
      </c>
      <c r="H80">
        <v>2</v>
      </c>
    </row>
    <row r="81" spans="1:8" x14ac:dyDescent="0.2">
      <c r="A81" s="83" t="s">
        <v>1436</v>
      </c>
      <c r="D81" s="321">
        <v>1</v>
      </c>
      <c r="H81">
        <v>1</v>
      </c>
    </row>
    <row r="82" spans="1:8" x14ac:dyDescent="0.2">
      <c r="A82" s="263" t="s">
        <v>1581</v>
      </c>
      <c r="D82" s="321">
        <v>1</v>
      </c>
      <c r="H82">
        <v>1</v>
      </c>
    </row>
    <row r="83" spans="1:8" x14ac:dyDescent="0.2">
      <c r="A83" s="261" t="s">
        <v>452</v>
      </c>
      <c r="B83" s="262"/>
      <c r="C83" s="262"/>
      <c r="D83" s="322">
        <v>4</v>
      </c>
      <c r="E83" s="262"/>
      <c r="F83" s="262"/>
      <c r="G83" s="262"/>
      <c r="H83" s="262">
        <v>4</v>
      </c>
    </row>
    <row r="84" spans="1:8" x14ac:dyDescent="0.2">
      <c r="A84" s="263" t="s">
        <v>1581</v>
      </c>
      <c r="D84" s="321">
        <v>4</v>
      </c>
      <c r="H84">
        <v>4</v>
      </c>
    </row>
    <row r="85" spans="1:8" x14ac:dyDescent="0.2">
      <c r="A85" s="83" t="s">
        <v>960</v>
      </c>
      <c r="D85" s="321">
        <v>1</v>
      </c>
      <c r="H85">
        <v>1</v>
      </c>
    </row>
    <row r="86" spans="1:8" x14ac:dyDescent="0.2">
      <c r="A86" s="263" t="s">
        <v>1581</v>
      </c>
      <c r="D86" s="321">
        <v>1</v>
      </c>
      <c r="H86">
        <v>1</v>
      </c>
    </row>
    <row r="87" spans="1:8" x14ac:dyDescent="0.2">
      <c r="A87" s="261" t="s">
        <v>238</v>
      </c>
      <c r="B87" s="262"/>
      <c r="C87" s="262">
        <v>1</v>
      </c>
      <c r="D87" s="322"/>
      <c r="E87" s="262"/>
      <c r="F87" s="262"/>
      <c r="G87" s="262"/>
      <c r="H87" s="262">
        <v>1</v>
      </c>
    </row>
    <row r="88" spans="1:8" x14ac:dyDescent="0.2">
      <c r="A88" s="263" t="s">
        <v>1581</v>
      </c>
      <c r="C88">
        <v>1</v>
      </c>
      <c r="H88">
        <v>1</v>
      </c>
    </row>
    <row r="89" spans="1:8" x14ac:dyDescent="0.2">
      <c r="A89" s="261" t="s">
        <v>77</v>
      </c>
      <c r="B89" s="262">
        <v>1</v>
      </c>
      <c r="C89" s="262">
        <v>10</v>
      </c>
      <c r="D89" s="322">
        <v>40</v>
      </c>
      <c r="E89" s="262"/>
      <c r="F89" s="262"/>
      <c r="G89" s="262"/>
      <c r="H89" s="262">
        <v>51</v>
      </c>
    </row>
    <row r="90" spans="1:8" x14ac:dyDescent="0.2">
      <c r="A90" s="263" t="s">
        <v>1581</v>
      </c>
      <c r="B90">
        <v>1</v>
      </c>
      <c r="C90">
        <v>5</v>
      </c>
      <c r="D90" s="321">
        <v>17</v>
      </c>
      <c r="H90">
        <v>23</v>
      </c>
    </row>
    <row r="91" spans="1:8" x14ac:dyDescent="0.2">
      <c r="A91" s="263" t="s">
        <v>1582</v>
      </c>
      <c r="C91">
        <v>2</v>
      </c>
      <c r="D91" s="321">
        <v>11</v>
      </c>
      <c r="H91">
        <v>13</v>
      </c>
    </row>
    <row r="92" spans="1:8" x14ac:dyDescent="0.2">
      <c r="A92" s="263" t="s">
        <v>1583</v>
      </c>
      <c r="C92">
        <v>3</v>
      </c>
      <c r="D92" s="321">
        <v>12</v>
      </c>
      <c r="H92">
        <v>15</v>
      </c>
    </row>
    <row r="93" spans="1:8" x14ac:dyDescent="0.2">
      <c r="A93" s="261" t="s">
        <v>785</v>
      </c>
      <c r="B93" s="262"/>
      <c r="C93" s="262"/>
      <c r="D93" s="322">
        <v>1</v>
      </c>
      <c r="E93" s="262"/>
      <c r="F93" s="262"/>
      <c r="G93" s="262"/>
      <c r="H93" s="262">
        <v>1</v>
      </c>
    </row>
    <row r="94" spans="1:8" x14ac:dyDescent="0.2">
      <c r="A94" s="263" t="s">
        <v>1582</v>
      </c>
      <c r="D94" s="321">
        <v>1</v>
      </c>
      <c r="H94">
        <v>1</v>
      </c>
    </row>
    <row r="95" spans="1:8" x14ac:dyDescent="0.2">
      <c r="A95" s="261" t="s">
        <v>12</v>
      </c>
      <c r="B95" s="262"/>
      <c r="C95" s="262">
        <v>20</v>
      </c>
      <c r="D95" s="322">
        <v>26</v>
      </c>
      <c r="E95" s="262"/>
      <c r="F95" s="262"/>
      <c r="G95" s="262">
        <v>3</v>
      </c>
      <c r="H95" s="262">
        <v>49</v>
      </c>
    </row>
    <row r="96" spans="1:8" x14ac:dyDescent="0.2">
      <c r="A96" s="263" t="s">
        <v>1581</v>
      </c>
      <c r="C96">
        <v>14</v>
      </c>
      <c r="D96" s="321">
        <v>18</v>
      </c>
      <c r="G96">
        <v>1</v>
      </c>
      <c r="H96">
        <v>33</v>
      </c>
    </row>
    <row r="97" spans="1:8" x14ac:dyDescent="0.2">
      <c r="A97" s="263" t="s">
        <v>1583</v>
      </c>
      <c r="C97">
        <v>6</v>
      </c>
      <c r="D97" s="321">
        <v>8</v>
      </c>
      <c r="G97">
        <v>2</v>
      </c>
      <c r="H97">
        <v>16</v>
      </c>
    </row>
    <row r="98" spans="1:8" x14ac:dyDescent="0.2">
      <c r="A98" s="261" t="s">
        <v>407</v>
      </c>
      <c r="B98" s="262"/>
      <c r="C98" s="262"/>
      <c r="D98" s="322">
        <v>4</v>
      </c>
      <c r="E98" s="262"/>
      <c r="F98" s="262"/>
      <c r="G98" s="262"/>
      <c r="H98" s="262">
        <v>4</v>
      </c>
    </row>
    <row r="99" spans="1:8" x14ac:dyDescent="0.2">
      <c r="A99" s="263" t="s">
        <v>1581</v>
      </c>
      <c r="D99" s="321">
        <v>3</v>
      </c>
      <c r="H99">
        <v>3</v>
      </c>
    </row>
    <row r="100" spans="1:8" x14ac:dyDescent="0.2">
      <c r="A100" s="263" t="s">
        <v>1583</v>
      </c>
      <c r="D100" s="321">
        <v>1</v>
      </c>
      <c r="H100">
        <v>1</v>
      </c>
    </row>
    <row r="101" spans="1:8" x14ac:dyDescent="0.2">
      <c r="A101" s="83" t="s">
        <v>1023</v>
      </c>
      <c r="D101" s="321">
        <v>21</v>
      </c>
      <c r="H101">
        <v>21</v>
      </c>
    </row>
    <row r="102" spans="1:8" x14ac:dyDescent="0.2">
      <c r="A102" s="263" t="s">
        <v>1581</v>
      </c>
      <c r="D102" s="321">
        <v>21</v>
      </c>
      <c r="H102">
        <v>21</v>
      </c>
    </row>
    <row r="103" spans="1:8" x14ac:dyDescent="0.2">
      <c r="A103" s="261" t="s">
        <v>771</v>
      </c>
      <c r="B103" s="262"/>
      <c r="C103" s="262"/>
      <c r="D103" s="322">
        <v>14</v>
      </c>
      <c r="E103" s="262"/>
      <c r="F103" s="262"/>
      <c r="G103" s="262"/>
      <c r="H103" s="262">
        <v>14</v>
      </c>
    </row>
    <row r="104" spans="1:8" x14ac:dyDescent="0.2">
      <c r="A104" s="263" t="s">
        <v>1581</v>
      </c>
      <c r="D104" s="321">
        <v>10</v>
      </c>
      <c r="H104">
        <v>10</v>
      </c>
    </row>
    <row r="105" spans="1:8" x14ac:dyDescent="0.2">
      <c r="A105" s="263" t="s">
        <v>1583</v>
      </c>
      <c r="D105" s="321">
        <v>4</v>
      </c>
      <c r="H105">
        <v>4</v>
      </c>
    </row>
    <row r="106" spans="1:8" x14ac:dyDescent="0.2">
      <c r="A106" s="261" t="s">
        <v>27</v>
      </c>
      <c r="B106" s="262"/>
      <c r="C106" s="262">
        <v>5</v>
      </c>
      <c r="D106" s="322"/>
      <c r="E106" s="262"/>
      <c r="F106" s="262"/>
      <c r="G106" s="262"/>
      <c r="H106" s="262">
        <v>5</v>
      </c>
    </row>
    <row r="107" spans="1:8" x14ac:dyDescent="0.2">
      <c r="A107" s="263" t="s">
        <v>1581</v>
      </c>
      <c r="C107">
        <v>3</v>
      </c>
      <c r="H107">
        <v>3</v>
      </c>
    </row>
    <row r="108" spans="1:8" x14ac:dyDescent="0.2">
      <c r="A108" s="263" t="s">
        <v>1583</v>
      </c>
      <c r="C108">
        <v>2</v>
      </c>
      <c r="H108">
        <v>2</v>
      </c>
    </row>
    <row r="109" spans="1:8" x14ac:dyDescent="0.2">
      <c r="A109" s="261" t="s">
        <v>829</v>
      </c>
      <c r="B109" s="262"/>
      <c r="C109" s="262"/>
      <c r="D109" s="322">
        <v>1</v>
      </c>
      <c r="E109" s="262"/>
      <c r="F109" s="262"/>
      <c r="G109" s="262"/>
      <c r="H109" s="262">
        <v>1</v>
      </c>
    </row>
    <row r="110" spans="1:8" x14ac:dyDescent="0.2">
      <c r="A110" s="263" t="s">
        <v>1583</v>
      </c>
      <c r="D110" s="321">
        <v>1</v>
      </c>
      <c r="H110">
        <v>1</v>
      </c>
    </row>
    <row r="111" spans="1:8" x14ac:dyDescent="0.2">
      <c r="A111" s="83" t="s">
        <v>1368</v>
      </c>
      <c r="D111" s="321">
        <v>38</v>
      </c>
      <c r="H111">
        <v>38</v>
      </c>
    </row>
    <row r="112" spans="1:8" x14ac:dyDescent="0.2">
      <c r="A112" s="263" t="s">
        <v>1581</v>
      </c>
      <c r="D112" s="321">
        <v>2</v>
      </c>
      <c r="H112">
        <v>2</v>
      </c>
    </row>
    <row r="113" spans="1:8" x14ac:dyDescent="0.2">
      <c r="A113" s="263" t="s">
        <v>1583</v>
      </c>
      <c r="D113" s="321">
        <v>36</v>
      </c>
      <c r="H113">
        <v>36</v>
      </c>
    </row>
    <row r="114" spans="1:8" x14ac:dyDescent="0.2">
      <c r="A114" s="83" t="s">
        <v>936</v>
      </c>
      <c r="D114" s="321">
        <v>28</v>
      </c>
      <c r="H114">
        <v>28</v>
      </c>
    </row>
    <row r="115" spans="1:8" x14ac:dyDescent="0.2">
      <c r="A115" s="263" t="s">
        <v>1581</v>
      </c>
      <c r="D115" s="321">
        <v>28</v>
      </c>
      <c r="H115">
        <v>28</v>
      </c>
    </row>
    <row r="116" spans="1:8" x14ac:dyDescent="0.2">
      <c r="A116" s="261" t="s">
        <v>228</v>
      </c>
      <c r="B116" s="262"/>
      <c r="C116" s="262">
        <v>1</v>
      </c>
      <c r="D116" s="322"/>
      <c r="E116" s="262"/>
      <c r="F116" s="262"/>
      <c r="G116" s="262"/>
      <c r="H116" s="262">
        <v>1</v>
      </c>
    </row>
    <row r="117" spans="1:8" x14ac:dyDescent="0.2">
      <c r="A117" s="263" t="s">
        <v>1581</v>
      </c>
      <c r="C117">
        <v>1</v>
      </c>
      <c r="H117">
        <v>1</v>
      </c>
    </row>
    <row r="118" spans="1:8" x14ac:dyDescent="0.2">
      <c r="A118" s="83" t="s">
        <v>1296</v>
      </c>
      <c r="D118" s="321">
        <v>1</v>
      </c>
      <c r="H118">
        <v>1</v>
      </c>
    </row>
    <row r="119" spans="1:8" x14ac:dyDescent="0.2">
      <c r="A119" s="263" t="s">
        <v>1583</v>
      </c>
      <c r="D119" s="321">
        <v>1</v>
      </c>
      <c r="H119">
        <v>1</v>
      </c>
    </row>
    <row r="120" spans="1:8" x14ac:dyDescent="0.2">
      <c r="A120" s="83" t="s">
        <v>837</v>
      </c>
      <c r="E120">
        <v>3</v>
      </c>
      <c r="H120">
        <v>3</v>
      </c>
    </row>
    <row r="121" spans="1:8" x14ac:dyDescent="0.2">
      <c r="A121" s="263" t="s">
        <v>1581</v>
      </c>
      <c r="E121">
        <v>3</v>
      </c>
      <c r="H121">
        <v>3</v>
      </c>
    </row>
    <row r="122" spans="1:8" x14ac:dyDescent="0.2">
      <c r="A122" s="83" t="s">
        <v>1004</v>
      </c>
      <c r="D122" s="321">
        <v>8</v>
      </c>
      <c r="E122">
        <v>1</v>
      </c>
      <c r="H122">
        <v>9</v>
      </c>
    </row>
    <row r="123" spans="1:8" x14ac:dyDescent="0.2">
      <c r="A123" s="83" t="s">
        <v>1280</v>
      </c>
      <c r="D123" s="321">
        <v>8</v>
      </c>
      <c r="H123">
        <v>8</v>
      </c>
    </row>
    <row r="124" spans="1:8" x14ac:dyDescent="0.2">
      <c r="A124" s="83" t="s">
        <v>1073</v>
      </c>
      <c r="D124" s="321">
        <v>5</v>
      </c>
      <c r="H124">
        <v>5</v>
      </c>
    </row>
    <row r="125" spans="1:8" x14ac:dyDescent="0.2">
      <c r="A125" s="263" t="s">
        <v>1581</v>
      </c>
      <c r="D125" s="321">
        <v>5</v>
      </c>
      <c r="H125">
        <v>5</v>
      </c>
    </row>
    <row r="126" spans="1:8" x14ac:dyDescent="0.2">
      <c r="A126" s="83" t="s">
        <v>1564</v>
      </c>
      <c r="G126">
        <v>1</v>
      </c>
      <c r="H126">
        <v>1</v>
      </c>
    </row>
    <row r="127" spans="1:8" x14ac:dyDescent="0.2">
      <c r="A127" s="263" t="s">
        <v>1581</v>
      </c>
      <c r="G127">
        <v>1</v>
      </c>
      <c r="H127">
        <v>1</v>
      </c>
    </row>
    <row r="128" spans="1:8" x14ac:dyDescent="0.2">
      <c r="A128" s="83" t="s">
        <v>1568</v>
      </c>
      <c r="G128">
        <v>1</v>
      </c>
      <c r="H128">
        <v>1</v>
      </c>
    </row>
    <row r="129" spans="1:8" x14ac:dyDescent="0.2">
      <c r="A129" s="263" t="s">
        <v>1582</v>
      </c>
      <c r="G129">
        <v>1</v>
      </c>
      <c r="H129">
        <v>1</v>
      </c>
    </row>
    <row r="130" spans="1:8" x14ac:dyDescent="0.2">
      <c r="A130" s="83" t="s">
        <v>59</v>
      </c>
      <c r="D130" s="321">
        <v>1</v>
      </c>
      <c r="H130">
        <v>1</v>
      </c>
    </row>
    <row r="131" spans="1:8" x14ac:dyDescent="0.2">
      <c r="A131" s="263" t="s">
        <v>1581</v>
      </c>
      <c r="D131" s="321">
        <v>1</v>
      </c>
      <c r="H131">
        <v>1</v>
      </c>
    </row>
    <row r="132" spans="1:8" x14ac:dyDescent="0.2">
      <c r="A132" s="261" t="s">
        <v>878</v>
      </c>
      <c r="B132" s="262"/>
      <c r="C132" s="262"/>
      <c r="D132" s="322"/>
      <c r="E132" s="262"/>
      <c r="F132" s="262"/>
      <c r="G132" s="262"/>
      <c r="H132" s="262"/>
    </row>
    <row r="133" spans="1:8" x14ac:dyDescent="0.2">
      <c r="A133" s="263" t="s">
        <v>1582</v>
      </c>
    </row>
    <row r="134" spans="1:8" x14ac:dyDescent="0.2">
      <c r="A134" s="83" t="s">
        <v>763</v>
      </c>
      <c r="B134">
        <v>3</v>
      </c>
      <c r="C134">
        <v>93</v>
      </c>
      <c r="D134" s="321">
        <v>380</v>
      </c>
      <c r="E134">
        <v>6</v>
      </c>
      <c r="F134">
        <v>4</v>
      </c>
      <c r="G134">
        <v>16</v>
      </c>
      <c r="H134">
        <v>502</v>
      </c>
    </row>
    <row r="135" spans="1:8" x14ac:dyDescent="0.2">
      <c r="D13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67"/>
  <sheetViews>
    <sheetView workbookViewId="0"/>
  </sheetViews>
  <sheetFormatPr baseColWidth="10" defaultRowHeight="12.75" x14ac:dyDescent="0.2"/>
  <cols>
    <col min="1" max="1" width="3.5703125" style="27" bestFit="1" customWidth="1"/>
    <col min="2" max="2" width="52.28515625" style="27" customWidth="1"/>
    <col min="3" max="3" width="32.5703125" style="27" customWidth="1"/>
    <col min="4" max="4" width="15.140625" style="27" customWidth="1"/>
    <col min="5" max="5" width="33.7109375" style="27" customWidth="1"/>
    <col min="6" max="6" width="43.42578125" style="27" customWidth="1"/>
    <col min="7" max="7" width="39.5703125" style="27" customWidth="1"/>
    <col min="8" max="8" width="34.42578125" style="27" customWidth="1"/>
    <col min="9" max="9" width="18.140625" style="27" hidden="1" customWidth="1"/>
    <col min="10" max="10" width="25.28515625" style="27" customWidth="1"/>
    <col min="11" max="11" width="17.42578125" style="27" customWidth="1"/>
    <col min="12" max="12" width="15.42578125" style="27" customWidth="1"/>
    <col min="13" max="13" width="13.140625" style="27" bestFit="1" customWidth="1"/>
    <col min="14" max="14" width="14.85546875" style="27" customWidth="1"/>
    <col min="15" max="15" width="13.140625" style="27" customWidth="1"/>
    <col min="16" max="16" width="14.42578125" style="27" customWidth="1"/>
    <col min="17" max="17" width="11.28515625" style="27" customWidth="1"/>
    <col min="18" max="18" width="14.140625" style="27" customWidth="1"/>
    <col min="19" max="19" width="13.42578125" style="27" bestFit="1" customWidth="1"/>
    <col min="20" max="20" width="10.140625" style="27" customWidth="1"/>
    <col min="21" max="21" width="13.28515625" style="27" customWidth="1"/>
    <col min="22" max="22" width="14.28515625" style="27" customWidth="1"/>
    <col min="23" max="23" width="12" style="27" customWidth="1"/>
    <col min="24" max="24" width="17" style="27" customWidth="1"/>
    <col min="25" max="25" width="12.140625" style="27" customWidth="1"/>
    <col min="26" max="26" width="15" style="27" bestFit="1" customWidth="1"/>
    <col min="27" max="27" width="12.7109375" style="27" bestFit="1" customWidth="1"/>
    <col min="28" max="28" width="12" style="27" customWidth="1"/>
    <col min="29" max="29" width="11.85546875" style="27" customWidth="1"/>
    <col min="30" max="16384" width="11.42578125" style="27"/>
  </cols>
  <sheetData>
    <row r="1" spans="1:29" ht="6" customHeight="1" x14ac:dyDescent="0.2">
      <c r="I1" s="29"/>
    </row>
    <row r="2" spans="1:29" ht="30" customHeight="1" x14ac:dyDescent="0.2">
      <c r="I2" s="29"/>
      <c r="L2" s="721" t="s">
        <v>493</v>
      </c>
      <c r="M2" s="721"/>
      <c r="N2" s="720" t="s">
        <v>494</v>
      </c>
      <c r="O2" s="720"/>
      <c r="P2" s="720" t="s">
        <v>495</v>
      </c>
      <c r="Q2" s="720"/>
      <c r="R2" s="720" t="s">
        <v>496</v>
      </c>
      <c r="S2" s="720"/>
      <c r="T2" s="720" t="s">
        <v>497</v>
      </c>
      <c r="U2" s="720"/>
      <c r="V2" s="720" t="s">
        <v>498</v>
      </c>
      <c r="W2" s="720"/>
      <c r="X2" s="720" t="s">
        <v>499</v>
      </c>
      <c r="Y2" s="720"/>
      <c r="Z2" s="720" t="s">
        <v>500</v>
      </c>
      <c r="AA2" s="720"/>
      <c r="AB2" s="720" t="s">
        <v>501</v>
      </c>
      <c r="AC2" s="720"/>
    </row>
    <row r="3" spans="1:29" s="28" customFormat="1" ht="45" customHeight="1" x14ac:dyDescent="0.2">
      <c r="A3" s="30"/>
      <c r="B3" s="326"/>
      <c r="C3" s="31" t="s">
        <v>451</v>
      </c>
      <c r="D3" s="32" t="s">
        <v>502</v>
      </c>
      <c r="E3" s="32" t="s">
        <v>505</v>
      </c>
      <c r="F3" s="32" t="s">
        <v>503</v>
      </c>
      <c r="G3" s="32" t="s">
        <v>504</v>
      </c>
      <c r="H3" s="32" t="s">
        <v>506</v>
      </c>
      <c r="I3" s="33" t="s">
        <v>507</v>
      </c>
      <c r="J3" s="32" t="s">
        <v>508</v>
      </c>
      <c r="K3" s="32" t="s">
        <v>509</v>
      </c>
      <c r="L3" s="32" t="s">
        <v>510</v>
      </c>
      <c r="M3" s="34" t="s">
        <v>511</v>
      </c>
      <c r="N3" s="32" t="s">
        <v>510</v>
      </c>
      <c r="O3" s="32" t="s">
        <v>511</v>
      </c>
      <c r="P3" s="32" t="s">
        <v>510</v>
      </c>
      <c r="Q3" s="32" t="s">
        <v>511</v>
      </c>
      <c r="R3" s="32" t="s">
        <v>510</v>
      </c>
      <c r="S3" s="32" t="s">
        <v>511</v>
      </c>
      <c r="T3" s="32" t="s">
        <v>510</v>
      </c>
      <c r="U3" s="32" t="s">
        <v>511</v>
      </c>
      <c r="V3" s="32" t="s">
        <v>510</v>
      </c>
      <c r="W3" s="32" t="s">
        <v>511</v>
      </c>
      <c r="X3" s="32" t="s">
        <v>510</v>
      </c>
      <c r="Y3" s="32" t="s">
        <v>511</v>
      </c>
      <c r="Z3" s="32" t="s">
        <v>510</v>
      </c>
      <c r="AA3" s="32" t="s">
        <v>511</v>
      </c>
      <c r="AB3" s="32" t="s">
        <v>510</v>
      </c>
      <c r="AC3" s="32" t="s">
        <v>511</v>
      </c>
    </row>
    <row r="4" spans="1:29" s="28" customFormat="1" ht="17.25" customHeight="1" x14ac:dyDescent="0.2">
      <c r="A4" s="289">
        <v>1</v>
      </c>
      <c r="B4" s="265" t="s">
        <v>1594</v>
      </c>
      <c r="C4" s="265" t="s">
        <v>1594</v>
      </c>
      <c r="D4" s="54"/>
      <c r="E4" s="54"/>
      <c r="F4" s="61"/>
      <c r="G4" s="54"/>
      <c r="H4" s="54"/>
      <c r="I4" s="290"/>
      <c r="J4" s="54"/>
      <c r="K4" s="268"/>
      <c r="L4" s="268"/>
      <c r="M4" s="268"/>
      <c r="N4" s="268"/>
      <c r="O4" s="268"/>
      <c r="P4" s="268"/>
      <c r="Q4" s="268"/>
      <c r="R4" s="268"/>
      <c r="S4" s="54"/>
      <c r="T4" s="54"/>
      <c r="U4" s="54"/>
      <c r="V4" s="54"/>
      <c r="W4" s="54"/>
      <c r="X4" s="54"/>
      <c r="Y4" s="54"/>
      <c r="Z4" s="54"/>
      <c r="AA4" s="54"/>
      <c r="AB4" s="54"/>
      <c r="AC4" s="54"/>
    </row>
    <row r="5" spans="1:29" s="28" customFormat="1" ht="37.5" customHeight="1" x14ac:dyDescent="0.2">
      <c r="A5" s="289">
        <v>2</v>
      </c>
      <c r="B5" s="265" t="s">
        <v>40</v>
      </c>
      <c r="C5" s="265" t="s">
        <v>40</v>
      </c>
      <c r="D5" s="36" t="s">
        <v>521</v>
      </c>
      <c r="E5" s="36" t="s">
        <v>523</v>
      </c>
      <c r="F5" s="61" t="s">
        <v>522</v>
      </c>
      <c r="G5" s="36"/>
      <c r="H5" s="36" t="s">
        <v>524</v>
      </c>
      <c r="I5" s="280"/>
      <c r="J5" s="39" t="s">
        <v>525</v>
      </c>
      <c r="K5" s="40">
        <v>41523</v>
      </c>
      <c r="L5" s="41" t="s">
        <v>526</v>
      </c>
      <c r="M5" s="42">
        <v>41523</v>
      </c>
      <c r="N5" s="37"/>
      <c r="O5" s="37"/>
      <c r="P5" s="37"/>
      <c r="Q5" s="37"/>
      <c r="R5" s="37"/>
      <c r="S5" s="38"/>
      <c r="T5" s="38" t="s">
        <v>527</v>
      </c>
      <c r="U5" s="43">
        <v>41523</v>
      </c>
      <c r="V5" s="44" t="s">
        <v>528</v>
      </c>
      <c r="W5" s="45">
        <v>41897</v>
      </c>
      <c r="X5" s="44" t="s">
        <v>528</v>
      </c>
      <c r="Y5" s="45">
        <v>42261</v>
      </c>
      <c r="Z5" s="36" t="s">
        <v>529</v>
      </c>
      <c r="AA5" s="45">
        <v>42625</v>
      </c>
      <c r="AB5" s="130" t="s">
        <v>528</v>
      </c>
      <c r="AC5" s="45">
        <v>42767</v>
      </c>
    </row>
    <row r="6" spans="1:29" s="28" customFormat="1" ht="36.75" customHeight="1" x14ac:dyDescent="0.2">
      <c r="A6" s="289">
        <v>3</v>
      </c>
      <c r="B6" s="265" t="s">
        <v>39</v>
      </c>
      <c r="C6" s="265" t="s">
        <v>39</v>
      </c>
      <c r="D6" s="36" t="s">
        <v>512</v>
      </c>
      <c r="E6" s="36" t="s">
        <v>515</v>
      </c>
      <c r="F6" s="293" t="s">
        <v>513</v>
      </c>
      <c r="G6" s="36" t="s">
        <v>514</v>
      </c>
      <c r="H6" s="36" t="s">
        <v>516</v>
      </c>
      <c r="I6" s="280" t="s">
        <v>517</v>
      </c>
      <c r="J6" s="35" t="s">
        <v>518</v>
      </c>
      <c r="K6" s="36" t="s">
        <v>519</v>
      </c>
      <c r="L6" s="38" t="s">
        <v>520</v>
      </c>
      <c r="M6" s="38" t="s">
        <v>520</v>
      </c>
      <c r="N6" s="38" t="s">
        <v>520</v>
      </c>
      <c r="O6" s="38" t="s">
        <v>520</v>
      </c>
      <c r="P6" s="38" t="s">
        <v>520</v>
      </c>
      <c r="Q6" s="38" t="s">
        <v>520</v>
      </c>
      <c r="R6" s="38" t="s">
        <v>520</v>
      </c>
      <c r="S6" s="38" t="s">
        <v>520</v>
      </c>
      <c r="T6" s="38" t="s">
        <v>520</v>
      </c>
      <c r="U6" s="38" t="s">
        <v>520</v>
      </c>
      <c r="V6" s="38" t="s">
        <v>520</v>
      </c>
      <c r="W6" s="38" t="s">
        <v>520</v>
      </c>
      <c r="X6" s="38" t="s">
        <v>520</v>
      </c>
      <c r="Y6" s="38" t="s">
        <v>520</v>
      </c>
      <c r="Z6" s="38" t="s">
        <v>520</v>
      </c>
      <c r="AA6" s="38" t="s">
        <v>520</v>
      </c>
      <c r="AB6" s="38" t="s">
        <v>520</v>
      </c>
      <c r="AC6" s="38" t="s">
        <v>520</v>
      </c>
    </row>
    <row r="7" spans="1:29" s="28" customFormat="1" ht="15.75" x14ac:dyDescent="0.2">
      <c r="A7" s="289">
        <v>4</v>
      </c>
      <c r="B7" s="265" t="s">
        <v>1597</v>
      </c>
      <c r="C7" s="265" t="s">
        <v>1612</v>
      </c>
      <c r="D7" s="54"/>
      <c r="E7" s="54"/>
      <c r="F7" s="54"/>
      <c r="G7" s="54"/>
      <c r="H7" s="54"/>
      <c r="I7" s="290"/>
      <c r="J7" s="54"/>
      <c r="K7" s="54"/>
      <c r="L7" s="54"/>
      <c r="M7" s="54"/>
      <c r="N7" s="54"/>
      <c r="O7" s="54"/>
      <c r="P7" s="54"/>
      <c r="Q7" s="54"/>
      <c r="R7" s="54"/>
      <c r="S7" s="54"/>
      <c r="T7" s="54"/>
      <c r="U7" s="54"/>
      <c r="V7" s="54"/>
      <c r="W7" s="54"/>
      <c r="X7" s="54"/>
      <c r="Y7" s="54"/>
      <c r="Z7" s="54"/>
      <c r="AA7" s="54"/>
      <c r="AB7" s="54"/>
      <c r="AC7" s="54"/>
    </row>
    <row r="8" spans="1:29" s="28" customFormat="1" ht="50.25" customHeight="1" x14ac:dyDescent="0.2">
      <c r="A8" s="289">
        <v>5</v>
      </c>
      <c r="B8" s="265" t="s">
        <v>41</v>
      </c>
      <c r="C8" s="265" t="s">
        <v>41</v>
      </c>
      <c r="D8" s="36" t="s">
        <v>530</v>
      </c>
      <c r="E8" s="36" t="s">
        <v>533</v>
      </c>
      <c r="F8" s="293" t="s">
        <v>531</v>
      </c>
      <c r="G8" s="36" t="s">
        <v>532</v>
      </c>
      <c r="H8" s="36" t="s">
        <v>534</v>
      </c>
      <c r="I8" s="280"/>
      <c r="J8" s="39" t="s">
        <v>525</v>
      </c>
      <c r="K8" s="45">
        <v>40637</v>
      </c>
      <c r="L8" s="36" t="s">
        <v>526</v>
      </c>
      <c r="M8" s="46">
        <v>40666</v>
      </c>
      <c r="N8" s="47" t="s">
        <v>520</v>
      </c>
      <c r="O8" s="47" t="s">
        <v>520</v>
      </c>
      <c r="P8" s="47" t="s">
        <v>520</v>
      </c>
      <c r="Q8" s="47" t="s">
        <v>520</v>
      </c>
      <c r="R8" s="36" t="s">
        <v>529</v>
      </c>
      <c r="S8" s="45">
        <v>41162</v>
      </c>
      <c r="T8" s="44" t="s">
        <v>528</v>
      </c>
      <c r="U8" s="45">
        <v>41523</v>
      </c>
      <c r="V8" s="36" t="s">
        <v>529</v>
      </c>
      <c r="W8" s="45">
        <v>41897</v>
      </c>
      <c r="X8" s="36" t="s">
        <v>529</v>
      </c>
      <c r="Y8" s="48">
        <v>42261</v>
      </c>
      <c r="Z8" s="36" t="s">
        <v>529</v>
      </c>
      <c r="AA8" s="45">
        <v>42625</v>
      </c>
      <c r="AB8" s="36"/>
      <c r="AC8" s="45"/>
    </row>
    <row r="9" spans="1:29" s="28" customFormat="1" ht="28.5" x14ac:dyDescent="0.2">
      <c r="A9" s="289">
        <v>6</v>
      </c>
      <c r="B9" s="265" t="s">
        <v>42</v>
      </c>
      <c r="C9" s="265" t="s">
        <v>42</v>
      </c>
      <c r="D9" s="36" t="s">
        <v>535</v>
      </c>
      <c r="E9" s="36" t="s">
        <v>537</v>
      </c>
      <c r="F9" s="294" t="s">
        <v>143</v>
      </c>
      <c r="G9" s="36" t="s">
        <v>536</v>
      </c>
      <c r="H9" s="36" t="s">
        <v>538</v>
      </c>
      <c r="I9" s="291" t="s">
        <v>539</v>
      </c>
      <c r="J9" s="33" t="s">
        <v>518</v>
      </c>
      <c r="K9" s="36" t="s">
        <v>519</v>
      </c>
      <c r="L9" s="47" t="s">
        <v>520</v>
      </c>
      <c r="M9" s="269" t="s">
        <v>520</v>
      </c>
      <c r="N9" s="47" t="s">
        <v>520</v>
      </c>
      <c r="O9" s="47" t="s">
        <v>520</v>
      </c>
      <c r="P9" s="47" t="s">
        <v>520</v>
      </c>
      <c r="Q9" s="47" t="s">
        <v>520</v>
      </c>
      <c r="R9" s="47" t="s">
        <v>520</v>
      </c>
      <c r="S9" s="47" t="s">
        <v>520</v>
      </c>
      <c r="T9" s="47" t="s">
        <v>520</v>
      </c>
      <c r="U9" s="47" t="s">
        <v>520</v>
      </c>
      <c r="V9" s="47" t="s">
        <v>520</v>
      </c>
      <c r="W9" s="47" t="s">
        <v>520</v>
      </c>
      <c r="X9" s="47" t="s">
        <v>520</v>
      </c>
      <c r="Y9" s="47" t="s">
        <v>520</v>
      </c>
      <c r="Z9" s="47" t="s">
        <v>520</v>
      </c>
      <c r="AA9" s="47" t="s">
        <v>520</v>
      </c>
      <c r="AB9" s="47" t="s">
        <v>520</v>
      </c>
      <c r="AC9" s="47" t="s">
        <v>520</v>
      </c>
    </row>
    <row r="10" spans="1:29" s="28" customFormat="1" ht="42.75" x14ac:dyDescent="0.2">
      <c r="A10" s="289">
        <v>7</v>
      </c>
      <c r="B10" s="266" t="s">
        <v>540</v>
      </c>
      <c r="C10" s="266" t="s">
        <v>540</v>
      </c>
      <c r="D10" s="36"/>
      <c r="E10" s="36" t="s">
        <v>543</v>
      </c>
      <c r="F10" s="295" t="s">
        <v>541</v>
      </c>
      <c r="G10" s="36" t="s">
        <v>542</v>
      </c>
      <c r="H10" s="36" t="s">
        <v>544</v>
      </c>
      <c r="I10" s="291"/>
      <c r="J10" s="39" t="s">
        <v>525</v>
      </c>
      <c r="K10" s="36" t="s">
        <v>519</v>
      </c>
      <c r="L10" s="36" t="s">
        <v>526</v>
      </c>
      <c r="M10" s="45">
        <v>39419</v>
      </c>
      <c r="N10" s="36" t="s">
        <v>528</v>
      </c>
      <c r="O10" s="45">
        <v>40221</v>
      </c>
      <c r="P10" s="36" t="s">
        <v>529</v>
      </c>
      <c r="Q10" s="45">
        <v>40578</v>
      </c>
      <c r="R10" s="36" t="s">
        <v>529</v>
      </c>
      <c r="S10" s="45">
        <v>41162</v>
      </c>
      <c r="T10" s="36" t="s">
        <v>529</v>
      </c>
      <c r="U10" s="45">
        <v>41523</v>
      </c>
      <c r="V10" s="36" t="s">
        <v>529</v>
      </c>
      <c r="W10" s="45">
        <v>41897</v>
      </c>
      <c r="X10" s="36" t="s">
        <v>529</v>
      </c>
      <c r="Y10" s="48">
        <v>42261</v>
      </c>
      <c r="Z10" s="36" t="s">
        <v>529</v>
      </c>
      <c r="AA10" s="45">
        <v>42625</v>
      </c>
      <c r="AB10" s="36"/>
      <c r="AC10" s="45"/>
    </row>
    <row r="11" spans="1:29" s="28" customFormat="1" ht="48" customHeight="1" x14ac:dyDescent="0.2">
      <c r="A11" s="289">
        <v>8</v>
      </c>
      <c r="B11" s="267" t="s">
        <v>545</v>
      </c>
      <c r="C11" s="267" t="s">
        <v>545</v>
      </c>
      <c r="D11" s="36" t="s">
        <v>546</v>
      </c>
      <c r="E11" s="36" t="s">
        <v>549</v>
      </c>
      <c r="F11" s="296" t="s">
        <v>547</v>
      </c>
      <c r="G11" s="36" t="s">
        <v>548</v>
      </c>
      <c r="H11" s="36" t="s">
        <v>550</v>
      </c>
      <c r="I11" s="280" t="s">
        <v>551</v>
      </c>
      <c r="J11" s="39" t="s">
        <v>552</v>
      </c>
      <c r="K11" s="36" t="s">
        <v>519</v>
      </c>
      <c r="L11" s="50" t="s">
        <v>553</v>
      </c>
      <c r="M11" s="52">
        <v>39419</v>
      </c>
      <c r="N11" s="50" t="s">
        <v>528</v>
      </c>
      <c r="O11" s="52">
        <v>40221</v>
      </c>
      <c r="P11" s="36" t="s">
        <v>528</v>
      </c>
      <c r="Q11" s="45">
        <v>40578</v>
      </c>
      <c r="R11" s="36" t="s">
        <v>529</v>
      </c>
      <c r="S11" s="45">
        <v>41162</v>
      </c>
      <c r="T11" s="36" t="s">
        <v>529</v>
      </c>
      <c r="U11" s="45">
        <v>41523</v>
      </c>
      <c r="V11" s="36" t="s">
        <v>529</v>
      </c>
      <c r="W11" s="45">
        <v>41897</v>
      </c>
      <c r="X11" s="36" t="s">
        <v>529</v>
      </c>
      <c r="Y11" s="48">
        <v>42261</v>
      </c>
      <c r="Z11" s="36" t="s">
        <v>529</v>
      </c>
      <c r="AA11" s="45">
        <v>42621</v>
      </c>
      <c r="AB11" s="36"/>
      <c r="AC11" s="45"/>
    </row>
    <row r="12" spans="1:29" s="28" customFormat="1" ht="42.75" x14ac:dyDescent="0.2">
      <c r="A12" s="289">
        <v>10</v>
      </c>
      <c r="B12" s="267" t="s">
        <v>43</v>
      </c>
      <c r="C12" s="267" t="s">
        <v>43</v>
      </c>
      <c r="D12" s="36" t="s">
        <v>554</v>
      </c>
      <c r="E12" s="36" t="s">
        <v>555</v>
      </c>
      <c r="F12" s="297" t="s">
        <v>143</v>
      </c>
      <c r="G12" s="38" t="s">
        <v>143</v>
      </c>
      <c r="H12" s="36" t="s">
        <v>556</v>
      </c>
      <c r="I12" s="280"/>
      <c r="J12" s="39" t="s">
        <v>557</v>
      </c>
      <c r="K12" s="45">
        <v>40595</v>
      </c>
      <c r="L12" s="53" t="s">
        <v>558</v>
      </c>
      <c r="M12" s="51">
        <v>40823</v>
      </c>
      <c r="N12" s="270" t="s">
        <v>143</v>
      </c>
      <c r="O12" s="270" t="s">
        <v>143</v>
      </c>
      <c r="P12" s="270" t="s">
        <v>143</v>
      </c>
      <c r="Q12" s="270" t="s">
        <v>143</v>
      </c>
      <c r="R12" s="36" t="s">
        <v>529</v>
      </c>
      <c r="S12" s="45">
        <v>41162</v>
      </c>
      <c r="T12" s="36" t="s">
        <v>529</v>
      </c>
      <c r="U12" s="45">
        <v>41523</v>
      </c>
      <c r="V12" s="36" t="s">
        <v>529</v>
      </c>
      <c r="W12" s="45">
        <v>41897</v>
      </c>
      <c r="X12" s="36" t="s">
        <v>529</v>
      </c>
      <c r="Y12" s="48">
        <v>42261</v>
      </c>
      <c r="Z12" s="36" t="s">
        <v>529</v>
      </c>
      <c r="AA12" s="45">
        <v>42621</v>
      </c>
      <c r="AB12" s="36"/>
      <c r="AC12" s="45"/>
    </row>
    <row r="13" spans="1:29" s="28" customFormat="1" ht="33.75" customHeight="1" x14ac:dyDescent="0.2">
      <c r="A13" s="289">
        <v>11</v>
      </c>
      <c r="B13" s="267" t="s">
        <v>559</v>
      </c>
      <c r="C13" s="267" t="s">
        <v>559</v>
      </c>
      <c r="D13" s="36" t="s">
        <v>560</v>
      </c>
      <c r="E13" s="298" t="s">
        <v>563</v>
      </c>
      <c r="F13" s="293" t="s">
        <v>561</v>
      </c>
      <c r="G13" s="36" t="s">
        <v>562</v>
      </c>
      <c r="H13" s="36" t="s">
        <v>564</v>
      </c>
      <c r="I13" s="291" t="s">
        <v>565</v>
      </c>
      <c r="J13" s="39" t="s">
        <v>525</v>
      </c>
      <c r="K13" s="36" t="s">
        <v>519</v>
      </c>
      <c r="L13" s="36" t="s">
        <v>526</v>
      </c>
      <c r="M13" s="46">
        <v>40221</v>
      </c>
      <c r="N13" s="271" t="s">
        <v>528</v>
      </c>
      <c r="O13" s="46">
        <v>40221</v>
      </c>
      <c r="P13" s="271" t="s">
        <v>528</v>
      </c>
      <c r="Q13" s="46">
        <v>40578</v>
      </c>
      <c r="R13" s="36" t="s">
        <v>529</v>
      </c>
      <c r="S13" s="45">
        <v>41162</v>
      </c>
      <c r="T13" s="36" t="s">
        <v>529</v>
      </c>
      <c r="U13" s="45">
        <v>41523</v>
      </c>
      <c r="V13" s="36" t="s">
        <v>529</v>
      </c>
      <c r="W13" s="45">
        <v>41897</v>
      </c>
      <c r="X13" s="36" t="s">
        <v>529</v>
      </c>
      <c r="Y13" s="48">
        <v>42261</v>
      </c>
      <c r="Z13" s="36" t="s">
        <v>529</v>
      </c>
      <c r="AA13" s="45">
        <v>42625</v>
      </c>
      <c r="AB13" s="36"/>
      <c r="AC13" s="45"/>
    </row>
    <row r="14" spans="1:29" s="28" customFormat="1" ht="48" customHeight="1" x14ac:dyDescent="0.2">
      <c r="A14" s="289">
        <v>12</v>
      </c>
      <c r="B14" s="267" t="s">
        <v>566</v>
      </c>
      <c r="C14" s="267" t="s">
        <v>566</v>
      </c>
      <c r="D14" s="36"/>
      <c r="E14" s="36" t="s">
        <v>569</v>
      </c>
      <c r="F14" s="293" t="s">
        <v>567</v>
      </c>
      <c r="G14" s="36" t="s">
        <v>568</v>
      </c>
      <c r="H14" s="36" t="s">
        <v>570</v>
      </c>
      <c r="I14" s="280" t="s">
        <v>551</v>
      </c>
      <c r="J14" s="39" t="s">
        <v>557</v>
      </c>
      <c r="K14" s="36" t="s">
        <v>519</v>
      </c>
      <c r="L14" s="50" t="s">
        <v>526</v>
      </c>
      <c r="M14" s="51">
        <v>39419</v>
      </c>
      <c r="N14" s="50" t="s">
        <v>528</v>
      </c>
      <c r="O14" s="52">
        <v>40221</v>
      </c>
      <c r="P14" s="36" t="s">
        <v>528</v>
      </c>
      <c r="Q14" s="45">
        <v>40578</v>
      </c>
      <c r="R14" s="36" t="s">
        <v>529</v>
      </c>
      <c r="S14" s="45">
        <v>41162</v>
      </c>
      <c r="T14" s="36" t="s">
        <v>529</v>
      </c>
      <c r="U14" s="45">
        <v>41523</v>
      </c>
      <c r="V14" s="36" t="s">
        <v>529</v>
      </c>
      <c r="W14" s="45">
        <v>41897</v>
      </c>
      <c r="X14" s="36" t="s">
        <v>529</v>
      </c>
      <c r="Y14" s="48">
        <v>42261</v>
      </c>
      <c r="Z14" s="36" t="s">
        <v>529</v>
      </c>
      <c r="AA14" s="45">
        <v>42625</v>
      </c>
      <c r="AB14" s="36"/>
      <c r="AC14" s="45"/>
    </row>
    <row r="15" spans="1:29" s="28" customFormat="1" ht="42.75" x14ac:dyDescent="0.2">
      <c r="A15" s="289">
        <v>13</v>
      </c>
      <c r="B15" s="265" t="s">
        <v>571</v>
      </c>
      <c r="C15" s="265" t="s">
        <v>571</v>
      </c>
      <c r="D15" s="36" t="s">
        <v>572</v>
      </c>
      <c r="E15" s="36" t="s">
        <v>575</v>
      </c>
      <c r="F15" s="296" t="s">
        <v>573</v>
      </c>
      <c r="G15" s="36" t="s">
        <v>574</v>
      </c>
      <c r="H15" s="36" t="s">
        <v>576</v>
      </c>
      <c r="I15" s="291"/>
      <c r="J15" s="39" t="s">
        <v>557</v>
      </c>
      <c r="K15" s="36" t="s">
        <v>519</v>
      </c>
      <c r="L15" s="36" t="s">
        <v>526</v>
      </c>
      <c r="M15" s="45">
        <v>40221</v>
      </c>
      <c r="N15" s="36" t="s">
        <v>528</v>
      </c>
      <c r="O15" s="45">
        <v>40221</v>
      </c>
      <c r="P15" s="36" t="s">
        <v>528</v>
      </c>
      <c r="Q15" s="45">
        <v>40578</v>
      </c>
      <c r="R15" s="44" t="s">
        <v>528</v>
      </c>
      <c r="S15" s="45">
        <v>41162</v>
      </c>
      <c r="T15" s="44" t="s">
        <v>528</v>
      </c>
      <c r="U15" s="45">
        <v>41523</v>
      </c>
      <c r="V15" s="44" t="s">
        <v>528</v>
      </c>
      <c r="W15" s="45">
        <v>41897</v>
      </c>
      <c r="X15" s="36" t="s">
        <v>528</v>
      </c>
      <c r="Y15" s="48">
        <v>42261</v>
      </c>
      <c r="Z15" s="130" t="s">
        <v>528</v>
      </c>
      <c r="AA15" s="45">
        <v>42513</v>
      </c>
      <c r="AB15" s="36"/>
      <c r="AC15" s="45"/>
    </row>
    <row r="16" spans="1:29" s="28" customFormat="1" ht="42.75" x14ac:dyDescent="0.2">
      <c r="A16" s="289">
        <v>14</v>
      </c>
      <c r="B16" s="265" t="s">
        <v>577</v>
      </c>
      <c r="C16" s="265" t="s">
        <v>577</v>
      </c>
      <c r="D16" s="36" t="s">
        <v>578</v>
      </c>
      <c r="E16" s="36" t="s">
        <v>581</v>
      </c>
      <c r="F16" s="295" t="s">
        <v>579</v>
      </c>
      <c r="G16" s="36" t="s">
        <v>580</v>
      </c>
      <c r="H16" s="36" t="s">
        <v>582</v>
      </c>
      <c r="I16" s="291"/>
      <c r="J16" s="39" t="s">
        <v>525</v>
      </c>
      <c r="K16" s="45">
        <v>41162</v>
      </c>
      <c r="L16" s="36" t="s">
        <v>526</v>
      </c>
      <c r="M16" s="43" t="s">
        <v>143</v>
      </c>
      <c r="N16" s="43" t="s">
        <v>143</v>
      </c>
      <c r="O16" s="43" t="s">
        <v>143</v>
      </c>
      <c r="P16" s="43" t="s">
        <v>143</v>
      </c>
      <c r="Q16" s="43" t="s">
        <v>143</v>
      </c>
      <c r="R16" s="36" t="s">
        <v>528</v>
      </c>
      <c r="S16" s="45">
        <v>41162</v>
      </c>
      <c r="T16" s="44" t="s">
        <v>528</v>
      </c>
      <c r="U16" s="45">
        <v>41523</v>
      </c>
      <c r="V16" s="36" t="s">
        <v>529</v>
      </c>
      <c r="W16" s="45">
        <v>41897</v>
      </c>
      <c r="X16" s="36" t="s">
        <v>529</v>
      </c>
      <c r="Y16" s="48">
        <v>42261</v>
      </c>
      <c r="Z16" s="36" t="s">
        <v>529</v>
      </c>
      <c r="AA16" s="45">
        <v>42625</v>
      </c>
      <c r="AB16" s="36"/>
      <c r="AC16" s="45"/>
    </row>
    <row r="17" spans="1:29" s="28" customFormat="1" ht="48.75" customHeight="1" x14ac:dyDescent="0.2">
      <c r="A17" s="289">
        <v>15</v>
      </c>
      <c r="B17" s="265" t="s">
        <v>1599</v>
      </c>
      <c r="C17" s="265" t="s">
        <v>1599</v>
      </c>
      <c r="D17" s="54"/>
      <c r="E17" s="54"/>
      <c r="F17" s="54"/>
      <c r="G17" s="54"/>
      <c r="H17" s="54"/>
      <c r="I17" s="290"/>
      <c r="J17" s="54"/>
      <c r="K17" s="54"/>
      <c r="L17" s="54"/>
      <c r="M17" s="54"/>
      <c r="N17" s="54"/>
      <c r="O17" s="54"/>
      <c r="P17" s="54"/>
      <c r="Q17" s="54"/>
      <c r="R17" s="54"/>
      <c r="S17" s="54"/>
      <c r="T17" s="54"/>
      <c r="U17" s="54"/>
      <c r="V17" s="54"/>
      <c r="W17" s="54"/>
      <c r="X17" s="54"/>
      <c r="Y17" s="54"/>
      <c r="Z17" s="54"/>
      <c r="AA17" s="54"/>
      <c r="AB17" s="54"/>
      <c r="AC17" s="54"/>
    </row>
    <row r="18" spans="1:29" s="28" customFormat="1" ht="27.75" customHeight="1" x14ac:dyDescent="0.2">
      <c r="A18" s="289">
        <v>16</v>
      </c>
      <c r="B18" s="265" t="s">
        <v>1600</v>
      </c>
      <c r="C18" s="265" t="s">
        <v>1600</v>
      </c>
      <c r="D18" s="54"/>
      <c r="E18" s="54"/>
      <c r="F18" s="54"/>
      <c r="G18" s="54"/>
      <c r="H18" s="54"/>
      <c r="I18" s="290"/>
      <c r="J18" s="54"/>
      <c r="K18" s="54"/>
      <c r="L18" s="54"/>
      <c r="M18" s="54"/>
      <c r="N18" s="54"/>
      <c r="O18" s="54"/>
      <c r="P18" s="54"/>
      <c r="Q18" s="54"/>
      <c r="R18" s="54"/>
      <c r="S18" s="54"/>
      <c r="T18" s="54"/>
      <c r="U18" s="54"/>
      <c r="V18" s="54"/>
      <c r="W18" s="54"/>
      <c r="X18" s="54"/>
      <c r="Y18" s="54"/>
      <c r="Z18" s="54"/>
      <c r="AA18" s="54"/>
      <c r="AB18" s="54"/>
      <c r="AC18" s="54"/>
    </row>
    <row r="19" spans="1:29" s="28" customFormat="1" ht="47.25" customHeight="1" x14ac:dyDescent="0.2">
      <c r="A19" s="289">
        <v>18</v>
      </c>
      <c r="B19" s="265" t="s">
        <v>583</v>
      </c>
      <c r="C19" s="265" t="s">
        <v>583</v>
      </c>
      <c r="D19" s="36"/>
      <c r="E19" s="36" t="s">
        <v>586</v>
      </c>
      <c r="F19" s="295" t="s">
        <v>584</v>
      </c>
      <c r="G19" s="36" t="s">
        <v>585</v>
      </c>
      <c r="H19" s="36" t="s">
        <v>587</v>
      </c>
      <c r="I19" s="291"/>
      <c r="J19" s="39" t="s">
        <v>557</v>
      </c>
      <c r="K19" s="45">
        <v>39882</v>
      </c>
      <c r="L19" s="54" t="s">
        <v>588</v>
      </c>
      <c r="M19" s="43" t="s">
        <v>520</v>
      </c>
      <c r="N19" s="43" t="s">
        <v>520</v>
      </c>
      <c r="O19" s="43" t="s">
        <v>520</v>
      </c>
      <c r="P19" s="43" t="s">
        <v>520</v>
      </c>
      <c r="Q19" s="43" t="s">
        <v>520</v>
      </c>
      <c r="R19" s="55" t="s">
        <v>529</v>
      </c>
      <c r="S19" s="45">
        <v>41162</v>
      </c>
      <c r="T19" s="36" t="s">
        <v>529</v>
      </c>
      <c r="U19" s="45">
        <v>41523</v>
      </c>
      <c r="V19" s="36" t="s">
        <v>529</v>
      </c>
      <c r="W19" s="45">
        <v>41897</v>
      </c>
      <c r="X19" s="36" t="s">
        <v>529</v>
      </c>
      <c r="Y19" s="48">
        <v>42261</v>
      </c>
      <c r="Z19" s="36" t="s">
        <v>529</v>
      </c>
      <c r="AA19" s="45">
        <v>42625</v>
      </c>
      <c r="AB19" s="36"/>
      <c r="AC19" s="45"/>
    </row>
    <row r="20" spans="1:29" s="28" customFormat="1" ht="49.5" customHeight="1" x14ac:dyDescent="0.2">
      <c r="A20" s="289">
        <v>19</v>
      </c>
      <c r="B20" s="265" t="s">
        <v>1602</v>
      </c>
      <c r="C20" s="265"/>
      <c r="D20" s="54"/>
      <c r="E20" s="54"/>
      <c r="F20" s="54"/>
      <c r="G20" s="54"/>
      <c r="H20" s="54"/>
      <c r="I20" s="290"/>
      <c r="J20" s="54"/>
      <c r="K20" s="54"/>
      <c r="L20" s="54"/>
      <c r="M20" s="54"/>
      <c r="N20" s="54"/>
      <c r="O20" s="54"/>
      <c r="P20" s="54"/>
      <c r="Q20" s="54"/>
      <c r="R20" s="54"/>
      <c r="S20" s="54"/>
      <c r="T20" s="54"/>
      <c r="U20" s="54"/>
      <c r="V20" s="54"/>
      <c r="W20" s="54"/>
      <c r="X20" s="54"/>
      <c r="Y20" s="54"/>
      <c r="Z20" s="54"/>
      <c r="AA20" s="54"/>
      <c r="AB20" s="54"/>
      <c r="AC20" s="54"/>
    </row>
    <row r="21" spans="1:29" s="28" customFormat="1" ht="50.25" customHeight="1" x14ac:dyDescent="0.2">
      <c r="A21" s="289">
        <v>20</v>
      </c>
      <c r="B21" s="265" t="s">
        <v>1603</v>
      </c>
      <c r="C21" s="265" t="s">
        <v>1603</v>
      </c>
      <c r="D21" s="54"/>
      <c r="E21" s="54"/>
      <c r="F21" s="54"/>
      <c r="G21" s="54"/>
      <c r="H21" s="54"/>
      <c r="I21" s="290"/>
      <c r="J21" s="54"/>
      <c r="K21" s="54"/>
      <c r="L21" s="54"/>
      <c r="M21" s="54"/>
      <c r="N21" s="54"/>
      <c r="O21" s="54"/>
      <c r="P21" s="54"/>
      <c r="Q21" s="54"/>
      <c r="R21" s="54"/>
      <c r="S21" s="54"/>
      <c r="T21" s="54"/>
      <c r="U21" s="54"/>
      <c r="V21" s="54"/>
      <c r="W21" s="54"/>
      <c r="X21" s="54"/>
      <c r="Y21" s="54"/>
      <c r="Z21" s="54"/>
      <c r="AA21" s="54"/>
      <c r="AB21" s="54"/>
      <c r="AC21" s="54"/>
    </row>
    <row r="22" spans="1:29" s="28" customFormat="1" ht="50.25" customHeight="1" x14ac:dyDescent="0.2">
      <c r="A22" s="289">
        <v>21</v>
      </c>
      <c r="B22" s="265" t="s">
        <v>1604</v>
      </c>
      <c r="C22" s="265" t="s">
        <v>1604</v>
      </c>
      <c r="D22" s="54"/>
      <c r="E22" s="54"/>
      <c r="F22" s="54"/>
      <c r="G22" s="54"/>
      <c r="H22" s="54"/>
      <c r="I22" s="290"/>
      <c r="J22" s="54"/>
      <c r="K22" s="54"/>
      <c r="L22" s="54"/>
      <c r="M22" s="54"/>
      <c r="N22" s="54"/>
      <c r="O22" s="54"/>
      <c r="P22" s="54"/>
      <c r="Q22" s="54"/>
      <c r="R22" s="54"/>
      <c r="S22" s="54"/>
      <c r="T22" s="54"/>
      <c r="U22" s="54"/>
      <c r="V22" s="54"/>
      <c r="W22" s="54"/>
      <c r="X22" s="54"/>
      <c r="Y22" s="54"/>
      <c r="Z22" s="54"/>
      <c r="AA22" s="54"/>
      <c r="AB22" s="54"/>
      <c r="AC22" s="54"/>
    </row>
    <row r="23" spans="1:29" s="28" customFormat="1" ht="49.5" customHeight="1" x14ac:dyDescent="0.2">
      <c r="A23" s="289">
        <v>22</v>
      </c>
      <c r="B23" s="266" t="s">
        <v>44</v>
      </c>
      <c r="C23" s="266" t="s">
        <v>44</v>
      </c>
      <c r="D23" s="36"/>
      <c r="E23" s="36" t="s">
        <v>591</v>
      </c>
      <c r="F23" s="299" t="s">
        <v>589</v>
      </c>
      <c r="G23" s="36" t="s">
        <v>590</v>
      </c>
      <c r="H23" s="36" t="s">
        <v>592</v>
      </c>
      <c r="I23" s="291"/>
      <c r="J23" s="39" t="s">
        <v>525</v>
      </c>
      <c r="K23" s="36" t="s">
        <v>519</v>
      </c>
      <c r="L23" s="36" t="s">
        <v>526</v>
      </c>
      <c r="M23" s="45">
        <v>39419</v>
      </c>
      <c r="N23" s="36" t="s">
        <v>528</v>
      </c>
      <c r="O23" s="45">
        <v>40221</v>
      </c>
      <c r="P23" s="36" t="s">
        <v>528</v>
      </c>
      <c r="Q23" s="45">
        <v>40578</v>
      </c>
      <c r="R23" s="55" t="s">
        <v>529</v>
      </c>
      <c r="S23" s="45">
        <v>41162</v>
      </c>
      <c r="T23" s="36" t="s">
        <v>529</v>
      </c>
      <c r="U23" s="45">
        <v>41523</v>
      </c>
      <c r="V23" s="36" t="s">
        <v>529</v>
      </c>
      <c r="W23" s="45">
        <v>41897</v>
      </c>
      <c r="X23" s="36" t="s">
        <v>529</v>
      </c>
      <c r="Y23" s="48">
        <v>42261</v>
      </c>
      <c r="Z23" s="36" t="s">
        <v>529</v>
      </c>
      <c r="AA23" s="45">
        <v>42625</v>
      </c>
      <c r="AB23" s="36"/>
      <c r="AC23" s="45"/>
    </row>
    <row r="24" spans="1:29" ht="42.75" x14ac:dyDescent="0.2">
      <c r="A24" s="289">
        <v>23</v>
      </c>
      <c r="B24" s="267" t="s">
        <v>593</v>
      </c>
      <c r="C24" s="267" t="s">
        <v>593</v>
      </c>
      <c r="D24" s="36"/>
      <c r="E24" s="36" t="s">
        <v>595</v>
      </c>
      <c r="F24" s="300" t="s">
        <v>143</v>
      </c>
      <c r="G24" s="36" t="s">
        <v>594</v>
      </c>
      <c r="H24" s="36" t="s">
        <v>596</v>
      </c>
      <c r="I24" s="280" t="s">
        <v>597</v>
      </c>
      <c r="J24" s="39" t="s">
        <v>552</v>
      </c>
      <c r="K24" s="36" t="s">
        <v>519</v>
      </c>
      <c r="L24" s="50" t="s">
        <v>526</v>
      </c>
      <c r="M24" s="52">
        <v>39419</v>
      </c>
      <c r="N24" s="50" t="s">
        <v>528</v>
      </c>
      <c r="O24" s="52">
        <v>40221</v>
      </c>
      <c r="P24" s="36" t="s">
        <v>529</v>
      </c>
      <c r="Q24" s="45">
        <v>40578</v>
      </c>
      <c r="R24" s="55" t="s">
        <v>529</v>
      </c>
      <c r="S24" s="45">
        <v>41162</v>
      </c>
      <c r="T24" s="36" t="s">
        <v>529</v>
      </c>
      <c r="U24" s="45">
        <v>41523</v>
      </c>
      <c r="V24" s="36" t="s">
        <v>529</v>
      </c>
      <c r="W24" s="45">
        <v>41897</v>
      </c>
      <c r="X24" s="36" t="s">
        <v>529</v>
      </c>
      <c r="Y24" s="48">
        <v>42261</v>
      </c>
      <c r="Z24" s="36" t="s">
        <v>529</v>
      </c>
      <c r="AA24" s="45">
        <v>42621</v>
      </c>
      <c r="AB24" s="36"/>
      <c r="AC24" s="45"/>
    </row>
    <row r="25" spans="1:29" ht="45" customHeight="1" x14ac:dyDescent="0.2">
      <c r="A25" s="289">
        <v>24</v>
      </c>
      <c r="B25" s="266" t="s">
        <v>701</v>
      </c>
      <c r="C25" s="266" t="s">
        <v>701</v>
      </c>
      <c r="D25" s="36" t="s">
        <v>695</v>
      </c>
      <c r="E25" s="36" t="s">
        <v>704</v>
      </c>
      <c r="F25" s="61" t="s">
        <v>702</v>
      </c>
      <c r="G25" s="36" t="s">
        <v>703</v>
      </c>
      <c r="H25" s="36" t="s">
        <v>699</v>
      </c>
      <c r="I25" s="280"/>
      <c r="J25" s="62" t="s">
        <v>525</v>
      </c>
      <c r="K25" s="45">
        <v>40828</v>
      </c>
      <c r="L25" s="53" t="s">
        <v>526</v>
      </c>
      <c r="M25" s="57">
        <v>40828</v>
      </c>
      <c r="N25" s="47" t="s">
        <v>520</v>
      </c>
      <c r="O25" s="47" t="s">
        <v>520</v>
      </c>
      <c r="P25" s="63" t="s">
        <v>700</v>
      </c>
      <c r="Q25" s="47" t="s">
        <v>520</v>
      </c>
      <c r="R25" s="54" t="s">
        <v>529</v>
      </c>
      <c r="S25" s="58">
        <v>41162</v>
      </c>
      <c r="T25" s="54" t="s">
        <v>529</v>
      </c>
      <c r="U25" s="58">
        <v>41523</v>
      </c>
      <c r="V25" s="54" t="s">
        <v>529</v>
      </c>
      <c r="W25" s="58">
        <v>41897</v>
      </c>
      <c r="X25" s="54" t="s">
        <v>529</v>
      </c>
      <c r="Y25" s="45">
        <v>42261</v>
      </c>
      <c r="Z25" s="36" t="s">
        <v>529</v>
      </c>
      <c r="AA25" s="45">
        <v>42625</v>
      </c>
      <c r="AB25" s="36"/>
      <c r="AC25" s="45"/>
    </row>
    <row r="26" spans="1:29" ht="45" customHeight="1" x14ac:dyDescent="0.2">
      <c r="A26" s="289">
        <v>25</v>
      </c>
      <c r="B26" s="265" t="s">
        <v>45</v>
      </c>
      <c r="C26" s="265" t="s">
        <v>45</v>
      </c>
      <c r="D26" s="36" t="s">
        <v>598</v>
      </c>
      <c r="E26" s="36" t="s">
        <v>600</v>
      </c>
      <c r="F26" s="300" t="s">
        <v>143</v>
      </c>
      <c r="G26" s="36" t="s">
        <v>599</v>
      </c>
      <c r="H26" s="36" t="s">
        <v>601</v>
      </c>
      <c r="I26" s="280"/>
      <c r="J26" s="35" t="s">
        <v>518</v>
      </c>
      <c r="K26" s="36" t="s">
        <v>519</v>
      </c>
      <c r="L26" s="47" t="s">
        <v>520</v>
      </c>
      <c r="M26" s="47" t="s">
        <v>520</v>
      </c>
      <c r="N26" s="47" t="s">
        <v>520</v>
      </c>
      <c r="O26" s="47" t="s">
        <v>520</v>
      </c>
      <c r="P26" s="47" t="s">
        <v>520</v>
      </c>
      <c r="Q26" s="47" t="s">
        <v>520</v>
      </c>
      <c r="R26" s="47" t="s">
        <v>520</v>
      </c>
      <c r="S26" s="47" t="s">
        <v>520</v>
      </c>
      <c r="T26" s="47" t="s">
        <v>520</v>
      </c>
      <c r="U26" s="47" t="s">
        <v>520</v>
      </c>
      <c r="V26" s="47" t="s">
        <v>520</v>
      </c>
      <c r="W26" s="47" t="s">
        <v>520</v>
      </c>
      <c r="X26" s="47" t="s">
        <v>520</v>
      </c>
      <c r="Y26" s="47" t="s">
        <v>520</v>
      </c>
      <c r="Z26" s="47" t="s">
        <v>520</v>
      </c>
      <c r="AA26" s="47" t="s">
        <v>520</v>
      </c>
      <c r="AB26" s="47" t="s">
        <v>520</v>
      </c>
      <c r="AC26" s="47" t="s">
        <v>520</v>
      </c>
    </row>
    <row r="27" spans="1:29" ht="15.75" x14ac:dyDescent="0.2">
      <c r="A27" s="289">
        <v>26</v>
      </c>
      <c r="B27" s="265" t="s">
        <v>1606</v>
      </c>
      <c r="C27" s="265" t="s">
        <v>1606</v>
      </c>
      <c r="D27" s="54"/>
      <c r="E27" s="54"/>
      <c r="F27" s="54"/>
      <c r="G27" s="54"/>
      <c r="H27" s="54"/>
      <c r="I27" s="290"/>
      <c r="J27" s="54"/>
      <c r="K27" s="54"/>
      <c r="L27" s="54"/>
      <c r="M27" s="54"/>
      <c r="N27" s="54"/>
      <c r="O27" s="54"/>
      <c r="P27" s="54"/>
      <c r="Q27" s="54"/>
      <c r="R27" s="54"/>
      <c r="S27" s="54"/>
      <c r="T27" s="54"/>
      <c r="U27" s="54"/>
      <c r="V27" s="54"/>
      <c r="W27" s="54"/>
      <c r="X27" s="54"/>
      <c r="Y27" s="54"/>
      <c r="Z27" s="54"/>
      <c r="AA27" s="54"/>
      <c r="AB27" s="54"/>
      <c r="AC27" s="54"/>
    </row>
    <row r="28" spans="1:29" ht="28.5" customHeight="1" x14ac:dyDescent="0.2">
      <c r="A28" s="289">
        <v>27</v>
      </c>
      <c r="B28" s="266" t="s">
        <v>611</v>
      </c>
      <c r="C28" s="266" t="s">
        <v>602</v>
      </c>
      <c r="D28" s="36"/>
      <c r="E28" s="36" t="s">
        <v>605</v>
      </c>
      <c r="F28" s="301" t="s">
        <v>603</v>
      </c>
      <c r="G28" s="36" t="s">
        <v>604</v>
      </c>
      <c r="H28" s="36" t="s">
        <v>606</v>
      </c>
      <c r="I28" s="291" t="s">
        <v>539</v>
      </c>
      <c r="J28" s="39" t="s">
        <v>525</v>
      </c>
      <c r="K28" s="36" t="s">
        <v>519</v>
      </c>
      <c r="L28" s="36" t="s">
        <v>526</v>
      </c>
      <c r="M28" s="45">
        <v>39419</v>
      </c>
      <c r="N28" s="36" t="s">
        <v>528</v>
      </c>
      <c r="O28" s="45">
        <v>40221</v>
      </c>
      <c r="P28" s="36" t="s">
        <v>529</v>
      </c>
      <c r="Q28" s="45">
        <v>40578</v>
      </c>
      <c r="R28" s="36" t="s">
        <v>529</v>
      </c>
      <c r="S28" s="56">
        <v>41162</v>
      </c>
      <c r="T28" s="49" t="s">
        <v>529</v>
      </c>
      <c r="U28" s="56">
        <v>41523</v>
      </c>
      <c r="V28" s="49" t="s">
        <v>529</v>
      </c>
      <c r="W28" s="45">
        <v>41897</v>
      </c>
      <c r="X28" s="36" t="s">
        <v>529</v>
      </c>
      <c r="Y28" s="45">
        <v>42261</v>
      </c>
      <c r="Z28" s="36" t="s">
        <v>529</v>
      </c>
      <c r="AA28" s="45">
        <v>42625</v>
      </c>
      <c r="AB28" s="36"/>
      <c r="AC28" s="45"/>
    </row>
    <row r="29" spans="1:29" ht="47.25" customHeight="1" x14ac:dyDescent="0.2">
      <c r="A29" s="289">
        <v>28</v>
      </c>
      <c r="B29" s="267" t="s">
        <v>617</v>
      </c>
      <c r="C29" s="266" t="s">
        <v>611</v>
      </c>
      <c r="D29" s="36" t="s">
        <v>808</v>
      </c>
      <c r="E29" s="36" t="s">
        <v>614</v>
      </c>
      <c r="F29" s="296" t="s">
        <v>612</v>
      </c>
      <c r="G29" s="36" t="s">
        <v>613</v>
      </c>
      <c r="H29" s="36" t="s">
        <v>615</v>
      </c>
      <c r="I29" s="291"/>
      <c r="J29" s="39" t="s">
        <v>557</v>
      </c>
      <c r="K29" s="36" t="s">
        <v>519</v>
      </c>
      <c r="L29" s="36" t="s">
        <v>526</v>
      </c>
      <c r="M29" s="45">
        <v>39419</v>
      </c>
      <c r="N29" s="36" t="s">
        <v>528</v>
      </c>
      <c r="O29" s="45">
        <v>40221</v>
      </c>
      <c r="P29" s="36" t="s">
        <v>528</v>
      </c>
      <c r="Q29" s="45">
        <v>40578</v>
      </c>
      <c r="R29" s="44" t="s">
        <v>528</v>
      </c>
      <c r="S29" s="56">
        <v>41162</v>
      </c>
      <c r="T29" s="44" t="s">
        <v>528</v>
      </c>
      <c r="U29" s="56">
        <v>41523</v>
      </c>
      <c r="V29" s="44" t="s">
        <v>616</v>
      </c>
      <c r="W29" s="45">
        <v>41897</v>
      </c>
      <c r="X29" s="36" t="s">
        <v>528</v>
      </c>
      <c r="Y29" s="45">
        <v>42261</v>
      </c>
      <c r="Z29" s="130" t="s">
        <v>528</v>
      </c>
      <c r="AA29" s="45">
        <v>42625</v>
      </c>
      <c r="AB29" s="36"/>
      <c r="AC29" s="45"/>
    </row>
    <row r="30" spans="1:29" ht="50.25" customHeight="1" x14ac:dyDescent="0.2">
      <c r="A30" s="289">
        <v>29</v>
      </c>
      <c r="B30" s="265" t="s">
        <v>1607</v>
      </c>
      <c r="C30" s="267" t="s">
        <v>617</v>
      </c>
      <c r="D30" s="36"/>
      <c r="E30" s="36" t="s">
        <v>620</v>
      </c>
      <c r="F30" s="295" t="s">
        <v>618</v>
      </c>
      <c r="G30" s="36" t="s">
        <v>619</v>
      </c>
      <c r="H30" s="36" t="s">
        <v>621</v>
      </c>
      <c r="I30" s="280" t="s">
        <v>622</v>
      </c>
      <c r="J30" s="39" t="s">
        <v>557</v>
      </c>
      <c r="K30" s="36" t="s">
        <v>519</v>
      </c>
      <c r="L30" s="53" t="s">
        <v>553</v>
      </c>
      <c r="M30" s="52">
        <v>39419</v>
      </c>
      <c r="N30" s="50" t="s">
        <v>528</v>
      </c>
      <c r="O30" s="52">
        <v>40221</v>
      </c>
      <c r="P30" s="36" t="s">
        <v>528</v>
      </c>
      <c r="Q30" s="45">
        <v>40578</v>
      </c>
      <c r="R30" s="44" t="s">
        <v>528</v>
      </c>
      <c r="S30" s="45">
        <v>41162</v>
      </c>
      <c r="T30" s="44" t="s">
        <v>528</v>
      </c>
      <c r="U30" s="45">
        <v>41523</v>
      </c>
      <c r="V30" s="44" t="s">
        <v>528</v>
      </c>
      <c r="W30" s="45">
        <v>41897</v>
      </c>
      <c r="X30" s="36" t="s">
        <v>528</v>
      </c>
      <c r="Y30" s="45">
        <v>42261</v>
      </c>
      <c r="Z30" s="130" t="s">
        <v>528</v>
      </c>
      <c r="AA30" s="45">
        <v>42625</v>
      </c>
      <c r="AB30" s="36"/>
      <c r="AC30" s="45"/>
    </row>
    <row r="31" spans="1:29" ht="50.25" customHeight="1" x14ac:dyDescent="0.2">
      <c r="A31" s="289">
        <v>30</v>
      </c>
      <c r="B31" s="265" t="s">
        <v>1608</v>
      </c>
      <c r="C31" s="265" t="s">
        <v>1607</v>
      </c>
      <c r="D31" s="54"/>
      <c r="E31" s="54"/>
      <c r="F31" s="54"/>
      <c r="G31" s="54"/>
      <c r="H31" s="54"/>
      <c r="I31" s="290"/>
      <c r="J31" s="54"/>
      <c r="K31" s="54"/>
      <c r="L31" s="54"/>
      <c r="M31" s="54"/>
      <c r="N31" s="54"/>
      <c r="O31" s="54"/>
      <c r="P31" s="54"/>
      <c r="Q31" s="54"/>
      <c r="R31" s="54"/>
      <c r="S31" s="54"/>
      <c r="T31" s="54"/>
      <c r="U31" s="54"/>
      <c r="V31" s="54"/>
      <c r="W31" s="54"/>
      <c r="X31" s="54"/>
      <c r="Y31" s="54"/>
      <c r="Z31" s="54"/>
      <c r="AA31" s="54"/>
      <c r="AB31" s="54"/>
      <c r="AC31" s="54"/>
    </row>
    <row r="32" spans="1:29" ht="45" customHeight="1" x14ac:dyDescent="0.2">
      <c r="A32" s="289">
        <v>31</v>
      </c>
      <c r="B32" s="266" t="s">
        <v>623</v>
      </c>
      <c r="C32" s="265" t="s">
        <v>1608</v>
      </c>
      <c r="D32" s="54"/>
      <c r="E32" s="54"/>
      <c r="F32" s="54"/>
      <c r="G32" s="54"/>
      <c r="H32" s="54"/>
      <c r="I32" s="292"/>
      <c r="J32" s="54"/>
      <c r="K32" s="54"/>
      <c r="L32" s="54"/>
      <c r="M32" s="54"/>
      <c r="N32" s="54"/>
      <c r="O32" s="54"/>
      <c r="P32" s="54"/>
      <c r="Q32" s="54"/>
      <c r="R32" s="54"/>
      <c r="S32" s="54"/>
      <c r="T32" s="54"/>
      <c r="U32" s="54"/>
      <c r="V32" s="54"/>
      <c r="W32" s="54"/>
      <c r="X32" s="54"/>
      <c r="Y32" s="54"/>
      <c r="Z32" s="54"/>
      <c r="AA32" s="54"/>
      <c r="AB32" s="54"/>
      <c r="AC32" s="54"/>
    </row>
    <row r="33" spans="1:29" ht="50.25" customHeight="1" x14ac:dyDescent="0.2">
      <c r="A33" s="289">
        <v>32</v>
      </c>
      <c r="B33" s="266" t="s">
        <v>46</v>
      </c>
      <c r="C33" s="266" t="s">
        <v>623</v>
      </c>
      <c r="D33" s="36"/>
      <c r="E33" s="36" t="s">
        <v>626</v>
      </c>
      <c r="F33" s="299" t="s">
        <v>624</v>
      </c>
      <c r="G33" s="36" t="s">
        <v>625</v>
      </c>
      <c r="H33" s="36" t="s">
        <v>627</v>
      </c>
      <c r="I33" s="291"/>
      <c r="J33" s="39" t="s">
        <v>525</v>
      </c>
      <c r="K33" s="36" t="s">
        <v>519</v>
      </c>
      <c r="L33" s="53" t="s">
        <v>526</v>
      </c>
      <c r="M33" s="45">
        <v>39419</v>
      </c>
      <c r="N33" s="53" t="s">
        <v>529</v>
      </c>
      <c r="O33" s="57">
        <v>42625</v>
      </c>
      <c r="P33" s="53" t="s">
        <v>529</v>
      </c>
      <c r="Q33" s="45">
        <v>40578</v>
      </c>
      <c r="R33" s="36" t="s">
        <v>529</v>
      </c>
      <c r="S33" s="45">
        <v>41162</v>
      </c>
      <c r="T33" s="36" t="s">
        <v>529</v>
      </c>
      <c r="U33" s="45">
        <v>41523</v>
      </c>
      <c r="V33" s="36" t="s">
        <v>529</v>
      </c>
      <c r="W33" s="45">
        <v>41897</v>
      </c>
      <c r="X33" s="36" t="s">
        <v>529</v>
      </c>
      <c r="Y33" s="45">
        <v>42261</v>
      </c>
      <c r="Z33" s="36" t="s">
        <v>529</v>
      </c>
      <c r="AA33" s="45">
        <v>42625</v>
      </c>
      <c r="AB33" s="36"/>
      <c r="AC33" s="45"/>
    </row>
    <row r="34" spans="1:29" ht="41.25" customHeight="1" x14ac:dyDescent="0.2">
      <c r="A34" s="289">
        <v>33</v>
      </c>
      <c r="B34" s="325" t="s">
        <v>47</v>
      </c>
      <c r="C34" s="266" t="s">
        <v>46</v>
      </c>
      <c r="D34" s="36" t="s">
        <v>607</v>
      </c>
      <c r="E34" s="36" t="s">
        <v>609</v>
      </c>
      <c r="F34" s="301"/>
      <c r="G34" s="36" t="s">
        <v>608</v>
      </c>
      <c r="H34" s="36" t="s">
        <v>610</v>
      </c>
      <c r="I34" s="291"/>
      <c r="J34" s="39" t="s">
        <v>525</v>
      </c>
      <c r="K34" s="45">
        <v>41067</v>
      </c>
      <c r="L34" s="36" t="s">
        <v>588</v>
      </c>
      <c r="M34" s="43" t="s">
        <v>143</v>
      </c>
      <c r="N34" s="43" t="s">
        <v>143</v>
      </c>
      <c r="O34" s="43" t="s">
        <v>143</v>
      </c>
      <c r="P34" s="43" t="s">
        <v>143</v>
      </c>
      <c r="Q34" s="43" t="s">
        <v>143</v>
      </c>
      <c r="R34" s="36" t="s">
        <v>529</v>
      </c>
      <c r="S34" s="45">
        <v>41162</v>
      </c>
      <c r="T34" s="49" t="s">
        <v>529</v>
      </c>
      <c r="U34" s="56">
        <v>41523</v>
      </c>
      <c r="V34" s="49" t="s">
        <v>529</v>
      </c>
      <c r="W34" s="45">
        <v>41897</v>
      </c>
      <c r="X34" s="36" t="s">
        <v>528</v>
      </c>
      <c r="Y34" s="45">
        <v>42261</v>
      </c>
      <c r="Z34" s="36" t="s">
        <v>529</v>
      </c>
      <c r="AA34" s="45">
        <v>42625</v>
      </c>
      <c r="AB34" s="36"/>
      <c r="AC34" s="45"/>
    </row>
    <row r="35" spans="1:29" ht="42.75" x14ac:dyDescent="0.2">
      <c r="A35" s="289">
        <v>34</v>
      </c>
      <c r="B35" s="265" t="s">
        <v>1014</v>
      </c>
      <c r="C35" s="267" t="s">
        <v>47</v>
      </c>
      <c r="D35" s="36" t="s">
        <v>634</v>
      </c>
      <c r="E35" s="36" t="s">
        <v>635</v>
      </c>
      <c r="F35" s="297" t="s">
        <v>143</v>
      </c>
      <c r="G35" s="36"/>
      <c r="H35" s="36" t="s">
        <v>632</v>
      </c>
      <c r="I35" s="280"/>
      <c r="J35" s="39" t="s">
        <v>525</v>
      </c>
      <c r="K35" s="45">
        <v>41150</v>
      </c>
      <c r="L35" s="53" t="s">
        <v>636</v>
      </c>
      <c r="M35" s="48" t="s">
        <v>143</v>
      </c>
      <c r="N35" s="48" t="s">
        <v>143</v>
      </c>
      <c r="O35" s="48" t="s">
        <v>143</v>
      </c>
      <c r="P35" s="48" t="s">
        <v>143</v>
      </c>
      <c r="Q35" s="48" t="s">
        <v>143</v>
      </c>
      <c r="R35" s="36" t="s">
        <v>528</v>
      </c>
      <c r="S35" s="45">
        <v>41150</v>
      </c>
      <c r="T35" s="36" t="s">
        <v>633</v>
      </c>
      <c r="U35" s="45">
        <v>41523</v>
      </c>
      <c r="V35" s="44" t="s">
        <v>528</v>
      </c>
      <c r="W35" s="45">
        <v>41897</v>
      </c>
      <c r="X35" s="36" t="s">
        <v>528</v>
      </c>
      <c r="Y35" s="45">
        <v>42261</v>
      </c>
      <c r="Z35" s="130" t="s">
        <v>528</v>
      </c>
      <c r="AA35" s="45">
        <v>42625</v>
      </c>
      <c r="AB35" s="36"/>
      <c r="AC35" s="45"/>
    </row>
    <row r="36" spans="1:29" ht="40.5" customHeight="1" x14ac:dyDescent="0.2">
      <c r="A36" s="289">
        <v>35</v>
      </c>
      <c r="B36" s="325" t="s">
        <v>628</v>
      </c>
      <c r="C36" s="265" t="s">
        <v>1014</v>
      </c>
      <c r="D36" s="54"/>
      <c r="E36" s="54"/>
      <c r="F36" s="54"/>
      <c r="G36" s="54"/>
      <c r="H36" s="54"/>
      <c r="I36" s="292"/>
      <c r="J36" s="54"/>
      <c r="K36" s="54"/>
      <c r="L36" s="54"/>
      <c r="M36" s="54"/>
      <c r="N36" s="54"/>
      <c r="O36" s="54"/>
      <c r="P36" s="54"/>
      <c r="Q36" s="54"/>
      <c r="R36" s="54"/>
      <c r="S36" s="54"/>
      <c r="T36" s="54"/>
      <c r="U36" s="54"/>
      <c r="V36" s="54"/>
      <c r="W36" s="54"/>
      <c r="X36" s="54"/>
      <c r="Y36" s="54"/>
      <c r="Z36" s="54"/>
      <c r="AA36" s="54"/>
      <c r="AB36" s="54"/>
      <c r="AC36" s="54"/>
    </row>
    <row r="37" spans="1:29" ht="40.5" customHeight="1" x14ac:dyDescent="0.2">
      <c r="A37" s="289">
        <v>36</v>
      </c>
      <c r="B37" s="266" t="s">
        <v>48</v>
      </c>
      <c r="C37" s="267" t="s">
        <v>628</v>
      </c>
      <c r="D37" s="36" t="s">
        <v>629</v>
      </c>
      <c r="E37" s="36" t="s">
        <v>631</v>
      </c>
      <c r="F37" s="297" t="s">
        <v>143</v>
      </c>
      <c r="G37" s="36" t="s">
        <v>630</v>
      </c>
      <c r="H37" s="36" t="s">
        <v>632</v>
      </c>
      <c r="I37" s="280"/>
      <c r="J37" s="39" t="s">
        <v>557</v>
      </c>
      <c r="K37" s="45">
        <v>40318</v>
      </c>
      <c r="L37" s="53" t="s">
        <v>526</v>
      </c>
      <c r="M37" s="57">
        <v>40318</v>
      </c>
      <c r="N37" s="53" t="s">
        <v>528</v>
      </c>
      <c r="O37" s="57">
        <v>40318</v>
      </c>
      <c r="P37" s="53" t="s">
        <v>633</v>
      </c>
      <c r="Q37" s="45">
        <v>40667</v>
      </c>
      <c r="R37" s="36" t="s">
        <v>528</v>
      </c>
      <c r="S37" s="45">
        <v>41162</v>
      </c>
      <c r="T37" s="44" t="s">
        <v>528</v>
      </c>
      <c r="U37" s="45">
        <v>41523</v>
      </c>
      <c r="V37" s="44" t="s">
        <v>528</v>
      </c>
      <c r="W37" s="45">
        <v>41897</v>
      </c>
      <c r="X37" s="36" t="s">
        <v>528</v>
      </c>
      <c r="Y37" s="45">
        <v>42261</v>
      </c>
      <c r="Z37" s="130" t="s">
        <v>528</v>
      </c>
      <c r="AA37" s="45">
        <v>42625</v>
      </c>
      <c r="AB37" s="36"/>
      <c r="AC37" s="45"/>
    </row>
    <row r="38" spans="1:29" ht="39.75" customHeight="1" x14ac:dyDescent="0.2">
      <c r="A38" s="289">
        <v>37</v>
      </c>
      <c r="B38" s="265" t="s">
        <v>646</v>
      </c>
      <c r="C38" s="265" t="s">
        <v>1609</v>
      </c>
      <c r="D38" s="54"/>
      <c r="E38" s="54"/>
      <c r="F38" s="54"/>
      <c r="G38" s="54"/>
      <c r="H38" s="54"/>
      <c r="I38" s="292"/>
      <c r="J38" s="54"/>
      <c r="K38" s="54"/>
      <c r="L38" s="54"/>
      <c r="M38" s="54"/>
      <c r="N38" s="54"/>
      <c r="O38" s="54"/>
      <c r="P38" s="54"/>
      <c r="Q38" s="54"/>
      <c r="R38" s="54"/>
      <c r="S38" s="54"/>
      <c r="T38" s="54"/>
      <c r="U38" s="54"/>
      <c r="V38" s="54"/>
      <c r="W38" s="54"/>
      <c r="X38" s="54"/>
      <c r="Y38" s="54"/>
      <c r="Z38" s="54"/>
      <c r="AA38" s="54"/>
      <c r="AB38" s="54"/>
      <c r="AC38" s="54"/>
    </row>
    <row r="39" spans="1:29" ht="40.5" customHeight="1" x14ac:dyDescent="0.2">
      <c r="A39" s="289">
        <v>38</v>
      </c>
      <c r="B39" s="265" t="s">
        <v>452</v>
      </c>
      <c r="C39" s="266" t="s">
        <v>48</v>
      </c>
      <c r="D39" s="36"/>
      <c r="E39" s="36" t="s">
        <v>639</v>
      </c>
      <c r="F39" s="296" t="s">
        <v>637</v>
      </c>
      <c r="G39" s="36" t="s">
        <v>638</v>
      </c>
      <c r="H39" s="36" t="s">
        <v>640</v>
      </c>
      <c r="I39" s="291"/>
      <c r="J39" s="39" t="s">
        <v>525</v>
      </c>
      <c r="K39" s="36" t="s">
        <v>519</v>
      </c>
      <c r="L39" s="53" t="s">
        <v>526</v>
      </c>
      <c r="M39" s="57">
        <v>40221</v>
      </c>
      <c r="N39" s="36" t="s">
        <v>528</v>
      </c>
      <c r="O39" s="45">
        <v>40221</v>
      </c>
      <c r="P39" s="36" t="s">
        <v>528</v>
      </c>
      <c r="Q39" s="45">
        <v>40578</v>
      </c>
      <c r="R39" s="44" t="s">
        <v>528</v>
      </c>
      <c r="S39" s="45">
        <v>41162</v>
      </c>
      <c r="T39" s="44" t="s">
        <v>528</v>
      </c>
      <c r="U39" s="45">
        <v>41523</v>
      </c>
      <c r="V39" s="36" t="s">
        <v>529</v>
      </c>
      <c r="W39" s="45">
        <v>41897</v>
      </c>
      <c r="X39" s="36" t="s">
        <v>528</v>
      </c>
      <c r="Y39" s="45">
        <v>42261</v>
      </c>
      <c r="Z39" s="130" t="s">
        <v>528</v>
      </c>
      <c r="AA39" s="45">
        <v>42625</v>
      </c>
      <c r="AB39" s="36"/>
      <c r="AC39" s="45"/>
    </row>
    <row r="40" spans="1:29" ht="31.5" customHeight="1" x14ac:dyDescent="0.2">
      <c r="A40" s="289">
        <v>39</v>
      </c>
      <c r="B40" s="266" t="s">
        <v>655</v>
      </c>
      <c r="C40" s="265" t="s">
        <v>641</v>
      </c>
      <c r="D40" s="36" t="s">
        <v>642</v>
      </c>
      <c r="E40" s="36" t="s">
        <v>644</v>
      </c>
      <c r="F40" s="302" t="s">
        <v>143</v>
      </c>
      <c r="G40" s="36" t="s">
        <v>643</v>
      </c>
      <c r="H40" s="36" t="s">
        <v>645</v>
      </c>
      <c r="I40" s="280"/>
      <c r="J40" s="39" t="s">
        <v>552</v>
      </c>
      <c r="K40" s="36" t="s">
        <v>519</v>
      </c>
      <c r="L40" s="53" t="s">
        <v>526</v>
      </c>
      <c r="M40" s="57">
        <v>40221</v>
      </c>
      <c r="N40" s="36" t="s">
        <v>528</v>
      </c>
      <c r="O40" s="45">
        <v>40221</v>
      </c>
      <c r="P40" s="36" t="s">
        <v>528</v>
      </c>
      <c r="Q40" s="45">
        <v>40578</v>
      </c>
      <c r="R40" s="54" t="s">
        <v>529</v>
      </c>
      <c r="S40" s="58">
        <v>41162</v>
      </c>
      <c r="T40" s="54" t="s">
        <v>529</v>
      </c>
      <c r="U40" s="58">
        <v>41523</v>
      </c>
      <c r="V40" s="54" t="s">
        <v>529</v>
      </c>
      <c r="W40" s="45">
        <v>41897</v>
      </c>
      <c r="X40" s="54" t="s">
        <v>529</v>
      </c>
      <c r="Y40" s="45">
        <v>42261</v>
      </c>
      <c r="Z40" s="36" t="s">
        <v>529</v>
      </c>
      <c r="AA40" s="45">
        <v>42621</v>
      </c>
      <c r="AB40" s="36"/>
      <c r="AC40" s="45"/>
    </row>
    <row r="41" spans="1:29" ht="40.5" customHeight="1" x14ac:dyDescent="0.2">
      <c r="A41" s="289">
        <v>40</v>
      </c>
      <c r="B41" s="266" t="s">
        <v>50</v>
      </c>
      <c r="C41" s="265" t="s">
        <v>646</v>
      </c>
      <c r="D41" s="36"/>
      <c r="E41" s="36" t="s">
        <v>649</v>
      </c>
      <c r="F41" s="299" t="s">
        <v>647</v>
      </c>
      <c r="G41" s="36" t="s">
        <v>648</v>
      </c>
      <c r="H41" s="36" t="s">
        <v>650</v>
      </c>
      <c r="I41" s="291"/>
      <c r="J41" s="39" t="s">
        <v>557</v>
      </c>
      <c r="K41" s="36" t="s">
        <v>519</v>
      </c>
      <c r="L41" s="36" t="s">
        <v>553</v>
      </c>
      <c r="M41" s="45">
        <v>40221</v>
      </c>
      <c r="N41" s="36" t="s">
        <v>528</v>
      </c>
      <c r="O41" s="45">
        <v>40221</v>
      </c>
      <c r="P41" s="36" t="s">
        <v>528</v>
      </c>
      <c r="Q41" s="45">
        <v>40578</v>
      </c>
      <c r="R41" s="54" t="s">
        <v>529</v>
      </c>
      <c r="S41" s="58">
        <v>41162</v>
      </c>
      <c r="T41" s="44" t="s">
        <v>528</v>
      </c>
      <c r="U41" s="58">
        <v>41523</v>
      </c>
      <c r="V41" s="54" t="s">
        <v>529</v>
      </c>
      <c r="W41" s="45">
        <v>41897</v>
      </c>
      <c r="X41" s="54" t="s">
        <v>529</v>
      </c>
      <c r="Y41" s="45">
        <v>42261</v>
      </c>
      <c r="Z41" s="130" t="s">
        <v>528</v>
      </c>
      <c r="AA41" s="45">
        <v>42625</v>
      </c>
      <c r="AB41" s="36"/>
      <c r="AC41" s="45"/>
    </row>
    <row r="42" spans="1:29" ht="49.5" customHeight="1" x14ac:dyDescent="0.2">
      <c r="A42" s="289">
        <v>41</v>
      </c>
      <c r="B42" s="266" t="s">
        <v>673</v>
      </c>
      <c r="C42" s="265" t="s">
        <v>452</v>
      </c>
      <c r="D42" s="36"/>
      <c r="E42" s="299" t="s">
        <v>653</v>
      </c>
      <c r="F42" s="61" t="s">
        <v>651</v>
      </c>
      <c r="G42" s="36" t="s">
        <v>652</v>
      </c>
      <c r="H42" s="36" t="s">
        <v>654</v>
      </c>
      <c r="I42" s="291"/>
      <c r="J42" s="39" t="s">
        <v>557</v>
      </c>
      <c r="K42" s="45">
        <v>40662</v>
      </c>
      <c r="L42" s="36" t="s">
        <v>553</v>
      </c>
      <c r="M42" s="45">
        <v>40695</v>
      </c>
      <c r="N42" s="38" t="s">
        <v>143</v>
      </c>
      <c r="O42" s="38" t="s">
        <v>143</v>
      </c>
      <c r="P42" s="59" t="s">
        <v>528</v>
      </c>
      <c r="Q42" s="45">
        <v>40695</v>
      </c>
      <c r="R42" s="54" t="s">
        <v>529</v>
      </c>
      <c r="S42" s="58">
        <v>41162</v>
      </c>
      <c r="T42" s="44" t="s">
        <v>528</v>
      </c>
      <c r="U42" s="58">
        <v>41523</v>
      </c>
      <c r="V42" s="54" t="s">
        <v>529</v>
      </c>
      <c r="W42" s="45">
        <v>41897</v>
      </c>
      <c r="X42" s="54" t="s">
        <v>528</v>
      </c>
      <c r="Y42" s="45">
        <v>42261</v>
      </c>
      <c r="Z42" s="36" t="s">
        <v>529</v>
      </c>
      <c r="AA42" s="45">
        <v>42625</v>
      </c>
      <c r="AB42" s="36"/>
      <c r="AC42" s="45"/>
    </row>
    <row r="43" spans="1:29" ht="42.75" x14ac:dyDescent="0.2">
      <c r="A43" s="289">
        <v>42</v>
      </c>
      <c r="B43" s="266" t="s">
        <v>668</v>
      </c>
      <c r="C43" s="266" t="s">
        <v>655</v>
      </c>
      <c r="D43" s="36" t="s">
        <v>656</v>
      </c>
      <c r="E43" s="36" t="s">
        <v>659</v>
      </c>
      <c r="F43" s="299" t="s">
        <v>657</v>
      </c>
      <c r="G43" s="36" t="s">
        <v>658</v>
      </c>
      <c r="H43" s="36" t="s">
        <v>660</v>
      </c>
      <c r="I43" s="291"/>
      <c r="J43" s="39" t="s">
        <v>525</v>
      </c>
      <c r="K43" s="36" t="s">
        <v>519</v>
      </c>
      <c r="L43" s="36" t="s">
        <v>526</v>
      </c>
      <c r="M43" s="45">
        <v>39419</v>
      </c>
      <c r="N43" s="36" t="s">
        <v>528</v>
      </c>
      <c r="O43" s="45">
        <v>40221</v>
      </c>
      <c r="P43" s="36" t="s">
        <v>529</v>
      </c>
      <c r="Q43" s="45">
        <v>40578</v>
      </c>
      <c r="R43" s="60" t="s">
        <v>528</v>
      </c>
      <c r="S43" s="58">
        <v>41162</v>
      </c>
      <c r="T43" s="44" t="s">
        <v>528</v>
      </c>
      <c r="U43" s="58">
        <v>41523</v>
      </c>
      <c r="V43" s="54" t="s">
        <v>529</v>
      </c>
      <c r="W43" s="45">
        <v>41897</v>
      </c>
      <c r="X43" s="54" t="s">
        <v>528</v>
      </c>
      <c r="Y43" s="45">
        <v>42261</v>
      </c>
      <c r="Z43" s="36" t="s">
        <v>529</v>
      </c>
      <c r="AA43" s="45">
        <v>42625</v>
      </c>
      <c r="AB43" s="130" t="s">
        <v>528</v>
      </c>
      <c r="AC43" s="45">
        <v>42894</v>
      </c>
    </row>
    <row r="44" spans="1:29" ht="15.75" x14ac:dyDescent="0.2">
      <c r="A44" s="289">
        <v>43</v>
      </c>
      <c r="B44" s="266" t="s">
        <v>678</v>
      </c>
      <c r="C44" s="265" t="s">
        <v>49</v>
      </c>
      <c r="D44" s="36"/>
      <c r="E44" s="36" t="s">
        <v>663</v>
      </c>
      <c r="F44" s="299" t="s">
        <v>661</v>
      </c>
      <c r="G44" s="36" t="s">
        <v>662</v>
      </c>
      <c r="H44" s="36" t="s">
        <v>664</v>
      </c>
      <c r="I44" s="291"/>
      <c r="J44" s="35" t="s">
        <v>518</v>
      </c>
      <c r="K44" s="36" t="s">
        <v>519</v>
      </c>
      <c r="L44" s="47" t="s">
        <v>520</v>
      </c>
      <c r="M44" s="47" t="s">
        <v>520</v>
      </c>
      <c r="N44" s="47" t="s">
        <v>520</v>
      </c>
      <c r="O44" s="47" t="s">
        <v>520</v>
      </c>
      <c r="P44" s="47" t="s">
        <v>520</v>
      </c>
      <c r="Q44" s="47" t="s">
        <v>520</v>
      </c>
      <c r="R44" s="47" t="s">
        <v>520</v>
      </c>
      <c r="S44" s="47" t="s">
        <v>520</v>
      </c>
      <c r="T44" s="47" t="s">
        <v>520</v>
      </c>
      <c r="U44" s="47" t="s">
        <v>520</v>
      </c>
      <c r="V44" s="47" t="s">
        <v>520</v>
      </c>
      <c r="W44" s="47" t="s">
        <v>520</v>
      </c>
      <c r="X44" s="47" t="s">
        <v>520</v>
      </c>
      <c r="Y44" s="47" t="s">
        <v>520</v>
      </c>
      <c r="Z44" s="47" t="s">
        <v>520</v>
      </c>
      <c r="AA44" s="47" t="s">
        <v>520</v>
      </c>
      <c r="AB44" s="47" t="s">
        <v>520</v>
      </c>
      <c r="AC44" s="47" t="s">
        <v>520</v>
      </c>
    </row>
    <row r="45" spans="1:29" ht="42.75" customHeight="1" x14ac:dyDescent="0.25">
      <c r="A45" s="289">
        <v>44</v>
      </c>
      <c r="B45" s="266" t="s">
        <v>681</v>
      </c>
      <c r="C45" s="266" t="s">
        <v>50</v>
      </c>
      <c r="D45" s="36"/>
      <c r="E45" s="36" t="s">
        <v>667</v>
      </c>
      <c r="F45" s="301" t="s">
        <v>665</v>
      </c>
      <c r="G45" s="36" t="s">
        <v>666</v>
      </c>
      <c r="H45" s="36" t="s">
        <v>615</v>
      </c>
      <c r="I45" s="291"/>
      <c r="J45" s="39" t="s">
        <v>557</v>
      </c>
      <c r="K45" s="36" t="s">
        <v>519</v>
      </c>
      <c r="L45" s="53" t="s">
        <v>526</v>
      </c>
      <c r="M45" s="52">
        <v>39419</v>
      </c>
      <c r="N45" s="36" t="s">
        <v>529</v>
      </c>
      <c r="O45" s="45">
        <v>40221</v>
      </c>
      <c r="P45" s="36" t="s">
        <v>528</v>
      </c>
      <c r="Q45" s="45">
        <v>40881</v>
      </c>
      <c r="R45" s="54" t="s">
        <v>529</v>
      </c>
      <c r="S45" s="58">
        <v>41162</v>
      </c>
      <c r="T45" s="54" t="s">
        <v>529</v>
      </c>
      <c r="U45" s="58">
        <v>41523</v>
      </c>
      <c r="V45" s="54" t="s">
        <v>529</v>
      </c>
      <c r="W45" s="45">
        <v>41897</v>
      </c>
      <c r="X45" s="54" t="s">
        <v>528</v>
      </c>
      <c r="Y45" s="45">
        <v>42261</v>
      </c>
      <c r="Z45" s="36" t="s">
        <v>529</v>
      </c>
      <c r="AA45" s="45">
        <v>42625</v>
      </c>
      <c r="AB45" s="36"/>
      <c r="AC45" s="45"/>
    </row>
    <row r="46" spans="1:29" ht="49.5" customHeight="1" x14ac:dyDescent="0.2">
      <c r="A46" s="289">
        <v>45</v>
      </c>
      <c r="B46" s="266" t="s">
        <v>51</v>
      </c>
      <c r="C46" s="266" t="s">
        <v>673</v>
      </c>
      <c r="D46" s="36"/>
      <c r="E46" s="36"/>
      <c r="F46" s="299" t="s">
        <v>674</v>
      </c>
      <c r="G46" s="36" t="s">
        <v>675</v>
      </c>
      <c r="H46" s="36" t="s">
        <v>676</v>
      </c>
      <c r="I46" s="291"/>
      <c r="J46" s="39" t="s">
        <v>557</v>
      </c>
      <c r="K46" s="45">
        <v>42485</v>
      </c>
      <c r="L46" s="36" t="s">
        <v>677</v>
      </c>
      <c r="M46" s="43" t="s">
        <v>520</v>
      </c>
      <c r="N46" s="43" t="s">
        <v>520</v>
      </c>
      <c r="O46" s="43" t="s">
        <v>520</v>
      </c>
      <c r="P46" s="43" t="s">
        <v>520</v>
      </c>
      <c r="Q46" s="43" t="s">
        <v>520</v>
      </c>
      <c r="R46" s="43" t="s">
        <v>520</v>
      </c>
      <c r="S46" s="43" t="s">
        <v>520</v>
      </c>
      <c r="T46" s="43" t="s">
        <v>520</v>
      </c>
      <c r="U46" s="43" t="s">
        <v>520</v>
      </c>
      <c r="V46" s="43" t="s">
        <v>520</v>
      </c>
      <c r="W46" s="43" t="s">
        <v>520</v>
      </c>
      <c r="X46" s="43" t="s">
        <v>520</v>
      </c>
      <c r="Y46" s="43" t="s">
        <v>520</v>
      </c>
      <c r="Z46" s="130" t="s">
        <v>528</v>
      </c>
      <c r="AA46" s="58">
        <v>42485</v>
      </c>
      <c r="AB46" s="36"/>
      <c r="AC46" s="58"/>
    </row>
    <row r="47" spans="1:29" ht="45.75" customHeight="1" x14ac:dyDescent="0.2">
      <c r="A47" s="289">
        <v>46</v>
      </c>
      <c r="B47" s="266" t="s">
        <v>691</v>
      </c>
      <c r="C47" s="266" t="s">
        <v>668</v>
      </c>
      <c r="D47" s="36" t="s">
        <v>245</v>
      </c>
      <c r="E47" s="36" t="s">
        <v>671</v>
      </c>
      <c r="F47" s="299" t="s">
        <v>669</v>
      </c>
      <c r="G47" s="36" t="s">
        <v>670</v>
      </c>
      <c r="H47" s="36" t="s">
        <v>672</v>
      </c>
      <c r="I47" s="291"/>
      <c r="J47" s="39" t="s">
        <v>557</v>
      </c>
      <c r="K47" s="36" t="s">
        <v>519</v>
      </c>
      <c r="L47" s="36" t="s">
        <v>553</v>
      </c>
      <c r="M47" s="45">
        <v>40221</v>
      </c>
      <c r="N47" s="36" t="s">
        <v>528</v>
      </c>
      <c r="O47" s="45">
        <v>40221</v>
      </c>
      <c r="P47" s="36" t="s">
        <v>528</v>
      </c>
      <c r="Q47" s="45">
        <v>40578</v>
      </c>
      <c r="R47" s="60" t="s">
        <v>528</v>
      </c>
      <c r="S47" s="58">
        <v>41162</v>
      </c>
      <c r="T47" s="60" t="s">
        <v>528</v>
      </c>
      <c r="U47" s="58">
        <v>41523</v>
      </c>
      <c r="V47" s="44" t="s">
        <v>528</v>
      </c>
      <c r="W47" s="58">
        <v>41897</v>
      </c>
      <c r="X47" s="36" t="s">
        <v>528</v>
      </c>
      <c r="Y47" s="45">
        <v>42261</v>
      </c>
      <c r="Z47" s="130" t="s">
        <v>528</v>
      </c>
      <c r="AA47" s="45">
        <v>42625</v>
      </c>
      <c r="AB47" s="36"/>
      <c r="AC47" s="45"/>
    </row>
    <row r="48" spans="1:29" ht="45" customHeight="1" x14ac:dyDescent="0.2">
      <c r="A48" s="289">
        <v>47</v>
      </c>
      <c r="B48" s="264" t="s">
        <v>27</v>
      </c>
      <c r="C48" s="266" t="s">
        <v>678</v>
      </c>
      <c r="D48" s="36"/>
      <c r="E48" s="36">
        <v>4526435</v>
      </c>
      <c r="F48" s="300" t="s">
        <v>661</v>
      </c>
      <c r="G48" s="36" t="s">
        <v>679</v>
      </c>
      <c r="H48" s="36" t="s">
        <v>680</v>
      </c>
      <c r="I48" s="291"/>
      <c r="J48" s="39" t="s">
        <v>557</v>
      </c>
      <c r="K48" s="36" t="s">
        <v>519</v>
      </c>
      <c r="L48" s="36" t="s">
        <v>526</v>
      </c>
      <c r="M48" s="45">
        <v>39419</v>
      </c>
      <c r="N48" s="36" t="s">
        <v>528</v>
      </c>
      <c r="O48" s="45">
        <v>40221</v>
      </c>
      <c r="P48" s="36" t="s">
        <v>528</v>
      </c>
      <c r="Q48" s="45">
        <v>40578</v>
      </c>
      <c r="R48" s="60" t="s">
        <v>528</v>
      </c>
      <c r="S48" s="58">
        <v>41162</v>
      </c>
      <c r="T48" s="60" t="s">
        <v>528</v>
      </c>
      <c r="U48" s="58">
        <v>41523</v>
      </c>
      <c r="V48" s="44" t="s">
        <v>528</v>
      </c>
      <c r="W48" s="58">
        <v>41897</v>
      </c>
      <c r="X48" s="36" t="s">
        <v>528</v>
      </c>
      <c r="Y48" s="45">
        <v>42261</v>
      </c>
      <c r="Z48" s="130" t="s">
        <v>528</v>
      </c>
      <c r="AA48" s="45">
        <v>42625</v>
      </c>
      <c r="AB48" s="36"/>
      <c r="AC48" s="45"/>
    </row>
    <row r="49" spans="1:29" ht="46.5" customHeight="1" x14ac:dyDescent="0.2">
      <c r="A49" s="289">
        <v>48</v>
      </c>
      <c r="B49" s="266" t="s">
        <v>705</v>
      </c>
      <c r="C49" s="266" t="s">
        <v>681</v>
      </c>
      <c r="D49" s="36"/>
      <c r="E49" s="36" t="s">
        <v>684</v>
      </c>
      <c r="F49" s="299" t="s">
        <v>682</v>
      </c>
      <c r="G49" s="36" t="s">
        <v>683</v>
      </c>
      <c r="H49" s="36" t="s">
        <v>685</v>
      </c>
      <c r="I49" s="291"/>
      <c r="J49" s="39" t="s">
        <v>557</v>
      </c>
      <c r="K49" s="36" t="s">
        <v>519</v>
      </c>
      <c r="L49" s="36" t="s">
        <v>553</v>
      </c>
      <c r="M49" s="45">
        <v>39419</v>
      </c>
      <c r="N49" s="36" t="s">
        <v>528</v>
      </c>
      <c r="O49" s="45">
        <v>40221</v>
      </c>
      <c r="P49" s="36" t="s">
        <v>529</v>
      </c>
      <c r="Q49" s="45">
        <v>40578</v>
      </c>
      <c r="R49" s="54" t="s">
        <v>529</v>
      </c>
      <c r="S49" s="58">
        <v>41162</v>
      </c>
      <c r="T49" s="54" t="s">
        <v>529</v>
      </c>
      <c r="U49" s="58">
        <v>41523</v>
      </c>
      <c r="V49" s="54" t="s">
        <v>529</v>
      </c>
      <c r="W49" s="58">
        <v>41897</v>
      </c>
      <c r="X49" s="54"/>
      <c r="Y49" s="45">
        <v>42261</v>
      </c>
      <c r="Z49" s="36" t="s">
        <v>529</v>
      </c>
      <c r="AA49" s="45">
        <v>42625</v>
      </c>
      <c r="AB49" s="36"/>
      <c r="AC49" s="45"/>
    </row>
    <row r="50" spans="1:29" ht="46.5" customHeight="1" x14ac:dyDescent="0.2">
      <c r="A50" s="289">
        <v>49</v>
      </c>
      <c r="B50" s="267" t="s">
        <v>53</v>
      </c>
      <c r="C50" s="266" t="s">
        <v>51</v>
      </c>
      <c r="D50" s="36" t="s">
        <v>686</v>
      </c>
      <c r="E50" s="36" t="s">
        <v>689</v>
      </c>
      <c r="F50" s="303" t="s">
        <v>687</v>
      </c>
      <c r="G50" s="36" t="s">
        <v>688</v>
      </c>
      <c r="H50" s="36" t="s">
        <v>690</v>
      </c>
      <c r="I50" s="280"/>
      <c r="J50" s="35" t="s">
        <v>518</v>
      </c>
      <c r="K50" s="36" t="s">
        <v>519</v>
      </c>
      <c r="L50" s="47" t="s">
        <v>520</v>
      </c>
      <c r="M50" s="47" t="s">
        <v>520</v>
      </c>
      <c r="N50" s="47" t="s">
        <v>520</v>
      </c>
      <c r="O50" s="47" t="s">
        <v>520</v>
      </c>
      <c r="P50" s="47" t="s">
        <v>520</v>
      </c>
      <c r="Q50" s="47" t="s">
        <v>520</v>
      </c>
      <c r="R50" s="47" t="s">
        <v>520</v>
      </c>
      <c r="S50" s="47" t="s">
        <v>520</v>
      </c>
      <c r="T50" s="47" t="s">
        <v>520</v>
      </c>
      <c r="U50" s="47" t="s">
        <v>520</v>
      </c>
      <c r="V50" s="47" t="s">
        <v>520</v>
      </c>
      <c r="W50" s="47" t="s">
        <v>520</v>
      </c>
      <c r="X50" s="47" t="s">
        <v>520</v>
      </c>
      <c r="Y50" s="47" t="s">
        <v>520</v>
      </c>
      <c r="Z50" s="47" t="s">
        <v>520</v>
      </c>
      <c r="AA50" s="47" t="s">
        <v>520</v>
      </c>
      <c r="AB50" s="47" t="s">
        <v>520</v>
      </c>
      <c r="AC50" s="47" t="s">
        <v>520</v>
      </c>
    </row>
    <row r="51" spans="1:29" ht="44.25" customHeight="1" x14ac:dyDescent="0.2">
      <c r="A51" s="289">
        <v>50</v>
      </c>
      <c r="B51" s="265" t="s">
        <v>54</v>
      </c>
      <c r="C51" s="266" t="s">
        <v>691</v>
      </c>
      <c r="D51" s="36"/>
      <c r="E51" s="36">
        <v>551100</v>
      </c>
      <c r="F51" s="299" t="s">
        <v>692</v>
      </c>
      <c r="G51" s="36" t="s">
        <v>693</v>
      </c>
      <c r="H51" s="36" t="s">
        <v>694</v>
      </c>
      <c r="I51" s="291"/>
      <c r="J51" s="39" t="s">
        <v>525</v>
      </c>
      <c r="K51" s="36" t="s">
        <v>519</v>
      </c>
      <c r="L51" s="50" t="s">
        <v>526</v>
      </c>
      <c r="M51" s="52">
        <v>39419</v>
      </c>
      <c r="N51" s="50" t="s">
        <v>528</v>
      </c>
      <c r="O51" s="56">
        <v>42625</v>
      </c>
      <c r="P51" s="36" t="s">
        <v>529</v>
      </c>
      <c r="Q51" s="45">
        <v>40578</v>
      </c>
      <c r="R51" s="60" t="s">
        <v>528</v>
      </c>
      <c r="S51" s="58">
        <v>41162</v>
      </c>
      <c r="T51" s="54" t="s">
        <v>529</v>
      </c>
      <c r="U51" s="58">
        <v>41523</v>
      </c>
      <c r="V51" s="54" t="s">
        <v>529</v>
      </c>
      <c r="W51" s="58">
        <v>41897</v>
      </c>
      <c r="X51" s="44" t="s">
        <v>528</v>
      </c>
      <c r="Y51" s="45">
        <v>42261</v>
      </c>
      <c r="Z51" s="36" t="s">
        <v>529</v>
      </c>
      <c r="AA51" s="45">
        <v>42625</v>
      </c>
      <c r="AB51" s="36"/>
      <c r="AC51" s="45"/>
    </row>
    <row r="52" spans="1:29" ht="42.75" x14ac:dyDescent="0.2">
      <c r="A52" s="289">
        <v>51</v>
      </c>
      <c r="B52" s="266" t="s">
        <v>715</v>
      </c>
      <c r="C52" s="266" t="s">
        <v>52</v>
      </c>
      <c r="D52" s="36" t="s">
        <v>695</v>
      </c>
      <c r="E52" s="36" t="s">
        <v>698</v>
      </c>
      <c r="F52" s="61" t="s">
        <v>696</v>
      </c>
      <c r="G52" s="36" t="s">
        <v>697</v>
      </c>
      <c r="H52" s="36" t="s">
        <v>699</v>
      </c>
      <c r="I52" s="28"/>
      <c r="J52" s="272" t="s">
        <v>525</v>
      </c>
      <c r="K52" s="273">
        <v>40828</v>
      </c>
      <c r="L52" s="274" t="s">
        <v>526</v>
      </c>
      <c r="M52" s="275">
        <v>40828</v>
      </c>
      <c r="N52" s="276" t="s">
        <v>520</v>
      </c>
      <c r="O52" s="276" t="s">
        <v>520</v>
      </c>
      <c r="P52" s="277" t="s">
        <v>700</v>
      </c>
      <c r="Q52" s="276" t="s">
        <v>520</v>
      </c>
      <c r="R52" s="278" t="s">
        <v>528</v>
      </c>
      <c r="S52" s="279">
        <v>41218</v>
      </c>
      <c r="T52" s="27" t="s">
        <v>529</v>
      </c>
      <c r="U52" s="279">
        <v>41523</v>
      </c>
      <c r="V52" s="27" t="s">
        <v>529</v>
      </c>
      <c r="W52" s="279">
        <v>41897</v>
      </c>
      <c r="X52" s="27" t="s">
        <v>528</v>
      </c>
      <c r="Y52" s="273">
        <v>42261</v>
      </c>
      <c r="Z52" s="28" t="s">
        <v>529</v>
      </c>
      <c r="AA52" s="273">
        <v>42625</v>
      </c>
      <c r="AB52" s="28"/>
      <c r="AC52" s="273"/>
    </row>
    <row r="53" spans="1:29" ht="15.75" x14ac:dyDescent="0.2">
      <c r="A53" s="289">
        <v>52</v>
      </c>
      <c r="B53" s="266" t="s">
        <v>55</v>
      </c>
      <c r="C53" s="264" t="s">
        <v>27</v>
      </c>
      <c r="D53" s="36"/>
      <c r="E53" s="36">
        <v>4242990</v>
      </c>
      <c r="F53" s="61"/>
      <c r="G53" s="36"/>
      <c r="H53" s="36"/>
      <c r="I53" s="28"/>
      <c r="J53" s="281" t="s">
        <v>518</v>
      </c>
      <c r="K53" s="28" t="s">
        <v>519</v>
      </c>
      <c r="L53" s="276" t="s">
        <v>520</v>
      </c>
      <c r="M53" s="276" t="s">
        <v>520</v>
      </c>
      <c r="N53" s="276" t="s">
        <v>520</v>
      </c>
      <c r="O53" s="276" t="s">
        <v>520</v>
      </c>
      <c r="P53" s="276" t="s">
        <v>520</v>
      </c>
      <c r="Q53" s="276" t="s">
        <v>520</v>
      </c>
      <c r="R53" s="276" t="s">
        <v>520</v>
      </c>
      <c r="S53" s="276" t="s">
        <v>520</v>
      </c>
      <c r="T53" s="276" t="s">
        <v>520</v>
      </c>
      <c r="U53" s="276" t="s">
        <v>520</v>
      </c>
      <c r="V53" s="276" t="s">
        <v>520</v>
      </c>
      <c r="W53" s="276" t="s">
        <v>520</v>
      </c>
      <c r="X53" s="276" t="s">
        <v>520</v>
      </c>
      <c r="Y53" s="276" t="s">
        <v>520</v>
      </c>
      <c r="Z53" s="276" t="s">
        <v>520</v>
      </c>
      <c r="AA53" s="276" t="s">
        <v>520</v>
      </c>
      <c r="AB53" s="276" t="s">
        <v>520</v>
      </c>
      <c r="AC53" s="276" t="s">
        <v>520</v>
      </c>
    </row>
    <row r="54" spans="1:29" ht="42.75" x14ac:dyDescent="0.2">
      <c r="A54" s="289">
        <v>53</v>
      </c>
      <c r="B54" s="266" t="s">
        <v>740</v>
      </c>
      <c r="C54" s="266" t="s">
        <v>705</v>
      </c>
      <c r="D54" s="36" t="s">
        <v>695</v>
      </c>
      <c r="E54" s="36" t="s">
        <v>708</v>
      </c>
      <c r="F54" s="293" t="s">
        <v>706</v>
      </c>
      <c r="G54" s="36" t="s">
        <v>707</v>
      </c>
      <c r="H54" s="36" t="s">
        <v>709</v>
      </c>
      <c r="I54" s="282"/>
      <c r="J54" s="283" t="s">
        <v>557</v>
      </c>
      <c r="K54" s="28" t="s">
        <v>519</v>
      </c>
      <c r="L54" s="28" t="s">
        <v>526</v>
      </c>
      <c r="M54" s="273">
        <v>39419</v>
      </c>
      <c r="N54" s="28" t="s">
        <v>528</v>
      </c>
      <c r="O54" s="273">
        <v>40221</v>
      </c>
      <c r="P54" s="28" t="s">
        <v>528</v>
      </c>
      <c r="Q54" s="273">
        <v>40578</v>
      </c>
      <c r="R54" s="278" t="s">
        <v>528</v>
      </c>
      <c r="S54" s="279">
        <v>41162</v>
      </c>
      <c r="T54" s="27" t="s">
        <v>529</v>
      </c>
      <c r="U54" s="279">
        <v>41523</v>
      </c>
      <c r="V54" s="278" t="s">
        <v>528</v>
      </c>
      <c r="W54" s="279">
        <v>41897</v>
      </c>
      <c r="X54" s="27" t="s">
        <v>528</v>
      </c>
      <c r="Y54" s="273">
        <v>42261</v>
      </c>
      <c r="Z54" s="28" t="s">
        <v>529</v>
      </c>
      <c r="AA54" s="273">
        <v>42625</v>
      </c>
      <c r="AB54" s="28"/>
      <c r="AC54" s="273"/>
    </row>
    <row r="55" spans="1:29" ht="15.75" x14ac:dyDescent="0.2">
      <c r="A55" s="289">
        <v>54</v>
      </c>
      <c r="B55" s="265" t="s">
        <v>56</v>
      </c>
      <c r="C55" s="267" t="s">
        <v>53</v>
      </c>
      <c r="D55" s="36"/>
      <c r="E55" s="36">
        <v>4243631</v>
      </c>
      <c r="F55" s="300" t="s">
        <v>143</v>
      </c>
      <c r="G55" s="36"/>
      <c r="H55" s="36" t="s">
        <v>710</v>
      </c>
      <c r="I55" s="284" t="s">
        <v>143</v>
      </c>
      <c r="J55" s="285" t="s">
        <v>518</v>
      </c>
      <c r="K55" s="28" t="s">
        <v>519</v>
      </c>
      <c r="L55" s="286" t="s">
        <v>520</v>
      </c>
      <c r="M55" s="286" t="s">
        <v>520</v>
      </c>
      <c r="N55" s="286" t="s">
        <v>520</v>
      </c>
      <c r="O55" s="286" t="s">
        <v>520</v>
      </c>
      <c r="P55" s="286" t="s">
        <v>520</v>
      </c>
      <c r="Q55" s="286" t="s">
        <v>520</v>
      </c>
      <c r="R55" s="286" t="s">
        <v>520</v>
      </c>
      <c r="S55" s="286" t="s">
        <v>520</v>
      </c>
      <c r="T55" s="286" t="s">
        <v>520</v>
      </c>
      <c r="U55" s="286" t="s">
        <v>520</v>
      </c>
      <c r="V55" s="286" t="s">
        <v>520</v>
      </c>
      <c r="W55" s="286" t="s">
        <v>520</v>
      </c>
      <c r="X55" s="286" t="s">
        <v>520</v>
      </c>
      <c r="Y55" s="286" t="s">
        <v>520</v>
      </c>
      <c r="Z55" s="286" t="s">
        <v>520</v>
      </c>
      <c r="AA55" s="286" t="s">
        <v>520</v>
      </c>
      <c r="AB55" s="286" t="s">
        <v>520</v>
      </c>
      <c r="AC55" s="286" t="s">
        <v>520</v>
      </c>
    </row>
    <row r="56" spans="1:29" ht="28.5" x14ac:dyDescent="0.2">
      <c r="A56" s="289">
        <v>55</v>
      </c>
      <c r="B56" s="265" t="s">
        <v>1611</v>
      </c>
      <c r="C56" s="265" t="s">
        <v>54</v>
      </c>
      <c r="D56" s="36"/>
      <c r="E56" s="36" t="s">
        <v>713</v>
      </c>
      <c r="F56" s="293" t="s">
        <v>711</v>
      </c>
      <c r="G56" s="36" t="s">
        <v>712</v>
      </c>
      <c r="H56" s="36" t="s">
        <v>714</v>
      </c>
      <c r="I56" s="28"/>
      <c r="J56" s="281" t="s">
        <v>518</v>
      </c>
      <c r="K56" s="28" t="s">
        <v>519</v>
      </c>
      <c r="L56" s="286" t="s">
        <v>520</v>
      </c>
      <c r="M56" s="286" t="s">
        <v>520</v>
      </c>
      <c r="N56" s="286" t="s">
        <v>520</v>
      </c>
      <c r="O56" s="286" t="s">
        <v>520</v>
      </c>
      <c r="P56" s="286" t="s">
        <v>520</v>
      </c>
      <c r="Q56" s="286" t="s">
        <v>520</v>
      </c>
      <c r="R56" s="286" t="s">
        <v>520</v>
      </c>
      <c r="S56" s="286" t="s">
        <v>520</v>
      </c>
      <c r="T56" s="286" t="s">
        <v>520</v>
      </c>
      <c r="U56" s="286" t="s">
        <v>520</v>
      </c>
      <c r="V56" s="286" t="s">
        <v>520</v>
      </c>
      <c r="W56" s="286" t="s">
        <v>520</v>
      </c>
      <c r="X56" s="286" t="s">
        <v>520</v>
      </c>
      <c r="Y56" s="286" t="s">
        <v>520</v>
      </c>
      <c r="Z56" s="286" t="s">
        <v>520</v>
      </c>
      <c r="AA56" s="286" t="s">
        <v>520</v>
      </c>
      <c r="AB56" s="286" t="s">
        <v>520</v>
      </c>
      <c r="AC56" s="286" t="s">
        <v>520</v>
      </c>
    </row>
    <row r="57" spans="1:29" ht="42.75" x14ac:dyDescent="0.2">
      <c r="A57" s="289">
        <v>56</v>
      </c>
      <c r="B57" s="265" t="s">
        <v>57</v>
      </c>
      <c r="C57" s="266" t="s">
        <v>715</v>
      </c>
      <c r="D57" s="36" t="s">
        <v>716</v>
      </c>
      <c r="E57" s="36" t="s">
        <v>719</v>
      </c>
      <c r="F57" s="299" t="s">
        <v>717</v>
      </c>
      <c r="G57" s="36" t="s">
        <v>718</v>
      </c>
      <c r="H57" s="36" t="s">
        <v>720</v>
      </c>
      <c r="I57" s="282"/>
      <c r="J57" s="283" t="s">
        <v>525</v>
      </c>
      <c r="K57" s="28" t="s">
        <v>519</v>
      </c>
      <c r="L57" s="28" t="s">
        <v>526</v>
      </c>
      <c r="M57" s="273">
        <v>40221</v>
      </c>
      <c r="N57" s="286" t="s">
        <v>143</v>
      </c>
      <c r="O57" s="286" t="s">
        <v>143</v>
      </c>
      <c r="P57" s="28" t="s">
        <v>528</v>
      </c>
      <c r="Q57" s="273">
        <v>40578</v>
      </c>
      <c r="R57" s="278" t="s">
        <v>528</v>
      </c>
      <c r="S57" s="279">
        <v>41162</v>
      </c>
      <c r="T57" s="27" t="s">
        <v>529</v>
      </c>
      <c r="U57" s="279">
        <v>41523</v>
      </c>
      <c r="V57" s="27" t="s">
        <v>529</v>
      </c>
      <c r="W57" s="279">
        <v>41897</v>
      </c>
      <c r="X57" s="27" t="s">
        <v>529</v>
      </c>
      <c r="Y57" s="273">
        <v>42261</v>
      </c>
      <c r="Z57" s="28" t="s">
        <v>529</v>
      </c>
      <c r="AA57" s="273">
        <v>42625</v>
      </c>
      <c r="AB57" s="28"/>
      <c r="AC57" s="273"/>
    </row>
    <row r="58" spans="1:29" ht="42.75" x14ac:dyDescent="0.2">
      <c r="A58" s="289">
        <v>57</v>
      </c>
      <c r="B58" s="265" t="s">
        <v>58</v>
      </c>
      <c r="C58" s="267" t="s">
        <v>721</v>
      </c>
      <c r="D58" s="36" t="s">
        <v>722</v>
      </c>
      <c r="E58" s="36" t="s">
        <v>725</v>
      </c>
      <c r="F58" s="304" t="s">
        <v>723</v>
      </c>
      <c r="G58" s="36" t="s">
        <v>724</v>
      </c>
      <c r="H58" s="36" t="s">
        <v>524</v>
      </c>
      <c r="I58" s="28" t="s">
        <v>726</v>
      </c>
      <c r="J58" s="283" t="s">
        <v>557</v>
      </c>
      <c r="K58" s="28" t="s">
        <v>519</v>
      </c>
      <c r="L58" s="274" t="s">
        <v>553</v>
      </c>
      <c r="M58" s="287">
        <v>39419</v>
      </c>
      <c r="N58" s="288" t="s">
        <v>528</v>
      </c>
      <c r="O58" s="287">
        <v>40221</v>
      </c>
      <c r="P58" s="28" t="s">
        <v>529</v>
      </c>
      <c r="Q58" s="273">
        <v>40578</v>
      </c>
      <c r="R58" s="27" t="s">
        <v>529</v>
      </c>
      <c r="S58" s="279">
        <v>41162</v>
      </c>
      <c r="T58" s="27" t="s">
        <v>529</v>
      </c>
      <c r="U58" s="279">
        <v>41523</v>
      </c>
      <c r="V58" s="27" t="s">
        <v>529</v>
      </c>
      <c r="W58" s="279">
        <v>41897</v>
      </c>
      <c r="X58" s="27" t="s">
        <v>529</v>
      </c>
      <c r="Y58" s="273">
        <v>42261</v>
      </c>
      <c r="Z58" s="28" t="s">
        <v>529</v>
      </c>
      <c r="AA58" s="273">
        <v>42625</v>
      </c>
      <c r="AB58" s="28"/>
      <c r="AC58" s="273"/>
    </row>
    <row r="59" spans="1:29" ht="42.75" x14ac:dyDescent="0.2">
      <c r="A59" s="289">
        <v>58</v>
      </c>
      <c r="C59" s="267" t="s">
        <v>727</v>
      </c>
      <c r="D59" s="36"/>
      <c r="E59" s="36" t="s">
        <v>730</v>
      </c>
      <c r="F59" s="296" t="s">
        <v>728</v>
      </c>
      <c r="G59" s="36" t="s">
        <v>729</v>
      </c>
      <c r="H59" s="36" t="s">
        <v>731</v>
      </c>
      <c r="I59" s="282"/>
      <c r="J59" s="283" t="s">
        <v>557</v>
      </c>
      <c r="K59" s="28" t="s">
        <v>519</v>
      </c>
      <c r="L59" s="28" t="s">
        <v>526</v>
      </c>
      <c r="M59" s="275">
        <v>39870</v>
      </c>
      <c r="N59" s="274" t="s">
        <v>529</v>
      </c>
      <c r="O59" s="273">
        <v>40221</v>
      </c>
      <c r="P59" s="274" t="s">
        <v>529</v>
      </c>
      <c r="Q59" s="273">
        <v>40578</v>
      </c>
      <c r="R59" s="27" t="s">
        <v>529</v>
      </c>
      <c r="S59" s="279">
        <v>41162</v>
      </c>
      <c r="T59" s="27" t="s">
        <v>529</v>
      </c>
      <c r="U59" s="279">
        <v>41523</v>
      </c>
      <c r="V59" s="27" t="s">
        <v>529</v>
      </c>
      <c r="W59" s="279">
        <v>41897</v>
      </c>
      <c r="X59" s="27" t="s">
        <v>529</v>
      </c>
      <c r="Y59" s="273">
        <v>42261</v>
      </c>
      <c r="Z59" s="28" t="s">
        <v>529</v>
      </c>
      <c r="AA59" s="273">
        <v>42625</v>
      </c>
      <c r="AB59" s="28"/>
      <c r="AC59" s="273"/>
    </row>
    <row r="60" spans="1:29" ht="42.75" x14ac:dyDescent="0.2">
      <c r="A60" s="289">
        <v>59</v>
      </c>
      <c r="B60" s="289"/>
      <c r="C60" s="266" t="s">
        <v>55</v>
      </c>
      <c r="D60" s="36"/>
      <c r="E60" s="36" t="s">
        <v>734</v>
      </c>
      <c r="F60" s="299" t="s">
        <v>732</v>
      </c>
      <c r="G60" s="36" t="s">
        <v>733</v>
      </c>
      <c r="H60" s="36" t="s">
        <v>735</v>
      </c>
      <c r="I60" s="282"/>
      <c r="J60" s="285" t="s">
        <v>518</v>
      </c>
      <c r="K60" s="28" t="s">
        <v>519</v>
      </c>
      <c r="L60" s="286" t="s">
        <v>520</v>
      </c>
      <c r="M60" s="286" t="s">
        <v>520</v>
      </c>
      <c r="N60" s="286" t="s">
        <v>520</v>
      </c>
      <c r="O60" s="286" t="s">
        <v>520</v>
      </c>
      <c r="P60" s="286" t="s">
        <v>520</v>
      </c>
      <c r="Q60" s="286" t="s">
        <v>520</v>
      </c>
      <c r="R60" s="286" t="s">
        <v>520</v>
      </c>
      <c r="S60" s="286" t="s">
        <v>520</v>
      </c>
      <c r="T60" s="286" t="s">
        <v>520</v>
      </c>
      <c r="U60" s="286" t="s">
        <v>520</v>
      </c>
      <c r="V60" s="286" t="s">
        <v>520</v>
      </c>
      <c r="W60" s="286" t="s">
        <v>520</v>
      </c>
      <c r="X60" s="286" t="s">
        <v>520</v>
      </c>
      <c r="Y60" s="286" t="s">
        <v>520</v>
      </c>
      <c r="Z60" s="286" t="s">
        <v>520</v>
      </c>
      <c r="AA60" s="286" t="s">
        <v>520</v>
      </c>
      <c r="AB60" s="286" t="s">
        <v>520</v>
      </c>
      <c r="AC60" s="286" t="s">
        <v>520</v>
      </c>
    </row>
    <row r="61" spans="1:29" ht="42.75" x14ac:dyDescent="0.2">
      <c r="A61" s="289">
        <v>60</v>
      </c>
      <c r="B61" s="289"/>
      <c r="C61" s="267" t="s">
        <v>736</v>
      </c>
      <c r="D61" s="36" t="s">
        <v>737</v>
      </c>
      <c r="E61" s="36" t="s">
        <v>739</v>
      </c>
      <c r="F61" s="294" t="s">
        <v>143</v>
      </c>
      <c r="G61" s="36" t="s">
        <v>738</v>
      </c>
      <c r="H61" s="36" t="s">
        <v>524</v>
      </c>
      <c r="I61" s="28" t="s">
        <v>726</v>
      </c>
      <c r="J61" s="283" t="s">
        <v>552</v>
      </c>
      <c r="K61" s="28" t="s">
        <v>519</v>
      </c>
      <c r="L61" s="274" t="s">
        <v>553</v>
      </c>
      <c r="M61" s="287">
        <v>39419</v>
      </c>
      <c r="N61" s="288" t="s">
        <v>529</v>
      </c>
      <c r="O61" s="287">
        <v>40221</v>
      </c>
      <c r="P61" s="274" t="s">
        <v>529</v>
      </c>
      <c r="Q61" s="273">
        <v>40578</v>
      </c>
      <c r="R61" s="27" t="s">
        <v>529</v>
      </c>
      <c r="S61" s="279">
        <v>41162</v>
      </c>
      <c r="T61" s="27" t="s">
        <v>529</v>
      </c>
      <c r="U61" s="279">
        <v>41523</v>
      </c>
      <c r="V61" s="27" t="s">
        <v>529</v>
      </c>
      <c r="W61" s="279">
        <v>41897</v>
      </c>
      <c r="X61" s="27" t="s">
        <v>529</v>
      </c>
      <c r="Y61" s="273">
        <v>42261</v>
      </c>
      <c r="Z61" s="28" t="s">
        <v>529</v>
      </c>
      <c r="AA61" s="273">
        <v>42625</v>
      </c>
      <c r="AB61" s="28"/>
      <c r="AC61" s="273"/>
    </row>
    <row r="62" spans="1:29" ht="42.75" x14ac:dyDescent="0.2">
      <c r="A62" s="289">
        <v>61</v>
      </c>
      <c r="B62" s="289"/>
      <c r="C62" s="266" t="s">
        <v>740</v>
      </c>
      <c r="D62" s="36"/>
      <c r="E62" s="36" t="s">
        <v>743</v>
      </c>
      <c r="F62" s="296" t="s">
        <v>741</v>
      </c>
      <c r="G62" s="36" t="s">
        <v>742</v>
      </c>
      <c r="H62" s="36" t="s">
        <v>744</v>
      </c>
      <c r="I62" s="282"/>
      <c r="J62" s="283" t="s">
        <v>525</v>
      </c>
      <c r="K62" s="28" t="s">
        <v>519</v>
      </c>
      <c r="L62" s="28" t="s">
        <v>553</v>
      </c>
      <c r="M62" s="273">
        <v>39419</v>
      </c>
      <c r="N62" s="28" t="s">
        <v>528</v>
      </c>
      <c r="O62" s="273">
        <v>40221</v>
      </c>
      <c r="P62" s="274" t="s">
        <v>528</v>
      </c>
      <c r="Q62" s="273">
        <v>40578</v>
      </c>
      <c r="R62" s="27" t="s">
        <v>529</v>
      </c>
      <c r="S62" s="279">
        <v>41162</v>
      </c>
      <c r="T62" s="278" t="s">
        <v>528</v>
      </c>
      <c r="U62" s="279">
        <v>41523</v>
      </c>
      <c r="V62" s="278" t="s">
        <v>528</v>
      </c>
      <c r="W62" s="279">
        <v>41897</v>
      </c>
      <c r="X62" s="27" t="s">
        <v>529</v>
      </c>
      <c r="Y62" s="273">
        <v>42261</v>
      </c>
      <c r="Z62" s="28" t="s">
        <v>529</v>
      </c>
      <c r="AA62" s="273">
        <v>42625</v>
      </c>
      <c r="AB62" s="28"/>
      <c r="AC62" s="273"/>
    </row>
    <row r="63" spans="1:29" ht="28.5" x14ac:dyDescent="0.2">
      <c r="A63" s="289">
        <v>62</v>
      </c>
      <c r="B63" s="289"/>
      <c r="C63" s="265" t="s">
        <v>56</v>
      </c>
      <c r="D63" s="36"/>
      <c r="E63" s="36" t="s">
        <v>746</v>
      </c>
      <c r="F63" s="300" t="s">
        <v>143</v>
      </c>
      <c r="G63" s="36" t="s">
        <v>745</v>
      </c>
      <c r="H63" s="36" t="s">
        <v>747</v>
      </c>
      <c r="I63" s="28"/>
      <c r="J63" s="281" t="s">
        <v>518</v>
      </c>
      <c r="K63" s="28" t="s">
        <v>519</v>
      </c>
      <c r="L63" s="286" t="s">
        <v>520</v>
      </c>
      <c r="M63" s="286" t="s">
        <v>520</v>
      </c>
      <c r="N63" s="286" t="s">
        <v>520</v>
      </c>
      <c r="O63" s="286" t="s">
        <v>520</v>
      </c>
      <c r="P63" s="286" t="s">
        <v>520</v>
      </c>
      <c r="Q63" s="286" t="s">
        <v>520</v>
      </c>
      <c r="R63" s="286" t="s">
        <v>520</v>
      </c>
      <c r="S63" s="286" t="s">
        <v>520</v>
      </c>
      <c r="T63" s="286" t="s">
        <v>520</v>
      </c>
      <c r="U63" s="286" t="s">
        <v>520</v>
      </c>
      <c r="V63" s="286" t="s">
        <v>520</v>
      </c>
      <c r="W63" s="286" t="s">
        <v>520</v>
      </c>
      <c r="X63" s="286" t="s">
        <v>520</v>
      </c>
      <c r="Y63" s="286" t="s">
        <v>520</v>
      </c>
      <c r="Z63" s="286" t="s">
        <v>520</v>
      </c>
      <c r="AA63" s="286" t="s">
        <v>520</v>
      </c>
      <c r="AB63" s="286" t="s">
        <v>520</v>
      </c>
      <c r="AC63" s="286" t="s">
        <v>520</v>
      </c>
    </row>
    <row r="64" spans="1:29" ht="15.75" x14ac:dyDescent="0.2">
      <c r="A64" s="289">
        <v>63</v>
      </c>
      <c r="B64" s="289"/>
      <c r="C64" s="265" t="s">
        <v>1611</v>
      </c>
      <c r="D64" s="54"/>
      <c r="E64" s="54"/>
      <c r="F64" s="54"/>
      <c r="G64" s="54"/>
      <c r="H64" s="54"/>
    </row>
    <row r="65" spans="1:29" ht="42.75" x14ac:dyDescent="0.2">
      <c r="A65" s="289">
        <v>64</v>
      </c>
      <c r="B65" s="289"/>
      <c r="C65" s="265" t="s">
        <v>57</v>
      </c>
      <c r="D65" s="36"/>
      <c r="E65" s="36" t="s">
        <v>750</v>
      </c>
      <c r="F65" s="296" t="s">
        <v>748</v>
      </c>
      <c r="G65" s="36" t="s">
        <v>749</v>
      </c>
      <c r="H65" s="36" t="s">
        <v>751</v>
      </c>
      <c r="I65" s="28"/>
      <c r="J65" s="281" t="s">
        <v>518</v>
      </c>
      <c r="K65" s="28" t="s">
        <v>519</v>
      </c>
      <c r="L65" s="286" t="s">
        <v>520</v>
      </c>
      <c r="M65" s="286" t="s">
        <v>520</v>
      </c>
      <c r="N65" s="286" t="s">
        <v>520</v>
      </c>
      <c r="O65" s="286" t="s">
        <v>520</v>
      </c>
      <c r="P65" s="286" t="s">
        <v>520</v>
      </c>
      <c r="Q65" s="286" t="s">
        <v>520</v>
      </c>
      <c r="R65" s="286" t="s">
        <v>520</v>
      </c>
      <c r="S65" s="286" t="s">
        <v>520</v>
      </c>
      <c r="T65" s="286" t="s">
        <v>520</v>
      </c>
      <c r="U65" s="286" t="s">
        <v>520</v>
      </c>
      <c r="V65" s="286" t="s">
        <v>520</v>
      </c>
      <c r="W65" s="286" t="s">
        <v>520</v>
      </c>
      <c r="X65" s="286" t="s">
        <v>520</v>
      </c>
      <c r="Y65" s="286" t="s">
        <v>520</v>
      </c>
      <c r="Z65" s="286" t="s">
        <v>520</v>
      </c>
      <c r="AA65" s="286" t="s">
        <v>520</v>
      </c>
      <c r="AB65" s="286" t="s">
        <v>520</v>
      </c>
      <c r="AC65" s="286" t="s">
        <v>520</v>
      </c>
    </row>
    <row r="66" spans="1:29" ht="28.5" x14ac:dyDescent="0.2">
      <c r="A66" s="289">
        <v>65</v>
      </c>
      <c r="B66" s="289"/>
      <c r="C66" s="265" t="s">
        <v>58</v>
      </c>
      <c r="D66" s="36"/>
      <c r="E66" s="36" t="s">
        <v>753</v>
      </c>
      <c r="F66" s="297" t="s">
        <v>143</v>
      </c>
      <c r="G66" s="36" t="s">
        <v>752</v>
      </c>
      <c r="H66" s="36" t="s">
        <v>754</v>
      </c>
      <c r="I66" s="28"/>
      <c r="J66" s="281" t="s">
        <v>518</v>
      </c>
      <c r="K66" s="273">
        <v>40745</v>
      </c>
      <c r="L66" s="286" t="s">
        <v>755</v>
      </c>
      <c r="M66" s="286" t="s">
        <v>520</v>
      </c>
      <c r="N66" s="286" t="s">
        <v>520</v>
      </c>
      <c r="O66" s="286" t="s">
        <v>520</v>
      </c>
      <c r="P66" s="286" t="s">
        <v>520</v>
      </c>
      <c r="Q66" s="286" t="s">
        <v>520</v>
      </c>
      <c r="R66" s="286" t="s">
        <v>520</v>
      </c>
      <c r="S66" s="286" t="s">
        <v>520</v>
      </c>
      <c r="T66" s="286" t="s">
        <v>520</v>
      </c>
      <c r="U66" s="286" t="s">
        <v>520</v>
      </c>
      <c r="V66" s="286" t="s">
        <v>520</v>
      </c>
      <c r="W66" s="286" t="s">
        <v>520</v>
      </c>
      <c r="X66" s="286" t="s">
        <v>520</v>
      </c>
      <c r="Y66" s="286" t="s">
        <v>520</v>
      </c>
      <c r="Z66" s="286" t="s">
        <v>520</v>
      </c>
      <c r="AA66" s="286" t="s">
        <v>520</v>
      </c>
      <c r="AB66" s="286" t="s">
        <v>520</v>
      </c>
      <c r="AC66" s="286" t="s">
        <v>520</v>
      </c>
    </row>
    <row r="67" spans="1:29" ht="15.75" x14ac:dyDescent="0.2">
      <c r="A67" s="289">
        <v>66</v>
      </c>
      <c r="B67" s="289"/>
      <c r="C67" s="266" t="s">
        <v>59</v>
      </c>
      <c r="D67" s="36"/>
      <c r="E67" s="36" t="s">
        <v>758</v>
      </c>
      <c r="F67" s="296" t="s">
        <v>756</v>
      </c>
      <c r="G67" s="36" t="s">
        <v>757</v>
      </c>
      <c r="H67" s="36" t="s">
        <v>759</v>
      </c>
      <c r="I67" s="282"/>
      <c r="J67" s="281" t="s">
        <v>518</v>
      </c>
      <c r="K67" s="28" t="s">
        <v>519</v>
      </c>
      <c r="L67" s="286" t="s">
        <v>520</v>
      </c>
      <c r="M67" s="286" t="s">
        <v>520</v>
      </c>
      <c r="N67" s="286" t="s">
        <v>520</v>
      </c>
      <c r="O67" s="286" t="s">
        <v>520</v>
      </c>
      <c r="P67" s="286" t="s">
        <v>520</v>
      </c>
      <c r="Q67" s="286" t="s">
        <v>520</v>
      </c>
      <c r="R67" s="286" t="s">
        <v>520</v>
      </c>
      <c r="S67" s="286" t="s">
        <v>520</v>
      </c>
      <c r="T67" s="286" t="s">
        <v>520</v>
      </c>
      <c r="U67" s="286" t="s">
        <v>520</v>
      </c>
      <c r="V67" s="286" t="s">
        <v>520</v>
      </c>
      <c r="W67" s="286" t="s">
        <v>520</v>
      </c>
      <c r="X67" s="286" t="s">
        <v>520</v>
      </c>
      <c r="Y67" s="286" t="s">
        <v>520</v>
      </c>
      <c r="Z67" s="286" t="s">
        <v>520</v>
      </c>
      <c r="AA67" s="286" t="s">
        <v>520</v>
      </c>
      <c r="AB67" s="286" t="s">
        <v>520</v>
      </c>
      <c r="AC67" s="286" t="s">
        <v>520</v>
      </c>
    </row>
  </sheetData>
  <autoFilter ref="A3:V67" xr:uid="{00000000-0009-0000-0000-000001000000}"/>
  <mergeCells count="9">
    <mergeCell ref="X2:Y2"/>
    <mergeCell ref="Z2:AA2"/>
    <mergeCell ref="AB2:AC2"/>
    <mergeCell ref="L2:M2"/>
    <mergeCell ref="N2:O2"/>
    <mergeCell ref="P2:Q2"/>
    <mergeCell ref="R2:S2"/>
    <mergeCell ref="T2:U2"/>
    <mergeCell ref="V2:W2"/>
  </mergeCells>
  <conditionalFormatting sqref="B5:B58">
    <cfRule type="cellIs" dxfId="45" priority="1" operator="equal">
      <formula>"SI"</formula>
    </cfRule>
  </conditionalFormatting>
  <hyperlinks>
    <hyperlink ref="C11" location="BIOFARMA!A1" display="BIOFARMA S.A." xr:uid="{00000000-0004-0000-0100-000000000000}"/>
    <hyperlink ref="C14" location="CHEMEIA!A1" display="CHEMEIA S.A." xr:uid="{00000000-0004-0000-0100-000001000000}"/>
    <hyperlink ref="C58" location="SANICO!A1" display="SANICO" xr:uid="{00000000-0004-0000-0100-000002000000}"/>
    <hyperlink ref="C61" location="SICE!Área_de_impresión" display="SICE" xr:uid="{00000000-0004-0000-0100-000003000000}"/>
    <hyperlink ref="C24" location="FITE!Área_de_impresión" display="FITE SAC e I" xr:uid="{00000000-0004-0000-0100-000004000000}"/>
    <hyperlink ref="C30" location="'IND. Y MED.'!Área_de_impresión" display="INDUSTRIA Y" xr:uid="{00000000-0004-0000-0100-000005000000}"/>
    <hyperlink ref="C37" location="IRAM!Área_de_impresión" display="IRAM" xr:uid="{00000000-0004-0000-0100-000006000000}"/>
    <hyperlink ref="F14" r:id="rId1" xr:uid="{00000000-0004-0000-0100-000007000000}"/>
    <hyperlink ref="F42" r:id="rId2" xr:uid="{00000000-0004-0000-0100-000008000000}"/>
    <hyperlink ref="F52" r:id="rId3" xr:uid="{00000000-0004-0000-0100-000009000000}"/>
    <hyperlink ref="F25" r:id="rId4" xr:uid="{00000000-0004-0000-0100-00000A000000}"/>
    <hyperlink ref="F19" r:id="rId5" xr:uid="{00000000-0004-0000-0100-00000B000000}"/>
    <hyperlink ref="F16" r:id="rId6" xr:uid="{00000000-0004-0000-0100-00000C000000}"/>
    <hyperlink ref="F5" r:id="rId7" xr:uid="{00000000-0004-0000-0100-00000D000000}"/>
    <hyperlink ref="F30" r:id="rId8" xr:uid="{00000000-0004-0000-0100-00000E000000}"/>
    <hyperlink ref="B36" location="IRAM!Área_de_impresión" display="IRAM" xr:uid="{00000000-0004-0000-0100-00000F000000}"/>
    <hyperlink ref="B29" location="'IND. Y MED.'!Área_de_impresión" display="INDUSTRIA Y" xr:uid="{00000000-0004-0000-0100-000010000000}"/>
    <hyperlink ref="B24" location="FITE!Área_de_impresión" display="FITE SAC e I" xr:uid="{00000000-0004-0000-0100-000011000000}"/>
    <hyperlink ref="B14" location="CHEMEIA!A1" display="CHEMEIA S.A." xr:uid="{00000000-0004-0000-0100-000012000000}"/>
    <hyperlink ref="B11" location="BIOFARMA!A1" display="BIOFARMA S.A." xr:uid="{00000000-0004-0000-0100-000013000000}"/>
    <hyperlink ref="F10" r:id="rId9" xr:uid="{00000000-0004-0000-0100-000014000000}"/>
  </hyperlinks>
  <printOptions horizontalCentered="1"/>
  <pageMargins left="0.19685039370078741" right="0.19685039370078741" top="0.19685039370078741" bottom="0.27559055118110237" header="0" footer="0"/>
  <pageSetup paperSize="9" scale="33" orientation="landscape" r:id="rId10"/>
  <headerFooter alignWithMargins="0">
    <oddFooter>&amp;R&amp;P de &amp;N</oddFooter>
  </headerFooter>
  <rowBreaks count="1" manualBreakCount="1">
    <brk id="23" max="8"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sheetPr>
  <dimension ref="A1:W29"/>
  <sheetViews>
    <sheetView workbookViewId="0"/>
  </sheetViews>
  <sheetFormatPr baseColWidth="10" defaultRowHeight="15" outlineLevelCol="1" x14ac:dyDescent="0.2"/>
  <cols>
    <col min="1" max="1" width="4" style="311" bestFit="1" customWidth="1"/>
    <col min="2" max="2" width="32.5703125" style="311" customWidth="1"/>
    <col min="3" max="3" width="35.7109375" style="311" customWidth="1"/>
    <col min="4" max="4" width="17.42578125" style="311" customWidth="1" outlineLevel="1"/>
    <col min="5" max="5" width="21" style="311" customWidth="1" outlineLevel="1"/>
    <col min="6" max="6" width="46.140625" style="311" customWidth="1" outlineLevel="1"/>
    <col min="7" max="7" width="14" style="28" customWidth="1"/>
    <col min="8" max="8" width="27.85546875" style="311" customWidth="1" outlineLevel="1"/>
    <col min="9" max="9" width="15.28515625" style="311" customWidth="1" outlineLevel="1"/>
    <col min="10" max="10" width="23.28515625" style="311" customWidth="1" outlineLevel="1"/>
    <col min="11" max="11" width="10.140625" style="311" customWidth="1" outlineLevel="1"/>
    <col min="12" max="12" width="30.85546875" style="311" customWidth="1" outlineLevel="1"/>
    <col min="13" max="13" width="13" style="311" customWidth="1" outlineLevel="1"/>
    <col min="14" max="14" width="17.5703125" style="311" customWidth="1" outlineLevel="1"/>
    <col min="15" max="15" width="19.85546875" style="311" customWidth="1" outlineLevel="1"/>
    <col min="16" max="16" width="15.28515625" style="311" customWidth="1" outlineLevel="1"/>
    <col min="17" max="17" width="15.5703125" style="311" customWidth="1"/>
    <col min="18" max="18" width="11.7109375" style="311" customWidth="1"/>
    <col min="19" max="19" width="38.42578125" style="311" customWidth="1"/>
    <col min="20" max="20" width="32.85546875" style="311" customWidth="1"/>
    <col min="21" max="21" width="13.85546875" style="311" customWidth="1"/>
    <col min="22" max="22" width="14.85546875" style="311" customWidth="1"/>
    <col min="23" max="23" width="51.42578125" style="311" customWidth="1"/>
    <col min="24" max="16384" width="11.42578125" style="311"/>
  </cols>
  <sheetData>
    <row r="1" spans="1:23" ht="30.75" customHeight="1" x14ac:dyDescent="0.2">
      <c r="C1" s="722" t="s">
        <v>2323</v>
      </c>
      <c r="D1" s="722"/>
      <c r="E1" s="722"/>
      <c r="F1" s="722"/>
      <c r="G1" s="722"/>
      <c r="H1" s="722"/>
      <c r="I1" s="722"/>
      <c r="J1" s="722"/>
      <c r="K1" s="722"/>
      <c r="L1" s="722"/>
      <c r="M1" s="722"/>
      <c r="N1" s="722"/>
      <c r="O1" s="722"/>
      <c r="P1" s="722"/>
      <c r="Q1" s="722"/>
      <c r="R1" s="722"/>
      <c r="S1" s="722"/>
      <c r="V1" s="319" t="s">
        <v>1592</v>
      </c>
      <c r="W1" s="312" t="s">
        <v>1593</v>
      </c>
    </row>
    <row r="2" spans="1:23" ht="60" x14ac:dyDescent="0.2">
      <c r="C2" s="723" t="s">
        <v>1614</v>
      </c>
      <c r="D2" s="723"/>
      <c r="E2" s="723"/>
      <c r="F2" s="723"/>
      <c r="G2" s="723"/>
      <c r="H2" s="723"/>
      <c r="I2" s="723"/>
      <c r="J2" s="723"/>
      <c r="K2" s="723"/>
      <c r="L2" s="723"/>
      <c r="M2" s="723"/>
      <c r="N2" s="723"/>
      <c r="O2" s="723"/>
      <c r="P2" s="723"/>
      <c r="Q2" s="723"/>
      <c r="R2" s="723"/>
      <c r="S2" s="723"/>
      <c r="T2" s="327"/>
      <c r="U2" s="327"/>
      <c r="V2" s="319" t="s">
        <v>1653</v>
      </c>
      <c r="W2" s="312" t="s">
        <v>1595</v>
      </c>
    </row>
    <row r="3" spans="1:23" ht="22.5" customHeight="1" thickBot="1" x14ac:dyDescent="0.25">
      <c r="I3" s="724" t="s">
        <v>1617</v>
      </c>
      <c r="J3" s="724"/>
      <c r="K3" s="724"/>
      <c r="L3" s="724"/>
      <c r="M3" s="724"/>
      <c r="N3" s="724"/>
      <c r="P3" s="725" t="s">
        <v>1615</v>
      </c>
      <c r="Q3" s="725"/>
      <c r="R3" s="318"/>
      <c r="S3" s="318">
        <f>+MAX(R7:R20)</f>
        <v>43906</v>
      </c>
      <c r="V3" s="319" t="s">
        <v>1613</v>
      </c>
      <c r="W3" s="312" t="s">
        <v>1596</v>
      </c>
    </row>
    <row r="4" spans="1:23" ht="22.5" customHeight="1" thickBot="1" x14ac:dyDescent="0.25">
      <c r="D4" s="726" t="s">
        <v>1654</v>
      </c>
      <c r="E4" s="727"/>
      <c r="F4" s="728"/>
      <c r="P4" s="729" t="s">
        <v>1616</v>
      </c>
      <c r="Q4" s="729"/>
      <c r="R4" s="318"/>
      <c r="S4" s="328" t="s">
        <v>486</v>
      </c>
    </row>
    <row r="5" spans="1:23" ht="15" customHeight="1" x14ac:dyDescent="0.2"/>
    <row r="6" spans="1:23" ht="82.5" customHeight="1" x14ac:dyDescent="0.2">
      <c r="A6" s="305"/>
      <c r="B6" s="306" t="s">
        <v>451</v>
      </c>
      <c r="C6" s="307" t="s">
        <v>2098</v>
      </c>
      <c r="D6" s="307" t="s">
        <v>1655</v>
      </c>
      <c r="E6" s="307" t="s">
        <v>1656</v>
      </c>
      <c r="F6" s="307" t="s">
        <v>503</v>
      </c>
      <c r="G6" s="32" t="s">
        <v>1584</v>
      </c>
      <c r="H6" s="307" t="s">
        <v>2412</v>
      </c>
      <c r="I6" s="307" t="s">
        <v>2410</v>
      </c>
      <c r="J6" s="307" t="s">
        <v>2411</v>
      </c>
      <c r="K6" s="307" t="s">
        <v>1586</v>
      </c>
      <c r="L6" s="307" t="s">
        <v>1587</v>
      </c>
      <c r="M6" s="308" t="s">
        <v>1588</v>
      </c>
      <c r="N6" s="308" t="s">
        <v>2409</v>
      </c>
      <c r="O6" s="307" t="s">
        <v>1589</v>
      </c>
      <c r="P6" s="307" t="s">
        <v>1590</v>
      </c>
      <c r="Q6" s="309" t="s">
        <v>510</v>
      </c>
      <c r="R6" s="309" t="s">
        <v>511</v>
      </c>
      <c r="S6" s="310" t="s">
        <v>1591</v>
      </c>
      <c r="T6" s="320" t="s">
        <v>1641</v>
      </c>
      <c r="U6" s="264" t="s">
        <v>1639</v>
      </c>
    </row>
    <row r="7" spans="1:23" ht="48.75" customHeight="1" x14ac:dyDescent="0.2">
      <c r="A7" s="265">
        <v>1</v>
      </c>
      <c r="B7" s="320" t="s">
        <v>40</v>
      </c>
      <c r="C7" s="506" t="s">
        <v>1646</v>
      </c>
      <c r="D7" s="507" t="s">
        <v>521</v>
      </c>
      <c r="E7" s="507" t="s">
        <v>523</v>
      </c>
      <c r="F7" s="517" t="s">
        <v>522</v>
      </c>
      <c r="G7" s="526" t="s">
        <v>1645</v>
      </c>
      <c r="H7" s="668">
        <v>3</v>
      </c>
      <c r="I7" s="668">
        <v>3</v>
      </c>
      <c r="J7" s="669">
        <v>3</v>
      </c>
      <c r="K7" s="668">
        <v>2</v>
      </c>
      <c r="L7" s="670">
        <v>2</v>
      </c>
      <c r="M7" s="668">
        <v>3</v>
      </c>
      <c r="N7" s="668">
        <v>2</v>
      </c>
      <c r="O7" s="670">
        <f t="shared" ref="O7:O23" si="0">IF(COUNTIF($H7:$N7,"---")=7,"no evaluado/no requiere",IF(COUNTA($H$6:$N$6)=COUNTA($H7:$N7),COUNTA($H7:$N7)*3,"Falta completar"))</f>
        <v>21</v>
      </c>
      <c r="P7" s="671">
        <f>IFERROR(IF(O7=0,"No evaluado",+SUM(H7:N7)/O7),"-")</f>
        <v>0.8571428571428571</v>
      </c>
      <c r="Q7" s="670" t="str">
        <f t="shared" ref="Q7:Q13" si="1">IF(O7="no evaluado/no requiere","No evaluado",+IF(P7&gt;70%,"Apto",(+IF(P7&lt;50%,"No Apto.","Aprobado con seguimiento"))))</f>
        <v>Apto</v>
      </c>
      <c r="R7" s="672">
        <v>43906</v>
      </c>
      <c r="S7" s="506" t="str">
        <f t="shared" ref="S7:S26" si="2">VLOOKUP(Q7,$V$1:$W$8,2,FALSE)</f>
        <v>Se continúa contratando sus servicios.</v>
      </c>
      <c r="T7" s="515" t="s">
        <v>143</v>
      </c>
      <c r="U7" s="506" t="s">
        <v>1640</v>
      </c>
    </row>
    <row r="8" spans="1:23" ht="30" x14ac:dyDescent="0.2">
      <c r="A8" s="265">
        <v>18</v>
      </c>
      <c r="B8" s="320" t="s">
        <v>2416</v>
      </c>
      <c r="C8" s="506" t="s">
        <v>2418</v>
      </c>
      <c r="D8" s="506" t="s">
        <v>2422</v>
      </c>
      <c r="E8" s="506">
        <v>2182</v>
      </c>
      <c r="F8" s="517" t="s">
        <v>2425</v>
      </c>
      <c r="G8" s="508" t="s">
        <v>1645</v>
      </c>
      <c r="H8" s="669">
        <v>3</v>
      </c>
      <c r="I8" s="669" t="s">
        <v>143</v>
      </c>
      <c r="J8" s="669">
        <v>3</v>
      </c>
      <c r="K8" s="669">
        <v>3</v>
      </c>
      <c r="L8" s="673">
        <v>3</v>
      </c>
      <c r="M8" s="669">
        <v>3</v>
      </c>
      <c r="N8" s="669">
        <v>2</v>
      </c>
      <c r="O8" s="670">
        <f t="shared" si="0"/>
        <v>21</v>
      </c>
      <c r="P8" s="671">
        <f>IFERROR(IF(O8=0,"No evaluado",+SUM(H8:N8)/O8),"-")</f>
        <v>0.80952380952380953</v>
      </c>
      <c r="Q8" s="670" t="str">
        <f t="shared" si="1"/>
        <v>Apto</v>
      </c>
      <c r="R8" s="672">
        <v>43906</v>
      </c>
      <c r="S8" s="506" t="str">
        <f t="shared" si="2"/>
        <v>Se continúa contratando sus servicios.</v>
      </c>
      <c r="T8" s="515" t="s">
        <v>143</v>
      </c>
      <c r="U8" s="506" t="s">
        <v>2164</v>
      </c>
    </row>
    <row r="9" spans="1:23" ht="33" customHeight="1" x14ac:dyDescent="0.2">
      <c r="A9" s="265">
        <v>13</v>
      </c>
      <c r="B9" s="505" t="s">
        <v>2427</v>
      </c>
      <c r="C9" s="506" t="s">
        <v>2417</v>
      </c>
      <c r="D9" s="507"/>
      <c r="E9" s="507"/>
      <c r="F9" s="518"/>
      <c r="G9" s="508" t="s">
        <v>1645</v>
      </c>
      <c r="H9" s="669">
        <v>3</v>
      </c>
      <c r="I9" s="669">
        <v>3</v>
      </c>
      <c r="J9" s="669">
        <v>3</v>
      </c>
      <c r="K9" s="669">
        <v>3</v>
      </c>
      <c r="L9" s="669">
        <v>3</v>
      </c>
      <c r="M9" s="669">
        <v>3</v>
      </c>
      <c r="N9" s="669">
        <v>2</v>
      </c>
      <c r="O9" s="670">
        <f t="shared" si="0"/>
        <v>21</v>
      </c>
      <c r="P9" s="671">
        <f>IFERROR(IF(O9=0,"No evaluado",+SUM(H9:N9)/O9),"-")</f>
        <v>0.95238095238095233</v>
      </c>
      <c r="Q9" s="670" t="str">
        <f t="shared" si="1"/>
        <v>Apto</v>
      </c>
      <c r="R9" s="672">
        <v>43906</v>
      </c>
      <c r="S9" s="506" t="str">
        <f t="shared" si="2"/>
        <v>Se continúa contratando sus servicios.</v>
      </c>
      <c r="T9" s="515" t="s">
        <v>143</v>
      </c>
      <c r="U9" s="506" t="s">
        <v>2164</v>
      </c>
    </row>
    <row r="10" spans="1:23" ht="33.75" customHeight="1" x14ac:dyDescent="0.2">
      <c r="A10" s="265">
        <v>2</v>
      </c>
      <c r="B10" s="519" t="s">
        <v>2163</v>
      </c>
      <c r="C10" s="520" t="s">
        <v>632</v>
      </c>
      <c r="D10" s="521"/>
      <c r="E10" s="521"/>
      <c r="F10" s="525" t="s">
        <v>2165</v>
      </c>
      <c r="G10" s="523" t="s">
        <v>1644</v>
      </c>
      <c r="H10" s="674" t="s">
        <v>143</v>
      </c>
      <c r="I10" s="674" t="s">
        <v>143</v>
      </c>
      <c r="J10" s="674" t="s">
        <v>143</v>
      </c>
      <c r="K10" s="674" t="s">
        <v>143</v>
      </c>
      <c r="L10" s="675" t="s">
        <v>143</v>
      </c>
      <c r="M10" s="674" t="s">
        <v>143</v>
      </c>
      <c r="N10" s="674" t="s">
        <v>143</v>
      </c>
      <c r="O10" s="676" t="str">
        <f t="shared" si="0"/>
        <v>no evaluado/no requiere</v>
      </c>
      <c r="P10" s="671" t="str">
        <f>IFERROR(IF(O8=0,"No evaluado",+SUM(H10:N10)/O10),"-")</f>
        <v>-</v>
      </c>
      <c r="Q10" s="676" t="str">
        <f t="shared" si="1"/>
        <v>No evaluado</v>
      </c>
      <c r="R10" s="677">
        <v>43564</v>
      </c>
      <c r="S10" s="520" t="e">
        <f t="shared" si="2"/>
        <v>#N/A</v>
      </c>
      <c r="T10" s="524" t="s">
        <v>1723</v>
      </c>
      <c r="U10" s="520" t="s">
        <v>2164</v>
      </c>
    </row>
    <row r="11" spans="1:23" ht="24.95" customHeight="1" x14ac:dyDescent="0.2">
      <c r="A11" s="265">
        <v>3</v>
      </c>
      <c r="B11" s="320" t="s">
        <v>1606</v>
      </c>
      <c r="C11" s="506" t="s">
        <v>2397</v>
      </c>
      <c r="D11" s="506"/>
      <c r="E11" s="506"/>
      <c r="F11" s="506"/>
      <c r="G11" s="523" t="s">
        <v>1645</v>
      </c>
      <c r="H11" s="669">
        <v>3</v>
      </c>
      <c r="I11" s="669" t="s">
        <v>143</v>
      </c>
      <c r="J11" s="668">
        <v>3</v>
      </c>
      <c r="K11" s="668">
        <v>3</v>
      </c>
      <c r="L11" s="670">
        <v>3</v>
      </c>
      <c r="M11" s="668">
        <v>3</v>
      </c>
      <c r="N11" s="669">
        <v>1</v>
      </c>
      <c r="O11" s="670">
        <f t="shared" si="0"/>
        <v>21</v>
      </c>
      <c r="P11" s="671">
        <f t="shared" ref="P11:P23" si="3">IFERROR(IF(O11=0,"No evaluado",+SUM(H11:N11)/O11),"-")</f>
        <v>0.76190476190476186</v>
      </c>
      <c r="Q11" s="670" t="str">
        <f t="shared" si="1"/>
        <v>Apto</v>
      </c>
      <c r="R11" s="672">
        <v>43906</v>
      </c>
      <c r="S11" s="506" t="str">
        <f t="shared" si="2"/>
        <v>Se continúa contratando sus servicios.</v>
      </c>
      <c r="T11" s="515" t="s">
        <v>520</v>
      </c>
      <c r="U11" s="506" t="s">
        <v>486</v>
      </c>
    </row>
    <row r="12" spans="1:23" ht="24.95" customHeight="1" x14ac:dyDescent="0.2">
      <c r="A12" s="265">
        <v>4</v>
      </c>
      <c r="B12" s="527" t="s">
        <v>2399</v>
      </c>
      <c r="C12" s="506" t="s">
        <v>2400</v>
      </c>
      <c r="D12" s="507"/>
      <c r="E12" s="507">
        <v>1145825145</v>
      </c>
      <c r="F12" s="528" t="s">
        <v>2401</v>
      </c>
      <c r="G12" s="523" t="s">
        <v>1645</v>
      </c>
      <c r="H12" s="669">
        <v>3</v>
      </c>
      <c r="I12" s="669">
        <v>3</v>
      </c>
      <c r="J12" s="669">
        <v>3</v>
      </c>
      <c r="K12" s="669">
        <v>3</v>
      </c>
      <c r="L12" s="673">
        <v>3</v>
      </c>
      <c r="M12" s="669">
        <v>3</v>
      </c>
      <c r="N12" s="669">
        <v>3</v>
      </c>
      <c r="O12" s="670">
        <f t="shared" si="0"/>
        <v>21</v>
      </c>
      <c r="P12" s="671">
        <f t="shared" si="3"/>
        <v>1</v>
      </c>
      <c r="Q12" s="670" t="str">
        <f t="shared" si="1"/>
        <v>Apto</v>
      </c>
      <c r="R12" s="672">
        <v>43906</v>
      </c>
      <c r="S12" s="506" t="str">
        <f t="shared" si="2"/>
        <v>Se continúa contratando sus servicios.</v>
      </c>
      <c r="T12" s="515" t="s">
        <v>520</v>
      </c>
      <c r="U12" s="506" t="s">
        <v>486</v>
      </c>
    </row>
    <row r="13" spans="1:23" ht="24.95" customHeight="1" x14ac:dyDescent="0.2">
      <c r="A13" s="265">
        <v>5</v>
      </c>
      <c r="B13" s="505" t="s">
        <v>46</v>
      </c>
      <c r="C13" s="506" t="s">
        <v>610</v>
      </c>
      <c r="D13" s="507" t="s">
        <v>607</v>
      </c>
      <c r="E13" s="507" t="s">
        <v>609</v>
      </c>
      <c r="F13" s="506"/>
      <c r="G13" s="508" t="s">
        <v>1645</v>
      </c>
      <c r="H13" s="669" t="s">
        <v>143</v>
      </c>
      <c r="I13" s="669" t="s">
        <v>143</v>
      </c>
      <c r="J13" s="669" t="s">
        <v>143</v>
      </c>
      <c r="K13" s="669" t="s">
        <v>143</v>
      </c>
      <c r="L13" s="673" t="s">
        <v>143</v>
      </c>
      <c r="M13" s="669" t="s">
        <v>143</v>
      </c>
      <c r="N13" s="669" t="s">
        <v>143</v>
      </c>
      <c r="O13" s="670" t="str">
        <f t="shared" si="0"/>
        <v>no evaluado/no requiere</v>
      </c>
      <c r="P13" s="671" t="str">
        <f t="shared" si="3"/>
        <v>-</v>
      </c>
      <c r="Q13" s="670" t="str">
        <f t="shared" si="1"/>
        <v>No evaluado</v>
      </c>
      <c r="R13" s="672">
        <v>43906</v>
      </c>
      <c r="S13" s="506" t="e">
        <f t="shared" si="2"/>
        <v>#N/A</v>
      </c>
      <c r="T13" s="506" t="s">
        <v>1650</v>
      </c>
      <c r="U13" s="506" t="s">
        <v>1640</v>
      </c>
    </row>
    <row r="14" spans="1:23" s="611" customFormat="1" ht="31.5" x14ac:dyDescent="0.2">
      <c r="A14" s="265">
        <v>6</v>
      </c>
      <c r="B14" s="519" t="s">
        <v>47</v>
      </c>
      <c r="C14" s="520" t="s">
        <v>632</v>
      </c>
      <c r="D14" s="521" t="s">
        <v>634</v>
      </c>
      <c r="E14" s="521" t="s">
        <v>635</v>
      </c>
      <c r="F14" s="522" t="s">
        <v>143</v>
      </c>
      <c r="G14" s="523" t="s">
        <v>1645</v>
      </c>
      <c r="H14" s="674" t="s">
        <v>143</v>
      </c>
      <c r="I14" s="674" t="s">
        <v>143</v>
      </c>
      <c r="J14" s="674" t="s">
        <v>143</v>
      </c>
      <c r="K14" s="674" t="s">
        <v>143</v>
      </c>
      <c r="L14" s="675" t="s">
        <v>143</v>
      </c>
      <c r="M14" s="674" t="s">
        <v>143</v>
      </c>
      <c r="N14" s="674" t="s">
        <v>143</v>
      </c>
      <c r="O14" s="676" t="str">
        <f t="shared" si="0"/>
        <v>no evaluado/no requiere</v>
      </c>
      <c r="P14" s="671" t="str">
        <f t="shared" si="3"/>
        <v>-</v>
      </c>
      <c r="Q14" s="675" t="s">
        <v>520</v>
      </c>
      <c r="R14" s="677">
        <v>43564</v>
      </c>
      <c r="S14" s="520" t="e">
        <f t="shared" si="2"/>
        <v>#N/A</v>
      </c>
      <c r="T14" s="524" t="s">
        <v>1723</v>
      </c>
      <c r="U14" s="520" t="s">
        <v>2164</v>
      </c>
      <c r="V14" s="311"/>
      <c r="W14" s="311"/>
    </row>
    <row r="15" spans="1:23" ht="30" customHeight="1" x14ac:dyDescent="0.2">
      <c r="A15" s="265">
        <v>7</v>
      </c>
      <c r="B15" s="519" t="s">
        <v>628</v>
      </c>
      <c r="C15" s="520" t="s">
        <v>632</v>
      </c>
      <c r="D15" s="521" t="s">
        <v>629</v>
      </c>
      <c r="E15" s="521" t="s">
        <v>631</v>
      </c>
      <c r="F15" s="522" t="s">
        <v>143</v>
      </c>
      <c r="G15" s="523" t="s">
        <v>1645</v>
      </c>
      <c r="H15" s="674" t="s">
        <v>143</v>
      </c>
      <c r="I15" s="674" t="s">
        <v>143</v>
      </c>
      <c r="J15" s="674" t="s">
        <v>143</v>
      </c>
      <c r="K15" s="674" t="s">
        <v>143</v>
      </c>
      <c r="L15" s="675" t="s">
        <v>143</v>
      </c>
      <c r="M15" s="674" t="s">
        <v>143</v>
      </c>
      <c r="N15" s="674" t="s">
        <v>143</v>
      </c>
      <c r="O15" s="676" t="str">
        <f t="shared" si="0"/>
        <v>no evaluado/no requiere</v>
      </c>
      <c r="P15" s="671" t="str">
        <f t="shared" si="3"/>
        <v>-</v>
      </c>
      <c r="Q15" s="675" t="s">
        <v>520</v>
      </c>
      <c r="R15" s="677">
        <v>43564</v>
      </c>
      <c r="S15" s="520" t="e">
        <f t="shared" si="2"/>
        <v>#N/A</v>
      </c>
      <c r="T15" s="524" t="s">
        <v>1723</v>
      </c>
      <c r="U15" s="520" t="s">
        <v>2164</v>
      </c>
    </row>
    <row r="16" spans="1:23" ht="28.5" customHeight="1" x14ac:dyDescent="0.2">
      <c r="A16" s="310">
        <v>8</v>
      </c>
      <c r="B16" s="605" t="s">
        <v>48</v>
      </c>
      <c r="C16" s="606" t="s">
        <v>640</v>
      </c>
      <c r="D16" s="607"/>
      <c r="E16" s="607" t="s">
        <v>639</v>
      </c>
      <c r="F16" s="608" t="s">
        <v>637</v>
      </c>
      <c r="G16" s="609" t="s">
        <v>1645</v>
      </c>
      <c r="H16" s="678" t="s">
        <v>143</v>
      </c>
      <c r="I16" s="678" t="s">
        <v>143</v>
      </c>
      <c r="J16" s="678" t="s">
        <v>143</v>
      </c>
      <c r="K16" s="678" t="s">
        <v>143</v>
      </c>
      <c r="L16" s="678" t="s">
        <v>143</v>
      </c>
      <c r="M16" s="678" t="s">
        <v>143</v>
      </c>
      <c r="N16" s="678" t="s">
        <v>143</v>
      </c>
      <c r="O16" s="679" t="str">
        <f t="shared" si="0"/>
        <v>no evaluado/no requiere</v>
      </c>
      <c r="P16" s="680" t="str">
        <f t="shared" si="3"/>
        <v>-</v>
      </c>
      <c r="Q16" s="681" t="s">
        <v>520</v>
      </c>
      <c r="R16" s="682">
        <v>43814</v>
      </c>
      <c r="S16" s="606" t="e">
        <f t="shared" si="2"/>
        <v>#N/A</v>
      </c>
      <c r="T16" s="610" t="s">
        <v>1723</v>
      </c>
      <c r="U16" s="606" t="s">
        <v>486</v>
      </c>
    </row>
    <row r="17" spans="1:23" ht="40.5" customHeight="1" x14ac:dyDescent="0.2">
      <c r="A17" s="265">
        <v>16</v>
      </c>
      <c r="B17" s="320" t="s">
        <v>2414</v>
      </c>
      <c r="C17" s="506" t="s">
        <v>2417</v>
      </c>
      <c r="D17" s="506" t="s">
        <v>2420</v>
      </c>
      <c r="E17" s="506">
        <v>2141</v>
      </c>
      <c r="F17" s="517" t="s">
        <v>2426</v>
      </c>
      <c r="G17" s="508" t="s">
        <v>1645</v>
      </c>
      <c r="H17" s="669">
        <v>3</v>
      </c>
      <c r="I17" s="669">
        <v>3</v>
      </c>
      <c r="J17" s="669">
        <v>2</v>
      </c>
      <c r="K17" s="669">
        <v>3</v>
      </c>
      <c r="L17" s="673">
        <v>3</v>
      </c>
      <c r="M17" s="669">
        <v>3</v>
      </c>
      <c r="N17" s="669">
        <v>2</v>
      </c>
      <c r="O17" s="670">
        <f t="shared" si="0"/>
        <v>21</v>
      </c>
      <c r="P17" s="671">
        <f t="shared" si="3"/>
        <v>0.90476190476190477</v>
      </c>
      <c r="Q17" s="670" t="str">
        <f t="shared" ref="Q17:Q23" si="4">IF(O17="no evaluado/no requiere","No evaluado",+IF(P17&gt;70%,"Apto",(+IF(P17&lt;50%,"No Apto.","Aprobado con seguimiento"))))</f>
        <v>Apto</v>
      </c>
      <c r="R17" s="672">
        <v>43906</v>
      </c>
      <c r="S17" s="506" t="str">
        <f t="shared" si="2"/>
        <v>Se continúa contratando sus servicios.</v>
      </c>
      <c r="T17" s="515" t="s">
        <v>143</v>
      </c>
      <c r="U17" s="506" t="s">
        <v>2164</v>
      </c>
    </row>
    <row r="18" spans="1:23" s="611" customFormat="1" ht="30" x14ac:dyDescent="0.2">
      <c r="A18" s="265">
        <v>15</v>
      </c>
      <c r="B18" s="320" t="s">
        <v>2413</v>
      </c>
      <c r="C18" s="506" t="s">
        <v>2417</v>
      </c>
      <c r="D18" s="506" t="s">
        <v>2419</v>
      </c>
      <c r="E18" s="506">
        <v>2154</v>
      </c>
      <c r="F18" s="517" t="s">
        <v>2423</v>
      </c>
      <c r="G18" s="508" t="s">
        <v>1645</v>
      </c>
      <c r="H18" s="669">
        <v>3</v>
      </c>
      <c r="I18" s="669">
        <v>3</v>
      </c>
      <c r="J18" s="669">
        <v>3</v>
      </c>
      <c r="K18" s="669">
        <v>3</v>
      </c>
      <c r="L18" s="673">
        <v>3</v>
      </c>
      <c r="M18" s="669">
        <v>3</v>
      </c>
      <c r="N18" s="669">
        <v>2</v>
      </c>
      <c r="O18" s="670">
        <f t="shared" si="0"/>
        <v>21</v>
      </c>
      <c r="P18" s="671">
        <f t="shared" si="3"/>
        <v>0.95238095238095233</v>
      </c>
      <c r="Q18" s="670" t="str">
        <f t="shared" si="4"/>
        <v>Apto</v>
      </c>
      <c r="R18" s="672">
        <v>43906</v>
      </c>
      <c r="S18" s="506" t="str">
        <f t="shared" si="2"/>
        <v>Se continúa contratando sus servicios.</v>
      </c>
      <c r="T18" s="515" t="s">
        <v>143</v>
      </c>
      <c r="U18" s="506" t="s">
        <v>2164</v>
      </c>
      <c r="V18" s="311"/>
      <c r="W18" s="311"/>
    </row>
    <row r="19" spans="1:23" ht="23.25" customHeight="1" x14ac:dyDescent="0.2">
      <c r="A19" s="265">
        <v>17</v>
      </c>
      <c r="B19" s="320" t="s">
        <v>2415</v>
      </c>
      <c r="C19" s="506" t="s">
        <v>2417</v>
      </c>
      <c r="D19" s="506" t="s">
        <v>2421</v>
      </c>
      <c r="E19" s="506">
        <v>2144</v>
      </c>
      <c r="F19" s="517" t="s">
        <v>2424</v>
      </c>
      <c r="G19" s="508" t="s">
        <v>1645</v>
      </c>
      <c r="H19" s="669">
        <v>3</v>
      </c>
      <c r="I19" s="669">
        <v>3</v>
      </c>
      <c r="J19" s="669">
        <v>3</v>
      </c>
      <c r="K19" s="669">
        <v>3</v>
      </c>
      <c r="L19" s="673">
        <v>3</v>
      </c>
      <c r="M19" s="669">
        <v>3</v>
      </c>
      <c r="N19" s="669">
        <v>2</v>
      </c>
      <c r="O19" s="670">
        <f t="shared" si="0"/>
        <v>21</v>
      </c>
      <c r="P19" s="671">
        <f t="shared" si="3"/>
        <v>0.95238095238095233</v>
      </c>
      <c r="Q19" s="670" t="str">
        <f t="shared" si="4"/>
        <v>Apto</v>
      </c>
      <c r="R19" s="672">
        <v>43906</v>
      </c>
      <c r="S19" s="506" t="str">
        <f t="shared" si="2"/>
        <v>Se continúa contratando sus servicios.</v>
      </c>
      <c r="T19" s="515" t="s">
        <v>143</v>
      </c>
      <c r="U19" s="506" t="s">
        <v>2164</v>
      </c>
    </row>
    <row r="20" spans="1:23" ht="24.95" customHeight="1" x14ac:dyDescent="0.2">
      <c r="A20" s="265">
        <v>9</v>
      </c>
      <c r="B20" s="320" t="s">
        <v>452</v>
      </c>
      <c r="C20" s="506" t="s">
        <v>1610</v>
      </c>
      <c r="D20" s="507"/>
      <c r="E20" s="516" t="s">
        <v>653</v>
      </c>
      <c r="F20" s="517" t="s">
        <v>651</v>
      </c>
      <c r="G20" s="508" t="s">
        <v>1645</v>
      </c>
      <c r="H20" s="669">
        <v>3</v>
      </c>
      <c r="I20" s="668">
        <v>3</v>
      </c>
      <c r="J20" s="668">
        <v>3</v>
      </c>
      <c r="K20" s="668">
        <v>2</v>
      </c>
      <c r="L20" s="670">
        <v>2</v>
      </c>
      <c r="M20" s="668">
        <v>3</v>
      </c>
      <c r="N20" s="668">
        <v>3</v>
      </c>
      <c r="O20" s="670">
        <f t="shared" si="0"/>
        <v>21</v>
      </c>
      <c r="P20" s="671">
        <f t="shared" si="3"/>
        <v>0.90476190476190477</v>
      </c>
      <c r="Q20" s="670" t="str">
        <f t="shared" si="4"/>
        <v>Apto</v>
      </c>
      <c r="R20" s="672">
        <v>43906</v>
      </c>
      <c r="S20" s="506" t="str">
        <f t="shared" si="2"/>
        <v>Se continúa contratando sus servicios.</v>
      </c>
      <c r="T20" s="515" t="s">
        <v>520</v>
      </c>
      <c r="U20" s="506" t="s">
        <v>1640</v>
      </c>
    </row>
    <row r="21" spans="1:23" ht="24.95" customHeight="1" x14ac:dyDescent="0.2">
      <c r="A21" s="265">
        <v>10</v>
      </c>
      <c r="B21" s="505" t="s">
        <v>655</v>
      </c>
      <c r="C21" s="506" t="s">
        <v>1605</v>
      </c>
      <c r="D21" s="507" t="s">
        <v>656</v>
      </c>
      <c r="E21" s="507" t="s">
        <v>659</v>
      </c>
      <c r="F21" s="516" t="s">
        <v>657</v>
      </c>
      <c r="G21" s="508" t="s">
        <v>1645</v>
      </c>
      <c r="H21" s="669">
        <v>3</v>
      </c>
      <c r="I21" s="668">
        <v>3</v>
      </c>
      <c r="J21" s="668">
        <v>3</v>
      </c>
      <c r="K21" s="668">
        <v>2</v>
      </c>
      <c r="L21" s="670">
        <v>3</v>
      </c>
      <c r="M21" s="668">
        <v>3</v>
      </c>
      <c r="N21" s="668">
        <v>1</v>
      </c>
      <c r="O21" s="670">
        <f t="shared" si="0"/>
        <v>21</v>
      </c>
      <c r="P21" s="671">
        <f t="shared" si="3"/>
        <v>0.8571428571428571</v>
      </c>
      <c r="Q21" s="670" t="str">
        <f t="shared" si="4"/>
        <v>Apto</v>
      </c>
      <c r="R21" s="672">
        <v>43906</v>
      </c>
      <c r="S21" s="506" t="str">
        <f t="shared" si="2"/>
        <v>Se continúa contratando sus servicios.</v>
      </c>
      <c r="T21" s="515" t="s">
        <v>520</v>
      </c>
      <c r="U21" s="506" t="s">
        <v>1640</v>
      </c>
    </row>
    <row r="22" spans="1:23" ht="24.95" customHeight="1" x14ac:dyDescent="0.2">
      <c r="A22" s="265">
        <v>11</v>
      </c>
      <c r="B22" s="505" t="s">
        <v>673</v>
      </c>
      <c r="C22" s="506" t="s">
        <v>676</v>
      </c>
      <c r="D22" s="507"/>
      <c r="E22" s="507"/>
      <c r="F22" s="517" t="s">
        <v>674</v>
      </c>
      <c r="G22" s="508" t="s">
        <v>1645</v>
      </c>
      <c r="H22" s="669">
        <v>3</v>
      </c>
      <c r="I22" s="669">
        <v>3</v>
      </c>
      <c r="J22" s="669">
        <v>3</v>
      </c>
      <c r="K22" s="669">
        <v>3</v>
      </c>
      <c r="L22" s="673">
        <v>3</v>
      </c>
      <c r="M22" s="669">
        <v>3</v>
      </c>
      <c r="N22" s="669">
        <v>3</v>
      </c>
      <c r="O22" s="670">
        <f t="shared" si="0"/>
        <v>21</v>
      </c>
      <c r="P22" s="671">
        <f t="shared" si="3"/>
        <v>1</v>
      </c>
      <c r="Q22" s="670" t="str">
        <f t="shared" si="4"/>
        <v>Apto</v>
      </c>
      <c r="R22" s="672">
        <v>43906</v>
      </c>
      <c r="S22" s="506" t="str">
        <f t="shared" si="2"/>
        <v>Se continúa contratando sus servicios.</v>
      </c>
      <c r="T22" s="506" t="s">
        <v>2398</v>
      </c>
      <c r="U22" s="506" t="s">
        <v>1640</v>
      </c>
    </row>
    <row r="23" spans="1:23" ht="29.25" customHeight="1" x14ac:dyDescent="0.2">
      <c r="A23" s="265">
        <v>19</v>
      </c>
      <c r="B23" s="320" t="s">
        <v>2512</v>
      </c>
      <c r="C23" s="506" t="s">
        <v>2513</v>
      </c>
      <c r="D23" s="506" t="s">
        <v>2514</v>
      </c>
      <c r="E23" s="506" t="s">
        <v>2515</v>
      </c>
      <c r="F23" s="517" t="s">
        <v>2516</v>
      </c>
      <c r="G23" s="36" t="s">
        <v>1644</v>
      </c>
      <c r="H23" s="506">
        <v>3</v>
      </c>
      <c r="I23" s="506">
        <v>3</v>
      </c>
      <c r="J23" s="506">
        <v>2</v>
      </c>
      <c r="K23" s="506">
        <v>3</v>
      </c>
      <c r="L23" s="506">
        <v>3</v>
      </c>
      <c r="M23" s="506">
        <v>2</v>
      </c>
      <c r="N23" s="506">
        <v>3</v>
      </c>
      <c r="O23" s="670">
        <f t="shared" si="0"/>
        <v>21</v>
      </c>
      <c r="P23" s="671">
        <f t="shared" si="3"/>
        <v>0.90476190476190477</v>
      </c>
      <c r="Q23" s="670" t="str">
        <f t="shared" si="4"/>
        <v>Apto</v>
      </c>
      <c r="R23" s="672">
        <v>43980</v>
      </c>
      <c r="S23" s="506" t="str">
        <f t="shared" si="2"/>
        <v>Se continúa contratando sus servicios.</v>
      </c>
      <c r="T23" s="515" t="s">
        <v>143</v>
      </c>
      <c r="U23" s="506" t="s">
        <v>2164</v>
      </c>
    </row>
    <row r="24" spans="1:23" ht="24.95" customHeight="1" x14ac:dyDescent="0.2">
      <c r="A24" s="310">
        <v>12</v>
      </c>
      <c r="B24" s="605" t="s">
        <v>705</v>
      </c>
      <c r="C24" s="606" t="s">
        <v>709</v>
      </c>
      <c r="D24" s="607" t="s">
        <v>695</v>
      </c>
      <c r="E24" s="607" t="s">
        <v>708</v>
      </c>
      <c r="F24" s="612" t="s">
        <v>706</v>
      </c>
      <c r="G24" s="609" t="s">
        <v>1645</v>
      </c>
      <c r="H24" s="683" t="s">
        <v>143</v>
      </c>
      <c r="I24" s="683" t="s">
        <v>143</v>
      </c>
      <c r="J24" s="683" t="s">
        <v>143</v>
      </c>
      <c r="K24" s="683" t="s">
        <v>143</v>
      </c>
      <c r="L24" s="683" t="s">
        <v>143</v>
      </c>
      <c r="M24" s="683" t="s">
        <v>143</v>
      </c>
      <c r="N24" s="683" t="s">
        <v>143</v>
      </c>
      <c r="O24" s="683" t="s">
        <v>143</v>
      </c>
      <c r="P24" s="683" t="s">
        <v>143</v>
      </c>
      <c r="Q24" s="683" t="s">
        <v>143</v>
      </c>
      <c r="R24" s="684">
        <v>43814</v>
      </c>
      <c r="S24" s="606" t="e">
        <f t="shared" si="2"/>
        <v>#N/A</v>
      </c>
      <c r="T24" s="610" t="s">
        <v>1723</v>
      </c>
      <c r="U24" s="606" t="s">
        <v>1640</v>
      </c>
    </row>
    <row r="25" spans="1:23" ht="30" x14ac:dyDescent="0.2">
      <c r="A25" s="265">
        <v>20</v>
      </c>
      <c r="B25" s="320" t="s">
        <v>2517</v>
      </c>
      <c r="C25" s="506" t="s">
        <v>2518</v>
      </c>
      <c r="D25" s="506" t="s">
        <v>2519</v>
      </c>
      <c r="E25" s="506" t="s">
        <v>2520</v>
      </c>
      <c r="F25" s="517" t="s">
        <v>2521</v>
      </c>
      <c r="G25" s="36" t="s">
        <v>1645</v>
      </c>
      <c r="H25" s="506">
        <v>3</v>
      </c>
      <c r="I25" s="506">
        <v>3</v>
      </c>
      <c r="J25" s="506">
        <v>3</v>
      </c>
      <c r="K25" s="506">
        <v>3</v>
      </c>
      <c r="L25" s="506">
        <v>3</v>
      </c>
      <c r="M25" s="506">
        <v>3</v>
      </c>
      <c r="N25" s="506">
        <v>3</v>
      </c>
      <c r="O25" s="506">
        <f>IF(COUNTIF($H25:$N25,"---")=7,"no evaluado/no requiere",IF(COUNTA($H$6:$N$6)=COUNTA($H25:$N25),COUNTA($H25:$N25)*3,"Falta completar"))</f>
        <v>21</v>
      </c>
      <c r="P25" s="671">
        <f>IFERROR(IF(O25=0,"No evaluado",+SUM(H25:N25)/O25),"-")</f>
        <v>1</v>
      </c>
      <c r="Q25" s="670" t="str">
        <f>IF(O25="no evaluado/no requiere","No evaluado",+IF(P25&gt;70%,"Apto",(+IF(P25&lt;50%,"No Apto.","Aprobado con seguimiento"))))</f>
        <v>Apto</v>
      </c>
      <c r="R25" s="672">
        <v>43871</v>
      </c>
      <c r="S25" s="506" t="str">
        <f t="shared" si="2"/>
        <v>Se continúa contratando sus servicios.</v>
      </c>
      <c r="T25" s="515" t="s">
        <v>143</v>
      </c>
      <c r="U25" s="506"/>
    </row>
    <row r="26" spans="1:23" ht="31.5" x14ac:dyDescent="0.2">
      <c r="A26" s="265">
        <v>14</v>
      </c>
      <c r="B26" s="320" t="s">
        <v>1611</v>
      </c>
      <c r="C26" s="506" t="s">
        <v>1605</v>
      </c>
      <c r="D26" s="506"/>
      <c r="E26" s="506"/>
      <c r="F26" s="506"/>
      <c r="G26" s="508" t="s">
        <v>1645</v>
      </c>
      <c r="H26" s="669" t="s">
        <v>143</v>
      </c>
      <c r="I26" s="669" t="s">
        <v>143</v>
      </c>
      <c r="J26" s="669" t="s">
        <v>143</v>
      </c>
      <c r="K26" s="669" t="s">
        <v>143</v>
      </c>
      <c r="L26" s="673" t="s">
        <v>143</v>
      </c>
      <c r="M26" s="669" t="s">
        <v>143</v>
      </c>
      <c r="N26" s="669" t="s">
        <v>143</v>
      </c>
      <c r="O26" s="670" t="str">
        <f>IF(COUNTIF($H26:$N26,"---")=7,"no evaluado/no requiere",IF(COUNTA($H$6:$N$6)=COUNTA($H26:$N26),COUNTA($H26:$N26)*3,"Falta completar"))</f>
        <v>no evaluado/no requiere</v>
      </c>
      <c r="P26" s="671" t="str">
        <f>IFERROR(IF(O26=0,"No evaluado",+SUM(H26:N26)/O26),"-")</f>
        <v>-</v>
      </c>
      <c r="Q26" s="670" t="str">
        <f>IF(O26="no evaluado/no requiere","No evaluado",+IF(P26&gt;70%,"Apto",(+IF(P26&lt;50%,"No Apto.","Aprobado con seguimiento"))))</f>
        <v>No evaluado</v>
      </c>
      <c r="R26" s="672">
        <v>43906</v>
      </c>
      <c r="S26" s="506" t="e">
        <f t="shared" si="2"/>
        <v>#N/A</v>
      </c>
      <c r="T26" s="506" t="s">
        <v>1650</v>
      </c>
      <c r="U26" s="506" t="s">
        <v>1640</v>
      </c>
    </row>
    <row r="27" spans="1:23" ht="15.75" x14ac:dyDescent="0.2">
      <c r="A27" s="650"/>
      <c r="B27" s="658"/>
      <c r="C27" s="657"/>
      <c r="D27" s="651"/>
      <c r="E27" s="651"/>
      <c r="F27" s="652"/>
      <c r="G27" s="653"/>
      <c r="H27" s="651"/>
      <c r="I27" s="651"/>
      <c r="J27" s="651"/>
      <c r="K27" s="651"/>
      <c r="L27" s="651"/>
      <c r="M27" s="651"/>
      <c r="N27" s="651"/>
      <c r="O27" s="651"/>
      <c r="P27" s="685"/>
      <c r="Q27" s="686"/>
      <c r="R27" s="687"/>
      <c r="S27" s="651"/>
      <c r="T27" s="656"/>
      <c r="U27" s="651"/>
    </row>
    <row r="28" spans="1:23" x14ac:dyDescent="0.2">
      <c r="B28" s="520" t="s">
        <v>2395</v>
      </c>
    </row>
    <row r="29" spans="1:23" ht="30" x14ac:dyDescent="0.2">
      <c r="B29" s="506" t="s">
        <v>2396</v>
      </c>
    </row>
  </sheetData>
  <autoFilter ref="A6:W20" xr:uid="{00000000-0009-0000-0000-000002000000}">
    <sortState xmlns:xlrd2="http://schemas.microsoft.com/office/spreadsheetml/2017/richdata2" ref="A7:W26">
      <sortCondition ref="B6:B20"/>
    </sortState>
  </autoFilter>
  <dataConsolidate/>
  <mergeCells count="6">
    <mergeCell ref="C1:S1"/>
    <mergeCell ref="C2:S2"/>
    <mergeCell ref="I3:N3"/>
    <mergeCell ref="P3:Q3"/>
    <mergeCell ref="D4:F4"/>
    <mergeCell ref="P4:Q4"/>
  </mergeCells>
  <conditionalFormatting sqref="B25:C25">
    <cfRule type="cellIs" dxfId="44" priority="1" operator="equal">
      <formula>"SI"</formula>
    </cfRule>
  </conditionalFormatting>
  <conditionalFormatting sqref="B7:F7 B8:C19 F9 B20:F24">
    <cfRule type="cellIs" dxfId="43" priority="8" operator="equal">
      <formula>"SI"</formula>
    </cfRule>
  </conditionalFormatting>
  <conditionalFormatting sqref="G3:G1048576">
    <cfRule type="containsText" dxfId="42" priority="3" operator="containsText" text="Inicial">
      <formula>NOT(ISERROR(SEARCH("Inicial",G3)))</formula>
    </cfRule>
    <cfRule type="containsText" dxfId="41" priority="4" operator="containsText" text="Seguimiento">
      <formula>NOT(ISERROR(SEARCH("Seguimiento",G3)))</formula>
    </cfRule>
  </conditionalFormatting>
  <conditionalFormatting sqref="O7:O17 O19:O25">
    <cfRule type="containsText" dxfId="40" priority="2" operator="containsText" text="Falta completar">
      <formula>NOT(ISERROR(SEARCH("Falta completar",O7)))</formula>
    </cfRule>
  </conditionalFormatting>
  <conditionalFormatting sqref="Q7:R17 R18 Q19:R27">
    <cfRule type="endsWith" dxfId="39" priority="5" operator="endsWith" text=".">
      <formula>RIGHT(Q7,LEN("."))="."</formula>
    </cfRule>
    <cfRule type="endsWith" priority="6" operator="endsWith" text=".">
      <formula>RIGHT(Q7,LEN("."))="."</formula>
    </cfRule>
    <cfRule type="beginsWith" dxfId="38" priority="7" operator="beginsWith" text="APTO">
      <formula>LEFT(Q7,LEN("APTO"))="APTO"</formula>
    </cfRule>
  </conditionalFormatting>
  <dataValidations count="7">
    <dataValidation type="list" allowBlank="1" showInputMessage="1" showErrorMessage="1" prompt="3: Entrega conforme a lo pactado_x000a_2: Entrega tarde pero comunica_x000a_1: No cumple el plazo de entrega_x000a_---: No evaluado/No aplica/ No requiere" sqref="L7:L13 L15:L17 L19:L24" xr:uid="{00000000-0002-0000-0200-000000000000}">
      <formula1>"3,2,1,'---"</formula1>
    </dataValidation>
    <dataValidation type="list" allowBlank="1" showInputMessage="1" showErrorMessage="1" prompt="3. Asiste técnicamente, aserora _x000a_2. Asiste técnicamente por requerimiento_x000a_1. No brinda asistencia_x000a_'---: No evaluado/No aplica/ No requiere" sqref="M7:M13 M15:M17 M19:M24" xr:uid="{00000000-0002-0000-0200-000001000000}">
      <formula1>"3,2,1,'---"</formula1>
    </dataValidation>
    <dataValidation type="list" allowBlank="1" showInputMessage="1" showErrorMessage="1" prompt="3. Tiene menor precio que la competencia_x000a_2. Precio comparable_x000a_1. Mas caro que la competencia_x000a_---: No evaluado/No aplica/ No requiere" sqref="K7:K13 K15:K17 K19:K24" xr:uid="{00000000-0002-0000-0200-000002000000}">
      <formula1>"3,2,1,'---"</formula1>
    </dataValidation>
    <dataValidation allowBlank="1" showErrorMessage="1" prompt="3. Ofrece y brinda asistencia de forma expontanea_x000a_2. Brinda asistencia si se le requiere_x000a_1. No brinda asistencia" sqref="O7:O17 O19:O25" xr:uid="{00000000-0002-0000-0200-000003000000}"/>
    <dataValidation type="list" allowBlank="1" showInputMessage="1" showErrorMessage="1" prompt="3: Si_x000a_2: Generalmente_x000a_1: No_x000a_---: No evaluado/ No aplica/ No requiere" sqref="H7:H24 K14:N14 I14 J7:J24 I18 K18:Q18" xr:uid="{00000000-0002-0000-0200-000004000000}">
      <formula1>"3,2,1,'---"</formula1>
    </dataValidation>
    <dataValidation type="list" allowBlank="1" showInputMessage="1" showErrorMessage="1" prompt="3: Si_x000a_2: Cuando se solicita_x000a_1: No_x000a_---: No  requiere/No aplica/No evaluado" sqref="I7:I13 I15:I17 I19:I24" xr:uid="{00000000-0002-0000-0200-000005000000}">
      <formula1>"3,2,1,'---"</formula1>
    </dataValidation>
    <dataValidation type="list" allowBlank="1" showInputMessage="1" showErrorMessage="1" prompt="3:Tiene SGC Acreditado_x000a_2: Tiene un SGC_x000a_1: No tiene SGC_x000a_---: No Evaluado/No aplica/No requiere" sqref="N7:N13 N15:N17 N19:N24" xr:uid="{00000000-0002-0000-0200-000006000000}">
      <formula1>"3,2,1,'---"</formula1>
    </dataValidation>
  </dataValidations>
  <hyperlinks>
    <hyperlink ref="B15" location="IRAM!Área_de_impresión" display="IRAM" xr:uid="{00000000-0004-0000-0200-000000000000}"/>
    <hyperlink ref="F7" r:id="rId1" xr:uid="{00000000-0004-0000-0200-000001000000}"/>
    <hyperlink ref="F20" r:id="rId2" xr:uid="{00000000-0004-0000-0200-000002000000}"/>
    <hyperlink ref="T14" location="INTI!A1" display="Ver Evaluación" xr:uid="{00000000-0004-0000-0200-000003000000}"/>
    <hyperlink ref="T15" location="IRAM!A1" display="Ver Evaluación" xr:uid="{00000000-0004-0000-0200-000004000000}"/>
    <hyperlink ref="F22" r:id="rId3" xr:uid="{00000000-0004-0000-0200-000005000000}"/>
    <hyperlink ref="F12" r:id="rId4" xr:uid="{00000000-0004-0000-0200-000006000000}"/>
    <hyperlink ref="T10" location="'Evaluación FQA'!A1" display="Ver Evaluación" xr:uid="{00000000-0004-0000-0200-000007000000}"/>
    <hyperlink ref="F10" r:id="rId5" xr:uid="{00000000-0004-0000-0200-000008000000}"/>
    <hyperlink ref="F18" r:id="rId6" xr:uid="{00000000-0004-0000-0200-000009000000}"/>
    <hyperlink ref="F8" r:id="rId7" xr:uid="{00000000-0004-0000-0200-00000A000000}"/>
    <hyperlink ref="F17" r:id="rId8" xr:uid="{00000000-0004-0000-0200-00000B000000}"/>
    <hyperlink ref="F19" r:id="rId9" xr:uid="{00000000-0004-0000-0200-00000C000000}"/>
    <hyperlink ref="F23" r:id="rId10" xr:uid="{00000000-0004-0000-0200-00000D000000}"/>
    <hyperlink ref="F25" r:id="rId11" xr:uid="{00000000-0004-0000-0200-00000E000000}"/>
  </hyperlinks>
  <printOptions horizontalCentered="1"/>
  <pageMargins left="0.19685039370078741" right="0.19685039370078741" top="0.19685039370078741" bottom="0.27559055118110237" header="0" footer="0"/>
  <pageSetup paperSize="9" scale="29" orientation="landscape" r:id="rId12"/>
  <headerFooter alignWithMargins="0">
    <oddFooter>&amp;L&amp;8Rev: 0
Emisión: 05/02/18&amp;C&amp;8Prepara: F. Perazzo
Revisa y Aprueba: R. Clausen&amp;R&amp;8&amp;Pde&amp;N</oddFooter>
  </headerFooter>
  <rowBreaks count="1" manualBreakCount="1">
    <brk id="35" max="15" man="1"/>
  </rowBreaks>
  <drawing r:id="rId13"/>
  <legacyDrawing r:id="rId1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W51"/>
  <sheetViews>
    <sheetView workbookViewId="0"/>
  </sheetViews>
  <sheetFormatPr baseColWidth="10" defaultRowHeight="15" outlineLevelCol="1" x14ac:dyDescent="0.2"/>
  <cols>
    <col min="1" max="1" width="4" style="311" bestFit="1" customWidth="1"/>
    <col min="2" max="2" width="32.5703125" style="311" customWidth="1"/>
    <col min="3" max="3" width="35.7109375" style="311" customWidth="1"/>
    <col min="4" max="4" width="17.42578125" style="311" customWidth="1" outlineLevel="1"/>
    <col min="5" max="5" width="21" style="311" customWidth="1" outlineLevel="1"/>
    <col min="6" max="6" width="46.140625" style="311" customWidth="1" outlineLevel="1"/>
    <col min="7" max="7" width="14" style="28" customWidth="1"/>
    <col min="8" max="8" width="27.85546875" style="311" customWidth="1" outlineLevel="1"/>
    <col min="9" max="9" width="15.28515625" style="311" customWidth="1" outlineLevel="1"/>
    <col min="10" max="10" width="23.28515625" style="311" customWidth="1" outlineLevel="1"/>
    <col min="11" max="11" width="10.140625" style="311" customWidth="1" outlineLevel="1"/>
    <col min="12" max="12" width="30.85546875" style="311" customWidth="1" outlineLevel="1"/>
    <col min="13" max="13" width="13" style="311" customWidth="1" outlineLevel="1"/>
    <col min="14" max="14" width="17.5703125" style="311" customWidth="1" outlineLevel="1"/>
    <col min="15" max="15" width="19.85546875" style="311" customWidth="1" outlineLevel="1"/>
    <col min="16" max="16" width="11.5703125" style="311" customWidth="1" outlineLevel="1"/>
    <col min="17" max="17" width="15.5703125" style="311" customWidth="1"/>
    <col min="18" max="18" width="11.7109375" style="311" customWidth="1"/>
    <col min="19" max="19" width="38.42578125" style="311" customWidth="1"/>
    <col min="20" max="20" width="32.85546875" style="311" customWidth="1"/>
    <col min="21" max="21" width="13.85546875" style="311" customWidth="1"/>
    <col min="22" max="22" width="14.85546875" style="311" customWidth="1"/>
    <col min="23" max="23" width="51.42578125" style="311" customWidth="1"/>
    <col min="24" max="16384" width="11.42578125" style="311"/>
  </cols>
  <sheetData>
    <row r="1" spans="1:23" ht="30.75" customHeight="1" x14ac:dyDescent="0.2">
      <c r="C1" s="722" t="s">
        <v>2323</v>
      </c>
      <c r="D1" s="722"/>
      <c r="E1" s="722"/>
      <c r="F1" s="722"/>
      <c r="G1" s="722"/>
      <c r="H1" s="722"/>
      <c r="I1" s="722"/>
      <c r="J1" s="722"/>
      <c r="K1" s="722"/>
      <c r="L1" s="722"/>
      <c r="M1" s="722"/>
      <c r="N1" s="722"/>
      <c r="O1" s="722"/>
      <c r="P1" s="722"/>
      <c r="Q1" s="722"/>
      <c r="R1" s="722"/>
      <c r="S1" s="722"/>
      <c r="V1" s="319" t="s">
        <v>1592</v>
      </c>
      <c r="W1" s="312" t="s">
        <v>1593</v>
      </c>
    </row>
    <row r="2" spans="1:23" ht="60" x14ac:dyDescent="0.2">
      <c r="C2" s="723" t="s">
        <v>1614</v>
      </c>
      <c r="D2" s="723"/>
      <c r="E2" s="723"/>
      <c r="F2" s="723"/>
      <c r="G2" s="723"/>
      <c r="H2" s="723"/>
      <c r="I2" s="723"/>
      <c r="J2" s="723"/>
      <c r="K2" s="723"/>
      <c r="L2" s="723"/>
      <c r="M2" s="723"/>
      <c r="N2" s="723"/>
      <c r="O2" s="723"/>
      <c r="P2" s="723"/>
      <c r="Q2" s="723"/>
      <c r="R2" s="723"/>
      <c r="S2" s="723"/>
      <c r="T2" s="327"/>
      <c r="U2" s="327"/>
      <c r="V2" s="319" t="s">
        <v>1653</v>
      </c>
      <c r="W2" s="312" t="s">
        <v>1595</v>
      </c>
    </row>
    <row r="3" spans="1:23" ht="22.5" customHeight="1" thickBot="1" x14ac:dyDescent="0.25">
      <c r="I3" s="724" t="s">
        <v>1617</v>
      </c>
      <c r="J3" s="724"/>
      <c r="K3" s="724"/>
      <c r="L3" s="724"/>
      <c r="M3" s="724"/>
      <c r="N3" s="724"/>
      <c r="P3" s="725" t="s">
        <v>1615</v>
      </c>
      <c r="Q3" s="725"/>
      <c r="R3" s="318"/>
      <c r="S3" s="318">
        <f>+MAX(R7:R50)</f>
        <v>44011</v>
      </c>
      <c r="V3" s="319" t="s">
        <v>1613</v>
      </c>
      <c r="W3" s="312" t="s">
        <v>1596</v>
      </c>
    </row>
    <row r="4" spans="1:23" ht="22.5" customHeight="1" thickBot="1" x14ac:dyDescent="0.25">
      <c r="D4" s="726" t="s">
        <v>1654</v>
      </c>
      <c r="E4" s="727"/>
      <c r="F4" s="728"/>
      <c r="P4" s="729" t="s">
        <v>1616</v>
      </c>
      <c r="Q4" s="729"/>
      <c r="R4" s="318"/>
      <c r="S4" s="328" t="s">
        <v>486</v>
      </c>
    </row>
    <row r="5" spans="1:23" ht="15" customHeight="1" x14ac:dyDescent="0.2"/>
    <row r="6" spans="1:23" ht="82.5" customHeight="1" x14ac:dyDescent="0.2">
      <c r="A6" s="305"/>
      <c r="B6" s="306" t="s">
        <v>451</v>
      </c>
      <c r="C6" s="659"/>
      <c r="D6" s="307" t="s">
        <v>1655</v>
      </c>
      <c r="E6" s="307" t="s">
        <v>1656</v>
      </c>
      <c r="F6" s="307" t="s">
        <v>503</v>
      </c>
      <c r="G6" s="32" t="s">
        <v>1584</v>
      </c>
      <c r="H6" s="307" t="s">
        <v>2408</v>
      </c>
      <c r="I6" s="307" t="s">
        <v>1585</v>
      </c>
      <c r="J6" s="307" t="s">
        <v>2407</v>
      </c>
      <c r="K6" s="307" t="s">
        <v>1586</v>
      </c>
      <c r="L6" s="307" t="s">
        <v>1587</v>
      </c>
      <c r="M6" s="308" t="s">
        <v>1588</v>
      </c>
      <c r="N6" s="308" t="s">
        <v>2409</v>
      </c>
      <c r="O6" s="307" t="s">
        <v>1589</v>
      </c>
      <c r="P6" s="307" t="s">
        <v>1590</v>
      </c>
      <c r="Q6" s="309" t="s">
        <v>510</v>
      </c>
      <c r="R6" s="309" t="s">
        <v>511</v>
      </c>
      <c r="S6" s="310" t="s">
        <v>1591</v>
      </c>
      <c r="T6" s="320" t="s">
        <v>1641</v>
      </c>
      <c r="U6" s="264" t="s">
        <v>1639</v>
      </c>
    </row>
    <row r="7" spans="1:23" ht="89.25" customHeight="1" x14ac:dyDescent="0.2">
      <c r="A7" s="265">
        <v>1</v>
      </c>
      <c r="B7" s="602" t="s">
        <v>1594</v>
      </c>
      <c r="C7" s="264"/>
      <c r="D7" s="264"/>
      <c r="E7" s="264"/>
      <c r="F7" s="264"/>
      <c r="G7" s="323" t="s">
        <v>1645</v>
      </c>
      <c r="H7" s="660">
        <v>2</v>
      </c>
      <c r="I7" s="660">
        <v>1</v>
      </c>
      <c r="J7" s="660">
        <v>3</v>
      </c>
      <c r="K7" s="660">
        <v>3</v>
      </c>
      <c r="L7" s="661">
        <v>1</v>
      </c>
      <c r="M7" s="660">
        <v>2</v>
      </c>
      <c r="N7" s="662" t="s">
        <v>143</v>
      </c>
      <c r="O7" s="661">
        <f t="shared" ref="O7:O20" si="0">IF(COUNTIF($H7:$N7,"---")=7,"no evaluado/no requiere",IF(COUNTA($H$6:$N$6)=COUNTA($H7:$N7),COUNTA($H7:$N7)*3,"Falta completar"))</f>
        <v>21</v>
      </c>
      <c r="P7" s="663">
        <f>IFERROR(IF(O6=0,"No evaluado",+SUM(H7:N7)/O7),"-")</f>
        <v>0.5714285714285714</v>
      </c>
      <c r="Q7" s="661" t="str">
        <f t="shared" ref="Q7:Q51" si="1">IF(O7="no evaluado/no requiere","No evaluado",+IF(P7&gt;70%,"Apto",(+IF(P7&lt;50%,"No Apto.","Aprobado con seguimiento"))))</f>
        <v>Aprobado con seguimiento</v>
      </c>
      <c r="R7" s="664">
        <v>43906</v>
      </c>
      <c r="S7" s="264" t="str">
        <f t="shared" ref="S7:S51" si="2">VLOOKUP(Q7,$V$1:$W$50,2,FALSE)</f>
        <v>Se evaluarán disposición de insumos y, se tratará con el proveedor para llegar a un acuerdo, de lo contrario se busca otro proveedor.</v>
      </c>
      <c r="T7" s="264" t="s">
        <v>2324</v>
      </c>
      <c r="U7" s="264" t="s">
        <v>1648</v>
      </c>
    </row>
    <row r="8" spans="1:23" ht="15.75" customHeight="1" x14ac:dyDescent="0.2">
      <c r="A8" s="265">
        <v>2</v>
      </c>
      <c r="B8" s="602" t="s">
        <v>39</v>
      </c>
      <c r="C8" s="264" t="s">
        <v>1647</v>
      </c>
      <c r="D8" s="36" t="s">
        <v>512</v>
      </c>
      <c r="E8" s="36" t="s">
        <v>515</v>
      </c>
      <c r="F8" s="293" t="s">
        <v>513</v>
      </c>
      <c r="G8" s="323" t="s">
        <v>518</v>
      </c>
      <c r="H8" s="662" t="s">
        <v>143</v>
      </c>
      <c r="I8" s="662" t="s">
        <v>143</v>
      </c>
      <c r="J8" s="662" t="s">
        <v>143</v>
      </c>
      <c r="K8" s="662" t="s">
        <v>143</v>
      </c>
      <c r="L8" s="665" t="s">
        <v>143</v>
      </c>
      <c r="M8" s="662" t="s">
        <v>143</v>
      </c>
      <c r="N8" s="662" t="s">
        <v>143</v>
      </c>
      <c r="O8" s="661" t="str">
        <f t="shared" si="0"/>
        <v>no evaluado/no requiere</v>
      </c>
      <c r="P8" s="663" t="str">
        <f>IFERROR(IF(#REF!=0,"No evaluado",+SUM(H8:N8)/O8),"-")</f>
        <v>-</v>
      </c>
      <c r="Q8" s="661" t="str">
        <f t="shared" si="1"/>
        <v>No evaluado</v>
      </c>
      <c r="R8" s="664">
        <v>43564</v>
      </c>
      <c r="S8" s="264" t="e">
        <f t="shared" si="2"/>
        <v>#N/A</v>
      </c>
      <c r="T8" s="442" t="s">
        <v>143</v>
      </c>
      <c r="U8" s="442" t="s">
        <v>520</v>
      </c>
    </row>
    <row r="9" spans="1:23" s="598" customFormat="1" ht="42.75" customHeight="1" x14ac:dyDescent="0.2">
      <c r="A9" s="265">
        <v>3</v>
      </c>
      <c r="B9" s="602" t="s">
        <v>41</v>
      </c>
      <c r="C9" s="264" t="s">
        <v>534</v>
      </c>
      <c r="D9" s="599" t="s">
        <v>530</v>
      </c>
      <c r="E9" s="599" t="s">
        <v>533</v>
      </c>
      <c r="F9" s="293" t="s">
        <v>531</v>
      </c>
      <c r="G9" s="323" t="s">
        <v>1645</v>
      </c>
      <c r="H9" s="662">
        <v>3</v>
      </c>
      <c r="I9" s="660">
        <v>2</v>
      </c>
      <c r="J9" s="660">
        <v>2</v>
      </c>
      <c r="K9" s="660">
        <v>2</v>
      </c>
      <c r="L9" s="661">
        <v>2</v>
      </c>
      <c r="M9" s="660">
        <v>3</v>
      </c>
      <c r="N9" s="662" t="s">
        <v>143</v>
      </c>
      <c r="O9" s="661">
        <f t="shared" si="0"/>
        <v>21</v>
      </c>
      <c r="P9" s="663">
        <f t="shared" ref="P9:P19" si="3">IFERROR(IF(O8=0,"No evaluado",+SUM(H9:N9)/O9),"-")</f>
        <v>0.66666666666666663</v>
      </c>
      <c r="Q9" s="661" t="str">
        <f t="shared" si="1"/>
        <v>Aprobado con seguimiento</v>
      </c>
      <c r="R9" s="664">
        <v>43906</v>
      </c>
      <c r="S9" s="264" t="str">
        <f t="shared" si="2"/>
        <v>Se evaluarán disposición de insumos y, se tratará con el proveedor para llegar a un acuerdo, de lo contrario se busca otro proveedor.</v>
      </c>
      <c r="T9" s="442" t="s">
        <v>143</v>
      </c>
      <c r="U9" s="264" t="s">
        <v>2156</v>
      </c>
      <c r="V9" s="311"/>
      <c r="W9" s="311"/>
    </row>
    <row r="10" spans="1:23" s="598" customFormat="1" ht="14.25" customHeight="1" x14ac:dyDescent="0.2">
      <c r="A10" s="265">
        <v>4</v>
      </c>
      <c r="B10" s="602" t="s">
        <v>42</v>
      </c>
      <c r="C10" s="264" t="s">
        <v>538</v>
      </c>
      <c r="D10" s="36" t="s">
        <v>535</v>
      </c>
      <c r="E10" s="36" t="s">
        <v>537</v>
      </c>
      <c r="F10" s="294" t="s">
        <v>143</v>
      </c>
      <c r="G10" s="324" t="s">
        <v>518</v>
      </c>
      <c r="H10" s="662" t="s">
        <v>143</v>
      </c>
      <c r="I10" s="662" t="s">
        <v>143</v>
      </c>
      <c r="J10" s="662" t="s">
        <v>143</v>
      </c>
      <c r="K10" s="662" t="s">
        <v>143</v>
      </c>
      <c r="L10" s="665" t="s">
        <v>143</v>
      </c>
      <c r="M10" s="662" t="s">
        <v>143</v>
      </c>
      <c r="N10" s="662" t="s">
        <v>143</v>
      </c>
      <c r="O10" s="661" t="str">
        <f t="shared" si="0"/>
        <v>no evaluado/no requiere</v>
      </c>
      <c r="P10" s="663" t="str">
        <f t="shared" si="3"/>
        <v>-</v>
      </c>
      <c r="Q10" s="661" t="str">
        <f t="shared" si="1"/>
        <v>No evaluado</v>
      </c>
      <c r="R10" s="664">
        <v>43564</v>
      </c>
      <c r="S10" s="264" t="e">
        <f t="shared" si="2"/>
        <v>#N/A</v>
      </c>
      <c r="T10" s="264" t="s">
        <v>2324</v>
      </c>
      <c r="U10" s="442" t="s">
        <v>2156</v>
      </c>
    </row>
    <row r="11" spans="1:23" ht="51.75" customHeight="1" x14ac:dyDescent="0.2">
      <c r="A11" s="265">
        <v>5</v>
      </c>
      <c r="B11" s="603" t="s">
        <v>540</v>
      </c>
      <c r="C11" s="264" t="s">
        <v>1652</v>
      </c>
      <c r="D11" s="36"/>
      <c r="E11" s="36" t="s">
        <v>543</v>
      </c>
      <c r="F11" s="295" t="s">
        <v>541</v>
      </c>
      <c r="G11" s="323" t="s">
        <v>1645</v>
      </c>
      <c r="H11" s="662">
        <v>3</v>
      </c>
      <c r="I11" s="660">
        <v>2</v>
      </c>
      <c r="J11" s="660">
        <v>3</v>
      </c>
      <c r="K11" s="660">
        <v>2</v>
      </c>
      <c r="L11" s="661">
        <v>3</v>
      </c>
      <c r="M11" s="660">
        <v>1</v>
      </c>
      <c r="N11" s="662" t="s">
        <v>143</v>
      </c>
      <c r="O11" s="661">
        <f t="shared" si="0"/>
        <v>21</v>
      </c>
      <c r="P11" s="663">
        <f t="shared" si="3"/>
        <v>0.66666666666666663</v>
      </c>
      <c r="Q11" s="661" t="str">
        <f t="shared" si="1"/>
        <v>Aprobado con seguimiento</v>
      </c>
      <c r="R11" s="664">
        <v>43906</v>
      </c>
      <c r="S11" s="264" t="str">
        <f t="shared" si="2"/>
        <v>Se evaluarán disposición de insumos y, se tratará con el proveedor para llegar a un acuerdo, de lo contrario se busca otro proveedor.</v>
      </c>
      <c r="T11" s="264" t="s">
        <v>2525</v>
      </c>
      <c r="U11" s="264" t="s">
        <v>2156</v>
      </c>
    </row>
    <row r="12" spans="1:23" ht="77.25" customHeight="1" x14ac:dyDescent="0.2">
      <c r="A12" s="265">
        <v>6</v>
      </c>
      <c r="B12" s="604" t="s">
        <v>545</v>
      </c>
      <c r="C12" s="316" t="s">
        <v>550</v>
      </c>
      <c r="D12" s="36" t="s">
        <v>546</v>
      </c>
      <c r="E12" s="36" t="s">
        <v>549</v>
      </c>
      <c r="F12" s="296" t="s">
        <v>547</v>
      </c>
      <c r="G12" s="323" t="s">
        <v>518</v>
      </c>
      <c r="H12" s="662" t="s">
        <v>143</v>
      </c>
      <c r="I12" s="662" t="s">
        <v>143</v>
      </c>
      <c r="J12" s="662" t="s">
        <v>143</v>
      </c>
      <c r="K12" s="662" t="s">
        <v>143</v>
      </c>
      <c r="L12" s="665" t="s">
        <v>143</v>
      </c>
      <c r="M12" s="662" t="s">
        <v>143</v>
      </c>
      <c r="N12" s="662" t="s">
        <v>143</v>
      </c>
      <c r="O12" s="661" t="str">
        <f t="shared" si="0"/>
        <v>no evaluado/no requiere</v>
      </c>
      <c r="P12" s="663" t="str">
        <f t="shared" si="3"/>
        <v>-</v>
      </c>
      <c r="Q12" s="661" t="str">
        <f t="shared" si="1"/>
        <v>No evaluado</v>
      </c>
      <c r="R12" s="664">
        <v>43564</v>
      </c>
      <c r="S12" s="264" t="e">
        <f t="shared" si="2"/>
        <v>#N/A</v>
      </c>
      <c r="T12" s="264" t="s">
        <v>2526</v>
      </c>
      <c r="U12" s="264" t="s">
        <v>2156</v>
      </c>
    </row>
    <row r="13" spans="1:23" ht="36" x14ac:dyDescent="0.2">
      <c r="A13" s="265">
        <v>7</v>
      </c>
      <c r="B13" s="602" t="s">
        <v>1598</v>
      </c>
      <c r="C13" s="264" t="s">
        <v>1647</v>
      </c>
      <c r="D13" s="264"/>
      <c r="E13" s="264"/>
      <c r="F13" s="264"/>
      <c r="G13" s="323" t="s">
        <v>518</v>
      </c>
      <c r="H13" s="662" t="s">
        <v>143</v>
      </c>
      <c r="I13" s="662" t="s">
        <v>143</v>
      </c>
      <c r="J13" s="662" t="s">
        <v>143</v>
      </c>
      <c r="K13" s="662" t="s">
        <v>143</v>
      </c>
      <c r="L13" s="665" t="s">
        <v>143</v>
      </c>
      <c r="M13" s="662" t="s">
        <v>143</v>
      </c>
      <c r="N13" s="662" t="s">
        <v>143</v>
      </c>
      <c r="O13" s="661" t="str">
        <f t="shared" si="0"/>
        <v>no evaluado/no requiere</v>
      </c>
      <c r="P13" s="663" t="str">
        <f t="shared" si="3"/>
        <v>-</v>
      </c>
      <c r="Q13" s="661" t="str">
        <f t="shared" si="1"/>
        <v>No evaluado</v>
      </c>
      <c r="R13" s="664">
        <v>43564</v>
      </c>
      <c r="S13" s="264" t="e">
        <f t="shared" si="2"/>
        <v>#N/A</v>
      </c>
      <c r="T13" s="442" t="s">
        <v>520</v>
      </c>
      <c r="U13" s="442" t="s">
        <v>2156</v>
      </c>
    </row>
    <row r="14" spans="1:23" ht="28.5" customHeight="1" x14ac:dyDescent="0.2">
      <c r="A14" s="265">
        <v>8</v>
      </c>
      <c r="B14" s="604" t="s">
        <v>43</v>
      </c>
      <c r="C14" s="316" t="s">
        <v>556</v>
      </c>
      <c r="D14" s="36" t="s">
        <v>554</v>
      </c>
      <c r="E14" s="36" t="s">
        <v>555</v>
      </c>
      <c r="F14" s="297" t="s">
        <v>143</v>
      </c>
      <c r="G14" s="323" t="s">
        <v>518</v>
      </c>
      <c r="H14" s="662" t="s">
        <v>143</v>
      </c>
      <c r="I14" s="662" t="s">
        <v>143</v>
      </c>
      <c r="J14" s="662" t="s">
        <v>143</v>
      </c>
      <c r="K14" s="662" t="s">
        <v>143</v>
      </c>
      <c r="L14" s="665" t="s">
        <v>143</v>
      </c>
      <c r="M14" s="662" t="s">
        <v>143</v>
      </c>
      <c r="N14" s="662" t="s">
        <v>143</v>
      </c>
      <c r="O14" s="661" t="str">
        <f t="shared" si="0"/>
        <v>no evaluado/no requiere</v>
      </c>
      <c r="P14" s="663" t="str">
        <f t="shared" si="3"/>
        <v>-</v>
      </c>
      <c r="Q14" s="661" t="str">
        <f t="shared" si="1"/>
        <v>No evaluado</v>
      </c>
      <c r="R14" s="664">
        <v>43564</v>
      </c>
      <c r="S14" s="264" t="e">
        <f t="shared" si="2"/>
        <v>#N/A</v>
      </c>
      <c r="T14" s="442" t="s">
        <v>520</v>
      </c>
      <c r="U14" s="442" t="s">
        <v>520</v>
      </c>
    </row>
    <row r="15" spans="1:23" ht="44.25" customHeight="1" x14ac:dyDescent="0.2">
      <c r="A15" s="265">
        <v>9</v>
      </c>
      <c r="B15" s="604" t="s">
        <v>559</v>
      </c>
      <c r="C15" s="264" t="s">
        <v>564</v>
      </c>
      <c r="D15" s="36" t="s">
        <v>560</v>
      </c>
      <c r="E15" s="298" t="s">
        <v>563</v>
      </c>
      <c r="F15" s="293" t="s">
        <v>561</v>
      </c>
      <c r="G15" s="323" t="s">
        <v>518</v>
      </c>
      <c r="H15" s="662" t="s">
        <v>143</v>
      </c>
      <c r="I15" s="662" t="s">
        <v>143</v>
      </c>
      <c r="J15" s="662" t="s">
        <v>143</v>
      </c>
      <c r="K15" s="662" t="s">
        <v>143</v>
      </c>
      <c r="L15" s="665" t="s">
        <v>143</v>
      </c>
      <c r="M15" s="662" t="s">
        <v>143</v>
      </c>
      <c r="N15" s="662" t="s">
        <v>143</v>
      </c>
      <c r="O15" s="661" t="str">
        <f t="shared" si="0"/>
        <v>no evaluado/no requiere</v>
      </c>
      <c r="P15" s="663" t="str">
        <f t="shared" si="3"/>
        <v>-</v>
      </c>
      <c r="Q15" s="661" t="str">
        <f t="shared" si="1"/>
        <v>No evaluado</v>
      </c>
      <c r="R15" s="664">
        <v>43564</v>
      </c>
      <c r="S15" s="264" t="e">
        <f t="shared" si="2"/>
        <v>#N/A</v>
      </c>
      <c r="T15" s="442" t="s">
        <v>2527</v>
      </c>
      <c r="U15" s="442" t="s">
        <v>2156</v>
      </c>
    </row>
    <row r="16" spans="1:23" ht="24.95" customHeight="1" x14ac:dyDescent="0.2">
      <c r="A16" s="265">
        <v>10</v>
      </c>
      <c r="B16" s="604" t="s">
        <v>566</v>
      </c>
      <c r="C16" s="316" t="s">
        <v>570</v>
      </c>
      <c r="D16" s="36"/>
      <c r="E16" s="36" t="s">
        <v>569</v>
      </c>
      <c r="F16" s="293" t="s">
        <v>567</v>
      </c>
      <c r="G16" s="323" t="s">
        <v>518</v>
      </c>
      <c r="H16" s="662" t="s">
        <v>143</v>
      </c>
      <c r="I16" s="662" t="s">
        <v>143</v>
      </c>
      <c r="J16" s="662" t="s">
        <v>143</v>
      </c>
      <c r="K16" s="662" t="s">
        <v>143</v>
      </c>
      <c r="L16" s="665" t="s">
        <v>143</v>
      </c>
      <c r="M16" s="662" t="s">
        <v>143</v>
      </c>
      <c r="N16" s="662" t="s">
        <v>143</v>
      </c>
      <c r="O16" s="661" t="str">
        <f t="shared" si="0"/>
        <v>no evaluado/no requiere</v>
      </c>
      <c r="P16" s="663" t="str">
        <f t="shared" si="3"/>
        <v>-</v>
      </c>
      <c r="Q16" s="661" t="str">
        <f t="shared" si="1"/>
        <v>No evaluado</v>
      </c>
      <c r="R16" s="664">
        <v>43564</v>
      </c>
      <c r="S16" s="264" t="e">
        <f t="shared" si="2"/>
        <v>#N/A</v>
      </c>
      <c r="T16" s="442" t="s">
        <v>2526</v>
      </c>
      <c r="U16" s="442" t="s">
        <v>2156</v>
      </c>
    </row>
    <row r="17" spans="1:21" ht="24.95" customHeight="1" x14ac:dyDescent="0.2">
      <c r="A17" s="265">
        <v>11</v>
      </c>
      <c r="B17" s="602" t="s">
        <v>571</v>
      </c>
      <c r="C17" s="264" t="s">
        <v>576</v>
      </c>
      <c r="D17" s="36" t="s">
        <v>2319</v>
      </c>
      <c r="E17" s="36" t="s">
        <v>575</v>
      </c>
      <c r="F17" s="295" t="s">
        <v>2318</v>
      </c>
      <c r="G17" s="323" t="s">
        <v>1645</v>
      </c>
      <c r="H17" s="662">
        <v>3</v>
      </c>
      <c r="I17" s="660">
        <v>3</v>
      </c>
      <c r="J17" s="660">
        <v>3</v>
      </c>
      <c r="K17" s="660">
        <v>3</v>
      </c>
      <c r="L17" s="661">
        <v>3</v>
      </c>
      <c r="M17" s="660">
        <v>3</v>
      </c>
      <c r="N17" s="660">
        <v>2</v>
      </c>
      <c r="O17" s="661">
        <f t="shared" si="0"/>
        <v>21</v>
      </c>
      <c r="P17" s="663">
        <f t="shared" si="3"/>
        <v>0.95238095238095233</v>
      </c>
      <c r="Q17" s="661" t="str">
        <f t="shared" si="1"/>
        <v>Apto</v>
      </c>
      <c r="R17" s="664">
        <v>43906</v>
      </c>
      <c r="S17" s="264" t="str">
        <f t="shared" si="2"/>
        <v>Se continúa contratando sus servicios.</v>
      </c>
      <c r="T17" s="442" t="s">
        <v>520</v>
      </c>
      <c r="U17" s="264" t="s">
        <v>1648</v>
      </c>
    </row>
    <row r="18" spans="1:21" ht="24.95" customHeight="1" x14ac:dyDescent="0.2">
      <c r="A18" s="265">
        <v>12</v>
      </c>
      <c r="B18" s="602" t="s">
        <v>577</v>
      </c>
      <c r="C18" s="264" t="s">
        <v>582</v>
      </c>
      <c r="D18" s="36" t="s">
        <v>578</v>
      </c>
      <c r="E18" s="36" t="s">
        <v>581</v>
      </c>
      <c r="F18" s="295" t="s">
        <v>579</v>
      </c>
      <c r="G18" s="323" t="s">
        <v>518</v>
      </c>
      <c r="H18" s="662" t="s">
        <v>143</v>
      </c>
      <c r="I18" s="662" t="s">
        <v>143</v>
      </c>
      <c r="J18" s="662" t="s">
        <v>143</v>
      </c>
      <c r="K18" s="662" t="s">
        <v>143</v>
      </c>
      <c r="L18" s="665" t="s">
        <v>143</v>
      </c>
      <c r="M18" s="662" t="s">
        <v>143</v>
      </c>
      <c r="N18" s="662" t="s">
        <v>143</v>
      </c>
      <c r="O18" s="661" t="str">
        <f t="shared" si="0"/>
        <v>no evaluado/no requiere</v>
      </c>
      <c r="P18" s="663" t="str">
        <f t="shared" si="3"/>
        <v>-</v>
      </c>
      <c r="Q18" s="661" t="str">
        <f t="shared" si="1"/>
        <v>No evaluado</v>
      </c>
      <c r="R18" s="664">
        <v>43564</v>
      </c>
      <c r="S18" s="264" t="e">
        <f t="shared" si="2"/>
        <v>#N/A</v>
      </c>
      <c r="T18" s="442" t="s">
        <v>2528</v>
      </c>
      <c r="U18" s="264" t="s">
        <v>2156</v>
      </c>
    </row>
    <row r="19" spans="1:21" ht="30" x14ac:dyDescent="0.2">
      <c r="A19" s="265">
        <v>13</v>
      </c>
      <c r="B19" s="602" t="s">
        <v>1599</v>
      </c>
      <c r="C19" s="264" t="s">
        <v>582</v>
      </c>
      <c r="D19" s="264"/>
      <c r="E19" s="264"/>
      <c r="F19" s="264"/>
      <c r="G19" s="324" t="s">
        <v>2529</v>
      </c>
      <c r="H19" s="662">
        <v>3</v>
      </c>
      <c r="I19" s="660">
        <v>3</v>
      </c>
      <c r="J19" s="660">
        <v>3</v>
      </c>
      <c r="K19" s="660">
        <v>3</v>
      </c>
      <c r="L19" s="661">
        <v>3</v>
      </c>
      <c r="M19" s="660">
        <v>3</v>
      </c>
      <c r="N19" s="662" t="s">
        <v>143</v>
      </c>
      <c r="O19" s="661">
        <f t="shared" si="0"/>
        <v>21</v>
      </c>
      <c r="P19" s="663">
        <f t="shared" si="3"/>
        <v>0.8571428571428571</v>
      </c>
      <c r="Q19" s="661" t="str">
        <f t="shared" si="1"/>
        <v>Apto</v>
      </c>
      <c r="R19" s="664">
        <v>43906</v>
      </c>
      <c r="S19" s="264" t="str">
        <f t="shared" si="2"/>
        <v>Se continúa contratando sus servicios.</v>
      </c>
      <c r="T19" s="442" t="s">
        <v>2530</v>
      </c>
      <c r="U19" s="264" t="s">
        <v>1648</v>
      </c>
    </row>
    <row r="20" spans="1:21" ht="31.5" x14ac:dyDescent="0.2">
      <c r="A20" s="265">
        <v>14</v>
      </c>
      <c r="B20" s="602" t="s">
        <v>1600</v>
      </c>
      <c r="C20" s="264"/>
      <c r="D20" s="264"/>
      <c r="E20" s="264"/>
      <c r="F20" s="264"/>
      <c r="G20" s="323" t="s">
        <v>1644</v>
      </c>
      <c r="H20" s="662" t="s">
        <v>143</v>
      </c>
      <c r="I20" s="662" t="s">
        <v>143</v>
      </c>
      <c r="J20" s="662" t="s">
        <v>143</v>
      </c>
      <c r="K20" s="662" t="s">
        <v>143</v>
      </c>
      <c r="L20" s="665" t="s">
        <v>143</v>
      </c>
      <c r="M20" s="662" t="s">
        <v>143</v>
      </c>
      <c r="N20" s="662" t="s">
        <v>143</v>
      </c>
      <c r="O20" s="661" t="str">
        <f t="shared" si="0"/>
        <v>no evaluado/no requiere</v>
      </c>
      <c r="P20" s="663" t="str">
        <f>IFERROR(IF(O20=0,"No evaluado",+SUM(H20:N20)/O20),"-")</f>
        <v>-</v>
      </c>
      <c r="Q20" s="661" t="str">
        <f t="shared" si="1"/>
        <v>No evaluado</v>
      </c>
      <c r="R20" s="664">
        <v>43906</v>
      </c>
      <c r="S20" s="264" t="e">
        <f t="shared" si="2"/>
        <v>#N/A</v>
      </c>
      <c r="T20" s="442"/>
      <c r="U20" s="264" t="s">
        <v>1648</v>
      </c>
    </row>
    <row r="21" spans="1:21" ht="66" customHeight="1" x14ac:dyDescent="0.2">
      <c r="A21" s="265">
        <v>15</v>
      </c>
      <c r="B21" s="602" t="s">
        <v>2403</v>
      </c>
      <c r="C21" s="264" t="s">
        <v>1253</v>
      </c>
      <c r="D21" s="264" t="s">
        <v>2404</v>
      </c>
      <c r="E21" s="264" t="s">
        <v>2405</v>
      </c>
      <c r="F21" s="61" t="s">
        <v>2406</v>
      </c>
      <c r="G21" s="324" t="s">
        <v>1644</v>
      </c>
      <c r="H21" s="662">
        <v>3</v>
      </c>
      <c r="I21" s="662">
        <v>1</v>
      </c>
      <c r="J21" s="662">
        <v>2</v>
      </c>
      <c r="K21" s="662">
        <v>2</v>
      </c>
      <c r="L21" s="665">
        <v>3</v>
      </c>
      <c r="M21" s="662">
        <v>3</v>
      </c>
      <c r="N21" s="662">
        <v>1</v>
      </c>
      <c r="O21" s="661">
        <f>IF(COUNTIF($H21:$N21,"---")=7,"no evaluado/no requiere",IF(COUNTA('[1]Servicios 2020'!$H$6:$N$6)=COUNTA($H21:$N21),COUNTA($H21:$N21)*3,"Falta completar"))</f>
        <v>21</v>
      </c>
      <c r="P21" s="663" t="str">
        <f>IFERROR(IF(#REF!=0,"No evaluado",+SUM(H21:N21)/O21),"-")</f>
        <v>-</v>
      </c>
      <c r="Q21" s="661" t="str">
        <f t="shared" si="1"/>
        <v>Apto</v>
      </c>
      <c r="R21" s="664">
        <v>43906</v>
      </c>
      <c r="S21" s="264" t="str">
        <f t="shared" si="2"/>
        <v>Se continúa contratando sus servicios.</v>
      </c>
      <c r="T21" s="442"/>
      <c r="U21" s="264" t="s">
        <v>1648</v>
      </c>
    </row>
    <row r="22" spans="1:21" s="317" customFormat="1" ht="33.75" customHeight="1" x14ac:dyDescent="0.2">
      <c r="A22" s="265">
        <v>16</v>
      </c>
      <c r="B22" s="602" t="s">
        <v>583</v>
      </c>
      <c r="C22" s="264" t="s">
        <v>1601</v>
      </c>
      <c r="D22" s="36"/>
      <c r="E22" s="36" t="s">
        <v>586</v>
      </c>
      <c r="F22" s="295" t="s">
        <v>584</v>
      </c>
      <c r="G22" s="323" t="s">
        <v>518</v>
      </c>
      <c r="H22" s="662" t="s">
        <v>143</v>
      </c>
      <c r="I22" s="662" t="s">
        <v>143</v>
      </c>
      <c r="J22" s="662" t="s">
        <v>143</v>
      </c>
      <c r="K22" s="662" t="s">
        <v>143</v>
      </c>
      <c r="L22" s="665" t="s">
        <v>143</v>
      </c>
      <c r="M22" s="662" t="s">
        <v>143</v>
      </c>
      <c r="N22" s="662" t="s">
        <v>143</v>
      </c>
      <c r="O22" s="661" t="str">
        <f t="shared" ref="O22:O27" si="4">IF(COUNTIF($H22:$N22,"---")=7,"no evaluado/no requiere",IF(COUNTA($H$6:$N$6)=COUNTA($H22:$N22),COUNTA($H22:$N22)*3,"Falta completar"))</f>
        <v>no evaluado/no requiere</v>
      </c>
      <c r="P22" s="663" t="str">
        <f>IFERROR(IF(O21=0,"No evaluado",+SUM(H22:N22)/O22),"-")</f>
        <v>-</v>
      </c>
      <c r="Q22" s="661" t="str">
        <f t="shared" si="1"/>
        <v>No evaluado</v>
      </c>
      <c r="R22" s="664">
        <v>43906</v>
      </c>
      <c r="S22" s="264" t="e">
        <f t="shared" si="2"/>
        <v>#N/A</v>
      </c>
      <c r="T22" s="442" t="s">
        <v>143</v>
      </c>
      <c r="U22" s="264" t="s">
        <v>1648</v>
      </c>
    </row>
    <row r="23" spans="1:21" ht="36.75" customHeight="1" x14ac:dyDescent="0.2">
      <c r="A23" s="265">
        <v>17</v>
      </c>
      <c r="B23" s="602" t="s">
        <v>1603</v>
      </c>
      <c r="C23" s="264"/>
      <c r="D23" s="264"/>
      <c r="E23" s="264"/>
      <c r="F23" s="264"/>
      <c r="G23" s="323" t="s">
        <v>1644</v>
      </c>
      <c r="H23" s="662">
        <v>2</v>
      </c>
      <c r="I23" s="660">
        <v>3</v>
      </c>
      <c r="J23" s="660">
        <v>3</v>
      </c>
      <c r="K23" s="660">
        <v>2</v>
      </c>
      <c r="L23" s="661">
        <v>2</v>
      </c>
      <c r="M23" s="660">
        <v>2</v>
      </c>
      <c r="N23" s="662" t="s">
        <v>143</v>
      </c>
      <c r="O23" s="661">
        <f t="shared" si="4"/>
        <v>21</v>
      </c>
      <c r="P23" s="663">
        <f>IFERROR(IF(O22=0,"No evaluado",+SUM(H23:N23)/O23),"-")</f>
        <v>0.66666666666666663</v>
      </c>
      <c r="Q23" s="661" t="str">
        <f t="shared" si="1"/>
        <v>Aprobado con seguimiento</v>
      </c>
      <c r="R23" s="664">
        <v>43906</v>
      </c>
      <c r="S23" s="264" t="str">
        <f t="shared" si="2"/>
        <v>Se evaluarán disposición de insumos y, se tratará con el proveedor para llegar a un acuerdo, de lo contrario se busca otro proveedor.</v>
      </c>
      <c r="T23" s="442" t="s">
        <v>2324</v>
      </c>
      <c r="U23" s="264" t="s">
        <v>1648</v>
      </c>
    </row>
    <row r="24" spans="1:21" ht="42.75" customHeight="1" x14ac:dyDescent="0.2">
      <c r="A24" s="265">
        <v>18</v>
      </c>
      <c r="B24" s="602" t="s">
        <v>1604</v>
      </c>
      <c r="C24" s="264"/>
      <c r="D24" s="264"/>
      <c r="E24" s="264"/>
      <c r="F24" s="264"/>
      <c r="G24" s="323" t="s">
        <v>518</v>
      </c>
      <c r="H24" s="662" t="s">
        <v>143</v>
      </c>
      <c r="I24" s="662" t="s">
        <v>143</v>
      </c>
      <c r="J24" s="662" t="s">
        <v>143</v>
      </c>
      <c r="K24" s="662" t="s">
        <v>143</v>
      </c>
      <c r="L24" s="665" t="s">
        <v>143</v>
      </c>
      <c r="M24" s="662" t="s">
        <v>143</v>
      </c>
      <c r="N24" s="662" t="s">
        <v>143</v>
      </c>
      <c r="O24" s="661" t="str">
        <f t="shared" si="4"/>
        <v>no evaluado/no requiere</v>
      </c>
      <c r="P24" s="663" t="str">
        <f>IFERROR(IF(O23=0,"No evaluado",+SUM(H24:N24)/O24),"-")</f>
        <v>-</v>
      </c>
      <c r="Q24" s="661" t="str">
        <f t="shared" si="1"/>
        <v>No evaluado</v>
      </c>
      <c r="R24" s="664">
        <v>43906</v>
      </c>
      <c r="S24" s="264" t="e">
        <f t="shared" si="2"/>
        <v>#N/A</v>
      </c>
      <c r="T24" s="442" t="s">
        <v>520</v>
      </c>
      <c r="U24" s="442" t="s">
        <v>143</v>
      </c>
    </row>
    <row r="25" spans="1:21" ht="30" customHeight="1" x14ac:dyDescent="0.2">
      <c r="A25" s="265">
        <v>19</v>
      </c>
      <c r="B25" s="603" t="s">
        <v>44</v>
      </c>
      <c r="C25" s="264" t="s">
        <v>592</v>
      </c>
      <c r="D25" s="36"/>
      <c r="E25" s="36" t="s">
        <v>591</v>
      </c>
      <c r="F25" s="299" t="s">
        <v>589</v>
      </c>
      <c r="G25" s="324" t="s">
        <v>518</v>
      </c>
      <c r="H25" s="662" t="s">
        <v>143</v>
      </c>
      <c r="I25" s="662" t="s">
        <v>143</v>
      </c>
      <c r="J25" s="662" t="s">
        <v>143</v>
      </c>
      <c r="K25" s="662" t="s">
        <v>143</v>
      </c>
      <c r="L25" s="665" t="s">
        <v>143</v>
      </c>
      <c r="M25" s="662" t="s">
        <v>143</v>
      </c>
      <c r="N25" s="662" t="s">
        <v>143</v>
      </c>
      <c r="O25" s="661" t="str">
        <f t="shared" si="4"/>
        <v>no evaluado/no requiere</v>
      </c>
      <c r="P25" s="663" t="str">
        <f>IFERROR(IF(O24=0,"No evaluado",+SUM(H25:N25)/O25),"-")</f>
        <v>-</v>
      </c>
      <c r="Q25" s="661" t="str">
        <f t="shared" si="1"/>
        <v>No evaluado</v>
      </c>
      <c r="R25" s="664">
        <v>43906</v>
      </c>
      <c r="S25" s="264" t="e">
        <f t="shared" si="2"/>
        <v>#N/A</v>
      </c>
      <c r="T25" s="264" t="s">
        <v>1650</v>
      </c>
      <c r="U25" s="264" t="s">
        <v>1649</v>
      </c>
    </row>
    <row r="26" spans="1:21" ht="24.95" customHeight="1" x14ac:dyDescent="0.2">
      <c r="A26" s="265">
        <v>20</v>
      </c>
      <c r="B26" s="604" t="s">
        <v>593</v>
      </c>
      <c r="C26" s="264" t="s">
        <v>596</v>
      </c>
      <c r="D26" s="36"/>
      <c r="E26" s="36" t="s">
        <v>595</v>
      </c>
      <c r="F26" s="300" t="s">
        <v>143</v>
      </c>
      <c r="G26" s="323" t="s">
        <v>1645</v>
      </c>
      <c r="H26" s="662" t="s">
        <v>143</v>
      </c>
      <c r="I26" s="662" t="s">
        <v>143</v>
      </c>
      <c r="J26" s="662" t="s">
        <v>143</v>
      </c>
      <c r="K26" s="662" t="s">
        <v>143</v>
      </c>
      <c r="L26" s="665" t="s">
        <v>143</v>
      </c>
      <c r="M26" s="662" t="s">
        <v>143</v>
      </c>
      <c r="N26" s="662" t="s">
        <v>143</v>
      </c>
      <c r="O26" s="661" t="str">
        <f t="shared" si="4"/>
        <v>no evaluado/no requiere</v>
      </c>
      <c r="P26" s="663" t="str">
        <f>IFERROR(IF(O25=0,"No evaluado",+SUM(H26:N26)/O26),"-")</f>
        <v>-</v>
      </c>
      <c r="Q26" s="661" t="str">
        <f t="shared" si="1"/>
        <v>No evaluado</v>
      </c>
      <c r="R26" s="664">
        <v>43906</v>
      </c>
      <c r="S26" s="264" t="e">
        <f t="shared" si="2"/>
        <v>#N/A</v>
      </c>
      <c r="T26" s="264" t="s">
        <v>1650</v>
      </c>
      <c r="U26" s="264" t="s">
        <v>1640</v>
      </c>
    </row>
    <row r="27" spans="1:21" s="317" customFormat="1" ht="30" customHeight="1" x14ac:dyDescent="0.2">
      <c r="A27" s="265">
        <v>21</v>
      </c>
      <c r="B27" s="602" t="s">
        <v>45</v>
      </c>
      <c r="C27" s="264" t="s">
        <v>601</v>
      </c>
      <c r="D27" s="36" t="s">
        <v>598</v>
      </c>
      <c r="E27" s="36" t="s">
        <v>600</v>
      </c>
      <c r="F27" s="300" t="s">
        <v>143</v>
      </c>
      <c r="G27" s="323" t="s">
        <v>518</v>
      </c>
      <c r="H27" s="662" t="s">
        <v>143</v>
      </c>
      <c r="I27" s="662" t="s">
        <v>143</v>
      </c>
      <c r="J27" s="662" t="s">
        <v>143</v>
      </c>
      <c r="K27" s="662" t="s">
        <v>143</v>
      </c>
      <c r="L27" s="665" t="s">
        <v>143</v>
      </c>
      <c r="M27" s="662" t="s">
        <v>143</v>
      </c>
      <c r="N27" s="662" t="s">
        <v>143</v>
      </c>
      <c r="O27" s="661" t="str">
        <f t="shared" si="4"/>
        <v>no evaluado/no requiere</v>
      </c>
      <c r="P27" s="663" t="str">
        <f>IFERROR(IF(#REF!=0,"No evaluado",+SUM(H27:N27)/O27),"-")</f>
        <v>-</v>
      </c>
      <c r="Q27" s="661" t="str">
        <f t="shared" si="1"/>
        <v>No evaluado</v>
      </c>
      <c r="R27" s="664">
        <v>43906</v>
      </c>
      <c r="S27" s="264" t="e">
        <f t="shared" si="2"/>
        <v>#N/A</v>
      </c>
      <c r="T27" s="442" t="s">
        <v>520</v>
      </c>
      <c r="U27" s="442" t="s">
        <v>520</v>
      </c>
    </row>
    <row r="28" spans="1:21" ht="33.75" customHeight="1" x14ac:dyDescent="0.2">
      <c r="A28" s="265">
        <v>22</v>
      </c>
      <c r="B28" s="603" t="s">
        <v>611</v>
      </c>
      <c r="C28" s="264" t="s">
        <v>615</v>
      </c>
      <c r="D28" s="36" t="s">
        <v>808</v>
      </c>
      <c r="E28" s="36" t="s">
        <v>2293</v>
      </c>
      <c r="F28" s="296" t="s">
        <v>612</v>
      </c>
      <c r="G28" s="324" t="s">
        <v>1645</v>
      </c>
      <c r="H28" s="662">
        <v>2</v>
      </c>
      <c r="I28" s="660">
        <v>2</v>
      </c>
      <c r="J28" s="660">
        <v>3</v>
      </c>
      <c r="K28" s="660">
        <v>2</v>
      </c>
      <c r="L28" s="661">
        <v>2</v>
      </c>
      <c r="M28" s="660">
        <v>2</v>
      </c>
      <c r="N28" s="660">
        <v>2</v>
      </c>
      <c r="O28" s="661">
        <f>IF(COUNTIF($H28:$N28,"---")=7,"no evaluado/no requiere",IF(COUNTA('[1]Servicios 2020'!$H$6:$N$6)=COUNTA($H28:$N28),COUNTA($H28:$N28)*3,"Falta completar"))</f>
        <v>21</v>
      </c>
      <c r="P28" s="663">
        <f>IFERROR(IF('[1]Servicios 2020'!O7=0,"No evaluado",+SUM(H28:N28)/O28),"-")</f>
        <v>0.7142857142857143</v>
      </c>
      <c r="Q28" s="661" t="str">
        <f t="shared" si="1"/>
        <v>Apto</v>
      </c>
      <c r="R28" s="664">
        <v>43906</v>
      </c>
      <c r="S28" s="264" t="str">
        <f t="shared" si="2"/>
        <v>Se continúa contratando sus servicios.</v>
      </c>
      <c r="T28" s="442" t="s">
        <v>520</v>
      </c>
      <c r="U28" s="264" t="s">
        <v>1648</v>
      </c>
    </row>
    <row r="29" spans="1:21" ht="24.95" customHeight="1" x14ac:dyDescent="0.2">
      <c r="A29" s="265">
        <v>23</v>
      </c>
      <c r="B29" s="604" t="s">
        <v>617</v>
      </c>
      <c r="C29" s="264" t="s">
        <v>621</v>
      </c>
      <c r="D29" s="264"/>
      <c r="E29" s="264"/>
      <c r="F29" s="448" t="s">
        <v>618</v>
      </c>
      <c r="G29" s="323" t="s">
        <v>1645</v>
      </c>
      <c r="H29" s="662">
        <v>2</v>
      </c>
      <c r="I29" s="660">
        <v>1</v>
      </c>
      <c r="J29" s="660">
        <v>2</v>
      </c>
      <c r="K29" s="660">
        <v>1</v>
      </c>
      <c r="L29" s="661">
        <v>1</v>
      </c>
      <c r="M29" s="660">
        <v>2</v>
      </c>
      <c r="N29" s="660">
        <v>0</v>
      </c>
      <c r="O29" s="661">
        <f t="shared" ref="O29:O51" si="5">IF(COUNTIF($H29:$N29,"---")=7,"no evaluado/no requiere",IF(COUNTA($H$6:$N$6)=COUNTA($H29:$N29),COUNTA($H29:$N29)*3,"Falta completar"))</f>
        <v>21</v>
      </c>
      <c r="P29" s="663" t="str">
        <f>IFERROR(IF(#REF!=0,"No evaluado",+SUM(H29:N29)/O29),"-")</f>
        <v>-</v>
      </c>
      <c r="Q29" s="661" t="str">
        <f t="shared" si="1"/>
        <v>Apto</v>
      </c>
      <c r="R29" s="664">
        <v>43906</v>
      </c>
      <c r="S29" s="264" t="str">
        <f t="shared" si="2"/>
        <v>Se continúa contratando sus servicios.</v>
      </c>
      <c r="T29" s="666" t="s">
        <v>2531</v>
      </c>
      <c r="U29" s="264" t="s">
        <v>1648</v>
      </c>
    </row>
    <row r="30" spans="1:21" ht="43.5" customHeight="1" x14ac:dyDescent="0.2">
      <c r="A30" s="265">
        <v>24</v>
      </c>
      <c r="B30" s="602" t="s">
        <v>1607</v>
      </c>
      <c r="C30" s="600"/>
      <c r="D30" s="36"/>
      <c r="E30" s="36" t="s">
        <v>620</v>
      </c>
      <c r="F30" s="295" t="s">
        <v>618</v>
      </c>
      <c r="G30" s="323" t="s">
        <v>1645</v>
      </c>
      <c r="H30" s="662">
        <v>2</v>
      </c>
      <c r="I30" s="660">
        <v>3</v>
      </c>
      <c r="J30" s="660">
        <v>3</v>
      </c>
      <c r="K30" s="660">
        <v>2</v>
      </c>
      <c r="L30" s="661">
        <v>1</v>
      </c>
      <c r="M30" s="660">
        <v>3</v>
      </c>
      <c r="N30" s="660">
        <v>2</v>
      </c>
      <c r="O30" s="661">
        <f t="shared" si="5"/>
        <v>21</v>
      </c>
      <c r="P30" s="663">
        <f t="shared" ref="P30:P36" si="6">IFERROR(IF(O30=0,"No evaluado",+SUM(H30:N30)/O30),"-")</f>
        <v>0.76190476190476186</v>
      </c>
      <c r="Q30" s="661" t="str">
        <f t="shared" si="1"/>
        <v>Apto</v>
      </c>
      <c r="R30" s="664">
        <v>43906</v>
      </c>
      <c r="S30" s="264" t="str">
        <f t="shared" si="2"/>
        <v>Se continúa contratando sus servicios.</v>
      </c>
      <c r="T30" s="442" t="s">
        <v>2532</v>
      </c>
      <c r="U30" s="264" t="s">
        <v>1648</v>
      </c>
    </row>
    <row r="31" spans="1:21" s="317" customFormat="1" ht="57" customHeight="1" x14ac:dyDescent="0.2">
      <c r="A31" s="265">
        <v>25</v>
      </c>
      <c r="B31" s="602" t="s">
        <v>1608</v>
      </c>
      <c r="C31" s="264"/>
      <c r="D31" s="601"/>
      <c r="E31" s="601"/>
      <c r="F31" s="264"/>
      <c r="G31" s="444" t="s">
        <v>1645</v>
      </c>
      <c r="H31" s="662">
        <v>2</v>
      </c>
      <c r="I31" s="660">
        <v>3</v>
      </c>
      <c r="J31" s="660">
        <v>2</v>
      </c>
      <c r="K31" s="660">
        <v>2</v>
      </c>
      <c r="L31" s="661">
        <v>2</v>
      </c>
      <c r="M31" s="660">
        <v>2</v>
      </c>
      <c r="N31" s="662" t="s">
        <v>143</v>
      </c>
      <c r="O31" s="661">
        <f t="shared" si="5"/>
        <v>21</v>
      </c>
      <c r="P31" s="663">
        <f t="shared" si="6"/>
        <v>0.61904761904761907</v>
      </c>
      <c r="Q31" s="661" t="str">
        <f t="shared" si="1"/>
        <v>Aprobado con seguimiento</v>
      </c>
      <c r="R31" s="664">
        <v>43906</v>
      </c>
      <c r="S31" s="264" t="str">
        <f t="shared" si="2"/>
        <v>Se evaluarán disposición de insumos y, se tratará con el proveedor para llegar a un acuerdo, de lo contrario se busca otro proveedor.</v>
      </c>
      <c r="T31" s="442" t="s">
        <v>520</v>
      </c>
      <c r="U31" s="264" t="s">
        <v>1648</v>
      </c>
    </row>
    <row r="32" spans="1:21" ht="31.5" customHeight="1" x14ac:dyDescent="0.2">
      <c r="A32" s="265">
        <v>26</v>
      </c>
      <c r="B32" s="603" t="s">
        <v>623</v>
      </c>
      <c r="C32" s="264" t="s">
        <v>627</v>
      </c>
      <c r="D32" s="36"/>
      <c r="E32" s="36" t="s">
        <v>626</v>
      </c>
      <c r="F32" s="299" t="s">
        <v>624</v>
      </c>
      <c r="G32" s="444" t="s">
        <v>1645</v>
      </c>
      <c r="H32" s="662" t="s">
        <v>143</v>
      </c>
      <c r="I32" s="662" t="s">
        <v>143</v>
      </c>
      <c r="J32" s="662" t="s">
        <v>143</v>
      </c>
      <c r="K32" s="662" t="s">
        <v>143</v>
      </c>
      <c r="L32" s="665" t="s">
        <v>143</v>
      </c>
      <c r="M32" s="662" t="s">
        <v>143</v>
      </c>
      <c r="N32" s="662" t="s">
        <v>143</v>
      </c>
      <c r="O32" s="661" t="str">
        <f t="shared" si="5"/>
        <v>no evaluado/no requiere</v>
      </c>
      <c r="P32" s="663" t="str">
        <f t="shared" si="6"/>
        <v>-</v>
      </c>
      <c r="Q32" s="661" t="str">
        <f t="shared" si="1"/>
        <v>No evaluado</v>
      </c>
      <c r="R32" s="664">
        <v>43906</v>
      </c>
      <c r="S32" s="264" t="e">
        <f t="shared" si="2"/>
        <v>#N/A</v>
      </c>
      <c r="T32" s="442" t="s">
        <v>520</v>
      </c>
      <c r="U32" s="442" t="s">
        <v>520</v>
      </c>
    </row>
    <row r="33" spans="1:21" ht="35.25" customHeight="1" x14ac:dyDescent="0.2">
      <c r="A33" s="265">
        <v>27</v>
      </c>
      <c r="B33" s="602" t="s">
        <v>646</v>
      </c>
      <c r="C33" s="264" t="s">
        <v>650</v>
      </c>
      <c r="D33" s="36"/>
      <c r="E33" s="36" t="s">
        <v>649</v>
      </c>
      <c r="F33" s="299" t="s">
        <v>647</v>
      </c>
      <c r="G33" s="444" t="s">
        <v>1645</v>
      </c>
      <c r="H33" s="662">
        <v>2</v>
      </c>
      <c r="I33" s="660">
        <v>1</v>
      </c>
      <c r="J33" s="660">
        <v>1</v>
      </c>
      <c r="K33" s="660">
        <v>3</v>
      </c>
      <c r="L33" s="661">
        <v>2</v>
      </c>
      <c r="M33" s="660">
        <v>2</v>
      </c>
      <c r="N33" s="660">
        <v>1</v>
      </c>
      <c r="O33" s="661">
        <f t="shared" si="5"/>
        <v>21</v>
      </c>
      <c r="P33" s="663">
        <f t="shared" si="6"/>
        <v>0.5714285714285714</v>
      </c>
      <c r="Q33" s="661" t="str">
        <f t="shared" si="1"/>
        <v>Aprobado con seguimiento</v>
      </c>
      <c r="R33" s="664">
        <v>43906</v>
      </c>
      <c r="S33" s="264" t="str">
        <f t="shared" si="2"/>
        <v>Se evaluarán disposición de insumos y, se tratará con el proveedor para llegar a un acuerdo, de lo contrario se busca otro proveedor.</v>
      </c>
      <c r="T33" s="442" t="s">
        <v>520</v>
      </c>
      <c r="U33" s="264" t="s">
        <v>1648</v>
      </c>
    </row>
    <row r="34" spans="1:21" ht="31.5" customHeight="1" x14ac:dyDescent="0.25">
      <c r="A34" s="265">
        <v>28</v>
      </c>
      <c r="B34" s="603" t="s">
        <v>50</v>
      </c>
      <c r="C34" s="316" t="s">
        <v>615</v>
      </c>
      <c r="D34" s="36"/>
      <c r="E34" s="36" t="s">
        <v>667</v>
      </c>
      <c r="F34" s="301" t="s">
        <v>665</v>
      </c>
      <c r="G34" s="323" t="s">
        <v>1645</v>
      </c>
      <c r="H34" s="662">
        <v>3</v>
      </c>
      <c r="I34" s="662">
        <v>3</v>
      </c>
      <c r="J34" s="662">
        <v>2</v>
      </c>
      <c r="K34" s="662">
        <v>2</v>
      </c>
      <c r="L34" s="662">
        <v>2</v>
      </c>
      <c r="M34" s="662">
        <v>2</v>
      </c>
      <c r="N34" s="662">
        <v>3</v>
      </c>
      <c r="O34" s="661">
        <f t="shared" si="5"/>
        <v>21</v>
      </c>
      <c r="P34" s="663">
        <f t="shared" si="6"/>
        <v>0.80952380952380953</v>
      </c>
      <c r="Q34" s="661" t="str">
        <f t="shared" si="1"/>
        <v>Apto</v>
      </c>
      <c r="R34" s="664">
        <v>43906</v>
      </c>
      <c r="S34" s="264" t="str">
        <f t="shared" si="2"/>
        <v>Se continúa contratando sus servicios.</v>
      </c>
      <c r="T34" s="442" t="s">
        <v>520</v>
      </c>
      <c r="U34" s="442" t="s">
        <v>2156</v>
      </c>
    </row>
    <row r="35" spans="1:21" ht="30" customHeight="1" x14ac:dyDescent="0.2">
      <c r="A35" s="265">
        <v>29</v>
      </c>
      <c r="B35" s="603" t="s">
        <v>668</v>
      </c>
      <c r="C35" s="264" t="s">
        <v>672</v>
      </c>
      <c r="D35" s="36" t="s">
        <v>245</v>
      </c>
      <c r="E35" s="36" t="s">
        <v>671</v>
      </c>
      <c r="F35" s="299" t="s">
        <v>669</v>
      </c>
      <c r="G35" s="323" t="s">
        <v>1645</v>
      </c>
      <c r="H35" s="662">
        <v>1</v>
      </c>
      <c r="I35" s="660">
        <v>2</v>
      </c>
      <c r="J35" s="660">
        <v>2</v>
      </c>
      <c r="K35" s="660">
        <v>1</v>
      </c>
      <c r="L35" s="661">
        <v>1</v>
      </c>
      <c r="M35" s="660">
        <v>1</v>
      </c>
      <c r="N35" s="660">
        <v>1</v>
      </c>
      <c r="O35" s="661">
        <f t="shared" si="5"/>
        <v>21</v>
      </c>
      <c r="P35" s="663">
        <f t="shared" si="6"/>
        <v>0.42857142857142855</v>
      </c>
      <c r="Q35" s="661" t="str">
        <f t="shared" si="1"/>
        <v>No Apto.</v>
      </c>
      <c r="R35" s="664">
        <v>43906</v>
      </c>
      <c r="S35" s="264" t="str">
        <f t="shared" si="2"/>
        <v>No se solicitarán más sus servicios, se buscará otro proveedor.</v>
      </c>
      <c r="T35" s="442" t="s">
        <v>2533</v>
      </c>
      <c r="U35" s="264" t="s">
        <v>1648</v>
      </c>
    </row>
    <row r="36" spans="1:21" ht="30" x14ac:dyDescent="0.2">
      <c r="A36" s="265">
        <v>46</v>
      </c>
      <c r="B36" s="602" t="s">
        <v>2512</v>
      </c>
      <c r="C36" s="264" t="s">
        <v>2513</v>
      </c>
      <c r="D36" s="264" t="s">
        <v>2514</v>
      </c>
      <c r="E36" s="264" t="s">
        <v>2515</v>
      </c>
      <c r="F36" s="448" t="s">
        <v>2516</v>
      </c>
      <c r="G36" s="36" t="s">
        <v>1644</v>
      </c>
      <c r="H36" s="264">
        <v>3</v>
      </c>
      <c r="I36" s="264">
        <v>3</v>
      </c>
      <c r="J36" s="264">
        <v>3</v>
      </c>
      <c r="K36" s="264">
        <v>3</v>
      </c>
      <c r="L36" s="264">
        <v>2</v>
      </c>
      <c r="M36" s="264">
        <v>2</v>
      </c>
      <c r="N36" s="264">
        <v>2</v>
      </c>
      <c r="O36" s="264">
        <f t="shared" si="5"/>
        <v>21</v>
      </c>
      <c r="P36" s="663">
        <f t="shared" si="6"/>
        <v>0.8571428571428571</v>
      </c>
      <c r="Q36" s="264" t="str">
        <f t="shared" si="1"/>
        <v>Apto</v>
      </c>
      <c r="R36" s="667">
        <v>44011</v>
      </c>
      <c r="S36" s="264" t="str">
        <f t="shared" si="2"/>
        <v>Se continúa contratando sus servicios.</v>
      </c>
      <c r="T36" s="264"/>
      <c r="U36" s="264"/>
    </row>
    <row r="37" spans="1:21" ht="24.95" customHeight="1" x14ac:dyDescent="0.2">
      <c r="A37" s="265">
        <v>30</v>
      </c>
      <c r="B37" s="603" t="s">
        <v>678</v>
      </c>
      <c r="C37" s="264" t="s">
        <v>680</v>
      </c>
      <c r="D37" s="36"/>
      <c r="E37" s="36">
        <v>4526435</v>
      </c>
      <c r="F37" s="300" t="s">
        <v>661</v>
      </c>
      <c r="G37" s="323" t="s">
        <v>1645</v>
      </c>
      <c r="H37" s="662">
        <v>3</v>
      </c>
      <c r="I37" s="662" t="s">
        <v>143</v>
      </c>
      <c r="J37" s="660">
        <v>3</v>
      </c>
      <c r="K37" s="660">
        <v>3</v>
      </c>
      <c r="L37" s="661">
        <v>3</v>
      </c>
      <c r="M37" s="662" t="s">
        <v>143</v>
      </c>
      <c r="N37" s="660">
        <v>0</v>
      </c>
      <c r="O37" s="661">
        <f t="shared" si="5"/>
        <v>21</v>
      </c>
      <c r="P37" s="663">
        <f>IFERROR(IF(O36=0,"No evaluado",+SUM(H37:N37)/O37),"-")</f>
        <v>0.5714285714285714</v>
      </c>
      <c r="Q37" s="661" t="str">
        <f t="shared" si="1"/>
        <v>Aprobado con seguimiento</v>
      </c>
      <c r="R37" s="664">
        <v>43906</v>
      </c>
      <c r="S37" s="264" t="str">
        <f t="shared" si="2"/>
        <v>Se evaluarán disposición de insumos y, se tratará con el proveedor para llegar a un acuerdo, de lo contrario se busca otro proveedor.</v>
      </c>
      <c r="T37" s="442" t="s">
        <v>520</v>
      </c>
      <c r="U37" s="264" t="s">
        <v>1649</v>
      </c>
    </row>
    <row r="38" spans="1:21" ht="24.95" customHeight="1" x14ac:dyDescent="0.2">
      <c r="A38" s="265">
        <v>31</v>
      </c>
      <c r="B38" s="603" t="s">
        <v>681</v>
      </c>
      <c r="C38" s="264" t="s">
        <v>685</v>
      </c>
      <c r="D38" s="36"/>
      <c r="E38" s="36" t="s">
        <v>684</v>
      </c>
      <c r="F38" s="299" t="s">
        <v>682</v>
      </c>
      <c r="G38" s="323" t="s">
        <v>518</v>
      </c>
      <c r="H38" s="662" t="s">
        <v>143</v>
      </c>
      <c r="I38" s="662" t="s">
        <v>143</v>
      </c>
      <c r="J38" s="662" t="s">
        <v>143</v>
      </c>
      <c r="K38" s="662" t="s">
        <v>143</v>
      </c>
      <c r="L38" s="665" t="s">
        <v>143</v>
      </c>
      <c r="M38" s="662" t="s">
        <v>143</v>
      </c>
      <c r="N38" s="662" t="s">
        <v>143</v>
      </c>
      <c r="O38" s="661" t="str">
        <f t="shared" si="5"/>
        <v>no evaluado/no requiere</v>
      </c>
      <c r="P38" s="663" t="str">
        <f>IFERROR(IF(O37=0,"No evaluado",+SUM(H38:N38)/O38),"-")</f>
        <v>-</v>
      </c>
      <c r="Q38" s="661" t="str">
        <f t="shared" si="1"/>
        <v>No evaluado</v>
      </c>
      <c r="R38" s="664">
        <v>43906</v>
      </c>
      <c r="S38" s="264" t="e">
        <f t="shared" si="2"/>
        <v>#N/A</v>
      </c>
      <c r="T38" s="442" t="s">
        <v>520</v>
      </c>
      <c r="U38" s="442" t="s">
        <v>520</v>
      </c>
    </row>
    <row r="39" spans="1:21" ht="30" customHeight="1" x14ac:dyDescent="0.2">
      <c r="A39" s="265">
        <v>32</v>
      </c>
      <c r="B39" s="603" t="s">
        <v>51</v>
      </c>
      <c r="C39" s="264" t="s">
        <v>690</v>
      </c>
      <c r="D39" s="36" t="s">
        <v>686</v>
      </c>
      <c r="E39" s="36" t="s">
        <v>689</v>
      </c>
      <c r="F39" s="303" t="s">
        <v>687</v>
      </c>
      <c r="G39" s="323" t="s">
        <v>518</v>
      </c>
      <c r="H39" s="662" t="s">
        <v>143</v>
      </c>
      <c r="I39" s="662" t="s">
        <v>143</v>
      </c>
      <c r="J39" s="662" t="s">
        <v>143</v>
      </c>
      <c r="K39" s="662" t="s">
        <v>143</v>
      </c>
      <c r="L39" s="665" t="s">
        <v>143</v>
      </c>
      <c r="M39" s="662" t="s">
        <v>143</v>
      </c>
      <c r="N39" s="662" t="s">
        <v>143</v>
      </c>
      <c r="O39" s="661" t="str">
        <f t="shared" si="5"/>
        <v>no evaluado/no requiere</v>
      </c>
      <c r="P39" s="663" t="str">
        <f>IFERROR(IF(O38=0,"No evaluado",+SUM(H39:N39)/O39),"-")</f>
        <v>-</v>
      </c>
      <c r="Q39" s="661" t="str">
        <f t="shared" si="1"/>
        <v>No evaluado</v>
      </c>
      <c r="R39" s="664">
        <v>43906</v>
      </c>
      <c r="S39" s="264" t="e">
        <f t="shared" si="2"/>
        <v>#N/A</v>
      </c>
      <c r="T39" s="442" t="s">
        <v>520</v>
      </c>
      <c r="U39" s="442" t="s">
        <v>520</v>
      </c>
    </row>
    <row r="40" spans="1:21" ht="24.95" customHeight="1" x14ac:dyDescent="0.2">
      <c r="A40" s="265">
        <v>33</v>
      </c>
      <c r="B40" s="603" t="s">
        <v>691</v>
      </c>
      <c r="C40" s="264" t="s">
        <v>694</v>
      </c>
      <c r="D40" s="36"/>
      <c r="E40" s="36">
        <v>551100</v>
      </c>
      <c r="F40" s="299" t="s">
        <v>692</v>
      </c>
      <c r="G40" s="323" t="s">
        <v>1645</v>
      </c>
      <c r="H40" s="662">
        <v>3</v>
      </c>
      <c r="I40" s="660">
        <v>3</v>
      </c>
      <c r="J40" s="660">
        <v>3</v>
      </c>
      <c r="K40" s="660">
        <v>2</v>
      </c>
      <c r="L40" s="661">
        <v>3</v>
      </c>
      <c r="M40" s="660">
        <v>2</v>
      </c>
      <c r="N40" s="660">
        <v>2</v>
      </c>
      <c r="O40" s="661">
        <f t="shared" si="5"/>
        <v>21</v>
      </c>
      <c r="P40" s="663">
        <f>IFERROR(IF(O39=0,"No evaluado",+SUM(H40:N40)/O40),"-")</f>
        <v>0.8571428571428571</v>
      </c>
      <c r="Q40" s="661" t="str">
        <f t="shared" si="1"/>
        <v>Apto</v>
      </c>
      <c r="R40" s="664">
        <v>43906</v>
      </c>
      <c r="S40" s="264" t="str">
        <f t="shared" si="2"/>
        <v>Se continúa contratando sus servicios.</v>
      </c>
      <c r="T40" s="442" t="s">
        <v>520</v>
      </c>
      <c r="U40" s="442" t="s">
        <v>2156</v>
      </c>
    </row>
    <row r="41" spans="1:21" ht="24.95" customHeight="1" x14ac:dyDescent="0.2">
      <c r="A41" s="265">
        <v>34</v>
      </c>
      <c r="B41" s="602" t="s">
        <v>1597</v>
      </c>
      <c r="C41" s="264" t="s">
        <v>1634</v>
      </c>
      <c r="D41" s="264" t="s">
        <v>2325</v>
      </c>
      <c r="E41" s="264"/>
      <c r="F41" s="264"/>
      <c r="G41" s="323" t="s">
        <v>1645</v>
      </c>
      <c r="H41" s="662">
        <v>3</v>
      </c>
      <c r="I41" s="662" t="s">
        <v>143</v>
      </c>
      <c r="J41" s="662">
        <v>3</v>
      </c>
      <c r="K41" s="662">
        <v>3</v>
      </c>
      <c r="L41" s="665">
        <v>3</v>
      </c>
      <c r="M41" s="662" t="s">
        <v>143</v>
      </c>
      <c r="N41" s="662" t="s">
        <v>143</v>
      </c>
      <c r="O41" s="661">
        <f t="shared" si="5"/>
        <v>21</v>
      </c>
      <c r="P41" s="663">
        <f>IFERROR(IF(O41=0,"No evaluado",+SUM(H41:N41)/O41),"-")</f>
        <v>0.5714285714285714</v>
      </c>
      <c r="Q41" s="661" t="str">
        <f t="shared" si="1"/>
        <v>Aprobado con seguimiento</v>
      </c>
      <c r="R41" s="664">
        <v>43906</v>
      </c>
      <c r="S41" s="264" t="str">
        <f t="shared" si="2"/>
        <v>Se evaluarán disposición de insumos y, se tratará con el proveedor para llegar a un acuerdo, de lo contrario se busca otro proveedor.</v>
      </c>
      <c r="T41" s="442" t="s">
        <v>143</v>
      </c>
      <c r="U41" s="442" t="s">
        <v>2156</v>
      </c>
    </row>
    <row r="42" spans="1:21" ht="24.95" customHeight="1" x14ac:dyDescent="0.2">
      <c r="A42" s="265">
        <v>35</v>
      </c>
      <c r="B42" s="603" t="s">
        <v>2534</v>
      </c>
      <c r="C42" s="264" t="s">
        <v>2535</v>
      </c>
      <c r="D42" s="36" t="s">
        <v>2536</v>
      </c>
      <c r="E42" s="36">
        <v>2614538673</v>
      </c>
      <c r="F42" s="61" t="s">
        <v>2537</v>
      </c>
      <c r="G42" s="323" t="s">
        <v>1644</v>
      </c>
      <c r="H42" s="662">
        <v>1</v>
      </c>
      <c r="I42" s="660">
        <v>1</v>
      </c>
      <c r="J42" s="660">
        <v>3</v>
      </c>
      <c r="K42" s="660">
        <v>1</v>
      </c>
      <c r="L42" s="661">
        <v>1</v>
      </c>
      <c r="M42" s="662" t="s">
        <v>143</v>
      </c>
      <c r="N42" s="660">
        <v>1</v>
      </c>
      <c r="O42" s="661">
        <f t="shared" si="5"/>
        <v>21</v>
      </c>
      <c r="P42" s="663">
        <f>IFERROR(IF(O42=0,"No evaluado",+SUM(H42:N42)/O42),"-")</f>
        <v>0.38095238095238093</v>
      </c>
      <c r="Q42" s="661" t="str">
        <f t="shared" si="1"/>
        <v>No Apto.</v>
      </c>
      <c r="R42" s="664">
        <v>43906</v>
      </c>
      <c r="S42" s="264" t="str">
        <f t="shared" si="2"/>
        <v>No se solicitarán más sus servicios, se buscará otro proveedor.</v>
      </c>
      <c r="T42" s="442" t="s">
        <v>2538</v>
      </c>
      <c r="U42" s="442" t="s">
        <v>2156</v>
      </c>
    </row>
    <row r="43" spans="1:21" ht="33.75" customHeight="1" x14ac:dyDescent="0.2">
      <c r="A43" s="265">
        <v>36</v>
      </c>
      <c r="B43" s="604" t="s">
        <v>53</v>
      </c>
      <c r="C43" s="264" t="s">
        <v>710</v>
      </c>
      <c r="D43" s="264"/>
      <c r="E43" s="36">
        <v>4243631</v>
      </c>
      <c r="F43" s="264"/>
      <c r="G43" s="323" t="s">
        <v>518</v>
      </c>
      <c r="H43" s="662" t="s">
        <v>143</v>
      </c>
      <c r="I43" s="662" t="s">
        <v>143</v>
      </c>
      <c r="J43" s="662" t="s">
        <v>143</v>
      </c>
      <c r="K43" s="662" t="s">
        <v>143</v>
      </c>
      <c r="L43" s="662" t="s">
        <v>143</v>
      </c>
      <c r="M43" s="662" t="s">
        <v>143</v>
      </c>
      <c r="N43" s="662" t="s">
        <v>143</v>
      </c>
      <c r="O43" s="661" t="str">
        <f t="shared" si="5"/>
        <v>no evaluado/no requiere</v>
      </c>
      <c r="P43" s="663" t="str">
        <f>IFERROR(IF(#REF!=0,"No evaluado",+SUM(H43:N43)/O43),"-")</f>
        <v>-</v>
      </c>
      <c r="Q43" s="661" t="str">
        <f t="shared" si="1"/>
        <v>No evaluado</v>
      </c>
      <c r="R43" s="664">
        <v>43906</v>
      </c>
      <c r="S43" s="264" t="e">
        <f t="shared" si="2"/>
        <v>#N/A</v>
      </c>
      <c r="T43" s="442" t="s">
        <v>520</v>
      </c>
      <c r="U43" s="442" t="s">
        <v>520</v>
      </c>
    </row>
    <row r="44" spans="1:21" ht="36" customHeight="1" x14ac:dyDescent="0.2">
      <c r="A44" s="265">
        <v>37</v>
      </c>
      <c r="B44" s="602" t="s">
        <v>54</v>
      </c>
      <c r="C44" s="264" t="s">
        <v>714</v>
      </c>
      <c r="D44" s="36"/>
      <c r="E44" s="36" t="s">
        <v>713</v>
      </c>
      <c r="F44" s="293" t="s">
        <v>711</v>
      </c>
      <c r="G44" s="323" t="s">
        <v>518</v>
      </c>
      <c r="H44" s="662" t="s">
        <v>143</v>
      </c>
      <c r="I44" s="662" t="s">
        <v>143</v>
      </c>
      <c r="J44" s="662" t="s">
        <v>143</v>
      </c>
      <c r="K44" s="662" t="s">
        <v>143</v>
      </c>
      <c r="L44" s="662" t="s">
        <v>143</v>
      </c>
      <c r="M44" s="662" t="s">
        <v>143</v>
      </c>
      <c r="N44" s="662" t="s">
        <v>143</v>
      </c>
      <c r="O44" s="661" t="str">
        <f t="shared" si="5"/>
        <v>no evaluado/no requiere</v>
      </c>
      <c r="P44" s="663" t="str">
        <f t="shared" ref="P44:P49" si="7">IFERROR(IF(O43=0,"No evaluado",+SUM(H44:N44)/O44),"-")</f>
        <v>-</v>
      </c>
      <c r="Q44" s="661" t="str">
        <f t="shared" si="1"/>
        <v>No evaluado</v>
      </c>
      <c r="R44" s="664">
        <v>43906</v>
      </c>
      <c r="S44" s="264" t="e">
        <f t="shared" si="2"/>
        <v>#N/A</v>
      </c>
      <c r="T44" s="442" t="s">
        <v>520</v>
      </c>
      <c r="U44" s="442" t="s">
        <v>520</v>
      </c>
    </row>
    <row r="45" spans="1:21" ht="36" customHeight="1" x14ac:dyDescent="0.2">
      <c r="A45" s="265">
        <v>38</v>
      </c>
      <c r="B45" s="603" t="s">
        <v>715</v>
      </c>
      <c r="C45" s="264" t="s">
        <v>720</v>
      </c>
      <c r="D45" s="36" t="s">
        <v>716</v>
      </c>
      <c r="E45" s="36" t="s">
        <v>719</v>
      </c>
      <c r="F45" s="299" t="s">
        <v>717</v>
      </c>
      <c r="G45" s="323" t="s">
        <v>518</v>
      </c>
      <c r="H45" s="662" t="s">
        <v>143</v>
      </c>
      <c r="I45" s="662" t="s">
        <v>143</v>
      </c>
      <c r="J45" s="662" t="s">
        <v>143</v>
      </c>
      <c r="K45" s="662" t="s">
        <v>143</v>
      </c>
      <c r="L45" s="662" t="s">
        <v>143</v>
      </c>
      <c r="M45" s="662" t="s">
        <v>143</v>
      </c>
      <c r="N45" s="662" t="s">
        <v>143</v>
      </c>
      <c r="O45" s="661" t="str">
        <f t="shared" si="5"/>
        <v>no evaluado/no requiere</v>
      </c>
      <c r="P45" s="663" t="str">
        <f t="shared" si="7"/>
        <v>-</v>
      </c>
      <c r="Q45" s="661" t="str">
        <f t="shared" si="1"/>
        <v>No evaluado</v>
      </c>
      <c r="R45" s="664">
        <v>43906</v>
      </c>
      <c r="S45" s="264" t="e">
        <f t="shared" si="2"/>
        <v>#N/A</v>
      </c>
      <c r="T45" s="442" t="s">
        <v>520</v>
      </c>
      <c r="U45" s="442" t="s">
        <v>520</v>
      </c>
    </row>
    <row r="46" spans="1:21" ht="30" x14ac:dyDescent="0.2">
      <c r="A46" s="265">
        <v>39</v>
      </c>
      <c r="B46" s="603" t="s">
        <v>2009</v>
      </c>
      <c r="C46" s="264" t="s">
        <v>2322</v>
      </c>
      <c r="D46" s="36" t="s">
        <v>2321</v>
      </c>
      <c r="E46" s="36"/>
      <c r="F46" s="61" t="s">
        <v>2320</v>
      </c>
      <c r="G46" s="323" t="s">
        <v>1645</v>
      </c>
      <c r="H46" s="662">
        <v>3</v>
      </c>
      <c r="I46" s="662">
        <v>3</v>
      </c>
      <c r="J46" s="662">
        <v>3</v>
      </c>
      <c r="K46" s="662">
        <v>2</v>
      </c>
      <c r="L46" s="662">
        <v>3</v>
      </c>
      <c r="M46" s="662">
        <v>3</v>
      </c>
      <c r="N46" s="662">
        <v>1</v>
      </c>
      <c r="O46" s="661">
        <f t="shared" si="5"/>
        <v>21</v>
      </c>
      <c r="P46" s="663">
        <f t="shared" si="7"/>
        <v>0.8571428571428571</v>
      </c>
      <c r="Q46" s="661" t="str">
        <f t="shared" si="1"/>
        <v>Apto</v>
      </c>
      <c r="R46" s="664">
        <v>43906</v>
      </c>
      <c r="S46" s="264" t="str">
        <f t="shared" si="2"/>
        <v>Se continúa contratando sus servicios.</v>
      </c>
      <c r="T46" s="442" t="s">
        <v>520</v>
      </c>
      <c r="U46" s="264" t="s">
        <v>1649</v>
      </c>
    </row>
    <row r="47" spans="1:21" ht="24.95" customHeight="1" x14ac:dyDescent="0.2">
      <c r="A47" s="265">
        <v>40</v>
      </c>
      <c r="B47" s="603" t="s">
        <v>55</v>
      </c>
      <c r="C47" s="264" t="s">
        <v>735</v>
      </c>
      <c r="D47" s="36"/>
      <c r="E47" s="36" t="s">
        <v>734</v>
      </c>
      <c r="F47" s="299" t="s">
        <v>732</v>
      </c>
      <c r="G47" s="323" t="s">
        <v>518</v>
      </c>
      <c r="H47" s="662" t="s">
        <v>143</v>
      </c>
      <c r="I47" s="662" t="s">
        <v>143</v>
      </c>
      <c r="J47" s="662" t="s">
        <v>143</v>
      </c>
      <c r="K47" s="662" t="s">
        <v>143</v>
      </c>
      <c r="L47" s="665" t="s">
        <v>143</v>
      </c>
      <c r="M47" s="662" t="s">
        <v>143</v>
      </c>
      <c r="N47" s="662" t="s">
        <v>143</v>
      </c>
      <c r="O47" s="661" t="str">
        <f t="shared" si="5"/>
        <v>no evaluado/no requiere</v>
      </c>
      <c r="P47" s="663" t="str">
        <f t="shared" si="7"/>
        <v>-</v>
      </c>
      <c r="Q47" s="661" t="str">
        <f t="shared" si="1"/>
        <v>No evaluado</v>
      </c>
      <c r="R47" s="664">
        <v>43906</v>
      </c>
      <c r="S47" s="264" t="e">
        <f t="shared" si="2"/>
        <v>#N/A</v>
      </c>
      <c r="T47" s="442" t="s">
        <v>520</v>
      </c>
      <c r="U47" s="442" t="s">
        <v>520</v>
      </c>
    </row>
    <row r="48" spans="1:21" ht="30" x14ac:dyDescent="0.2">
      <c r="A48" s="265">
        <v>41</v>
      </c>
      <c r="B48" s="603" t="s">
        <v>740</v>
      </c>
      <c r="C48" s="264" t="s">
        <v>744</v>
      </c>
      <c r="D48" s="36"/>
      <c r="E48" s="36" t="s">
        <v>743</v>
      </c>
      <c r="F48" s="296" t="s">
        <v>741</v>
      </c>
      <c r="G48" s="323" t="s">
        <v>1645</v>
      </c>
      <c r="H48" s="662">
        <v>3</v>
      </c>
      <c r="I48" s="660">
        <v>3</v>
      </c>
      <c r="J48" s="660">
        <v>2</v>
      </c>
      <c r="K48" s="660">
        <v>2</v>
      </c>
      <c r="L48" s="661">
        <v>3</v>
      </c>
      <c r="M48" s="660">
        <v>2</v>
      </c>
      <c r="N48" s="660">
        <v>2</v>
      </c>
      <c r="O48" s="661">
        <f t="shared" si="5"/>
        <v>21</v>
      </c>
      <c r="P48" s="663">
        <f t="shared" si="7"/>
        <v>0.80952380952380953</v>
      </c>
      <c r="Q48" s="661" t="str">
        <f t="shared" si="1"/>
        <v>Apto</v>
      </c>
      <c r="R48" s="664">
        <v>43906</v>
      </c>
      <c r="S48" s="264" t="str">
        <f t="shared" si="2"/>
        <v>Se continúa contratando sus servicios.</v>
      </c>
      <c r="T48" s="442" t="s">
        <v>520</v>
      </c>
      <c r="U48" s="264" t="s">
        <v>1649</v>
      </c>
    </row>
    <row r="49" spans="1:21" ht="31.5" x14ac:dyDescent="0.2">
      <c r="A49" s="265">
        <v>42</v>
      </c>
      <c r="B49" s="602" t="s">
        <v>56</v>
      </c>
      <c r="C49" s="264" t="s">
        <v>747</v>
      </c>
      <c r="D49" s="36"/>
      <c r="E49" s="36" t="s">
        <v>746</v>
      </c>
      <c r="F49" s="300" t="s">
        <v>143</v>
      </c>
      <c r="G49" s="323" t="s">
        <v>518</v>
      </c>
      <c r="H49" s="662" t="s">
        <v>143</v>
      </c>
      <c r="I49" s="662" t="s">
        <v>143</v>
      </c>
      <c r="J49" s="662" t="s">
        <v>143</v>
      </c>
      <c r="K49" s="662" t="s">
        <v>143</v>
      </c>
      <c r="L49" s="665" t="s">
        <v>143</v>
      </c>
      <c r="M49" s="662" t="s">
        <v>143</v>
      </c>
      <c r="N49" s="662" t="s">
        <v>143</v>
      </c>
      <c r="O49" s="661" t="str">
        <f t="shared" si="5"/>
        <v>no evaluado/no requiere</v>
      </c>
      <c r="P49" s="663" t="str">
        <f t="shared" si="7"/>
        <v>-</v>
      </c>
      <c r="Q49" s="661" t="str">
        <f t="shared" si="1"/>
        <v>No evaluado</v>
      </c>
      <c r="R49" s="664">
        <v>43906</v>
      </c>
      <c r="S49" s="264" t="e">
        <f t="shared" si="2"/>
        <v>#N/A</v>
      </c>
      <c r="T49" s="442" t="s">
        <v>520</v>
      </c>
      <c r="U49" s="442" t="s">
        <v>520</v>
      </c>
    </row>
    <row r="50" spans="1:21" ht="24.95" customHeight="1" x14ac:dyDescent="0.2">
      <c r="A50" s="265">
        <v>43</v>
      </c>
      <c r="B50" s="602" t="s">
        <v>57</v>
      </c>
      <c r="C50" s="264" t="s">
        <v>751</v>
      </c>
      <c r="D50" s="36"/>
      <c r="E50" s="36" t="s">
        <v>750</v>
      </c>
      <c r="F50" s="296" t="s">
        <v>748</v>
      </c>
      <c r="G50" s="323" t="s">
        <v>1645</v>
      </c>
      <c r="H50" s="662">
        <v>2</v>
      </c>
      <c r="I50" s="660">
        <v>1</v>
      </c>
      <c r="J50" s="660">
        <v>3</v>
      </c>
      <c r="K50" s="660">
        <v>2</v>
      </c>
      <c r="L50" s="661">
        <v>3</v>
      </c>
      <c r="M50" s="660">
        <v>2</v>
      </c>
      <c r="N50" s="660">
        <v>0</v>
      </c>
      <c r="O50" s="661">
        <f t="shared" si="5"/>
        <v>21</v>
      </c>
      <c r="P50" s="663" t="str">
        <f>IFERROR(IF(#REF!=0,"No evaluado",+SUM(H50:N50)/O50),"-")</f>
        <v>-</v>
      </c>
      <c r="Q50" s="661" t="str">
        <f t="shared" si="1"/>
        <v>Apto</v>
      </c>
      <c r="R50" s="664">
        <v>43906</v>
      </c>
      <c r="S50" s="264" t="str">
        <f t="shared" si="2"/>
        <v>Se continúa contratando sus servicios.</v>
      </c>
      <c r="T50" s="442"/>
      <c r="U50" s="264" t="s">
        <v>1649</v>
      </c>
    </row>
    <row r="51" spans="1:21" ht="31.5" x14ac:dyDescent="0.2">
      <c r="A51" s="265">
        <v>45</v>
      </c>
      <c r="B51" s="603" t="s">
        <v>59</v>
      </c>
      <c r="C51" s="264" t="s">
        <v>759</v>
      </c>
      <c r="D51" s="36"/>
      <c r="E51" s="36" t="s">
        <v>758</v>
      </c>
      <c r="F51" s="296" t="s">
        <v>756</v>
      </c>
      <c r="G51" s="323" t="s">
        <v>518</v>
      </c>
      <c r="H51" s="662" t="s">
        <v>143</v>
      </c>
      <c r="I51" s="662" t="s">
        <v>143</v>
      </c>
      <c r="J51" s="662" t="s">
        <v>143</v>
      </c>
      <c r="K51" s="662" t="s">
        <v>143</v>
      </c>
      <c r="L51" s="665" t="s">
        <v>143</v>
      </c>
      <c r="M51" s="662" t="s">
        <v>143</v>
      </c>
      <c r="N51" s="662" t="s">
        <v>143</v>
      </c>
      <c r="O51" s="661" t="str">
        <f t="shared" si="5"/>
        <v>no evaluado/no requiere</v>
      </c>
      <c r="P51" s="663" t="str">
        <f>IFERROR(IF(#REF!=0,"No evaluado",+SUM(H51:N51)/O51),"-")</f>
        <v>-</v>
      </c>
      <c r="Q51" s="661" t="str">
        <f t="shared" si="1"/>
        <v>No evaluado</v>
      </c>
      <c r="R51" s="664">
        <v>43906</v>
      </c>
      <c r="S51" s="264" t="e">
        <f t="shared" si="2"/>
        <v>#N/A</v>
      </c>
      <c r="T51" s="264"/>
      <c r="U51" s="442" t="s">
        <v>520</v>
      </c>
    </row>
  </sheetData>
  <autoFilter ref="A6:W50" xr:uid="{00000000-0009-0000-0000-000003000000}">
    <sortState xmlns:xlrd2="http://schemas.microsoft.com/office/spreadsheetml/2017/richdata2" ref="A7:W51">
      <sortCondition ref="B6:B50"/>
    </sortState>
  </autoFilter>
  <dataConsolidate/>
  <mergeCells count="6">
    <mergeCell ref="C1:S1"/>
    <mergeCell ref="C2:S2"/>
    <mergeCell ref="I3:N3"/>
    <mergeCell ref="P3:Q3"/>
    <mergeCell ref="D4:F4"/>
    <mergeCell ref="P4:Q4"/>
  </mergeCells>
  <conditionalFormatting sqref="B8:C9 B10:F11">
    <cfRule type="cellIs" dxfId="37" priority="10" operator="equal">
      <formula>"SI"</formula>
    </cfRule>
  </conditionalFormatting>
  <conditionalFormatting sqref="B12:C15 B16:F16 B17:C21 B22:F23 B24:C24 B25:F26 B27:C31 B32:F32 B33:C41 B42:D42 F42 B43:C50">
    <cfRule type="cellIs" dxfId="36" priority="17" operator="equal">
      <formula>"SI"</formula>
    </cfRule>
  </conditionalFormatting>
  <conditionalFormatting sqref="G3:G9 G11:G1048576">
    <cfRule type="containsText" dxfId="35" priority="12" operator="containsText" text="Inicial">
      <formula>NOT(ISERROR(SEARCH("Inicial",G3)))</formula>
    </cfRule>
    <cfRule type="containsText" dxfId="34" priority="13" operator="containsText" text="Seguimiento">
      <formula>NOT(ISERROR(SEARCH("Seguimiento",G3)))</formula>
    </cfRule>
  </conditionalFormatting>
  <conditionalFormatting sqref="O7:O8 O11:O50">
    <cfRule type="containsText" dxfId="31" priority="11" operator="containsText" text="Falta completar">
      <formula>NOT(ISERROR(SEARCH("Falta completar",O7)))</formula>
    </cfRule>
  </conditionalFormatting>
  <conditionalFormatting sqref="O9">
    <cfRule type="containsText" dxfId="30" priority="21" operator="containsText" text="Falta completar">
      <formula>NOT(ISERROR(SEARCH("Falta completar",O10)))</formula>
    </cfRule>
  </conditionalFormatting>
  <conditionalFormatting sqref="Q9">
    <cfRule type="endsWith" dxfId="28" priority="18" operator="endsWith" text=".">
      <formula>RIGHT(Q10,LEN("."))="."</formula>
    </cfRule>
    <cfRule type="endsWith" priority="19" operator="endsWith" text=".">
      <formula>RIGHT(Q10,LEN("."))="."</formula>
    </cfRule>
    <cfRule type="beginsWith" dxfId="27" priority="20" operator="beginsWith" text="APTO">
      <formula>LEFT(Q10,LEN("APTO"))="APTO"</formula>
    </cfRule>
  </conditionalFormatting>
  <conditionalFormatting sqref="Q7:R8 Q11:R50">
    <cfRule type="endsWith" dxfId="26" priority="14" operator="endsWith" text=".">
      <formula>RIGHT(Q7,LEN("."))="."</formula>
    </cfRule>
    <cfRule type="endsWith" priority="15" operator="endsWith" text=".">
      <formula>RIGHT(Q7,LEN("."))="."</formula>
    </cfRule>
    <cfRule type="beginsWith" dxfId="25" priority="16" operator="beginsWith" text="APTO">
      <formula>LEFT(Q7,LEN("APTO"))="APTO"</formula>
    </cfRule>
  </conditionalFormatting>
  <conditionalFormatting sqref="R9">
    <cfRule type="endsWith" dxfId="22" priority="1" operator="endsWith" text=".">
      <formula>RIGHT(R9,LEN("."))="."</formula>
    </cfRule>
    <cfRule type="endsWith" priority="2" operator="endsWith" text=".">
      <formula>RIGHT(R9,LEN("."))="."</formula>
    </cfRule>
    <cfRule type="beginsWith" dxfId="21" priority="3" operator="beginsWith" text="APTO">
      <formula>LEFT(R9,LEN("APTO"))="APTO"</formula>
    </cfRule>
  </conditionalFormatting>
  <dataValidations count="7">
    <dataValidation type="list" allowBlank="1" showInputMessage="1" showErrorMessage="1" prompt="3:Tiene SGC Acreditado_x000a_2: Tiene un SGC_x000a_1: No tiene SGC_x000a_---: No Evaluado/No aplica/No requiere" sqref="N7:N50" xr:uid="{00000000-0002-0000-0300-000000000000}">
      <formula1>"3,2,1,'---"</formula1>
    </dataValidation>
    <dataValidation type="list" allowBlank="1" showInputMessage="1" showErrorMessage="1" prompt="3: Si_x000a_2: Cuando se solicita_x000a_1: No_x000a_---: No  requiere/No aplica/No evaluado" sqref="I7:I50" xr:uid="{00000000-0002-0000-0300-000001000000}">
      <formula1>"3,2,1,'---"</formula1>
    </dataValidation>
    <dataValidation type="list" allowBlank="1" showInputMessage="1" showErrorMessage="1" prompt="3: Si_x000a_2: Generalmente_x000a_1: No_x000a_---: No evaluado/ No aplica/ No requiere" sqref="J7:J50 H7:H50" xr:uid="{00000000-0002-0000-0300-000002000000}">
      <formula1>"3,2,1,'---"</formula1>
    </dataValidation>
    <dataValidation allowBlank="1" showErrorMessage="1" prompt="3. Ofrece y brinda asistencia de forma expontanea_x000a_2. Brinda asistencia si se le requiere_x000a_1. No brinda asistencia" sqref="O7:O50" xr:uid="{00000000-0002-0000-0300-000003000000}"/>
    <dataValidation type="list" allowBlank="1" showInputMessage="1" showErrorMessage="1" prompt="3. Tiene menor precio que la competencia_x000a_2. Precio comparable_x000a_1. Mas caro que la competencia_x000a_---: No evaluado/No aplica/ No requiere" sqref="K7:K50" xr:uid="{00000000-0002-0000-0300-000004000000}">
      <formula1>"3,2,1,'---"</formula1>
    </dataValidation>
    <dataValidation type="list" allowBlank="1" showInputMessage="1" showErrorMessage="1" prompt="3. Asiste técnicamente, aserora _x000a_2. Asiste técnicamente por requerimiento_x000a_1. No brinda asistencia_x000a_'---: No evaluado/No aplica/ No requiere" sqref="M7:M50" xr:uid="{00000000-0002-0000-0300-000005000000}">
      <formula1>"3,2,1,'---"</formula1>
    </dataValidation>
    <dataValidation type="list" allowBlank="1" showInputMessage="1" showErrorMessage="1" prompt="3: Entrega conforme a lo pactado_x000a_2: Entrega tarde pero comunica_x000a_1: No cumple el plazo de entrega_x000a_---: No evaluado/No aplica/ No requiere" sqref="L7:L50" xr:uid="{00000000-0002-0000-0300-000006000000}">
      <formula1>"3,2,1,'---"</formula1>
    </dataValidation>
  </dataValidations>
  <hyperlinks>
    <hyperlink ref="B29" location="'IND. Y MED.'!Área_de_impresión" display="INDUSTRIA Y" xr:uid="{00000000-0004-0000-0300-000000000000}"/>
    <hyperlink ref="B26" location="FITE!Área_de_impresión" display="FITE SAC e I" xr:uid="{00000000-0004-0000-0300-000001000000}"/>
    <hyperlink ref="B16" location="CHEMEIA!A1" display="CHEMEIA S.A." xr:uid="{00000000-0004-0000-0300-000002000000}"/>
    <hyperlink ref="B12" location="BIOFARMA!A1" display="BIOFARMA S.A." xr:uid="{00000000-0004-0000-0300-000003000000}"/>
    <hyperlink ref="F11" r:id="rId1" xr:uid="{00000000-0004-0000-0300-000004000000}"/>
    <hyperlink ref="F16" r:id="rId2" xr:uid="{00000000-0004-0000-0300-000005000000}"/>
    <hyperlink ref="F18" r:id="rId3" xr:uid="{00000000-0004-0000-0300-000006000000}"/>
    <hyperlink ref="F22" r:id="rId4" xr:uid="{00000000-0004-0000-0300-000007000000}"/>
    <hyperlink ref="F30" r:id="rId5" xr:uid="{00000000-0004-0000-0300-000008000000}"/>
    <hyperlink ref="F42" r:id="rId6" xr:uid="{00000000-0004-0000-0300-000009000000}"/>
    <hyperlink ref="F17" r:id="rId7" xr:uid="{00000000-0004-0000-0300-00000A000000}"/>
    <hyperlink ref="F29" r:id="rId8" xr:uid="{00000000-0004-0000-0300-00000B000000}"/>
    <hyperlink ref="F46" r:id="rId9" xr:uid="{00000000-0004-0000-0300-00000C000000}"/>
    <hyperlink ref="F21" r:id="rId10" xr:uid="{00000000-0004-0000-0300-00000D000000}"/>
    <hyperlink ref="F36" r:id="rId11" xr:uid="{00000000-0004-0000-0300-00000E000000}"/>
  </hyperlinks>
  <printOptions horizontalCentered="1"/>
  <pageMargins left="0.19685039370078741" right="0.19685039370078741" top="0.19685039370078741" bottom="0.27559055118110237" header="0" footer="0"/>
  <pageSetup paperSize="9" scale="29" orientation="landscape" r:id="rId12"/>
  <headerFooter alignWithMargins="0">
    <oddFooter>&amp;L&amp;8Rev: 0
Emisión: 05/02/18&amp;C&amp;8Prepara: F. Perazzo
Revisa y Aprueba: R. Clausen&amp;R&amp;8&amp;Pde&amp;N</oddFooter>
  </headerFooter>
  <rowBreaks count="1" manualBreakCount="1">
    <brk id="58" max="15" man="1"/>
  </rowBreaks>
  <drawing r:id="rId13"/>
  <legacyDrawing r:id="rId14"/>
  <extLst>
    <ext xmlns:x14="http://schemas.microsoft.com/office/spreadsheetml/2009/9/main" uri="{78C0D931-6437-407d-A8EE-F0AAD7539E65}">
      <x14:conditionalFormattings>
        <x14:conditionalFormatting xmlns:xm="http://schemas.microsoft.com/office/excel/2006/main">
          <x14:cfRule type="containsText" priority="5" operator="containsText" text="Inicial" id="{E3DA2ABA-4BBC-4397-8E57-66AAEF84B10B}">
            <xm:f>NOT(ISERROR(SEARCH("Inicial",'C:\Users\Fabrizio\Documents\Históricos\[Evaluacion de proveedores. 2020.xlsx]Servicios 2020'!#REF!)))</xm:f>
            <x14:dxf>
              <fill>
                <gradientFill degree="90">
                  <stop position="0">
                    <color theme="0"/>
                  </stop>
                  <stop position="1">
                    <color theme="9"/>
                  </stop>
                </gradientFill>
              </fill>
            </x14:dxf>
          </x14:cfRule>
          <x14:cfRule type="containsText" priority="6" operator="containsText" text="Seguimiento" id="{8A65961A-601A-48F3-8467-CC85052FB5BD}">
            <xm:f>NOT(ISERROR(SEARCH("Seguimiento",'C:\Users\Fabrizio\Documents\Históricos\[Evaluacion de proveedores. 2020.xlsx]Servicios 2020'!#REF!)))</xm:f>
            <x14:dxf>
              <fill>
                <gradientFill degree="90">
                  <stop position="0">
                    <color theme="0"/>
                  </stop>
                  <stop position="1">
                    <color theme="4"/>
                  </stop>
                </gradientFill>
              </fill>
            </x14:dxf>
          </x14:cfRule>
          <xm:sqref>G10</xm:sqref>
        </x14:conditionalFormatting>
        <x14:conditionalFormatting xmlns:xm="http://schemas.microsoft.com/office/excel/2006/main">
          <x14:cfRule type="containsText" priority="4" operator="containsText" text="Falta completar" id="{B3D4FA88-6A9F-4108-BDFC-7819F51FC69B}">
            <xm:f>NOT(ISERROR(SEARCH("Falta completar",'C:\Users\Fabrizio\Documents\Históricos\[Evaluacion de proveedores. 2020.xlsx]Servicios 2020'!#REF!)))</xm:f>
            <x14:dxf>
              <fill>
                <patternFill>
                  <bgColor rgb="FFFFFF00"/>
                </patternFill>
              </fill>
            </x14:dxf>
          </x14:cfRule>
          <xm:sqref>O10</xm:sqref>
        </x14:conditionalFormatting>
        <x14:conditionalFormatting xmlns:xm="http://schemas.microsoft.com/office/excel/2006/main">
          <x14:cfRule type="endsWith" priority="7" operator="endsWith" text="." id="{81572C9B-A227-4299-A0D2-D763CCCF550D}">
            <xm:f>RIGHT('C:\Users\Fabrizio\Documents\Históricos\[Evaluacion de proveedores. 2020.xlsx]Servicios 2020'!#REF!,LEN("."))="."</xm:f>
            <x14:dxf>
              <fill>
                <patternFill>
                  <bgColor rgb="FFFF0000"/>
                </patternFill>
              </fill>
            </x14:dxf>
          </x14:cfRule>
          <x14:cfRule type="endsWith" priority="8" operator="endsWith" text="." id="{23C39061-7331-4832-BA70-8641453D2CD9}">
            <xm:f>RIGHT('C:\Users\Fabrizio\Documents\Históricos\[Evaluacion de proveedores. 2020.xlsx]Servicios 2020'!#REF!,LEN("."))="."</xm:f>
            <x14:dxf/>
          </x14:cfRule>
          <x14:cfRule type="beginsWith" priority="9" operator="beginsWith" text="APTO" id="{3000464B-0389-4EBB-8029-957A15DDEE91}">
            <xm:f>LEFT('C:\Users\Fabrizio\Documents\Históricos\[Evaluacion de proveedores. 2020.xlsx]Servicios 2020'!#REF!,LEN("APTO"))="APTO"</xm:f>
            <x14:dxf>
              <fill>
                <patternFill>
                  <bgColor rgb="FF92D050"/>
                </patternFill>
              </fill>
            </x14:dxf>
          </x14:cfRule>
          <xm:sqref>Q10:R10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V15"/>
  <sheetViews>
    <sheetView view="pageBreakPreview" zoomScale="80" zoomScaleNormal="70" zoomScaleSheetLayoutView="80" workbookViewId="0">
      <pane xSplit="1" ySplit="7" topLeftCell="B8" activePane="bottomRight" state="frozen"/>
      <selection pane="topRight" activeCell="B1" sqref="B1"/>
      <selection pane="bottomLeft" activeCell="A8" sqref="A8"/>
      <selection pane="bottomRight" activeCell="C2" sqref="C2:R2"/>
    </sheetView>
  </sheetViews>
  <sheetFormatPr baseColWidth="10" defaultRowHeight="15" outlineLevelCol="1" x14ac:dyDescent="0.2"/>
  <cols>
    <col min="1" max="1" width="4" style="311" bestFit="1" customWidth="1"/>
    <col min="2" max="2" width="32.5703125" style="311" customWidth="1"/>
    <col min="3" max="3" width="29.42578125" style="311" customWidth="1"/>
    <col min="4" max="4" width="17.42578125" style="311" customWidth="1" outlineLevel="1"/>
    <col min="5" max="5" width="21" style="311" customWidth="1" outlineLevel="1"/>
    <col min="6" max="6" width="29.42578125" style="311" customWidth="1" outlineLevel="1"/>
    <col min="7" max="7" width="14.85546875" style="28" customWidth="1"/>
    <col min="8" max="8" width="17.140625" style="311" customWidth="1" outlineLevel="1"/>
    <col min="9" max="9" width="14" style="311" customWidth="1" outlineLevel="1"/>
    <col min="10" max="10" width="14.5703125" style="311" customWidth="1" outlineLevel="1"/>
    <col min="11" max="11" width="15.28515625" style="311" customWidth="1" outlineLevel="1"/>
    <col min="12" max="12" width="13" style="311" customWidth="1" outlineLevel="1"/>
    <col min="13" max="13" width="10.140625" style="311" customWidth="1" outlineLevel="1"/>
    <col min="14" max="14" width="19.85546875" style="311" customWidth="1" outlineLevel="1"/>
    <col min="15" max="15" width="11.5703125" style="311" customWidth="1" outlineLevel="1"/>
    <col min="16" max="16" width="15.5703125" style="311" customWidth="1" outlineLevel="1"/>
    <col min="17" max="17" width="11.7109375" style="311" customWidth="1" outlineLevel="1"/>
    <col min="18" max="18" width="38.42578125" style="311" customWidth="1" outlineLevel="1"/>
    <col min="19" max="19" width="32.85546875" style="311" customWidth="1" outlineLevel="1"/>
    <col min="20" max="20" width="13.85546875" style="311" customWidth="1" outlineLevel="1"/>
    <col min="21" max="21" width="14.85546875" style="311" customWidth="1"/>
    <col min="22" max="22" width="51.42578125" style="311" customWidth="1"/>
    <col min="23" max="16384" width="11.42578125" style="311"/>
  </cols>
  <sheetData>
    <row r="1" spans="1:22" ht="30.75" customHeight="1" x14ac:dyDescent="0.2">
      <c r="C1" s="709"/>
      <c r="D1" s="709"/>
      <c r="E1" s="709"/>
      <c r="F1" s="709"/>
      <c r="G1" s="709"/>
      <c r="H1" s="709"/>
      <c r="I1" s="709"/>
      <c r="J1" s="709"/>
      <c r="K1" s="709"/>
      <c r="L1" s="709"/>
      <c r="M1" s="709"/>
      <c r="N1" s="709"/>
      <c r="O1" s="709"/>
      <c r="P1" s="709"/>
      <c r="Q1" s="709"/>
      <c r="R1" s="709"/>
      <c r="U1" s="704"/>
      <c r="V1" s="705"/>
    </row>
    <row r="2" spans="1:22" ht="60" customHeight="1" x14ac:dyDescent="0.2">
      <c r="C2" s="740" t="s">
        <v>2546</v>
      </c>
      <c r="D2" s="740"/>
      <c r="E2" s="740"/>
      <c r="F2" s="740"/>
      <c r="G2" s="740"/>
      <c r="H2" s="740"/>
      <c r="I2" s="740"/>
      <c r="J2" s="740"/>
      <c r="K2" s="740"/>
      <c r="L2" s="740"/>
      <c r="M2" s="740"/>
      <c r="N2" s="740"/>
      <c r="O2" s="740"/>
      <c r="P2" s="740"/>
      <c r="Q2" s="740"/>
      <c r="R2" s="740"/>
      <c r="S2" s="327"/>
      <c r="T2" s="327"/>
      <c r="U2" s="704"/>
      <c r="V2" s="705"/>
    </row>
    <row r="3" spans="1:22" ht="29.25" customHeight="1" thickBot="1" x14ac:dyDescent="0.25">
      <c r="H3" s="710"/>
      <c r="I3" s="710"/>
      <c r="J3" s="710"/>
      <c r="K3" s="710"/>
      <c r="L3" s="710"/>
      <c r="M3" s="710"/>
      <c r="O3" s="736"/>
      <c r="P3" s="736"/>
      <c r="Q3" s="318"/>
      <c r="U3" s="704"/>
      <c r="V3" s="705"/>
    </row>
    <row r="4" spans="1:22" ht="21.75" customHeight="1" thickBot="1" x14ac:dyDescent="0.25">
      <c r="H4" s="732">
        <v>2023</v>
      </c>
      <c r="I4" s="733"/>
      <c r="J4" s="733"/>
      <c r="K4" s="733"/>
      <c r="L4" s="733"/>
      <c r="M4" s="733"/>
      <c r="N4" s="733"/>
      <c r="O4" s="733"/>
      <c r="P4" s="733"/>
      <c r="Q4" s="733"/>
      <c r="R4" s="733"/>
      <c r="S4" s="734"/>
      <c r="U4" s="704"/>
      <c r="V4" s="705"/>
    </row>
    <row r="5" spans="1:22" ht="18.75" customHeight="1" thickBot="1" x14ac:dyDescent="0.25">
      <c r="D5" s="726" t="s">
        <v>1654</v>
      </c>
      <c r="E5" s="727"/>
      <c r="F5" s="728"/>
      <c r="H5" s="737" t="s">
        <v>2545</v>
      </c>
      <c r="I5" s="738"/>
      <c r="J5" s="738"/>
      <c r="K5" s="738"/>
      <c r="L5" s="738"/>
      <c r="M5" s="739"/>
      <c r="N5" s="700"/>
      <c r="O5" s="735" t="s">
        <v>1616</v>
      </c>
      <c r="P5" s="731"/>
      <c r="Q5" s="730" t="s">
        <v>1640</v>
      </c>
      <c r="R5" s="731"/>
      <c r="S5" s="707">
        <v>45202</v>
      </c>
    </row>
    <row r="6" spans="1:22" ht="7.5" customHeight="1" x14ac:dyDescent="0.2">
      <c r="D6" s="706"/>
      <c r="E6" s="706"/>
      <c r="F6" s="706"/>
      <c r="O6" s="318"/>
      <c r="P6" s="318"/>
      <c r="Q6" s="318"/>
      <c r="R6" s="328"/>
    </row>
    <row r="7" spans="1:22" ht="82.5" customHeight="1" x14ac:dyDescent="0.2">
      <c r="A7" s="305"/>
      <c r="B7" s="306" t="s">
        <v>451</v>
      </c>
      <c r="C7" s="262"/>
      <c r="D7" s="307" t="s">
        <v>1655</v>
      </c>
      <c r="E7" s="307" t="s">
        <v>1656</v>
      </c>
      <c r="F7" s="307" t="s">
        <v>503</v>
      </c>
      <c r="G7" s="32" t="s">
        <v>2544</v>
      </c>
      <c r="H7" s="307" t="s">
        <v>2543</v>
      </c>
      <c r="I7" s="307" t="s">
        <v>2542</v>
      </c>
      <c r="J7" s="307" t="s">
        <v>2541</v>
      </c>
      <c r="K7" s="307" t="s">
        <v>2539</v>
      </c>
      <c r="L7" s="308" t="s">
        <v>2540</v>
      </c>
      <c r="M7" s="307" t="s">
        <v>1586</v>
      </c>
      <c r="N7" s="307" t="s">
        <v>1589</v>
      </c>
      <c r="O7" s="307" t="s">
        <v>1590</v>
      </c>
      <c r="P7" s="309" t="s">
        <v>510</v>
      </c>
      <c r="Q7" s="309" t="s">
        <v>511</v>
      </c>
      <c r="R7" s="310" t="s">
        <v>1591</v>
      </c>
      <c r="S7" s="320" t="s">
        <v>1641</v>
      </c>
      <c r="T7" s="264" t="s">
        <v>1639</v>
      </c>
    </row>
    <row r="8" spans="1:22" ht="94.5" customHeight="1" x14ac:dyDescent="0.2">
      <c r="A8" s="265">
        <v>1</v>
      </c>
      <c r="B8" s="602" t="s">
        <v>2560</v>
      </c>
      <c r="C8" s="264" t="s">
        <v>2564</v>
      </c>
      <c r="D8" s="264" t="s">
        <v>2567</v>
      </c>
      <c r="E8" s="264">
        <v>123456</v>
      </c>
      <c r="F8" s="264" t="s">
        <v>2566</v>
      </c>
      <c r="G8" s="323" t="s">
        <v>1645</v>
      </c>
      <c r="H8" s="313">
        <v>2</v>
      </c>
      <c r="I8" s="313">
        <v>3</v>
      </c>
      <c r="J8" s="314">
        <v>1</v>
      </c>
      <c r="K8" s="313">
        <v>1</v>
      </c>
      <c r="L8" s="313">
        <v>2</v>
      </c>
      <c r="M8" s="313">
        <v>3</v>
      </c>
      <c r="N8" s="314">
        <f t="shared" ref="N8:N10" si="0">IF(COUNTIF($H8:$M8,"---")=7,"no evaluado/no requiere",IF(COUNTA($H$7:$M$7)=COUNTA($H8:$M8),COUNTA($H8:$M8)*3,"Falta completar"))</f>
        <v>18</v>
      </c>
      <c r="O8" s="315">
        <f>IFERROR(IF(N7=0,"No evaluado",+SUM(H8:M8)/N8),"-")</f>
        <v>0.66666666666666663</v>
      </c>
      <c r="P8" s="314" t="str">
        <f>IF(N8="no evaluado/no requiere","No evaluado",+IF(O8&gt;70%,"APROBADO",(+IF(O8&lt;50%,"DESAPROBADO.","EN SEGUIMIENTO"))))</f>
        <v>EN SEGUIMIENTO</v>
      </c>
      <c r="Q8" s="329">
        <v>44312</v>
      </c>
      <c r="R8" s="264" t="str">
        <f>VLOOKUP(P8,$B$13:$C$15,2,FALSE)</f>
        <v>Se evaluarán disposición de insumos y, se tratará con el proveedor para llegar a un acuerdo, de lo contrario se busca otro proveedor.</v>
      </c>
      <c r="S8" s="264" t="s">
        <v>2522</v>
      </c>
      <c r="T8" s="264" t="s">
        <v>486</v>
      </c>
    </row>
    <row r="9" spans="1:22" s="598" customFormat="1" ht="42.75" customHeight="1" x14ac:dyDescent="0.2">
      <c r="A9" s="265">
        <v>2</v>
      </c>
      <c r="B9" s="602" t="s">
        <v>2561</v>
      </c>
      <c r="C9" s="264" t="s">
        <v>2565</v>
      </c>
      <c r="D9" s="599" t="s">
        <v>2567</v>
      </c>
      <c r="E9" s="599">
        <v>123456</v>
      </c>
      <c r="F9" s="293" t="s">
        <v>2566</v>
      </c>
      <c r="G9" s="323" t="s">
        <v>1645</v>
      </c>
      <c r="H9" s="412">
        <v>3</v>
      </c>
      <c r="I9" s="313">
        <v>2</v>
      </c>
      <c r="J9" s="314">
        <v>2</v>
      </c>
      <c r="K9" s="313">
        <v>2</v>
      </c>
      <c r="L9" s="313">
        <v>3</v>
      </c>
      <c r="M9" s="313">
        <v>2</v>
      </c>
      <c r="N9" s="314">
        <f t="shared" si="0"/>
        <v>18</v>
      </c>
      <c r="O9" s="315" t="str">
        <f>IFERROR(IF(#REF!=0,"No evaluado",+SUM(H9:M9)/N9),"-")</f>
        <v>-</v>
      </c>
      <c r="P9" s="314" t="str">
        <f t="shared" ref="P9:P10" si="1">IF(N9="no evaluado/no requiere","No evaluado",+IF(O9&gt;70%,"APROBADO",(+IF(O9&lt;50%,"NO APROBADO.","En Seguimiento"))))</f>
        <v>APROBADO</v>
      </c>
      <c r="Q9" s="329">
        <v>44312</v>
      </c>
      <c r="R9" s="264" t="str">
        <f>VLOOKUP(P9,$B$13:$C$15,2,FALSE)</f>
        <v>Se continúa contratando sus servicios.</v>
      </c>
      <c r="S9" s="442" t="s">
        <v>2324</v>
      </c>
      <c r="T9" s="264" t="s">
        <v>486</v>
      </c>
      <c r="U9" s="311"/>
      <c r="V9" s="311"/>
    </row>
    <row r="10" spans="1:22" ht="66" customHeight="1" x14ac:dyDescent="0.2">
      <c r="A10" s="265">
        <v>3</v>
      </c>
      <c r="B10" s="602" t="s">
        <v>2562</v>
      </c>
      <c r="C10" s="264" t="s">
        <v>807</v>
      </c>
      <c r="D10" s="36" t="s">
        <v>2567</v>
      </c>
      <c r="E10" s="36">
        <v>123456</v>
      </c>
      <c r="F10" s="295" t="s">
        <v>2566</v>
      </c>
      <c r="G10" s="323" t="s">
        <v>1645</v>
      </c>
      <c r="H10" s="412">
        <v>3</v>
      </c>
      <c r="I10" s="313">
        <v>3</v>
      </c>
      <c r="J10" s="314">
        <v>3</v>
      </c>
      <c r="K10" s="313">
        <v>2</v>
      </c>
      <c r="L10" s="313">
        <v>1</v>
      </c>
      <c r="M10" s="313">
        <v>2</v>
      </c>
      <c r="N10" s="314">
        <f t="shared" si="0"/>
        <v>18</v>
      </c>
      <c r="O10" s="315" t="str">
        <f>IFERROR(IF(#REF!=0,"No evaluado",+SUM(H10:M10)/N10),"-")</f>
        <v>-</v>
      </c>
      <c r="P10" s="314" t="str">
        <f t="shared" si="1"/>
        <v>APROBADO</v>
      </c>
      <c r="Q10" s="329">
        <v>44312</v>
      </c>
      <c r="R10" s="264" t="str">
        <f>VLOOKUP(P10,$B$13:$C$15,2,FALSE)</f>
        <v>Se continúa contratando sus servicios.</v>
      </c>
      <c r="S10" s="264" t="s">
        <v>2523</v>
      </c>
      <c r="T10" s="264" t="s">
        <v>486</v>
      </c>
    </row>
    <row r="11" spans="1:22" x14ac:dyDescent="0.2">
      <c r="A11" s="689"/>
      <c r="B11" s="689"/>
      <c r="C11" s="689"/>
      <c r="D11" s="689"/>
      <c r="E11" s="689"/>
      <c r="F11" s="689"/>
      <c r="G11" s="690"/>
      <c r="H11" s="689"/>
      <c r="I11" s="689"/>
      <c r="J11" s="689"/>
      <c r="K11" s="689"/>
      <c r="L11" s="689"/>
      <c r="M11" s="689"/>
      <c r="N11" s="689"/>
      <c r="O11" s="689"/>
      <c r="P11" s="689"/>
      <c r="Q11" s="689"/>
      <c r="R11" s="689"/>
      <c r="S11" s="689"/>
      <c r="T11" s="689"/>
    </row>
    <row r="12" spans="1:22" ht="15.75" thickBot="1" x14ac:dyDescent="0.25"/>
    <row r="13" spans="1:22" ht="30" x14ac:dyDescent="0.2">
      <c r="B13" s="697" t="s">
        <v>2555</v>
      </c>
      <c r="C13" s="693" t="s">
        <v>1593</v>
      </c>
    </row>
    <row r="14" spans="1:22" ht="90" x14ac:dyDescent="0.2">
      <c r="B14" s="694" t="s">
        <v>2553</v>
      </c>
      <c r="C14" s="695" t="s">
        <v>1595</v>
      </c>
    </row>
    <row r="15" spans="1:22" ht="45.75" thickBot="1" x14ac:dyDescent="0.25">
      <c r="B15" s="698" t="s">
        <v>2554</v>
      </c>
      <c r="C15" s="696" t="s">
        <v>1596</v>
      </c>
    </row>
  </sheetData>
  <autoFilter ref="A7:V10" xr:uid="{00000000-0009-0000-0000-000004000000}">
    <sortState xmlns:xlrd2="http://schemas.microsoft.com/office/spreadsheetml/2017/richdata2" ref="A10:W25">
      <sortCondition ref="B8:B36"/>
    </sortState>
  </autoFilter>
  <sortState xmlns:xlrd2="http://schemas.microsoft.com/office/spreadsheetml/2017/richdata2" ref="A9:U28">
    <sortCondition ref="B9"/>
  </sortState>
  <dataConsolidate/>
  <mergeCells count="7">
    <mergeCell ref="C2:R2"/>
    <mergeCell ref="Q5:R5"/>
    <mergeCell ref="H4:S4"/>
    <mergeCell ref="O5:P5"/>
    <mergeCell ref="O3:P3"/>
    <mergeCell ref="D5:F5"/>
    <mergeCell ref="H5:M5"/>
  </mergeCells>
  <phoneticPr fontId="105" type="noConversion"/>
  <conditionalFormatting sqref="C9">
    <cfRule type="cellIs" dxfId="20" priority="50" operator="equal">
      <formula>"SI"</formula>
    </cfRule>
  </conditionalFormatting>
  <conditionalFormatting sqref="C10:F10">
    <cfRule type="cellIs" dxfId="19" priority="61" operator="equal">
      <formula>"SI"</formula>
    </cfRule>
  </conditionalFormatting>
  <conditionalFormatting sqref="G3:G1048576">
    <cfRule type="containsText" dxfId="18" priority="31" operator="containsText" text="Inicial">
      <formula>NOT(ISERROR(SEARCH("Inicial",G3)))</formula>
    </cfRule>
    <cfRule type="containsText" dxfId="17" priority="32" operator="containsText" text="Seguimiento">
      <formula>NOT(ISERROR(SEARCH("Seguimiento",G3)))</formula>
    </cfRule>
  </conditionalFormatting>
  <conditionalFormatting sqref="N8:N10">
    <cfRule type="containsText" dxfId="16" priority="51" operator="containsText" text="Falta completar">
      <formula>NOT(ISERROR(SEARCH("Falta completar",N8)))</formula>
    </cfRule>
  </conditionalFormatting>
  <conditionalFormatting sqref="P8:P10">
    <cfRule type="containsText" dxfId="15" priority="1" operator="containsText" text="EN SEGUIMIENTO">
      <formula>NOT(ISERROR(SEARCH("EN SEGUIMIENTO",P8)))</formula>
    </cfRule>
    <cfRule type="containsText" dxfId="14" priority="2" operator="containsText" text="APROBADO">
      <formula>NOT(ISERROR(SEARCH("APROBADO",P8)))</formula>
    </cfRule>
  </conditionalFormatting>
  <conditionalFormatting sqref="P8:Q10">
    <cfRule type="endsWith" dxfId="13" priority="3" operator="endsWith" text=".">
      <formula>RIGHT(P8,LEN("."))="."</formula>
    </cfRule>
    <cfRule type="endsWith" priority="4" operator="endsWith" text=".">
      <formula>RIGHT(P8,LEN("."))="."</formula>
    </cfRule>
    <cfRule type="beginsWith" dxfId="12" priority="5" operator="beginsWith" text="APTO">
      <formula>LEFT(P8,LEN("APTO"))="APTO"</formula>
    </cfRule>
  </conditionalFormatting>
  <dataValidations xWindow="1481" yWindow="530" count="8">
    <dataValidation type="list" allowBlank="1" showInputMessage="1" showErrorMessage="1" prompt="3. Tiene menor precio que la competencia_x000a_2. Precio comparable_x000a_1. Mas caro que la competencia_x000a_---: No evaluado/No aplica/ No requiere" sqref="M8:M10" xr:uid="{00000000-0002-0000-0400-000000000000}">
      <formula1>"3,2,1,'---"</formula1>
    </dataValidation>
    <dataValidation type="list" allowBlank="1" showInputMessage="1" showErrorMessage="1" prompt="3: Entrega conforme a lo pactado_x000a_2: Entrega tarde pero comunica_x000a_1: No cumple el plazo de entrega_x000a_---: No evaluado/No aplica/ No requiere" sqref="J8:J10" xr:uid="{00000000-0002-0000-0400-000001000000}">
      <formula1>"3,2,1,'---"</formula1>
    </dataValidation>
    <dataValidation type="list" allowBlank="1" showInputMessage="1" showErrorMessage="1" prompt="3. Asiste técnicamente, aserora _x000a_2. Asiste técnicamente por requerimiento_x000a_1. No brinda asistencia_x000a_'---: No evaluado/No aplica/ No requiere" sqref="L8:L10" xr:uid="{00000000-0002-0000-0400-000002000000}">
      <formula1>"3,2,1,'---"</formula1>
    </dataValidation>
    <dataValidation type="list" allowBlank="1" showInputMessage="1" showErrorMessage="1" prompt="3: Si_x000a_2: Generalmente_x000a_1: No_x000a_---: No evaluado/ No aplica/ No requiere" sqref="I9:I10" xr:uid="{00000000-0002-0000-0400-000003000000}">
      <formula1>"3,2,1,'---"</formula1>
    </dataValidation>
    <dataValidation type="list" allowBlank="1" showInputMessage="1" showErrorMessage="1" prompt="3: Si_x000a_2: Cuando se solicita_x000a_1: No_x000a_---: No  requiere/No aplica/No evaluado" sqref="K8:K10" xr:uid="{00000000-0002-0000-0400-000004000000}">
      <formula1>"3,2,1,'---"</formula1>
    </dataValidation>
    <dataValidation allowBlank="1" showErrorMessage="1" prompt="3. Ofrece y brinda asistencia de forma expontanea_x000a_2. Brinda asistencia si se le requiere_x000a_1. No brinda asistencia" sqref="N8:N10" xr:uid="{00000000-0002-0000-0400-000005000000}"/>
    <dataValidation type="list" allowBlank="1" showInputMessage="1" showErrorMessage="1" prompt="3: Cumple_x000a_2: Cumple parcialmente_x000a_1: No cumple_x000a_---: No evaluado/ No aplica/ No requiere" sqref="I8" xr:uid="{00000000-0002-0000-0400-000006000000}">
      <formula1>"3,2,1,'---"</formula1>
    </dataValidation>
    <dataValidation type="list" allowBlank="1" showInputMessage="1" showErrorMessage="1" prompt="1: Siempre_x000a_2: En general_x000a_3: Nunca" sqref="H8:H10" xr:uid="{00000000-0002-0000-0400-000007000000}">
      <formula1>"1,2,3,'---"</formula1>
    </dataValidation>
  </dataValidations>
  <printOptions horizontalCentered="1"/>
  <pageMargins left="0.19685039370078741" right="0.19685039370078741" top="0.19685039370078741" bottom="0.27559055118110237" header="0" footer="0"/>
  <pageSetup paperSize="9" scale="29" orientation="landscape" r:id="rId1"/>
  <headerFooter alignWithMargins="0">
    <oddFooter>&amp;L&amp;8Rev: 1
Emisión: 26/04/21&amp;C&amp;8Prepara: F. Perazzo
&amp;R&amp;8&amp;Pde&amp;N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249977111117893"/>
  </sheetPr>
  <dimension ref="A1:U18"/>
  <sheetViews>
    <sheetView tabSelected="1" zoomScale="80" zoomScaleNormal="80" workbookViewId="0">
      <selection activeCell="R11" sqref="R11"/>
    </sheetView>
  </sheetViews>
  <sheetFormatPr baseColWidth="10" defaultRowHeight="15" outlineLevelCol="1" x14ac:dyDescent="0.2"/>
  <cols>
    <col min="1" max="1" width="4" style="311" bestFit="1" customWidth="1"/>
    <col min="2" max="2" width="32.5703125" style="311" customWidth="1"/>
    <col min="3" max="3" width="35.7109375" style="311" customWidth="1"/>
    <col min="4" max="4" width="17.42578125" style="311" customWidth="1" outlineLevel="1"/>
    <col min="5" max="5" width="21" style="311" customWidth="1" outlineLevel="1"/>
    <col min="6" max="6" width="28.140625" style="311" customWidth="1" outlineLevel="1"/>
    <col min="7" max="7" width="14" style="28" customWidth="1"/>
    <col min="8" max="8" width="21.42578125" style="311" customWidth="1"/>
    <col min="9" max="9" width="17.5703125" style="311" customWidth="1"/>
    <col min="10" max="10" width="15.28515625" style="311" customWidth="1"/>
    <col min="11" max="11" width="16" style="311" customWidth="1"/>
    <col min="12" max="12" width="13" style="311" customWidth="1"/>
    <col min="13" max="13" width="10.140625" style="311" customWidth="1"/>
    <col min="14" max="14" width="17.5703125" style="311" customWidth="1"/>
    <col min="15" max="15" width="19.85546875" style="311" customWidth="1"/>
    <col min="16" max="16" width="15.28515625" style="311" customWidth="1"/>
    <col min="17" max="17" width="15.5703125" style="311" customWidth="1"/>
    <col min="18" max="18" width="11.7109375" style="311" customWidth="1"/>
    <col min="19" max="19" width="38.42578125" style="311" customWidth="1"/>
    <col min="20" max="20" width="32.85546875" style="311" customWidth="1"/>
    <col min="21" max="21" width="13.85546875" style="311" customWidth="1"/>
    <col min="22" max="22" width="14.85546875" style="311" customWidth="1"/>
    <col min="23" max="23" width="51.42578125" style="311" customWidth="1"/>
    <col min="24" max="16384" width="11.42578125" style="311"/>
  </cols>
  <sheetData>
    <row r="1" spans="1:21" ht="30.75" customHeight="1" x14ac:dyDescent="0.2">
      <c r="C1" s="688"/>
      <c r="D1" s="688"/>
      <c r="E1" s="688"/>
      <c r="F1" s="688"/>
      <c r="G1" s="688"/>
      <c r="H1" s="688"/>
      <c r="I1" s="688"/>
      <c r="J1" s="688"/>
      <c r="K1" s="688"/>
      <c r="L1" s="688"/>
      <c r="M1" s="688"/>
      <c r="N1" s="688"/>
      <c r="O1" s="688"/>
      <c r="P1" s="688"/>
      <c r="Q1" s="688"/>
      <c r="R1" s="688"/>
      <c r="S1" s="688"/>
    </row>
    <row r="2" spans="1:21" ht="60" customHeight="1" thickBot="1" x14ac:dyDescent="0.25">
      <c r="C2" s="740" t="s">
        <v>2546</v>
      </c>
      <c r="D2" s="740"/>
      <c r="E2" s="740"/>
      <c r="F2" s="740"/>
      <c r="G2" s="740"/>
      <c r="H2" s="740"/>
      <c r="I2" s="740"/>
      <c r="J2" s="740"/>
      <c r="K2" s="740"/>
      <c r="L2" s="740"/>
      <c r="M2" s="740"/>
      <c r="N2" s="740"/>
      <c r="O2" s="740"/>
      <c r="P2" s="740"/>
      <c r="Q2" s="740"/>
      <c r="R2" s="740"/>
      <c r="S2" s="327"/>
      <c r="T2" s="327"/>
      <c r="U2" s="327"/>
    </row>
    <row r="3" spans="1:21" ht="22.5" customHeight="1" thickBot="1" x14ac:dyDescent="0.25">
      <c r="H3" s="747">
        <v>2023</v>
      </c>
      <c r="I3" s="748"/>
      <c r="J3" s="748"/>
      <c r="K3" s="748"/>
      <c r="L3" s="748"/>
      <c r="M3" s="748"/>
      <c r="N3" s="748"/>
      <c r="O3" s="748"/>
      <c r="P3" s="748"/>
      <c r="Q3" s="748"/>
      <c r="R3" s="748"/>
      <c r="S3" s="748"/>
      <c r="T3" s="749"/>
    </row>
    <row r="4" spans="1:21" ht="22.5" customHeight="1" thickBot="1" x14ac:dyDescent="0.25">
      <c r="D4" s="726" t="s">
        <v>1654</v>
      </c>
      <c r="E4" s="727"/>
      <c r="F4" s="728"/>
      <c r="H4" s="742" t="s">
        <v>2548</v>
      </c>
      <c r="I4" s="743"/>
      <c r="J4" s="743"/>
      <c r="K4" s="743"/>
      <c r="L4" s="743"/>
      <c r="M4" s="743"/>
      <c r="N4" s="744"/>
      <c r="O4" s="691"/>
      <c r="P4" s="741" t="s">
        <v>2552</v>
      </c>
      <c r="Q4" s="741"/>
      <c r="R4" s="745" t="s">
        <v>2569</v>
      </c>
      <c r="S4" s="746"/>
      <c r="T4" s="692">
        <v>45202</v>
      </c>
    </row>
    <row r="5" spans="1:21" ht="9.75" customHeight="1" x14ac:dyDescent="0.2"/>
    <row r="6" spans="1:21" ht="82.5" customHeight="1" x14ac:dyDescent="0.2">
      <c r="A6" s="305"/>
      <c r="B6" s="306" t="s">
        <v>451</v>
      </c>
      <c r="C6" s="307" t="s">
        <v>2098</v>
      </c>
      <c r="D6" s="307" t="s">
        <v>1655</v>
      </c>
      <c r="E6" s="307" t="s">
        <v>1656</v>
      </c>
      <c r="F6" s="307" t="s">
        <v>503</v>
      </c>
      <c r="G6" s="32" t="s">
        <v>1584</v>
      </c>
      <c r="H6" s="307" t="s">
        <v>2412</v>
      </c>
      <c r="I6" s="307" t="s">
        <v>2547</v>
      </c>
      <c r="J6" s="307" t="s">
        <v>2410</v>
      </c>
      <c r="K6" s="307" t="s">
        <v>2524</v>
      </c>
      <c r="L6" s="308" t="s">
        <v>1588</v>
      </c>
      <c r="M6" s="307" t="s">
        <v>1586</v>
      </c>
      <c r="N6" s="308" t="s">
        <v>2409</v>
      </c>
      <c r="O6" s="307" t="s">
        <v>1589</v>
      </c>
      <c r="P6" s="307" t="s">
        <v>1590</v>
      </c>
      <c r="Q6" s="309" t="s">
        <v>510</v>
      </c>
      <c r="R6" s="309" t="s">
        <v>511</v>
      </c>
      <c r="S6" s="310" t="s">
        <v>1591</v>
      </c>
      <c r="T6" s="320" t="s">
        <v>1641</v>
      </c>
      <c r="U6" s="264" t="s">
        <v>1639</v>
      </c>
    </row>
    <row r="7" spans="1:21" ht="48.75" customHeight="1" x14ac:dyDescent="0.2">
      <c r="A7" s="265">
        <v>1</v>
      </c>
      <c r="B7" s="699" t="s">
        <v>2560</v>
      </c>
      <c r="C7" s="264" t="s">
        <v>2568</v>
      </c>
      <c r="D7" s="36" t="s">
        <v>2567</v>
      </c>
      <c r="E7" s="36">
        <v>123456</v>
      </c>
      <c r="F7" s="61" t="s">
        <v>2566</v>
      </c>
      <c r="G7" s="526" t="s">
        <v>1645</v>
      </c>
      <c r="H7" s="514">
        <v>3</v>
      </c>
      <c r="I7" s="509">
        <v>3</v>
      </c>
      <c r="J7" s="514">
        <v>3</v>
      </c>
      <c r="K7" s="511">
        <v>2</v>
      </c>
      <c r="L7" s="514">
        <v>3</v>
      </c>
      <c r="M7" s="514">
        <v>2</v>
      </c>
      <c r="N7" s="514">
        <v>2</v>
      </c>
      <c r="O7" s="511">
        <f>IF(COUNTIF($H7:$N7,"---")=7,"no evaluado/no requiere",IF(COUNTA($H$6:$N$6)=COUNTA($H7:$N7),COUNTA($H7:$N7)*3,"Falta completar"))</f>
        <v>21</v>
      </c>
      <c r="P7" s="512">
        <f>IFERROR(IF(O7=0,"No evaluado",+SUM(H7:N7)/O7),"-")</f>
        <v>0.8571428571428571</v>
      </c>
      <c r="Q7" s="511" t="str">
        <f>IF(O7="no evaluado/no requiere","No evaluado",+IF(P7&gt;70%,"APROBADO",(+IF(P7&lt;50%,"No aprobado.","En seguimiento"))))</f>
        <v>APROBADO</v>
      </c>
      <c r="R7" s="513">
        <v>45202</v>
      </c>
      <c r="S7" s="506" t="str">
        <f>VLOOKUP(Q7,$B$16:$C$18,2,FALSE)</f>
        <v>Se continúa contratando sus servicios.</v>
      </c>
      <c r="T7" s="515" t="s">
        <v>143</v>
      </c>
      <c r="U7" s="506" t="s">
        <v>1640</v>
      </c>
    </row>
    <row r="8" spans="1:21" ht="30" x14ac:dyDescent="0.2">
      <c r="A8" s="265">
        <v>2</v>
      </c>
      <c r="B8" s="699" t="s">
        <v>2561</v>
      </c>
      <c r="C8" s="264" t="s">
        <v>2418</v>
      </c>
      <c r="D8" s="36" t="s">
        <v>2567</v>
      </c>
      <c r="E8" s="36">
        <v>123456</v>
      </c>
      <c r="F8" s="61" t="s">
        <v>2566</v>
      </c>
      <c r="G8" s="508" t="s">
        <v>1645</v>
      </c>
      <c r="H8" s="509">
        <v>3</v>
      </c>
      <c r="I8" s="509">
        <v>3</v>
      </c>
      <c r="J8" s="509" t="s">
        <v>143</v>
      </c>
      <c r="K8" s="510">
        <v>3</v>
      </c>
      <c r="L8" s="509">
        <v>3</v>
      </c>
      <c r="M8" s="509">
        <v>3</v>
      </c>
      <c r="N8" s="509">
        <v>2</v>
      </c>
      <c r="O8" s="511">
        <f>IF(COUNTIF($H8:$N8,"---")=7,"no evaluado/no requiere",IF(COUNTA($H$6:$N$6)=COUNTA($H8:$N8),COUNTA($H8:$N8)*3,"Falta completar"))</f>
        <v>21</v>
      </c>
      <c r="P8" s="512">
        <f>IFERROR(IF(O8=0,"No evaluado",+SUM(H8:N8)/O8),"-")</f>
        <v>0.80952380952380953</v>
      </c>
      <c r="Q8" s="511" t="str">
        <f t="shared" ref="Q8:Q10" si="0">IF(O8="no evaluado/no requiere","No evaluado",+IF(P8&gt;70%,"APROBADO",(+IF(P8&lt;50%,"No aprobado.","En seguimiento"))))</f>
        <v>APROBADO</v>
      </c>
      <c r="R8" s="513">
        <v>45202</v>
      </c>
      <c r="S8" s="506" t="str">
        <f>VLOOKUP(Q8,$B$16:$C$18,2,FALSE)</f>
        <v>Se continúa contratando sus servicios.</v>
      </c>
      <c r="T8" s="515" t="s">
        <v>143</v>
      </c>
      <c r="U8" s="506" t="s">
        <v>1640</v>
      </c>
    </row>
    <row r="9" spans="1:21" ht="33" customHeight="1" x14ac:dyDescent="0.2">
      <c r="A9" s="265">
        <v>3</v>
      </c>
      <c r="B9" s="699" t="s">
        <v>2562</v>
      </c>
      <c r="C9" s="264" t="s">
        <v>2417</v>
      </c>
      <c r="D9" s="36" t="s">
        <v>2567</v>
      </c>
      <c r="E9" s="36">
        <v>123456</v>
      </c>
      <c r="F9" s="293" t="s">
        <v>2566</v>
      </c>
      <c r="G9" s="508" t="s">
        <v>1645</v>
      </c>
      <c r="H9" s="509">
        <v>3</v>
      </c>
      <c r="I9" s="509">
        <v>3</v>
      </c>
      <c r="J9" s="509">
        <v>3</v>
      </c>
      <c r="K9" s="509">
        <v>3</v>
      </c>
      <c r="L9" s="509">
        <v>3</v>
      </c>
      <c r="M9" s="509">
        <v>3</v>
      </c>
      <c r="N9" s="509">
        <v>2</v>
      </c>
      <c r="O9" s="511">
        <f>IF(COUNTIF($H9:$N9,"---")=7,"no evaluado/no requiere",IF(COUNTA($H$6:$N$6)=COUNTA($H9:$N9),COUNTA($H9:$N9)*3,"Falta completar"))</f>
        <v>21</v>
      </c>
      <c r="P9" s="512">
        <f>IFERROR(IF(O9=0,"No evaluado",+SUM(H9:N9)/O9),"-")</f>
        <v>0.95238095238095233</v>
      </c>
      <c r="Q9" s="511" t="str">
        <f t="shared" si="0"/>
        <v>APROBADO</v>
      </c>
      <c r="R9" s="513">
        <v>45202</v>
      </c>
      <c r="S9" s="506" t="str">
        <f>VLOOKUP(Q9,$B$16:$C$18,2,FALSE)</f>
        <v>Se continúa contratando sus servicios.</v>
      </c>
      <c r="T9" s="515" t="s">
        <v>143</v>
      </c>
      <c r="U9" s="506" t="s">
        <v>1640</v>
      </c>
    </row>
    <row r="10" spans="1:21" ht="34.5" customHeight="1" x14ac:dyDescent="0.2">
      <c r="A10" s="265">
        <v>4</v>
      </c>
      <c r="B10" s="699" t="s">
        <v>2563</v>
      </c>
      <c r="C10" s="264" t="s">
        <v>2397</v>
      </c>
      <c r="D10" s="36" t="s">
        <v>2567</v>
      </c>
      <c r="E10" s="36">
        <v>123456</v>
      </c>
      <c r="F10" s="264" t="s">
        <v>2566</v>
      </c>
      <c r="G10" s="523" t="s">
        <v>1645</v>
      </c>
      <c r="H10" s="509">
        <v>3</v>
      </c>
      <c r="I10" s="514">
        <v>3</v>
      </c>
      <c r="J10" s="509" t="s">
        <v>143</v>
      </c>
      <c r="K10" s="511">
        <v>3</v>
      </c>
      <c r="L10" s="514">
        <v>3</v>
      </c>
      <c r="M10" s="514">
        <v>3</v>
      </c>
      <c r="N10" s="509">
        <v>1</v>
      </c>
      <c r="O10" s="511">
        <f t="shared" ref="O10" si="1">IF(COUNTIF($H10:$N10,"---")=7,"no evaluado/no requiere",IF(COUNTA($H$6:$N$6)=COUNTA($H10:$N10),COUNTA($H10:$N10)*3,"Falta completar"))</f>
        <v>21</v>
      </c>
      <c r="P10" s="512">
        <f t="shared" ref="P10" si="2">IFERROR(IF(O10=0,"No evaluado",+SUM(H10:N10)/O10),"-")</f>
        <v>0.76190476190476186</v>
      </c>
      <c r="Q10" s="511" t="str">
        <f t="shared" si="0"/>
        <v>APROBADO</v>
      </c>
      <c r="R10" s="513">
        <v>45202</v>
      </c>
      <c r="S10" s="506" t="str">
        <f>VLOOKUP(Q10,$B$16:$C$18,2,FALSE)</f>
        <v>Se continúa contratando sus servicios.</v>
      </c>
      <c r="T10" s="515" t="s">
        <v>520</v>
      </c>
      <c r="U10" s="506" t="s">
        <v>1640</v>
      </c>
    </row>
    <row r="11" spans="1:21" ht="15.75" x14ac:dyDescent="0.2">
      <c r="A11" s="650"/>
      <c r="B11" s="708"/>
      <c r="C11" s="651"/>
      <c r="D11" s="651"/>
      <c r="E11" s="651"/>
      <c r="F11" s="652"/>
      <c r="G11" s="653"/>
      <c r="H11" s="651"/>
      <c r="I11" s="651"/>
      <c r="J11" s="651"/>
      <c r="K11" s="651"/>
      <c r="L11" s="651"/>
      <c r="M11" s="651"/>
      <c r="N11" s="651"/>
      <c r="O11" s="651"/>
      <c r="P11" s="654"/>
      <c r="Q11" s="655"/>
      <c r="R11" s="946" t="s">
        <v>2570</v>
      </c>
      <c r="S11" s="651"/>
      <c r="T11" s="656"/>
      <c r="U11" s="651"/>
    </row>
    <row r="12" spans="1:21" ht="30" x14ac:dyDescent="0.2">
      <c r="B12" s="701" t="s">
        <v>2396</v>
      </c>
    </row>
    <row r="13" spans="1:21" ht="30" x14ac:dyDescent="0.2">
      <c r="B13" s="702" t="s">
        <v>2556</v>
      </c>
    </row>
    <row r="14" spans="1:21" ht="24.75" customHeight="1" x14ac:dyDescent="0.2">
      <c r="B14" s="703" t="s">
        <v>2557</v>
      </c>
    </row>
    <row r="15" spans="1:21" ht="15.75" thickBot="1" x14ac:dyDescent="0.25"/>
    <row r="16" spans="1:21" ht="30" x14ac:dyDescent="0.2">
      <c r="B16" s="697" t="s">
        <v>2555</v>
      </c>
      <c r="C16" s="693" t="s">
        <v>1593</v>
      </c>
    </row>
    <row r="17" spans="2:3" ht="75" x14ac:dyDescent="0.2">
      <c r="B17" s="694" t="s">
        <v>2553</v>
      </c>
      <c r="C17" s="695" t="s">
        <v>1595</v>
      </c>
    </row>
    <row r="18" spans="2:3" ht="45.75" thickBot="1" x14ac:dyDescent="0.25">
      <c r="B18" s="698" t="s">
        <v>2554</v>
      </c>
      <c r="C18" s="696" t="s">
        <v>1596</v>
      </c>
    </row>
  </sheetData>
  <autoFilter ref="A6:W10" xr:uid="{00000000-0009-0000-0000-000005000000}">
    <sortState xmlns:xlrd2="http://schemas.microsoft.com/office/spreadsheetml/2017/richdata2" ref="A7:W14">
      <sortCondition ref="B6:B10"/>
    </sortState>
  </autoFilter>
  <sortState xmlns:xlrd2="http://schemas.microsoft.com/office/spreadsheetml/2017/richdata2" ref="A7:U10">
    <sortCondition ref="B7"/>
  </sortState>
  <dataConsolidate/>
  <mergeCells count="6">
    <mergeCell ref="C2:R2"/>
    <mergeCell ref="P4:Q4"/>
    <mergeCell ref="D4:F4"/>
    <mergeCell ref="H4:N4"/>
    <mergeCell ref="R4:S4"/>
    <mergeCell ref="H3:T3"/>
  </mergeCells>
  <phoneticPr fontId="105" type="noConversion"/>
  <conditionalFormatting sqref="B7:F7 B8:E10 F9">
    <cfRule type="cellIs" dxfId="11" priority="43" operator="equal">
      <formula>"SI"</formula>
    </cfRule>
  </conditionalFormatting>
  <conditionalFormatting sqref="G3:G1048576">
    <cfRule type="containsText" dxfId="10" priority="38" operator="containsText" text="Inicial">
      <formula>NOT(ISERROR(SEARCH("Inicial",G3)))</formula>
    </cfRule>
    <cfRule type="containsText" dxfId="9" priority="39" operator="containsText" text="Seguimiento">
      <formula>NOT(ISERROR(SEARCH("Seguimiento",G3)))</formula>
    </cfRule>
  </conditionalFormatting>
  <conditionalFormatting sqref="O7:O10">
    <cfRule type="containsText" dxfId="8" priority="29" operator="containsText" text="Falta completar">
      <formula>NOT(ISERROR(SEARCH("Falta completar",O7)))</formula>
    </cfRule>
  </conditionalFormatting>
  <conditionalFormatting sqref="Q7:R13">
    <cfRule type="endsWith" dxfId="7" priority="40" operator="endsWith" text=".">
      <formula>RIGHT(Q7,LEN("."))="."</formula>
    </cfRule>
    <cfRule type="endsWith" priority="41" operator="endsWith" text=".">
      <formula>RIGHT(Q7,LEN("."))="."</formula>
    </cfRule>
    <cfRule type="beginsWith" dxfId="6" priority="42" operator="beginsWith" text="APTO">
      <formula>LEFT(Q7,LEN("APTO"))="APTO"</formula>
    </cfRule>
  </conditionalFormatting>
  <dataValidations xWindow="295" yWindow="601" count="7">
    <dataValidation type="list" allowBlank="1" showInputMessage="1" showErrorMessage="1" prompt="3:Tiene SGC Acreditado_x000a_2: Tiene un SGC_x000a_1: No tiene SGC_x000a_---: No Evaluado/No aplica/No requiere" sqref="N7:N10" xr:uid="{00000000-0002-0000-0500-000000000000}">
      <formula1>"3,2,1,'---"</formula1>
    </dataValidation>
    <dataValidation type="list" allowBlank="1" showInputMessage="1" showErrorMessage="1" prompt="3: Si_x000a_2: Cuando se solicita_x000a_1: No_x000a_---: No  requiere/No aplica/No evaluado" sqref="J7:J10" xr:uid="{00000000-0002-0000-0500-000001000000}">
      <formula1>"3,2,1,'---"</formula1>
    </dataValidation>
    <dataValidation type="list" allowBlank="1" showInputMessage="1" showErrorMessage="1" prompt="3: Si_x000a_2: Generalmente_x000a_1: No_x000a_---: No evaluado/ No aplica/ No requiere" sqref="H7:I10" xr:uid="{00000000-0002-0000-0500-000002000000}">
      <formula1>"3,2,1,'---"</formula1>
    </dataValidation>
    <dataValidation allowBlank="1" showErrorMessage="1" prompt="3. Ofrece y brinda asistencia de forma expontanea_x000a_2. Brinda asistencia si se le requiere_x000a_1. No brinda asistencia" sqref="O7:O10" xr:uid="{00000000-0002-0000-0500-000003000000}"/>
    <dataValidation type="list" allowBlank="1" showInputMessage="1" showErrorMessage="1" prompt="3. Tiene menor precio que la competencia_x000a_2. Precio comparable_x000a_1. Mas caro que la competencia_x000a_---: No evaluado/No aplica/ No requiere" sqref="M7:M10" xr:uid="{00000000-0002-0000-0500-000004000000}">
      <formula1>"3,2,1,'---"</formula1>
    </dataValidation>
    <dataValidation type="list" allowBlank="1" showInputMessage="1" showErrorMessage="1" prompt="3. Asiste técnicamente, aserora _x000a_2. Asiste técnicamente por requerimiento_x000a_1. No brinda asistencia_x000a_'---: No evaluado/No aplica/ No requiere" sqref="L7:L10" xr:uid="{00000000-0002-0000-0500-000005000000}">
      <formula1>"3,2,1,'---"</formula1>
    </dataValidation>
    <dataValidation type="list" allowBlank="1" showInputMessage="1" showErrorMessage="1" prompt="3: Entrega conforme a lo pactado_x000a_2: Entrega tarde pero comunica_x000a_1: No cumple el plazo de entrega_x000a_---: No evaluado/No aplica/ No requiere" sqref="K7:K10" xr:uid="{00000000-0002-0000-0500-000006000000}">
      <formula1>"3,2,1,'---"</formula1>
    </dataValidation>
  </dataValidations>
  <printOptions horizontalCentered="1"/>
  <pageMargins left="0.19685039370078741" right="0.19685039370078741" top="0.19685039370078741" bottom="0.27559055118110237" header="0" footer="0"/>
  <pageSetup paperSize="9" scale="29" orientation="landscape" r:id="rId1"/>
  <headerFooter alignWithMargins="0">
    <oddFooter>&amp;L&amp;8Rev: 1
Emisión: 26/04/21&amp;C&amp;8Prepara: F. Perazzo
&amp;R&amp;8&amp;Pde&amp;N</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49"/>
  <sheetViews>
    <sheetView workbookViewId="0"/>
  </sheetViews>
  <sheetFormatPr baseColWidth="10" defaultRowHeight="12.75" x14ac:dyDescent="0.2"/>
  <cols>
    <col min="1" max="1" width="12.28515625" style="613" customWidth="1"/>
    <col min="2" max="2" width="11.42578125" style="613" customWidth="1"/>
    <col min="3" max="3" width="28.7109375" style="613" customWidth="1"/>
    <col min="4" max="5" width="28.85546875" style="613" customWidth="1"/>
    <col min="6" max="6" width="27.85546875" style="613" customWidth="1"/>
    <col min="7" max="7" width="7.140625" style="613" customWidth="1"/>
    <col min="8" max="8" width="10.7109375" style="613" customWidth="1"/>
    <col min="9" max="9" width="17.42578125" style="613" customWidth="1"/>
    <col min="10" max="10" width="1.7109375" style="613" customWidth="1"/>
    <col min="11" max="11" width="11.42578125" style="613" customWidth="1"/>
    <col min="12" max="12" width="2.140625" style="613" customWidth="1"/>
    <col min="13" max="16384" width="11.42578125" style="613"/>
  </cols>
  <sheetData>
    <row r="1" spans="1:11" ht="46.5" customHeight="1" thickBot="1" x14ac:dyDescent="0.25">
      <c r="A1" s="649"/>
      <c r="B1" s="648"/>
      <c r="C1" s="762" t="s">
        <v>2428</v>
      </c>
      <c r="D1" s="763"/>
      <c r="E1" s="763"/>
      <c r="F1" s="763"/>
      <c r="G1" s="763"/>
      <c r="H1" s="763"/>
      <c r="I1" s="764"/>
      <c r="J1" s="618"/>
    </row>
    <row r="2" spans="1:11" ht="33.75" customHeight="1" thickBot="1" x14ac:dyDescent="0.25">
      <c r="A2" s="647"/>
      <c r="B2" s="646"/>
      <c r="C2" s="765" t="s">
        <v>1658</v>
      </c>
      <c r="D2" s="766"/>
      <c r="E2" s="767" t="s">
        <v>1659</v>
      </c>
      <c r="F2" s="768"/>
      <c r="G2" s="768"/>
      <c r="H2" s="768"/>
      <c r="I2" s="769"/>
      <c r="J2" s="618"/>
    </row>
    <row r="3" spans="1:11" ht="13.5" thickBot="1" x14ac:dyDescent="0.25"/>
    <row r="4" spans="1:11" ht="23.25" customHeight="1" thickBot="1" x14ac:dyDescent="0.25">
      <c r="A4" s="786" t="s">
        <v>2510</v>
      </c>
      <c r="B4" s="787"/>
      <c r="C4" s="788" t="s">
        <v>2509</v>
      </c>
      <c r="D4" s="789"/>
      <c r="E4" s="645"/>
      <c r="F4" s="641" t="s">
        <v>2508</v>
      </c>
      <c r="G4" s="793">
        <v>40221</v>
      </c>
      <c r="H4" s="761"/>
      <c r="I4" s="644" t="s">
        <v>2507</v>
      </c>
    </row>
    <row r="5" spans="1:11" ht="24" customHeight="1" thickBot="1" x14ac:dyDescent="0.25">
      <c r="A5" s="786" t="s">
        <v>1662</v>
      </c>
      <c r="B5" s="787"/>
      <c r="C5" s="643" t="s">
        <v>2506</v>
      </c>
      <c r="D5" s="642"/>
      <c r="F5" s="641" t="s">
        <v>2505</v>
      </c>
      <c r="G5" s="792">
        <v>43814</v>
      </c>
      <c r="H5" s="792"/>
      <c r="I5" s="640" t="s">
        <v>2504</v>
      </c>
    </row>
    <row r="6" spans="1:11" ht="15.75" customHeight="1" x14ac:dyDescent="0.2">
      <c r="J6" s="618"/>
    </row>
    <row r="8" spans="1:11" ht="34.5" customHeight="1" x14ac:dyDescent="0.2">
      <c r="A8" s="750" t="s">
        <v>2503</v>
      </c>
      <c r="B8" s="750" t="s">
        <v>2502</v>
      </c>
      <c r="C8" s="750" t="s">
        <v>2501</v>
      </c>
      <c r="D8" s="750" t="s">
        <v>2500</v>
      </c>
      <c r="E8" s="750"/>
      <c r="F8" s="750"/>
      <c r="G8" s="750" t="s">
        <v>2499</v>
      </c>
      <c r="H8" s="750"/>
      <c r="I8" s="750" t="s">
        <v>2498</v>
      </c>
      <c r="J8" s="627"/>
    </row>
    <row r="9" spans="1:11" ht="31.5" customHeight="1" x14ac:dyDescent="0.2">
      <c r="A9" s="750"/>
      <c r="B9" s="750"/>
      <c r="C9" s="750"/>
      <c r="D9" s="639">
        <v>1</v>
      </c>
      <c r="E9" s="639">
        <v>2</v>
      </c>
      <c r="F9" s="639">
        <v>3</v>
      </c>
      <c r="G9" s="639" t="s">
        <v>2497</v>
      </c>
      <c r="H9" s="639" t="s">
        <v>2496</v>
      </c>
      <c r="I9" s="750"/>
      <c r="J9" s="627"/>
    </row>
    <row r="10" spans="1:11" ht="50.25" customHeight="1" x14ac:dyDescent="0.2">
      <c r="A10" s="760" t="s">
        <v>2495</v>
      </c>
      <c r="B10" s="761">
        <v>100</v>
      </c>
      <c r="C10" s="754" t="s">
        <v>2494</v>
      </c>
      <c r="D10" s="54" t="s">
        <v>2493</v>
      </c>
      <c r="E10" s="54" t="s">
        <v>2492</v>
      </c>
      <c r="F10" s="54" t="s">
        <v>2491</v>
      </c>
      <c r="G10" s="757">
        <f>+IF(D11="x",10,+IF(E11="x",20,+IF(F11="x",30,"sin evaluar")))</f>
        <v>30</v>
      </c>
      <c r="H10" s="757">
        <v>30</v>
      </c>
      <c r="I10" s="801">
        <f>SUM(G10:G19)/SUM(H10:H19)</f>
        <v>0.9</v>
      </c>
      <c r="J10" s="627"/>
    </row>
    <row r="11" spans="1:11" ht="21.75" customHeight="1" x14ac:dyDescent="0.2">
      <c r="A11" s="760"/>
      <c r="B11" s="761"/>
      <c r="C11" s="754"/>
      <c r="D11" s="638"/>
      <c r="E11" s="638"/>
      <c r="F11" s="636" t="s">
        <v>1679</v>
      </c>
      <c r="G11" s="757"/>
      <c r="H11" s="757"/>
      <c r="I11" s="801"/>
      <c r="J11" s="627"/>
    </row>
    <row r="12" spans="1:11" x14ac:dyDescent="0.2">
      <c r="A12" s="760"/>
      <c r="B12" s="761"/>
      <c r="C12" s="754" t="s">
        <v>2490</v>
      </c>
      <c r="D12" s="54" t="s">
        <v>2489</v>
      </c>
      <c r="E12" s="54" t="s">
        <v>2488</v>
      </c>
      <c r="F12" s="54" t="s">
        <v>2487</v>
      </c>
      <c r="G12" s="757">
        <f>+IF(D13="x",5,+IF(E13="x",10,+IF(F13="x",20,"sin evaluar")))</f>
        <v>10</v>
      </c>
      <c r="H12" s="751">
        <v>20</v>
      </c>
      <c r="I12" s="801"/>
      <c r="J12" s="626"/>
      <c r="K12" s="613">
        <f>SUM(G10:G19)</f>
        <v>90</v>
      </c>
    </row>
    <row r="13" spans="1:11" ht="21.75" customHeight="1" x14ac:dyDescent="0.2">
      <c r="A13" s="760"/>
      <c r="B13" s="761"/>
      <c r="C13" s="754"/>
      <c r="D13" s="638"/>
      <c r="E13" s="636" t="s">
        <v>1679</v>
      </c>
      <c r="F13" s="638"/>
      <c r="G13" s="757"/>
      <c r="H13" s="751"/>
      <c r="I13" s="801"/>
      <c r="J13" s="626"/>
    </row>
    <row r="14" spans="1:11" ht="44.25" customHeight="1" x14ac:dyDescent="0.2">
      <c r="A14" s="760"/>
      <c r="B14" s="761"/>
      <c r="C14" s="754" t="s">
        <v>2486</v>
      </c>
      <c r="D14" s="54" t="s">
        <v>2485</v>
      </c>
      <c r="E14" s="54" t="s">
        <v>2484</v>
      </c>
      <c r="F14" s="54" t="s">
        <v>2483</v>
      </c>
      <c r="G14" s="757">
        <f>+IF(D15="x",5,+IF(E15="x",10,+IF(F15="x",15,"sin evaluar")))</f>
        <v>15</v>
      </c>
      <c r="H14" s="751">
        <v>15</v>
      </c>
      <c r="I14" s="801"/>
      <c r="J14" s="626"/>
    </row>
    <row r="15" spans="1:11" ht="18.75" customHeight="1" x14ac:dyDescent="0.2">
      <c r="A15" s="760"/>
      <c r="B15" s="761"/>
      <c r="C15" s="754"/>
      <c r="D15" s="638"/>
      <c r="E15" s="638"/>
      <c r="F15" s="636" t="s">
        <v>1679</v>
      </c>
      <c r="G15" s="757"/>
      <c r="H15" s="751"/>
      <c r="I15" s="801"/>
      <c r="J15" s="626"/>
    </row>
    <row r="16" spans="1:11" ht="37.5" customHeight="1" x14ac:dyDescent="0.2">
      <c r="A16" s="760"/>
      <c r="B16" s="761"/>
      <c r="C16" s="754" t="s">
        <v>2482</v>
      </c>
      <c r="D16" s="54" t="s">
        <v>2481</v>
      </c>
      <c r="E16" s="54" t="s">
        <v>2480</v>
      </c>
      <c r="F16" s="54" t="s">
        <v>2479</v>
      </c>
      <c r="G16" s="757">
        <f>+IF(D17="x",5,+IF(E17="x",10,+IF(F17="x",20,"sin evaluar")))</f>
        <v>20</v>
      </c>
      <c r="H16" s="751">
        <v>20</v>
      </c>
      <c r="I16" s="801"/>
      <c r="J16" s="626"/>
    </row>
    <row r="17" spans="1:11" ht="21.75" customHeight="1" x14ac:dyDescent="0.2">
      <c r="A17" s="760"/>
      <c r="B17" s="761"/>
      <c r="C17" s="754"/>
      <c r="D17" s="638"/>
      <c r="E17" s="638"/>
      <c r="F17" s="636" t="s">
        <v>1679</v>
      </c>
      <c r="G17" s="757"/>
      <c r="H17" s="751"/>
      <c r="I17" s="801"/>
      <c r="J17" s="626"/>
    </row>
    <row r="18" spans="1:11" ht="59.25" customHeight="1" x14ac:dyDescent="0.2">
      <c r="A18" s="760"/>
      <c r="B18" s="761"/>
      <c r="C18" s="754" t="s">
        <v>2478</v>
      </c>
      <c r="D18" s="54" t="s">
        <v>2477</v>
      </c>
      <c r="E18" s="54" t="s">
        <v>2476</v>
      </c>
      <c r="F18" s="54" t="s">
        <v>2475</v>
      </c>
      <c r="G18" s="757">
        <f>+IF(D19="x",5,+IF(E19="x",10,+IF(F19="x",15,"sin evaluar")))</f>
        <v>15</v>
      </c>
      <c r="H18" s="751">
        <v>15</v>
      </c>
      <c r="I18" s="801"/>
      <c r="J18" s="626"/>
    </row>
    <row r="19" spans="1:11" ht="24.75" customHeight="1" x14ac:dyDescent="0.2">
      <c r="A19" s="760"/>
      <c r="B19" s="761"/>
      <c r="C19" s="754"/>
      <c r="D19" s="638"/>
      <c r="E19" s="638"/>
      <c r="F19" s="636" t="s">
        <v>1679</v>
      </c>
      <c r="G19" s="757"/>
      <c r="H19" s="751"/>
      <c r="I19" s="801"/>
      <c r="J19" s="626"/>
    </row>
    <row r="20" spans="1:11" ht="63.75" x14ac:dyDescent="0.2">
      <c r="A20" s="806" t="s">
        <v>2474</v>
      </c>
      <c r="B20" s="803">
        <v>100</v>
      </c>
      <c r="C20" s="752" t="s">
        <v>2473</v>
      </c>
      <c r="D20" s="636" t="s">
        <v>2472</v>
      </c>
      <c r="E20" s="758" t="s">
        <v>2471</v>
      </c>
      <c r="F20" s="759"/>
      <c r="G20" s="757">
        <f>+IF(D21="x",10,+IF(E21="x",20,"sin evaluar"))</f>
        <v>20</v>
      </c>
      <c r="H20" s="755">
        <v>20</v>
      </c>
      <c r="I20" s="775">
        <f>SUM(G20:G33)/SUM(H20:H33)</f>
        <v>0.8214285714285714</v>
      </c>
      <c r="J20" s="626"/>
    </row>
    <row r="21" spans="1:11" ht="21.75" customHeight="1" x14ac:dyDescent="0.2">
      <c r="A21" s="806"/>
      <c r="B21" s="804"/>
      <c r="C21" s="753"/>
      <c r="D21" s="636"/>
      <c r="E21" s="758" t="s">
        <v>1679</v>
      </c>
      <c r="F21" s="759"/>
      <c r="G21" s="757"/>
      <c r="H21" s="756"/>
      <c r="I21" s="776"/>
      <c r="J21" s="626"/>
    </row>
    <row r="22" spans="1:11" ht="99.75" customHeight="1" x14ac:dyDescent="0.2">
      <c r="A22" s="806"/>
      <c r="B22" s="804"/>
      <c r="C22" s="752" t="s">
        <v>2470</v>
      </c>
      <c r="D22" s="637" t="s">
        <v>2469</v>
      </c>
      <c r="E22" s="637" t="s">
        <v>2468</v>
      </c>
      <c r="F22" s="637" t="s">
        <v>2467</v>
      </c>
      <c r="G22" s="757">
        <f>+IF(D23="x",0,+IF(E23="x",10,+IF(F23="x",20,"sin evaluar")))</f>
        <v>20</v>
      </c>
      <c r="H22" s="751">
        <v>20</v>
      </c>
      <c r="I22" s="776"/>
      <c r="J22" s="626"/>
    </row>
    <row r="23" spans="1:11" ht="21.75" customHeight="1" x14ac:dyDescent="0.2">
      <c r="A23" s="806"/>
      <c r="B23" s="804"/>
      <c r="C23" s="753"/>
      <c r="D23" s="636"/>
      <c r="E23" s="636"/>
      <c r="F23" s="636" t="s">
        <v>1679</v>
      </c>
      <c r="G23" s="757"/>
      <c r="H23" s="751"/>
      <c r="I23" s="776"/>
      <c r="J23" s="626"/>
    </row>
    <row r="24" spans="1:11" ht="51" x14ac:dyDescent="0.2">
      <c r="A24" s="806"/>
      <c r="B24" s="804"/>
      <c r="C24" s="637" t="s">
        <v>2466</v>
      </c>
      <c r="D24" s="637" t="s">
        <v>2465</v>
      </c>
      <c r="E24" s="637" t="s">
        <v>2464</v>
      </c>
      <c r="F24" s="637" t="s">
        <v>2463</v>
      </c>
      <c r="G24" s="757">
        <f>+IF(D25="x",0,+IF(E25="x",10,+IF(F25="x",20,"sin evaluar")))</f>
        <v>20</v>
      </c>
      <c r="H24" s="755">
        <v>20</v>
      </c>
      <c r="I24" s="776"/>
      <c r="J24" s="626"/>
      <c r="K24" s="613">
        <f>SUM(G20:G33)</f>
        <v>115</v>
      </c>
    </row>
    <row r="25" spans="1:11" ht="24.75" customHeight="1" x14ac:dyDescent="0.2">
      <c r="A25" s="806"/>
      <c r="B25" s="804"/>
      <c r="C25" s="637"/>
      <c r="D25" s="636"/>
      <c r="E25" s="636"/>
      <c r="F25" s="636" t="s">
        <v>1679</v>
      </c>
      <c r="G25" s="757"/>
      <c r="H25" s="756"/>
      <c r="I25" s="776"/>
      <c r="J25" s="626"/>
    </row>
    <row r="26" spans="1:11" ht="121.5" customHeight="1" x14ac:dyDescent="0.2">
      <c r="A26" s="806"/>
      <c r="B26" s="804"/>
      <c r="C26" s="752" t="s">
        <v>2462</v>
      </c>
      <c r="D26" s="637" t="s">
        <v>2461</v>
      </c>
      <c r="E26" s="637" t="s">
        <v>2460</v>
      </c>
      <c r="F26" s="637" t="s">
        <v>2459</v>
      </c>
      <c r="G26" s="757">
        <f>+IF(D27="x",0,+IF(E27="x",10,+IF(F27="x",20,"sin evaluar")))</f>
        <v>20</v>
      </c>
      <c r="H26" s="751">
        <v>20</v>
      </c>
      <c r="I26" s="776"/>
      <c r="J26" s="626"/>
    </row>
    <row r="27" spans="1:11" ht="24.75" customHeight="1" x14ac:dyDescent="0.2">
      <c r="A27" s="806"/>
      <c r="B27" s="804"/>
      <c r="C27" s="753"/>
      <c r="D27" s="636"/>
      <c r="E27" s="636"/>
      <c r="F27" s="636" t="s">
        <v>1679</v>
      </c>
      <c r="G27" s="757"/>
      <c r="H27" s="751"/>
      <c r="I27" s="776"/>
      <c r="J27" s="626"/>
    </row>
    <row r="28" spans="1:11" ht="114.75" customHeight="1" x14ac:dyDescent="0.2">
      <c r="A28" s="806"/>
      <c r="B28" s="804"/>
      <c r="C28" s="752" t="s">
        <v>2458</v>
      </c>
      <c r="D28" s="637" t="s">
        <v>2457</v>
      </c>
      <c r="E28" s="637" t="s">
        <v>2456</v>
      </c>
      <c r="F28" s="637" t="s">
        <v>2455</v>
      </c>
      <c r="G28" s="757">
        <f>+IF(D29="x",0,+IF(E29="x",10,+IF(F29="x",20,"sin evaluar")))</f>
        <v>10</v>
      </c>
      <c r="H28" s="751">
        <v>20</v>
      </c>
      <c r="I28" s="776"/>
      <c r="J28" s="626"/>
    </row>
    <row r="29" spans="1:11" ht="21.75" customHeight="1" x14ac:dyDescent="0.2">
      <c r="A29" s="806"/>
      <c r="B29" s="804"/>
      <c r="C29" s="753"/>
      <c r="D29" s="636"/>
      <c r="E29" s="636" t="s">
        <v>1679</v>
      </c>
      <c r="F29" s="636"/>
      <c r="G29" s="757"/>
      <c r="H29" s="751"/>
      <c r="I29" s="776"/>
      <c r="J29" s="626"/>
    </row>
    <row r="30" spans="1:11" ht="84" customHeight="1" x14ac:dyDescent="0.2">
      <c r="A30" s="806"/>
      <c r="B30" s="804"/>
      <c r="C30" s="752" t="s">
        <v>2454</v>
      </c>
      <c r="D30" s="637" t="s">
        <v>2453</v>
      </c>
      <c r="E30" s="637" t="s">
        <v>2452</v>
      </c>
      <c r="F30" s="637" t="s">
        <v>2451</v>
      </c>
      <c r="G30" s="757">
        <f>+IF(D31="x",5,+IF(E31="x",10,+IF(F31="x",20,"sin evaluar")))</f>
        <v>5</v>
      </c>
      <c r="H30" s="751">
        <v>20</v>
      </c>
      <c r="I30" s="776"/>
      <c r="J30" s="626"/>
    </row>
    <row r="31" spans="1:11" ht="24.75" customHeight="1" x14ac:dyDescent="0.2">
      <c r="A31" s="806"/>
      <c r="B31" s="804"/>
      <c r="C31" s="753"/>
      <c r="D31" s="636" t="s">
        <v>1679</v>
      </c>
      <c r="E31" s="636"/>
      <c r="F31" s="636"/>
      <c r="G31" s="757"/>
      <c r="H31" s="751"/>
      <c r="I31" s="776"/>
      <c r="J31" s="626"/>
    </row>
    <row r="32" spans="1:11" ht="63" customHeight="1" x14ac:dyDescent="0.2">
      <c r="A32" s="806"/>
      <c r="B32" s="804"/>
      <c r="C32" s="752" t="s">
        <v>2450</v>
      </c>
      <c r="D32" s="637" t="s">
        <v>2449</v>
      </c>
      <c r="E32" s="637" t="s">
        <v>2448</v>
      </c>
      <c r="F32" s="637" t="s">
        <v>2447</v>
      </c>
      <c r="G32" s="757">
        <f>+IF(D33="x",5,+IF(E33="x",10,+IF(F33="x",20,"sin evaluar")))</f>
        <v>20</v>
      </c>
      <c r="H32" s="751">
        <v>20</v>
      </c>
      <c r="I32" s="776"/>
      <c r="J32" s="626"/>
    </row>
    <row r="33" spans="1:14" ht="24.75" customHeight="1" x14ac:dyDescent="0.2">
      <c r="A33" s="806"/>
      <c r="B33" s="805"/>
      <c r="C33" s="753"/>
      <c r="D33" s="636"/>
      <c r="E33" s="636"/>
      <c r="F33" s="635" t="s">
        <v>1679</v>
      </c>
      <c r="G33" s="757"/>
      <c r="H33" s="751"/>
      <c r="I33" s="777"/>
      <c r="J33" s="626"/>
    </row>
    <row r="34" spans="1:14" x14ac:dyDescent="0.2">
      <c r="A34" s="27"/>
      <c r="B34" s="27"/>
      <c r="C34" s="27"/>
      <c r="D34" s="27"/>
      <c r="E34" s="785" t="s">
        <v>2446</v>
      </c>
      <c r="F34" s="785"/>
      <c r="G34" s="785"/>
      <c r="H34" s="785"/>
      <c r="I34" s="634">
        <f>+AVERAGE(I10:I33)</f>
        <v>0.86071428571428577</v>
      </c>
      <c r="J34" s="626"/>
    </row>
    <row r="35" spans="1:14" ht="26.25" customHeight="1" x14ac:dyDescent="0.2">
      <c r="D35" s="629"/>
      <c r="E35" s="633" t="s">
        <v>2445</v>
      </c>
      <c r="F35" s="772" t="str">
        <f>+IF(I34&gt;85%,C46,IF(I34&gt;70%,C47,+IF(I34&gt;45%,C48,C49)))</f>
        <v>EXCELENTE</v>
      </c>
      <c r="G35" s="773"/>
      <c r="H35" s="773"/>
      <c r="I35" s="774"/>
      <c r="J35" s="626"/>
    </row>
    <row r="36" spans="1:14" x14ac:dyDescent="0.2">
      <c r="D36" s="629"/>
      <c r="E36" s="628"/>
      <c r="F36" s="627"/>
      <c r="G36" s="627"/>
      <c r="H36" s="627"/>
      <c r="I36" s="627"/>
      <c r="J36" s="626"/>
    </row>
    <row r="37" spans="1:14" x14ac:dyDescent="0.2">
      <c r="D37" s="629"/>
      <c r="E37" s="628"/>
      <c r="F37" s="627"/>
      <c r="G37" s="627"/>
      <c r="H37" s="627"/>
      <c r="I37" s="627"/>
      <c r="J37" s="626"/>
    </row>
    <row r="38" spans="1:14" ht="8.25" customHeight="1" x14ac:dyDescent="0.2">
      <c r="A38" s="631"/>
      <c r="B38" s="631"/>
      <c r="C38" s="630"/>
      <c r="D38" s="630"/>
      <c r="E38" s="632"/>
      <c r="F38" s="631"/>
      <c r="H38" s="630"/>
      <c r="I38" s="630"/>
      <c r="J38" s="630"/>
    </row>
    <row r="39" spans="1:14" x14ac:dyDescent="0.2">
      <c r="A39" s="798"/>
      <c r="B39" s="798"/>
      <c r="C39" s="799"/>
      <c r="D39" s="799"/>
      <c r="E39" s="618"/>
      <c r="F39" s="800"/>
      <c r="G39" s="800"/>
      <c r="H39" s="800"/>
      <c r="I39" s="800"/>
      <c r="J39" s="625"/>
    </row>
    <row r="40" spans="1:14" x14ac:dyDescent="0.2">
      <c r="D40" s="629"/>
      <c r="E40" s="628"/>
      <c r="F40" s="627"/>
      <c r="G40" s="627"/>
      <c r="H40" s="627"/>
      <c r="I40" s="627"/>
      <c r="J40" s="626"/>
    </row>
    <row r="41" spans="1:14" x14ac:dyDescent="0.2">
      <c r="D41" s="629"/>
      <c r="E41" s="628"/>
      <c r="F41" s="627"/>
      <c r="G41" s="627"/>
      <c r="H41" s="627"/>
      <c r="I41" s="627"/>
      <c r="J41" s="626"/>
    </row>
    <row r="42" spans="1:14" x14ac:dyDescent="0.2">
      <c r="A42" s="625" t="s">
        <v>2444</v>
      </c>
      <c r="C42" s="613" t="s">
        <v>2511</v>
      </c>
      <c r="D42" s="618"/>
      <c r="E42" s="618"/>
      <c r="F42" s="618"/>
      <c r="G42" s="618"/>
      <c r="H42" s="618"/>
      <c r="I42" s="618"/>
      <c r="J42" s="618"/>
      <c r="K42" s="618"/>
      <c r="L42" s="618"/>
      <c r="M42" s="618"/>
      <c r="N42" s="618"/>
    </row>
    <row r="43" spans="1:14" s="623" customFormat="1" ht="30.75" customHeight="1" x14ac:dyDescent="0.2">
      <c r="A43" s="778"/>
      <c r="B43" s="779"/>
      <c r="C43" s="779"/>
      <c r="D43" s="779"/>
      <c r="E43" s="779"/>
      <c r="F43" s="779"/>
      <c r="G43" s="779"/>
      <c r="H43" s="779"/>
      <c r="I43" s="780"/>
      <c r="J43" s="624"/>
    </row>
    <row r="44" spans="1:14" ht="19.5" customHeight="1" thickBot="1" x14ac:dyDescent="0.25">
      <c r="C44" s="618"/>
      <c r="D44" s="618"/>
      <c r="E44" s="618"/>
      <c r="F44" s="618"/>
      <c r="G44" s="618"/>
      <c r="H44" s="618"/>
      <c r="I44" s="616"/>
      <c r="J44" s="618"/>
    </row>
    <row r="45" spans="1:14" x14ac:dyDescent="0.2">
      <c r="A45" s="794" t="s">
        <v>2443</v>
      </c>
      <c r="B45" s="795"/>
      <c r="C45" s="622" t="s">
        <v>2442</v>
      </c>
      <c r="D45" s="802" t="s">
        <v>2441</v>
      </c>
      <c r="E45" s="802"/>
      <c r="F45" s="802"/>
      <c r="G45" s="621"/>
      <c r="H45" s="620"/>
      <c r="I45" s="619"/>
      <c r="J45" s="618"/>
    </row>
    <row r="46" spans="1:14" x14ac:dyDescent="0.2">
      <c r="A46" s="796" t="s">
        <v>2440</v>
      </c>
      <c r="B46" s="797"/>
      <c r="C46" s="617" t="s">
        <v>2439</v>
      </c>
      <c r="D46" s="790" t="s">
        <v>2438</v>
      </c>
      <c r="E46" s="790"/>
      <c r="F46" s="790"/>
      <c r="G46" s="790"/>
      <c r="H46" s="790"/>
      <c r="I46" s="791"/>
      <c r="J46" s="616"/>
    </row>
    <row r="47" spans="1:14" x14ac:dyDescent="0.2">
      <c r="A47" s="796" t="s">
        <v>2437</v>
      </c>
      <c r="B47" s="797"/>
      <c r="C47" s="617" t="s">
        <v>2436</v>
      </c>
      <c r="D47" s="790" t="s">
        <v>2435</v>
      </c>
      <c r="E47" s="790"/>
      <c r="F47" s="790"/>
      <c r="G47" s="790"/>
      <c r="H47" s="790"/>
      <c r="I47" s="791"/>
      <c r="J47" s="616"/>
    </row>
    <row r="48" spans="1:14" ht="40.5" customHeight="1" x14ac:dyDescent="0.2">
      <c r="A48" s="796" t="s">
        <v>2434</v>
      </c>
      <c r="B48" s="797"/>
      <c r="C48" s="615" t="s">
        <v>2433</v>
      </c>
      <c r="D48" s="781" t="s">
        <v>2432</v>
      </c>
      <c r="E48" s="781"/>
      <c r="F48" s="781"/>
      <c r="G48" s="781"/>
      <c r="H48" s="781"/>
      <c r="I48" s="782"/>
    </row>
    <row r="49" spans="1:9" ht="13.5" thickBot="1" x14ac:dyDescent="0.25">
      <c r="A49" s="783" t="s">
        <v>2431</v>
      </c>
      <c r="B49" s="784"/>
      <c r="C49" s="614" t="s">
        <v>2430</v>
      </c>
      <c r="D49" s="770" t="s">
        <v>2429</v>
      </c>
      <c r="E49" s="770"/>
      <c r="F49" s="770"/>
      <c r="G49" s="770"/>
      <c r="H49" s="770"/>
      <c r="I49" s="771"/>
    </row>
  </sheetData>
  <sheetProtection algorithmName="SHA-512" hashValue="hiJZdb1NwHVWqpRyXKensl/VaaFcL0no7qSMeax2WJa2b1vzh1GvHAV9h32VE35YDROyzWCsAighgKxPmJ+sXg==" saltValue="Fp3rd8vUu2C6KEQuF5pW5w==" spinCount="100000" sheet="1" objects="1" scenarios="1"/>
  <mergeCells count="73">
    <mergeCell ref="A48:B48"/>
    <mergeCell ref="C26:C27"/>
    <mergeCell ref="C28:C29"/>
    <mergeCell ref="D45:F45"/>
    <mergeCell ref="G26:G27"/>
    <mergeCell ref="C30:C31"/>
    <mergeCell ref="G30:G31"/>
    <mergeCell ref="B20:B33"/>
    <mergeCell ref="A20:A33"/>
    <mergeCell ref="G20:G21"/>
    <mergeCell ref="G24:G25"/>
    <mergeCell ref="G5:H5"/>
    <mergeCell ref="G4:H4"/>
    <mergeCell ref="A45:B45"/>
    <mergeCell ref="A46:B46"/>
    <mergeCell ref="A47:B47"/>
    <mergeCell ref="A39:B39"/>
    <mergeCell ref="C39:D39"/>
    <mergeCell ref="F39:I39"/>
    <mergeCell ref="I10:I19"/>
    <mergeCell ref="C12:C13"/>
    <mergeCell ref="H26:H27"/>
    <mergeCell ref="C32:C33"/>
    <mergeCell ref="G32:G33"/>
    <mergeCell ref="H32:H33"/>
    <mergeCell ref="B8:B9"/>
    <mergeCell ref="C8:C9"/>
    <mergeCell ref="C1:I1"/>
    <mergeCell ref="C2:D2"/>
    <mergeCell ref="E2:I2"/>
    <mergeCell ref="D49:I49"/>
    <mergeCell ref="F35:I35"/>
    <mergeCell ref="I20:I33"/>
    <mergeCell ref="A43:I43"/>
    <mergeCell ref="D48:I48"/>
    <mergeCell ref="A8:A9"/>
    <mergeCell ref="A49:B49"/>
    <mergeCell ref="E34:H34"/>
    <mergeCell ref="A4:B4"/>
    <mergeCell ref="A5:B5"/>
    <mergeCell ref="C4:D4"/>
    <mergeCell ref="D46:I46"/>
    <mergeCell ref="D47:I47"/>
    <mergeCell ref="H24:H25"/>
    <mergeCell ref="A10:A19"/>
    <mergeCell ref="B10:B19"/>
    <mergeCell ref="C10:C11"/>
    <mergeCell ref="G22:G23"/>
    <mergeCell ref="G12:G13"/>
    <mergeCell ref="H12:H13"/>
    <mergeCell ref="C14:C15"/>
    <mergeCell ref="G10:G11"/>
    <mergeCell ref="H10:H11"/>
    <mergeCell ref="G14:G15"/>
    <mergeCell ref="H14:H15"/>
    <mergeCell ref="H18:H19"/>
    <mergeCell ref="C16:C17"/>
    <mergeCell ref="D8:F8"/>
    <mergeCell ref="G8:H8"/>
    <mergeCell ref="I8:I9"/>
    <mergeCell ref="H30:H31"/>
    <mergeCell ref="C22:C23"/>
    <mergeCell ref="C18:C19"/>
    <mergeCell ref="H20:H21"/>
    <mergeCell ref="G16:G17"/>
    <mergeCell ref="H16:H17"/>
    <mergeCell ref="G28:G29"/>
    <mergeCell ref="H28:H29"/>
    <mergeCell ref="C20:C21"/>
    <mergeCell ref="E20:F20"/>
    <mergeCell ref="E21:F21"/>
    <mergeCell ref="H22:H23"/>
    <mergeCell ref="G18:G19"/>
  </mergeCells>
  <dataValidations count="1">
    <dataValidation type="list" allowBlank="1" showInputMessage="1" showErrorMessage="1" sqref="F39:J39 WVN983052:WVR983052 WLR983052:WLV983052 WBV983052:WBZ983052 VRZ983052:VSD983052 VID983052:VIH983052 UYH983052:UYL983052 UOL983052:UOP983052 UEP983052:UET983052 TUT983052:TUX983052 TKX983052:TLB983052 TBB983052:TBF983052 SRF983052:SRJ983052 SHJ983052:SHN983052 RXN983052:RXR983052 RNR983052:RNV983052 RDV983052:RDZ983052 QTZ983052:QUD983052 QKD983052:QKH983052 QAH983052:QAL983052 PQL983052:PQP983052 PGP983052:PGT983052 OWT983052:OWX983052 OMX983052:ONB983052 ODB983052:ODF983052 NTF983052:NTJ983052 NJJ983052:NJN983052 MZN983052:MZR983052 MPR983052:MPV983052 MFV983052:MFZ983052 LVZ983052:LWD983052 LMD983052:LMH983052 LCH983052:LCL983052 KSL983052:KSP983052 KIP983052:KIT983052 JYT983052:JYX983052 JOX983052:JPB983052 JFB983052:JFF983052 IVF983052:IVJ983052 ILJ983052:ILN983052 IBN983052:IBR983052 HRR983052:HRV983052 HHV983052:HHZ983052 GXZ983052:GYD983052 GOD983052:GOH983052 GEH983052:GEL983052 FUL983052:FUP983052 FKP983052:FKT983052 FAT983052:FAX983052 EQX983052:ERB983052 EHB983052:EHF983052 DXF983052:DXJ983052 DNJ983052:DNN983052 DDN983052:DDR983052 CTR983052:CTV983052 CJV983052:CJZ983052 BZZ983052:CAD983052 BQD983052:BQH983052 BGH983052:BGL983052 AWL983052:AWP983052 AMP983052:AMT983052 ACT983052:ACX983052 SX983052:TB983052 JB983052:JF983052 F983052:J983052 WVN917516:WVR917516 WLR917516:WLV917516 WBV917516:WBZ917516 VRZ917516:VSD917516 VID917516:VIH917516 UYH917516:UYL917516 UOL917516:UOP917516 UEP917516:UET917516 TUT917516:TUX917516 TKX917516:TLB917516 TBB917516:TBF917516 SRF917516:SRJ917516 SHJ917516:SHN917516 RXN917516:RXR917516 RNR917516:RNV917516 RDV917516:RDZ917516 QTZ917516:QUD917516 QKD917516:QKH917516 QAH917516:QAL917516 PQL917516:PQP917516 PGP917516:PGT917516 OWT917516:OWX917516 OMX917516:ONB917516 ODB917516:ODF917516 NTF917516:NTJ917516 NJJ917516:NJN917516 MZN917516:MZR917516 MPR917516:MPV917516 MFV917516:MFZ917516 LVZ917516:LWD917516 LMD917516:LMH917516 LCH917516:LCL917516 KSL917516:KSP917516 KIP917516:KIT917516 JYT917516:JYX917516 JOX917516:JPB917516 JFB917516:JFF917516 IVF917516:IVJ917516 ILJ917516:ILN917516 IBN917516:IBR917516 HRR917516:HRV917516 HHV917516:HHZ917516 GXZ917516:GYD917516 GOD917516:GOH917516 GEH917516:GEL917516 FUL917516:FUP917516 FKP917516:FKT917516 FAT917516:FAX917516 EQX917516:ERB917516 EHB917516:EHF917516 DXF917516:DXJ917516 DNJ917516:DNN917516 DDN917516:DDR917516 CTR917516:CTV917516 CJV917516:CJZ917516 BZZ917516:CAD917516 BQD917516:BQH917516 BGH917516:BGL917516 AWL917516:AWP917516 AMP917516:AMT917516 ACT917516:ACX917516 SX917516:TB917516 JB917516:JF917516 F917516:J917516 WVN851980:WVR851980 WLR851980:WLV851980 WBV851980:WBZ851980 VRZ851980:VSD851980 VID851980:VIH851980 UYH851980:UYL851980 UOL851980:UOP851980 UEP851980:UET851980 TUT851980:TUX851980 TKX851980:TLB851980 TBB851980:TBF851980 SRF851980:SRJ851980 SHJ851980:SHN851980 RXN851980:RXR851980 RNR851980:RNV851980 RDV851980:RDZ851980 QTZ851980:QUD851980 QKD851980:QKH851980 QAH851980:QAL851980 PQL851980:PQP851980 PGP851980:PGT851980 OWT851980:OWX851980 OMX851980:ONB851980 ODB851980:ODF851980 NTF851980:NTJ851980 NJJ851980:NJN851980 MZN851980:MZR851980 MPR851980:MPV851980 MFV851980:MFZ851980 LVZ851980:LWD851980 LMD851980:LMH851980 LCH851980:LCL851980 KSL851980:KSP851980 KIP851980:KIT851980 JYT851980:JYX851980 JOX851980:JPB851980 JFB851980:JFF851980 IVF851980:IVJ851980 ILJ851980:ILN851980 IBN851980:IBR851980 HRR851980:HRV851980 HHV851980:HHZ851980 GXZ851980:GYD851980 GOD851980:GOH851980 GEH851980:GEL851980 FUL851980:FUP851980 FKP851980:FKT851980 FAT851980:FAX851980 EQX851980:ERB851980 EHB851980:EHF851980 DXF851980:DXJ851980 DNJ851980:DNN851980 DDN851980:DDR851980 CTR851980:CTV851980 CJV851980:CJZ851980 BZZ851980:CAD851980 BQD851980:BQH851980 BGH851980:BGL851980 AWL851980:AWP851980 AMP851980:AMT851980 ACT851980:ACX851980 SX851980:TB851980 JB851980:JF851980 F851980:J851980 WVN786444:WVR786444 WLR786444:WLV786444 WBV786444:WBZ786444 VRZ786444:VSD786444 VID786444:VIH786444 UYH786444:UYL786444 UOL786444:UOP786444 UEP786444:UET786444 TUT786444:TUX786444 TKX786444:TLB786444 TBB786444:TBF786444 SRF786444:SRJ786444 SHJ786444:SHN786444 RXN786444:RXR786444 RNR786444:RNV786444 RDV786444:RDZ786444 QTZ786444:QUD786444 QKD786444:QKH786444 QAH786444:QAL786444 PQL786444:PQP786444 PGP786444:PGT786444 OWT786444:OWX786444 OMX786444:ONB786444 ODB786444:ODF786444 NTF786444:NTJ786444 NJJ786444:NJN786444 MZN786444:MZR786444 MPR786444:MPV786444 MFV786444:MFZ786444 LVZ786444:LWD786444 LMD786444:LMH786444 LCH786444:LCL786444 KSL786444:KSP786444 KIP786444:KIT786444 JYT786444:JYX786444 JOX786444:JPB786444 JFB786444:JFF786444 IVF786444:IVJ786444 ILJ786444:ILN786444 IBN786444:IBR786444 HRR786444:HRV786444 HHV786444:HHZ786444 GXZ786444:GYD786444 GOD786444:GOH786444 GEH786444:GEL786444 FUL786444:FUP786444 FKP786444:FKT786444 FAT786444:FAX786444 EQX786444:ERB786444 EHB786444:EHF786444 DXF786444:DXJ786444 DNJ786444:DNN786444 DDN786444:DDR786444 CTR786444:CTV786444 CJV786444:CJZ786444 BZZ786444:CAD786444 BQD786444:BQH786444 BGH786444:BGL786444 AWL786444:AWP786444 AMP786444:AMT786444 ACT786444:ACX786444 SX786444:TB786444 JB786444:JF786444 F786444:J786444 WVN720908:WVR720908 WLR720908:WLV720908 WBV720908:WBZ720908 VRZ720908:VSD720908 VID720908:VIH720908 UYH720908:UYL720908 UOL720908:UOP720908 UEP720908:UET720908 TUT720908:TUX720908 TKX720908:TLB720908 TBB720908:TBF720908 SRF720908:SRJ720908 SHJ720908:SHN720908 RXN720908:RXR720908 RNR720908:RNV720908 RDV720908:RDZ720908 QTZ720908:QUD720908 QKD720908:QKH720908 QAH720908:QAL720908 PQL720908:PQP720908 PGP720908:PGT720908 OWT720908:OWX720908 OMX720908:ONB720908 ODB720908:ODF720908 NTF720908:NTJ720908 NJJ720908:NJN720908 MZN720908:MZR720908 MPR720908:MPV720908 MFV720908:MFZ720908 LVZ720908:LWD720908 LMD720908:LMH720908 LCH720908:LCL720908 KSL720908:KSP720908 KIP720908:KIT720908 JYT720908:JYX720908 JOX720908:JPB720908 JFB720908:JFF720908 IVF720908:IVJ720908 ILJ720908:ILN720908 IBN720908:IBR720908 HRR720908:HRV720908 HHV720908:HHZ720908 GXZ720908:GYD720908 GOD720908:GOH720908 GEH720908:GEL720908 FUL720908:FUP720908 FKP720908:FKT720908 FAT720908:FAX720908 EQX720908:ERB720908 EHB720908:EHF720908 DXF720908:DXJ720908 DNJ720908:DNN720908 DDN720908:DDR720908 CTR720908:CTV720908 CJV720908:CJZ720908 BZZ720908:CAD720908 BQD720908:BQH720908 BGH720908:BGL720908 AWL720908:AWP720908 AMP720908:AMT720908 ACT720908:ACX720908 SX720908:TB720908 JB720908:JF720908 F720908:J720908 WVN655372:WVR655372 WLR655372:WLV655372 WBV655372:WBZ655372 VRZ655372:VSD655372 VID655372:VIH655372 UYH655372:UYL655372 UOL655372:UOP655372 UEP655372:UET655372 TUT655372:TUX655372 TKX655372:TLB655372 TBB655372:TBF655372 SRF655372:SRJ655372 SHJ655372:SHN655372 RXN655372:RXR655372 RNR655372:RNV655372 RDV655372:RDZ655372 QTZ655372:QUD655372 QKD655372:QKH655372 QAH655372:QAL655372 PQL655372:PQP655372 PGP655372:PGT655372 OWT655372:OWX655372 OMX655372:ONB655372 ODB655372:ODF655372 NTF655372:NTJ655372 NJJ655372:NJN655372 MZN655372:MZR655372 MPR655372:MPV655372 MFV655372:MFZ655372 LVZ655372:LWD655372 LMD655372:LMH655372 LCH655372:LCL655372 KSL655372:KSP655372 KIP655372:KIT655372 JYT655372:JYX655372 JOX655372:JPB655372 JFB655372:JFF655372 IVF655372:IVJ655372 ILJ655372:ILN655372 IBN655372:IBR655372 HRR655372:HRV655372 HHV655372:HHZ655372 GXZ655372:GYD655372 GOD655372:GOH655372 GEH655372:GEL655372 FUL655372:FUP655372 FKP655372:FKT655372 FAT655372:FAX655372 EQX655372:ERB655372 EHB655372:EHF655372 DXF655372:DXJ655372 DNJ655372:DNN655372 DDN655372:DDR655372 CTR655372:CTV655372 CJV655372:CJZ655372 BZZ655372:CAD655372 BQD655372:BQH655372 BGH655372:BGL655372 AWL655372:AWP655372 AMP655372:AMT655372 ACT655372:ACX655372 SX655372:TB655372 JB655372:JF655372 F655372:J655372 WVN589836:WVR589836 WLR589836:WLV589836 WBV589836:WBZ589836 VRZ589836:VSD589836 VID589836:VIH589836 UYH589836:UYL589836 UOL589836:UOP589836 UEP589836:UET589836 TUT589836:TUX589836 TKX589836:TLB589836 TBB589836:TBF589836 SRF589836:SRJ589836 SHJ589836:SHN589836 RXN589836:RXR589836 RNR589836:RNV589836 RDV589836:RDZ589836 QTZ589836:QUD589836 QKD589836:QKH589836 QAH589836:QAL589836 PQL589836:PQP589836 PGP589836:PGT589836 OWT589836:OWX589836 OMX589836:ONB589836 ODB589836:ODF589836 NTF589836:NTJ589836 NJJ589836:NJN589836 MZN589836:MZR589836 MPR589836:MPV589836 MFV589836:MFZ589836 LVZ589836:LWD589836 LMD589836:LMH589836 LCH589836:LCL589836 KSL589836:KSP589836 KIP589836:KIT589836 JYT589836:JYX589836 JOX589836:JPB589836 JFB589836:JFF589836 IVF589836:IVJ589836 ILJ589836:ILN589836 IBN589836:IBR589836 HRR589836:HRV589836 HHV589836:HHZ589836 GXZ589836:GYD589836 GOD589836:GOH589836 GEH589836:GEL589836 FUL589836:FUP589836 FKP589836:FKT589836 FAT589836:FAX589836 EQX589836:ERB589836 EHB589836:EHF589836 DXF589836:DXJ589836 DNJ589836:DNN589836 DDN589836:DDR589836 CTR589836:CTV589836 CJV589836:CJZ589836 BZZ589836:CAD589836 BQD589836:BQH589836 BGH589836:BGL589836 AWL589836:AWP589836 AMP589836:AMT589836 ACT589836:ACX589836 SX589836:TB589836 JB589836:JF589836 F589836:J589836 WVN524300:WVR524300 WLR524300:WLV524300 WBV524300:WBZ524300 VRZ524300:VSD524300 VID524300:VIH524300 UYH524300:UYL524300 UOL524300:UOP524300 UEP524300:UET524300 TUT524300:TUX524300 TKX524300:TLB524300 TBB524300:TBF524300 SRF524300:SRJ524300 SHJ524300:SHN524300 RXN524300:RXR524300 RNR524300:RNV524300 RDV524300:RDZ524300 QTZ524300:QUD524300 QKD524300:QKH524300 QAH524300:QAL524300 PQL524300:PQP524300 PGP524300:PGT524300 OWT524300:OWX524300 OMX524300:ONB524300 ODB524300:ODF524300 NTF524300:NTJ524300 NJJ524300:NJN524300 MZN524300:MZR524300 MPR524300:MPV524300 MFV524300:MFZ524300 LVZ524300:LWD524300 LMD524300:LMH524300 LCH524300:LCL524300 KSL524300:KSP524300 KIP524300:KIT524300 JYT524300:JYX524300 JOX524300:JPB524300 JFB524300:JFF524300 IVF524300:IVJ524300 ILJ524300:ILN524300 IBN524300:IBR524300 HRR524300:HRV524300 HHV524300:HHZ524300 GXZ524300:GYD524300 GOD524300:GOH524300 GEH524300:GEL524300 FUL524300:FUP524300 FKP524300:FKT524300 FAT524300:FAX524300 EQX524300:ERB524300 EHB524300:EHF524300 DXF524300:DXJ524300 DNJ524300:DNN524300 DDN524300:DDR524300 CTR524300:CTV524300 CJV524300:CJZ524300 BZZ524300:CAD524300 BQD524300:BQH524300 BGH524300:BGL524300 AWL524300:AWP524300 AMP524300:AMT524300 ACT524300:ACX524300 SX524300:TB524300 JB524300:JF524300 F524300:J524300 WVN458764:WVR458764 WLR458764:WLV458764 WBV458764:WBZ458764 VRZ458764:VSD458764 VID458764:VIH458764 UYH458764:UYL458764 UOL458764:UOP458764 UEP458764:UET458764 TUT458764:TUX458764 TKX458764:TLB458764 TBB458764:TBF458764 SRF458764:SRJ458764 SHJ458764:SHN458764 RXN458764:RXR458764 RNR458764:RNV458764 RDV458764:RDZ458764 QTZ458764:QUD458764 QKD458764:QKH458764 QAH458764:QAL458764 PQL458764:PQP458764 PGP458764:PGT458764 OWT458764:OWX458764 OMX458764:ONB458764 ODB458764:ODF458764 NTF458764:NTJ458764 NJJ458764:NJN458764 MZN458764:MZR458764 MPR458764:MPV458764 MFV458764:MFZ458764 LVZ458764:LWD458764 LMD458764:LMH458764 LCH458764:LCL458764 KSL458764:KSP458764 KIP458764:KIT458764 JYT458764:JYX458764 JOX458764:JPB458764 JFB458764:JFF458764 IVF458764:IVJ458764 ILJ458764:ILN458764 IBN458764:IBR458764 HRR458764:HRV458764 HHV458764:HHZ458764 GXZ458764:GYD458764 GOD458764:GOH458764 GEH458764:GEL458764 FUL458764:FUP458764 FKP458764:FKT458764 FAT458764:FAX458764 EQX458764:ERB458764 EHB458764:EHF458764 DXF458764:DXJ458764 DNJ458764:DNN458764 DDN458764:DDR458764 CTR458764:CTV458764 CJV458764:CJZ458764 BZZ458764:CAD458764 BQD458764:BQH458764 BGH458764:BGL458764 AWL458764:AWP458764 AMP458764:AMT458764 ACT458764:ACX458764 SX458764:TB458764 JB458764:JF458764 F458764:J458764 WVN393228:WVR393228 WLR393228:WLV393228 WBV393228:WBZ393228 VRZ393228:VSD393228 VID393228:VIH393228 UYH393228:UYL393228 UOL393228:UOP393228 UEP393228:UET393228 TUT393228:TUX393228 TKX393228:TLB393228 TBB393228:TBF393228 SRF393228:SRJ393228 SHJ393228:SHN393228 RXN393228:RXR393228 RNR393228:RNV393228 RDV393228:RDZ393228 QTZ393228:QUD393228 QKD393228:QKH393228 QAH393228:QAL393228 PQL393228:PQP393228 PGP393228:PGT393228 OWT393228:OWX393228 OMX393228:ONB393228 ODB393228:ODF393228 NTF393228:NTJ393228 NJJ393228:NJN393228 MZN393228:MZR393228 MPR393228:MPV393228 MFV393228:MFZ393228 LVZ393228:LWD393228 LMD393228:LMH393228 LCH393228:LCL393228 KSL393228:KSP393228 KIP393228:KIT393228 JYT393228:JYX393228 JOX393228:JPB393228 JFB393228:JFF393228 IVF393228:IVJ393228 ILJ393228:ILN393228 IBN393228:IBR393228 HRR393228:HRV393228 HHV393228:HHZ393228 GXZ393228:GYD393228 GOD393228:GOH393228 GEH393228:GEL393228 FUL393228:FUP393228 FKP393228:FKT393228 FAT393228:FAX393228 EQX393228:ERB393228 EHB393228:EHF393228 DXF393228:DXJ393228 DNJ393228:DNN393228 DDN393228:DDR393228 CTR393228:CTV393228 CJV393228:CJZ393228 BZZ393228:CAD393228 BQD393228:BQH393228 BGH393228:BGL393228 AWL393228:AWP393228 AMP393228:AMT393228 ACT393228:ACX393228 SX393228:TB393228 JB393228:JF393228 F393228:J393228 WVN327692:WVR327692 WLR327692:WLV327692 WBV327692:WBZ327692 VRZ327692:VSD327692 VID327692:VIH327692 UYH327692:UYL327692 UOL327692:UOP327692 UEP327692:UET327692 TUT327692:TUX327692 TKX327692:TLB327692 TBB327692:TBF327692 SRF327692:SRJ327692 SHJ327692:SHN327692 RXN327692:RXR327692 RNR327692:RNV327692 RDV327692:RDZ327692 QTZ327692:QUD327692 QKD327692:QKH327692 QAH327692:QAL327692 PQL327692:PQP327692 PGP327692:PGT327692 OWT327692:OWX327692 OMX327692:ONB327692 ODB327692:ODF327692 NTF327692:NTJ327692 NJJ327692:NJN327692 MZN327692:MZR327692 MPR327692:MPV327692 MFV327692:MFZ327692 LVZ327692:LWD327692 LMD327692:LMH327692 LCH327692:LCL327692 KSL327692:KSP327692 KIP327692:KIT327692 JYT327692:JYX327692 JOX327692:JPB327692 JFB327692:JFF327692 IVF327692:IVJ327692 ILJ327692:ILN327692 IBN327692:IBR327692 HRR327692:HRV327692 HHV327692:HHZ327692 GXZ327692:GYD327692 GOD327692:GOH327692 GEH327692:GEL327692 FUL327692:FUP327692 FKP327692:FKT327692 FAT327692:FAX327692 EQX327692:ERB327692 EHB327692:EHF327692 DXF327692:DXJ327692 DNJ327692:DNN327692 DDN327692:DDR327692 CTR327692:CTV327692 CJV327692:CJZ327692 BZZ327692:CAD327692 BQD327692:BQH327692 BGH327692:BGL327692 AWL327692:AWP327692 AMP327692:AMT327692 ACT327692:ACX327692 SX327692:TB327692 JB327692:JF327692 F327692:J327692 WVN262156:WVR262156 WLR262156:WLV262156 WBV262156:WBZ262156 VRZ262156:VSD262156 VID262156:VIH262156 UYH262156:UYL262156 UOL262156:UOP262156 UEP262156:UET262156 TUT262156:TUX262156 TKX262156:TLB262156 TBB262156:TBF262156 SRF262156:SRJ262156 SHJ262156:SHN262156 RXN262156:RXR262156 RNR262156:RNV262156 RDV262156:RDZ262156 QTZ262156:QUD262156 QKD262156:QKH262156 QAH262156:QAL262156 PQL262156:PQP262156 PGP262156:PGT262156 OWT262156:OWX262156 OMX262156:ONB262156 ODB262156:ODF262156 NTF262156:NTJ262156 NJJ262156:NJN262156 MZN262156:MZR262156 MPR262156:MPV262156 MFV262156:MFZ262156 LVZ262156:LWD262156 LMD262156:LMH262156 LCH262156:LCL262156 KSL262156:KSP262156 KIP262156:KIT262156 JYT262156:JYX262156 JOX262156:JPB262156 JFB262156:JFF262156 IVF262156:IVJ262156 ILJ262156:ILN262156 IBN262156:IBR262156 HRR262156:HRV262156 HHV262156:HHZ262156 GXZ262156:GYD262156 GOD262156:GOH262156 GEH262156:GEL262156 FUL262156:FUP262156 FKP262156:FKT262156 FAT262156:FAX262156 EQX262156:ERB262156 EHB262156:EHF262156 DXF262156:DXJ262156 DNJ262156:DNN262156 DDN262156:DDR262156 CTR262156:CTV262156 CJV262156:CJZ262156 BZZ262156:CAD262156 BQD262156:BQH262156 BGH262156:BGL262156 AWL262156:AWP262156 AMP262156:AMT262156 ACT262156:ACX262156 SX262156:TB262156 JB262156:JF262156 F262156:J262156 WVN196620:WVR196620 WLR196620:WLV196620 WBV196620:WBZ196620 VRZ196620:VSD196620 VID196620:VIH196620 UYH196620:UYL196620 UOL196620:UOP196620 UEP196620:UET196620 TUT196620:TUX196620 TKX196620:TLB196620 TBB196620:TBF196620 SRF196620:SRJ196620 SHJ196620:SHN196620 RXN196620:RXR196620 RNR196620:RNV196620 RDV196620:RDZ196620 QTZ196620:QUD196620 QKD196620:QKH196620 QAH196620:QAL196620 PQL196620:PQP196620 PGP196620:PGT196620 OWT196620:OWX196620 OMX196620:ONB196620 ODB196620:ODF196620 NTF196620:NTJ196620 NJJ196620:NJN196620 MZN196620:MZR196620 MPR196620:MPV196620 MFV196620:MFZ196620 LVZ196620:LWD196620 LMD196620:LMH196620 LCH196620:LCL196620 KSL196620:KSP196620 KIP196620:KIT196620 JYT196620:JYX196620 JOX196620:JPB196620 JFB196620:JFF196620 IVF196620:IVJ196620 ILJ196620:ILN196620 IBN196620:IBR196620 HRR196620:HRV196620 HHV196620:HHZ196620 GXZ196620:GYD196620 GOD196620:GOH196620 GEH196620:GEL196620 FUL196620:FUP196620 FKP196620:FKT196620 FAT196620:FAX196620 EQX196620:ERB196620 EHB196620:EHF196620 DXF196620:DXJ196620 DNJ196620:DNN196620 DDN196620:DDR196620 CTR196620:CTV196620 CJV196620:CJZ196620 BZZ196620:CAD196620 BQD196620:BQH196620 BGH196620:BGL196620 AWL196620:AWP196620 AMP196620:AMT196620 ACT196620:ACX196620 SX196620:TB196620 JB196620:JF196620 F196620:J196620 WVN131084:WVR131084 WLR131084:WLV131084 WBV131084:WBZ131084 VRZ131084:VSD131084 VID131084:VIH131084 UYH131084:UYL131084 UOL131084:UOP131084 UEP131084:UET131084 TUT131084:TUX131084 TKX131084:TLB131084 TBB131084:TBF131084 SRF131084:SRJ131084 SHJ131084:SHN131084 RXN131084:RXR131084 RNR131084:RNV131084 RDV131084:RDZ131084 QTZ131084:QUD131084 QKD131084:QKH131084 QAH131084:QAL131084 PQL131084:PQP131084 PGP131084:PGT131084 OWT131084:OWX131084 OMX131084:ONB131084 ODB131084:ODF131084 NTF131084:NTJ131084 NJJ131084:NJN131084 MZN131084:MZR131084 MPR131084:MPV131084 MFV131084:MFZ131084 LVZ131084:LWD131084 LMD131084:LMH131084 LCH131084:LCL131084 KSL131084:KSP131084 KIP131084:KIT131084 JYT131084:JYX131084 JOX131084:JPB131084 JFB131084:JFF131084 IVF131084:IVJ131084 ILJ131084:ILN131084 IBN131084:IBR131084 HRR131084:HRV131084 HHV131084:HHZ131084 GXZ131084:GYD131084 GOD131084:GOH131084 GEH131084:GEL131084 FUL131084:FUP131084 FKP131084:FKT131084 FAT131084:FAX131084 EQX131084:ERB131084 EHB131084:EHF131084 DXF131084:DXJ131084 DNJ131084:DNN131084 DDN131084:DDR131084 CTR131084:CTV131084 CJV131084:CJZ131084 BZZ131084:CAD131084 BQD131084:BQH131084 BGH131084:BGL131084 AWL131084:AWP131084 AMP131084:AMT131084 ACT131084:ACX131084 SX131084:TB131084 JB131084:JF131084 F131084:J131084 WVN65548:WVR65548 WLR65548:WLV65548 WBV65548:WBZ65548 VRZ65548:VSD65548 VID65548:VIH65548 UYH65548:UYL65548 UOL65548:UOP65548 UEP65548:UET65548 TUT65548:TUX65548 TKX65548:TLB65548 TBB65548:TBF65548 SRF65548:SRJ65548 SHJ65548:SHN65548 RXN65548:RXR65548 RNR65548:RNV65548 RDV65548:RDZ65548 QTZ65548:QUD65548 QKD65548:QKH65548 QAH65548:QAL65548 PQL65548:PQP65548 PGP65548:PGT65548 OWT65548:OWX65548 OMX65548:ONB65548 ODB65548:ODF65548 NTF65548:NTJ65548 NJJ65548:NJN65548 MZN65548:MZR65548 MPR65548:MPV65548 MFV65548:MFZ65548 LVZ65548:LWD65548 LMD65548:LMH65548 LCH65548:LCL65548 KSL65548:KSP65548 KIP65548:KIT65548 JYT65548:JYX65548 JOX65548:JPB65548 JFB65548:JFF65548 IVF65548:IVJ65548 ILJ65548:ILN65548 IBN65548:IBR65548 HRR65548:HRV65548 HHV65548:HHZ65548 GXZ65548:GYD65548 GOD65548:GOH65548 GEH65548:GEL65548 FUL65548:FUP65548 FKP65548:FKT65548 FAT65548:FAX65548 EQX65548:ERB65548 EHB65548:EHF65548 DXF65548:DXJ65548 DNJ65548:DNN65548 DDN65548:DDR65548 CTR65548:CTV65548 CJV65548:CJZ65548 BZZ65548:CAD65548 BQD65548:BQH65548 BGH65548:BGL65548 AWL65548:AWP65548 AMP65548:AMT65548 ACT65548:ACX65548 SX65548:TB65548 JB65548:JF65548 F65548:J65548 JB39:JF39 SX39:TB39 ACT39:ACX39 AMP39:AMT39 AWL39:AWP39 BGH39:BGL39 BQD39:BQH39 BZZ39:CAD39 CJV39:CJZ39 CTR39:CTV39 DDN39:DDR39 DNJ39:DNN39 DXF39:DXJ39 EHB39:EHF39 EQX39:ERB39 FAT39:FAX39 FKP39:FKT39 FUL39:FUP39 GEH39:GEL39 GOD39:GOH39 GXZ39:GYD39 HHV39:HHZ39 HRR39:HRV39 IBN39:IBR39 ILJ39:ILN39 IVF39:IVJ39 JFB39:JFF39 JOX39:JPB39 JYT39:JYX39 KIP39:KIT39 KSL39:KSP39 LCH39:LCL39 LMD39:LMH39 LVZ39:LWD39 MFV39:MFZ39 MPR39:MPV39 MZN39:MZR39 NJJ39:NJN39 NTF39:NTJ39 ODB39:ODF39 OMX39:ONB39 OWT39:OWX39 PGP39:PGT39 PQL39:PQP39 QAH39:QAL39 QKD39:QKH39 QTZ39:QUD39 RDV39:RDZ39 RNR39:RNV39 RXN39:RXR39 SHJ39:SHN39 SRF39:SRJ39 TBB39:TBF39 TKX39:TLB39 TUT39:TUX39 UEP39:UET39 UOL39:UOP39 UYH39:UYL39 VID39:VIH39 VRZ39:VSD39 WBV39:WBZ39 WLR39:WLV39 WVN39:WVR39" xr:uid="{00000000-0002-0000-0700-000000000000}">
      <formula1>$K$7:$K$7</formula1>
    </dataValidation>
  </dataValidations>
  <printOptions horizontalCentered="1"/>
  <pageMargins left="0.19685039370078741" right="0.19685039370078741" top="0.51181102362204722" bottom="0.31496062992125984" header="0.15748031496062992" footer="0.19685039370078741"/>
  <pageSetup paperSize="9" scale="44" orientation="portrait" r:id="rId1"/>
  <headerFooter>
    <oddFooter>&amp;L&amp;8Rev: 0
Emisión: 15/12/19&amp;C&amp;8Revisa y aprueba: ME. Barbeito&amp;R&amp;8&amp;P de &amp;N</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N47"/>
  <sheetViews>
    <sheetView workbookViewId="0"/>
  </sheetViews>
  <sheetFormatPr baseColWidth="10" defaultRowHeight="12.75" x14ac:dyDescent="0.2"/>
  <cols>
    <col min="1" max="1" width="12.28515625" style="613" customWidth="1"/>
    <col min="2" max="2" width="11.42578125" style="613" customWidth="1"/>
    <col min="3" max="3" width="28.7109375" style="613" customWidth="1"/>
    <col min="4" max="5" width="28.85546875" style="613" customWidth="1"/>
    <col min="6" max="6" width="27.85546875" style="613" customWidth="1"/>
    <col min="7" max="7" width="7.140625" style="613" customWidth="1"/>
    <col min="8" max="8" width="10.85546875" style="613" customWidth="1"/>
    <col min="9" max="9" width="17.42578125" style="613" customWidth="1"/>
    <col min="10" max="10" width="1.7109375" style="613" customWidth="1"/>
    <col min="11" max="11" width="11.42578125" style="613" customWidth="1"/>
    <col min="12" max="12" width="2.140625" style="613" customWidth="1"/>
    <col min="13" max="16384" width="11.42578125" style="613"/>
  </cols>
  <sheetData>
    <row r="1" spans="1:11" ht="46.5" customHeight="1" thickBot="1" x14ac:dyDescent="0.25">
      <c r="A1" s="649"/>
      <c r="B1" s="648"/>
      <c r="C1" s="762" t="s">
        <v>2428</v>
      </c>
      <c r="D1" s="763"/>
      <c r="E1" s="763"/>
      <c r="F1" s="763"/>
      <c r="G1" s="763"/>
      <c r="H1" s="763"/>
      <c r="I1" s="764"/>
      <c r="J1" s="618"/>
    </row>
    <row r="2" spans="1:11" ht="33.75" customHeight="1" thickBot="1" x14ac:dyDescent="0.25">
      <c r="A2" s="647"/>
      <c r="B2" s="646"/>
      <c r="C2" s="765" t="s">
        <v>1658</v>
      </c>
      <c r="D2" s="766"/>
      <c r="E2" s="767" t="s">
        <v>1659</v>
      </c>
      <c r="F2" s="768"/>
      <c r="G2" s="768"/>
      <c r="H2" s="768"/>
      <c r="I2" s="769"/>
      <c r="J2" s="618"/>
    </row>
    <row r="3" spans="1:11" ht="13.5" thickBot="1" x14ac:dyDescent="0.25"/>
    <row r="4" spans="1:11" ht="23.25" customHeight="1" thickBot="1" x14ac:dyDescent="0.25">
      <c r="A4" s="786" t="s">
        <v>2510</v>
      </c>
      <c r="B4" s="787"/>
      <c r="C4" s="788" t="s">
        <v>2509</v>
      </c>
      <c r="D4" s="789"/>
      <c r="E4" s="645"/>
      <c r="F4" s="641" t="s">
        <v>2508</v>
      </c>
      <c r="G4" s="793">
        <v>40221</v>
      </c>
      <c r="H4" s="761"/>
      <c r="I4" s="644" t="s">
        <v>2507</v>
      </c>
    </row>
    <row r="5" spans="1:11" ht="24" customHeight="1" thickBot="1" x14ac:dyDescent="0.25">
      <c r="A5" s="786" t="s">
        <v>1662</v>
      </c>
      <c r="B5" s="787"/>
      <c r="C5" s="643" t="s">
        <v>2506</v>
      </c>
      <c r="D5" s="642"/>
      <c r="F5" s="641" t="s">
        <v>2505</v>
      </c>
      <c r="G5" s="792">
        <v>44321</v>
      </c>
      <c r="H5" s="792"/>
      <c r="I5" s="640" t="s">
        <v>2504</v>
      </c>
    </row>
    <row r="6" spans="1:11" ht="15.75" customHeight="1" x14ac:dyDescent="0.2">
      <c r="J6" s="618"/>
    </row>
    <row r="8" spans="1:11" ht="34.5" customHeight="1" x14ac:dyDescent="0.2">
      <c r="A8" s="750" t="s">
        <v>2503</v>
      </c>
      <c r="B8" s="750" t="s">
        <v>2502</v>
      </c>
      <c r="C8" s="750" t="s">
        <v>2501</v>
      </c>
      <c r="D8" s="750" t="s">
        <v>2500</v>
      </c>
      <c r="E8" s="750"/>
      <c r="F8" s="750"/>
      <c r="G8" s="750" t="s">
        <v>2499</v>
      </c>
      <c r="H8" s="750"/>
      <c r="I8" s="750" t="s">
        <v>2498</v>
      </c>
      <c r="J8" s="627"/>
    </row>
    <row r="9" spans="1:11" ht="31.5" customHeight="1" x14ac:dyDescent="0.2">
      <c r="A9" s="750"/>
      <c r="B9" s="750"/>
      <c r="C9" s="750"/>
      <c r="D9" s="639">
        <v>1</v>
      </c>
      <c r="E9" s="639">
        <v>2</v>
      </c>
      <c r="F9" s="639">
        <v>3</v>
      </c>
      <c r="G9" s="639" t="s">
        <v>2497</v>
      </c>
      <c r="H9" s="639" t="s">
        <v>2496</v>
      </c>
      <c r="I9" s="750"/>
      <c r="J9" s="627"/>
    </row>
    <row r="10" spans="1:11" x14ac:dyDescent="0.2">
      <c r="A10" s="807" t="s">
        <v>2495</v>
      </c>
      <c r="B10" s="761"/>
      <c r="C10" s="754" t="s">
        <v>2490</v>
      </c>
      <c r="D10" s="54" t="s">
        <v>2489</v>
      </c>
      <c r="E10" s="54" t="s">
        <v>2488</v>
      </c>
      <c r="F10" s="54" t="s">
        <v>2487</v>
      </c>
      <c r="G10" s="757">
        <f>+IF(D11="x",5,+IF(E11="x",10,+IF(F11="x",20,"sin evaluar")))</f>
        <v>10</v>
      </c>
      <c r="H10" s="751">
        <v>20</v>
      </c>
      <c r="I10" s="775">
        <f>SUM(G10:G17)/SUM(H10:H17)</f>
        <v>0.9</v>
      </c>
      <c r="J10" s="626"/>
      <c r="K10" s="613">
        <f>SUM(G10:G17)</f>
        <v>90</v>
      </c>
    </row>
    <row r="11" spans="1:11" ht="21.75" customHeight="1" x14ac:dyDescent="0.2">
      <c r="A11" s="808"/>
      <c r="B11" s="761"/>
      <c r="C11" s="754"/>
      <c r="D11" s="638"/>
      <c r="E11" s="636" t="s">
        <v>1679</v>
      </c>
      <c r="F11" s="638"/>
      <c r="G11" s="757"/>
      <c r="H11" s="751"/>
      <c r="I11" s="776"/>
      <c r="J11" s="626"/>
    </row>
    <row r="12" spans="1:11" ht="44.25" customHeight="1" x14ac:dyDescent="0.2">
      <c r="A12" s="808"/>
      <c r="B12" s="761"/>
      <c r="C12" s="754" t="s">
        <v>2486</v>
      </c>
      <c r="D12" s="54" t="s">
        <v>2485</v>
      </c>
      <c r="E12" s="54" t="s">
        <v>2484</v>
      </c>
      <c r="F12" s="54" t="s">
        <v>2483</v>
      </c>
      <c r="G12" s="757">
        <f>+IF(D13="x",5,+IF(E13="x",10,+IF(F13="x",20,"sin evaluar")))</f>
        <v>20</v>
      </c>
      <c r="H12" s="751">
        <v>20</v>
      </c>
      <c r="I12" s="776"/>
      <c r="J12" s="626"/>
    </row>
    <row r="13" spans="1:11" ht="18.75" customHeight="1" x14ac:dyDescent="0.2">
      <c r="A13" s="808"/>
      <c r="B13" s="761"/>
      <c r="C13" s="754"/>
      <c r="D13" s="638"/>
      <c r="E13" s="638"/>
      <c r="F13" s="636" t="s">
        <v>1679</v>
      </c>
      <c r="G13" s="757"/>
      <c r="H13" s="751"/>
      <c r="I13" s="776"/>
      <c r="J13" s="626"/>
    </row>
    <row r="14" spans="1:11" ht="37.5" customHeight="1" x14ac:dyDescent="0.2">
      <c r="A14" s="808"/>
      <c r="B14" s="761"/>
      <c r="C14" s="754" t="s">
        <v>2482</v>
      </c>
      <c r="D14" s="54" t="s">
        <v>2481</v>
      </c>
      <c r="E14" s="54" t="s">
        <v>2480</v>
      </c>
      <c r="F14" s="54" t="s">
        <v>2479</v>
      </c>
      <c r="G14" s="757">
        <f>+IF(D15="x",5,+IF(E15="x",10,+IF(F15="x",30,"sin evaluar")))</f>
        <v>30</v>
      </c>
      <c r="H14" s="751">
        <v>30</v>
      </c>
      <c r="I14" s="776"/>
      <c r="J14" s="626"/>
    </row>
    <row r="15" spans="1:11" ht="21.75" customHeight="1" x14ac:dyDescent="0.2">
      <c r="A15" s="808"/>
      <c r="B15" s="761"/>
      <c r="C15" s="754"/>
      <c r="D15" s="638"/>
      <c r="E15" s="638"/>
      <c r="F15" s="636" t="s">
        <v>1679</v>
      </c>
      <c r="G15" s="757"/>
      <c r="H15" s="751"/>
      <c r="I15" s="776"/>
      <c r="J15" s="626"/>
    </row>
    <row r="16" spans="1:11" ht="59.25" customHeight="1" x14ac:dyDescent="0.2">
      <c r="A16" s="808"/>
      <c r="B16" s="761"/>
      <c r="C16" s="754" t="s">
        <v>2478</v>
      </c>
      <c r="D16" s="54" t="s">
        <v>2477</v>
      </c>
      <c r="E16" s="54" t="s">
        <v>2476</v>
      </c>
      <c r="F16" s="54" t="s">
        <v>2475</v>
      </c>
      <c r="G16" s="757">
        <f>+IF(D17="x",10,+IF(E17="x",20,+IF(F17="x",30,"sin evaluar")))</f>
        <v>30</v>
      </c>
      <c r="H16" s="751">
        <v>30</v>
      </c>
      <c r="I16" s="776"/>
      <c r="J16" s="626"/>
    </row>
    <row r="17" spans="1:11" ht="24.75" customHeight="1" x14ac:dyDescent="0.2">
      <c r="A17" s="809"/>
      <c r="B17" s="761"/>
      <c r="C17" s="754"/>
      <c r="D17" s="638"/>
      <c r="E17" s="638"/>
      <c r="F17" s="636" t="s">
        <v>1679</v>
      </c>
      <c r="G17" s="757"/>
      <c r="H17" s="751"/>
      <c r="I17" s="777"/>
      <c r="J17" s="626"/>
    </row>
    <row r="18" spans="1:11" ht="63.75" x14ac:dyDescent="0.2">
      <c r="A18" s="806" t="s">
        <v>2474</v>
      </c>
      <c r="B18" s="803">
        <v>100</v>
      </c>
      <c r="C18" s="752" t="s">
        <v>2473</v>
      </c>
      <c r="D18" s="636" t="s">
        <v>2472</v>
      </c>
      <c r="E18" s="758" t="s">
        <v>2471</v>
      </c>
      <c r="F18" s="759"/>
      <c r="G18" s="757">
        <f>+IF(D19="x",10,+IF(E19="x",20,"sin evaluar"))</f>
        <v>20</v>
      </c>
      <c r="H18" s="755">
        <v>20</v>
      </c>
      <c r="I18" s="775">
        <f>SUM(G18:G31)/SUM(H18:H31)</f>
        <v>0.9285714285714286</v>
      </c>
      <c r="J18" s="626"/>
    </row>
    <row r="19" spans="1:11" ht="21.75" customHeight="1" x14ac:dyDescent="0.2">
      <c r="A19" s="806"/>
      <c r="B19" s="804"/>
      <c r="C19" s="753"/>
      <c r="D19" s="636"/>
      <c r="E19" s="758" t="s">
        <v>1679</v>
      </c>
      <c r="F19" s="759"/>
      <c r="G19" s="757"/>
      <c r="H19" s="756"/>
      <c r="I19" s="776"/>
      <c r="J19" s="626"/>
    </row>
    <row r="20" spans="1:11" ht="99.75" customHeight="1" x14ac:dyDescent="0.2">
      <c r="A20" s="806"/>
      <c r="B20" s="804"/>
      <c r="C20" s="752" t="s">
        <v>2470</v>
      </c>
      <c r="D20" s="637" t="s">
        <v>2469</v>
      </c>
      <c r="E20" s="637" t="s">
        <v>2468</v>
      </c>
      <c r="F20" s="637" t="s">
        <v>2467</v>
      </c>
      <c r="G20" s="757">
        <f>+IF(D21="x",0,+IF(E21="x",10,+IF(F21="x",20,"sin evaluar")))</f>
        <v>20</v>
      </c>
      <c r="H20" s="751">
        <v>20</v>
      </c>
      <c r="I20" s="776"/>
      <c r="J20" s="626"/>
    </row>
    <row r="21" spans="1:11" ht="21.75" customHeight="1" x14ac:dyDescent="0.2">
      <c r="A21" s="806"/>
      <c r="B21" s="804"/>
      <c r="C21" s="753"/>
      <c r="D21" s="636"/>
      <c r="E21" s="636"/>
      <c r="F21" s="636" t="s">
        <v>1679</v>
      </c>
      <c r="G21" s="757"/>
      <c r="H21" s="751"/>
      <c r="I21" s="776"/>
      <c r="J21" s="626"/>
    </row>
    <row r="22" spans="1:11" ht="51" x14ac:dyDescent="0.2">
      <c r="A22" s="806"/>
      <c r="B22" s="804"/>
      <c r="C22" s="637" t="s">
        <v>2466</v>
      </c>
      <c r="D22" s="637" t="s">
        <v>2465</v>
      </c>
      <c r="E22" s="637" t="s">
        <v>2464</v>
      </c>
      <c r="F22" s="637" t="s">
        <v>2463</v>
      </c>
      <c r="G22" s="757">
        <f>+IF(D23="x",0,+IF(E23="x",10,+IF(F23="x",20,"sin evaluar")))</f>
        <v>20</v>
      </c>
      <c r="H22" s="755">
        <v>20</v>
      </c>
      <c r="I22" s="776"/>
      <c r="J22" s="626"/>
      <c r="K22" s="613">
        <f>SUM(G18:G31)</f>
        <v>130</v>
      </c>
    </row>
    <row r="23" spans="1:11" ht="24.75" customHeight="1" x14ac:dyDescent="0.2">
      <c r="A23" s="806"/>
      <c r="B23" s="804"/>
      <c r="C23" s="637"/>
      <c r="D23" s="636"/>
      <c r="E23" s="636"/>
      <c r="F23" s="636" t="s">
        <v>1679</v>
      </c>
      <c r="G23" s="757"/>
      <c r="H23" s="756"/>
      <c r="I23" s="776"/>
      <c r="J23" s="626"/>
    </row>
    <row r="24" spans="1:11" ht="121.5" customHeight="1" x14ac:dyDescent="0.2">
      <c r="A24" s="806"/>
      <c r="B24" s="804"/>
      <c r="C24" s="752" t="s">
        <v>2462</v>
      </c>
      <c r="D24" s="637" t="s">
        <v>2461</v>
      </c>
      <c r="E24" s="637" t="s">
        <v>2460</v>
      </c>
      <c r="F24" s="637" t="s">
        <v>2459</v>
      </c>
      <c r="G24" s="757">
        <f>+IF(D25="x",0,+IF(E25="x",10,+IF(F25="x",20,"sin evaluar")))</f>
        <v>20</v>
      </c>
      <c r="H24" s="751">
        <v>20</v>
      </c>
      <c r="I24" s="776"/>
      <c r="J24" s="626"/>
    </row>
    <row r="25" spans="1:11" ht="24.75" customHeight="1" x14ac:dyDescent="0.2">
      <c r="A25" s="806"/>
      <c r="B25" s="804"/>
      <c r="C25" s="753"/>
      <c r="D25" s="636"/>
      <c r="E25" s="636"/>
      <c r="F25" s="636" t="s">
        <v>1679</v>
      </c>
      <c r="G25" s="757"/>
      <c r="H25" s="751"/>
      <c r="I25" s="776"/>
      <c r="J25" s="626"/>
    </row>
    <row r="26" spans="1:11" ht="114.75" customHeight="1" x14ac:dyDescent="0.2">
      <c r="A26" s="806"/>
      <c r="B26" s="804"/>
      <c r="C26" s="752" t="s">
        <v>2458</v>
      </c>
      <c r="D26" s="637" t="s">
        <v>2457</v>
      </c>
      <c r="E26" s="637" t="s">
        <v>2550</v>
      </c>
      <c r="F26" s="637" t="s">
        <v>2455</v>
      </c>
      <c r="G26" s="757">
        <f>+IF(D27="x",0,+IF(E27="x",10,+IF(F27="x",20,"sin evaluar")))</f>
        <v>10</v>
      </c>
      <c r="H26" s="751">
        <v>20</v>
      </c>
      <c r="I26" s="776"/>
      <c r="J26" s="626"/>
    </row>
    <row r="27" spans="1:11" ht="21.75" customHeight="1" x14ac:dyDescent="0.2">
      <c r="A27" s="806"/>
      <c r="B27" s="804"/>
      <c r="C27" s="753"/>
      <c r="D27" s="636"/>
      <c r="E27" s="636" t="s">
        <v>1679</v>
      </c>
      <c r="F27" s="636"/>
      <c r="G27" s="757"/>
      <c r="H27" s="751"/>
      <c r="I27" s="776"/>
      <c r="J27" s="626"/>
    </row>
    <row r="28" spans="1:11" ht="84" customHeight="1" x14ac:dyDescent="0.2">
      <c r="A28" s="806"/>
      <c r="B28" s="804"/>
      <c r="C28" s="752" t="s">
        <v>2454</v>
      </c>
      <c r="D28" s="637" t="s">
        <v>2453</v>
      </c>
      <c r="E28" s="637" t="s">
        <v>2452</v>
      </c>
      <c r="F28" s="637" t="s">
        <v>2451</v>
      </c>
      <c r="G28" s="757">
        <f>+IF(D29="x",5,+IF(E29="x",10,+IF(F29="x",20,"sin evaluar")))</f>
        <v>20</v>
      </c>
      <c r="H28" s="751">
        <v>20</v>
      </c>
      <c r="I28" s="776"/>
      <c r="J28" s="626"/>
    </row>
    <row r="29" spans="1:11" ht="24.75" customHeight="1" x14ac:dyDescent="0.2">
      <c r="A29" s="806"/>
      <c r="B29" s="804"/>
      <c r="C29" s="753"/>
      <c r="D29" s="636"/>
      <c r="E29" s="636"/>
      <c r="F29" s="636" t="s">
        <v>1679</v>
      </c>
      <c r="G29" s="757"/>
      <c r="H29" s="751"/>
      <c r="I29" s="776"/>
      <c r="J29" s="626"/>
    </row>
    <row r="30" spans="1:11" ht="63" customHeight="1" x14ac:dyDescent="0.2">
      <c r="A30" s="806"/>
      <c r="B30" s="804"/>
      <c r="C30" s="752" t="s">
        <v>2450</v>
      </c>
      <c r="D30" s="637" t="s">
        <v>2449</v>
      </c>
      <c r="E30" s="637" t="s">
        <v>2448</v>
      </c>
      <c r="F30" s="637" t="s">
        <v>2447</v>
      </c>
      <c r="G30" s="757">
        <f>+IF(D31="x",5,+IF(E31="x",10,+IF(F31="x",20,"sin evaluar")))</f>
        <v>20</v>
      </c>
      <c r="H30" s="751">
        <v>20</v>
      </c>
      <c r="I30" s="776"/>
      <c r="J30" s="626"/>
    </row>
    <row r="31" spans="1:11" ht="24.75" customHeight="1" x14ac:dyDescent="0.2">
      <c r="A31" s="806"/>
      <c r="B31" s="805"/>
      <c r="C31" s="753"/>
      <c r="D31" s="636"/>
      <c r="E31" s="636"/>
      <c r="F31" s="635" t="s">
        <v>1679</v>
      </c>
      <c r="G31" s="757"/>
      <c r="H31" s="751"/>
      <c r="I31" s="777"/>
      <c r="J31" s="626"/>
    </row>
    <row r="32" spans="1:11" x14ac:dyDescent="0.2">
      <c r="A32" s="27"/>
      <c r="B32" s="27"/>
      <c r="C32" s="27"/>
      <c r="D32" s="27"/>
      <c r="E32" s="785" t="s">
        <v>2446</v>
      </c>
      <c r="F32" s="785"/>
      <c r="G32" s="785"/>
      <c r="H32" s="785"/>
      <c r="I32" s="634">
        <f>+AVERAGE(I10:I31)</f>
        <v>0.91428571428571437</v>
      </c>
      <c r="J32" s="626"/>
    </row>
    <row r="33" spans="1:14" ht="26.25" customHeight="1" x14ac:dyDescent="0.2">
      <c r="D33" s="629"/>
      <c r="E33" s="633" t="s">
        <v>2445</v>
      </c>
      <c r="F33" s="772" t="str">
        <f>+IF(I32&gt;85%,C44,IF(I32&gt;70%,C45,+IF(I32&gt;45%,C46,C47)))</f>
        <v>EXCELENTE</v>
      </c>
      <c r="G33" s="773"/>
      <c r="H33" s="773"/>
      <c r="I33" s="774"/>
      <c r="J33" s="626"/>
    </row>
    <row r="34" spans="1:14" x14ac:dyDescent="0.2">
      <c r="D34" s="629"/>
      <c r="E34" s="628"/>
      <c r="F34" s="627"/>
      <c r="G34" s="627"/>
      <c r="H34" s="627"/>
      <c r="I34" s="627"/>
      <c r="J34" s="626"/>
    </row>
    <row r="35" spans="1:14" x14ac:dyDescent="0.2">
      <c r="D35" s="629"/>
      <c r="E35" s="628"/>
      <c r="F35" s="627"/>
      <c r="G35" s="627"/>
      <c r="H35" s="627"/>
      <c r="I35" s="627"/>
      <c r="J35" s="626"/>
    </row>
    <row r="36" spans="1:14" ht="8.25" customHeight="1" x14ac:dyDescent="0.2">
      <c r="A36" s="631"/>
      <c r="B36" s="631"/>
      <c r="C36" s="630"/>
      <c r="D36" s="630"/>
      <c r="E36" s="632"/>
      <c r="F36" s="631"/>
      <c r="H36" s="630"/>
      <c r="I36" s="630"/>
      <c r="J36" s="630"/>
    </row>
    <row r="37" spans="1:14" x14ac:dyDescent="0.2">
      <c r="A37" s="798"/>
      <c r="B37" s="798"/>
      <c r="C37" s="799"/>
      <c r="D37" s="799"/>
      <c r="E37" s="618"/>
      <c r="F37" s="800"/>
      <c r="G37" s="800"/>
      <c r="H37" s="800"/>
      <c r="I37" s="800"/>
      <c r="J37" s="625"/>
    </row>
    <row r="38" spans="1:14" x14ac:dyDescent="0.2">
      <c r="D38" s="629"/>
      <c r="E38" s="628"/>
      <c r="F38" s="627"/>
      <c r="G38" s="627"/>
      <c r="H38" s="627"/>
      <c r="I38" s="627"/>
      <c r="J38" s="626"/>
    </row>
    <row r="39" spans="1:14" x14ac:dyDescent="0.2">
      <c r="D39" s="629"/>
      <c r="E39" s="628"/>
      <c r="F39" s="627"/>
      <c r="G39" s="627"/>
      <c r="H39" s="627"/>
      <c r="I39" s="627"/>
      <c r="J39" s="626"/>
    </row>
    <row r="40" spans="1:14" x14ac:dyDescent="0.2">
      <c r="A40" s="625" t="s">
        <v>2444</v>
      </c>
      <c r="C40" s="613" t="s">
        <v>2551</v>
      </c>
      <c r="D40" s="618"/>
      <c r="E40" s="618"/>
      <c r="F40" s="618"/>
      <c r="G40" s="618"/>
      <c r="H40" s="618"/>
      <c r="I40" s="618"/>
      <c r="J40" s="618"/>
      <c r="K40" s="618"/>
      <c r="L40" s="618"/>
      <c r="M40" s="618"/>
      <c r="N40" s="618"/>
    </row>
    <row r="41" spans="1:14" s="623" customFormat="1" ht="30.75" customHeight="1" x14ac:dyDescent="0.2">
      <c r="A41" s="778"/>
      <c r="B41" s="779"/>
      <c r="C41" s="779"/>
      <c r="D41" s="779"/>
      <c r="E41" s="779"/>
      <c r="F41" s="779"/>
      <c r="G41" s="779"/>
      <c r="H41" s="779"/>
      <c r="I41" s="780"/>
      <c r="J41" s="624"/>
    </row>
    <row r="42" spans="1:14" ht="19.5" customHeight="1" thickBot="1" x14ac:dyDescent="0.25">
      <c r="C42" s="618"/>
      <c r="D42" s="618"/>
      <c r="E42" s="618"/>
      <c r="F42" s="618"/>
      <c r="G42" s="618"/>
      <c r="H42" s="618"/>
      <c r="I42" s="616"/>
      <c r="J42" s="618"/>
    </row>
    <row r="43" spans="1:14" x14ac:dyDescent="0.2">
      <c r="A43" s="794" t="s">
        <v>2443</v>
      </c>
      <c r="B43" s="795"/>
      <c r="C43" s="622" t="s">
        <v>2442</v>
      </c>
      <c r="D43" s="802" t="s">
        <v>2441</v>
      </c>
      <c r="E43" s="802"/>
      <c r="F43" s="802"/>
      <c r="G43" s="621"/>
      <c r="H43" s="620"/>
      <c r="I43" s="619"/>
      <c r="J43" s="618"/>
    </row>
    <row r="44" spans="1:14" x14ac:dyDescent="0.2">
      <c r="A44" s="796" t="s">
        <v>2440</v>
      </c>
      <c r="B44" s="797"/>
      <c r="C44" s="617" t="s">
        <v>2439</v>
      </c>
      <c r="D44" s="790" t="s">
        <v>2438</v>
      </c>
      <c r="E44" s="790"/>
      <c r="F44" s="790"/>
      <c r="G44" s="790"/>
      <c r="H44" s="790"/>
      <c r="I44" s="791"/>
      <c r="J44" s="616"/>
    </row>
    <row r="45" spans="1:14" x14ac:dyDescent="0.2">
      <c r="A45" s="796" t="s">
        <v>2437</v>
      </c>
      <c r="B45" s="797"/>
      <c r="C45" s="617" t="s">
        <v>2436</v>
      </c>
      <c r="D45" s="790" t="s">
        <v>2435</v>
      </c>
      <c r="E45" s="790"/>
      <c r="F45" s="790"/>
      <c r="G45" s="790"/>
      <c r="H45" s="790"/>
      <c r="I45" s="791"/>
      <c r="J45" s="616"/>
    </row>
    <row r="46" spans="1:14" ht="40.5" customHeight="1" x14ac:dyDescent="0.2">
      <c r="A46" s="796" t="s">
        <v>2434</v>
      </c>
      <c r="B46" s="797"/>
      <c r="C46" s="615" t="s">
        <v>2433</v>
      </c>
      <c r="D46" s="781" t="s">
        <v>2432</v>
      </c>
      <c r="E46" s="781"/>
      <c r="F46" s="781"/>
      <c r="G46" s="781"/>
      <c r="H46" s="781"/>
      <c r="I46" s="782"/>
    </row>
    <row r="47" spans="1:14" ht="13.5" thickBot="1" x14ac:dyDescent="0.25">
      <c r="A47" s="783" t="s">
        <v>2431</v>
      </c>
      <c r="B47" s="784"/>
      <c r="C47" s="614" t="s">
        <v>2430</v>
      </c>
      <c r="D47" s="770" t="s">
        <v>2429</v>
      </c>
      <c r="E47" s="770"/>
      <c r="F47" s="770"/>
      <c r="G47" s="770"/>
      <c r="H47" s="770"/>
      <c r="I47" s="771"/>
    </row>
  </sheetData>
  <mergeCells count="70">
    <mergeCell ref="I10:I17"/>
    <mergeCell ref="A10:A17"/>
    <mergeCell ref="C1:I1"/>
    <mergeCell ref="C2:D2"/>
    <mergeCell ref="E2:I2"/>
    <mergeCell ref="A4:B4"/>
    <mergeCell ref="C4:D4"/>
    <mergeCell ref="G4:H4"/>
    <mergeCell ref="A5:B5"/>
    <mergeCell ref="G5:H5"/>
    <mergeCell ref="A8:A9"/>
    <mergeCell ref="B8:B9"/>
    <mergeCell ref="C8:C9"/>
    <mergeCell ref="D8:F8"/>
    <mergeCell ref="G8:H8"/>
    <mergeCell ref="I8:I9"/>
    <mergeCell ref="B10:B17"/>
    <mergeCell ref="C10:C11"/>
    <mergeCell ref="G10:G11"/>
    <mergeCell ref="H10:H11"/>
    <mergeCell ref="C12:C13"/>
    <mergeCell ref="G12:G13"/>
    <mergeCell ref="H12:H13"/>
    <mergeCell ref="C14:C15"/>
    <mergeCell ref="G14:G15"/>
    <mergeCell ref="H14:H15"/>
    <mergeCell ref="A18:A31"/>
    <mergeCell ref="B18:B31"/>
    <mergeCell ref="C18:C19"/>
    <mergeCell ref="E18:F18"/>
    <mergeCell ref="G18:G19"/>
    <mergeCell ref="C26:C27"/>
    <mergeCell ref="C24:C25"/>
    <mergeCell ref="G24:G25"/>
    <mergeCell ref="H24:H25"/>
    <mergeCell ref="C16:C17"/>
    <mergeCell ref="G16:G17"/>
    <mergeCell ref="H16:H17"/>
    <mergeCell ref="H18:H19"/>
    <mergeCell ref="A41:I41"/>
    <mergeCell ref="G26:G27"/>
    <mergeCell ref="H26:H27"/>
    <mergeCell ref="C28:C29"/>
    <mergeCell ref="G28:G29"/>
    <mergeCell ref="H28:H29"/>
    <mergeCell ref="C30:C31"/>
    <mergeCell ref="G30:G31"/>
    <mergeCell ref="H30:H31"/>
    <mergeCell ref="I18:I31"/>
    <mergeCell ref="E19:F19"/>
    <mergeCell ref="C20:C21"/>
    <mergeCell ref="G20:G21"/>
    <mergeCell ref="H20:H21"/>
    <mergeCell ref="G22:G23"/>
    <mergeCell ref="H22:H23"/>
    <mergeCell ref="E32:H32"/>
    <mergeCell ref="F33:I33"/>
    <mergeCell ref="A37:B37"/>
    <mergeCell ref="C37:D37"/>
    <mergeCell ref="F37:I37"/>
    <mergeCell ref="A46:B46"/>
    <mergeCell ref="D46:I46"/>
    <mergeCell ref="A47:B47"/>
    <mergeCell ref="D47:I47"/>
    <mergeCell ref="A43:B43"/>
    <mergeCell ref="D43:F43"/>
    <mergeCell ref="A44:B44"/>
    <mergeCell ref="D44:I44"/>
    <mergeCell ref="A45:B45"/>
    <mergeCell ref="D45:I45"/>
  </mergeCells>
  <dataValidations disablePrompts="1" count="1">
    <dataValidation type="list" allowBlank="1" showInputMessage="1" showErrorMessage="1" sqref="F37:J37 WVN983050:WVR983050 WLR983050:WLV983050 WBV983050:WBZ983050 VRZ983050:VSD983050 VID983050:VIH983050 UYH983050:UYL983050 UOL983050:UOP983050 UEP983050:UET983050 TUT983050:TUX983050 TKX983050:TLB983050 TBB983050:TBF983050 SRF983050:SRJ983050 SHJ983050:SHN983050 RXN983050:RXR983050 RNR983050:RNV983050 RDV983050:RDZ983050 QTZ983050:QUD983050 QKD983050:QKH983050 QAH983050:QAL983050 PQL983050:PQP983050 PGP983050:PGT983050 OWT983050:OWX983050 OMX983050:ONB983050 ODB983050:ODF983050 NTF983050:NTJ983050 NJJ983050:NJN983050 MZN983050:MZR983050 MPR983050:MPV983050 MFV983050:MFZ983050 LVZ983050:LWD983050 LMD983050:LMH983050 LCH983050:LCL983050 KSL983050:KSP983050 KIP983050:KIT983050 JYT983050:JYX983050 JOX983050:JPB983050 JFB983050:JFF983050 IVF983050:IVJ983050 ILJ983050:ILN983050 IBN983050:IBR983050 HRR983050:HRV983050 HHV983050:HHZ983050 GXZ983050:GYD983050 GOD983050:GOH983050 GEH983050:GEL983050 FUL983050:FUP983050 FKP983050:FKT983050 FAT983050:FAX983050 EQX983050:ERB983050 EHB983050:EHF983050 DXF983050:DXJ983050 DNJ983050:DNN983050 DDN983050:DDR983050 CTR983050:CTV983050 CJV983050:CJZ983050 BZZ983050:CAD983050 BQD983050:BQH983050 BGH983050:BGL983050 AWL983050:AWP983050 AMP983050:AMT983050 ACT983050:ACX983050 SX983050:TB983050 JB983050:JF983050 F983050:J983050 WVN917514:WVR917514 WLR917514:WLV917514 WBV917514:WBZ917514 VRZ917514:VSD917514 VID917514:VIH917514 UYH917514:UYL917514 UOL917514:UOP917514 UEP917514:UET917514 TUT917514:TUX917514 TKX917514:TLB917514 TBB917514:TBF917514 SRF917514:SRJ917514 SHJ917514:SHN917514 RXN917514:RXR917514 RNR917514:RNV917514 RDV917514:RDZ917514 QTZ917514:QUD917514 QKD917514:QKH917514 QAH917514:QAL917514 PQL917514:PQP917514 PGP917514:PGT917514 OWT917514:OWX917514 OMX917514:ONB917514 ODB917514:ODF917514 NTF917514:NTJ917514 NJJ917514:NJN917514 MZN917514:MZR917514 MPR917514:MPV917514 MFV917514:MFZ917514 LVZ917514:LWD917514 LMD917514:LMH917514 LCH917514:LCL917514 KSL917514:KSP917514 KIP917514:KIT917514 JYT917514:JYX917514 JOX917514:JPB917514 JFB917514:JFF917514 IVF917514:IVJ917514 ILJ917514:ILN917514 IBN917514:IBR917514 HRR917514:HRV917514 HHV917514:HHZ917514 GXZ917514:GYD917514 GOD917514:GOH917514 GEH917514:GEL917514 FUL917514:FUP917514 FKP917514:FKT917514 FAT917514:FAX917514 EQX917514:ERB917514 EHB917514:EHF917514 DXF917514:DXJ917514 DNJ917514:DNN917514 DDN917514:DDR917514 CTR917514:CTV917514 CJV917514:CJZ917514 BZZ917514:CAD917514 BQD917514:BQH917514 BGH917514:BGL917514 AWL917514:AWP917514 AMP917514:AMT917514 ACT917514:ACX917514 SX917514:TB917514 JB917514:JF917514 F917514:J917514 WVN851978:WVR851978 WLR851978:WLV851978 WBV851978:WBZ851978 VRZ851978:VSD851978 VID851978:VIH851978 UYH851978:UYL851978 UOL851978:UOP851978 UEP851978:UET851978 TUT851978:TUX851978 TKX851978:TLB851978 TBB851978:TBF851978 SRF851978:SRJ851978 SHJ851978:SHN851978 RXN851978:RXR851978 RNR851978:RNV851978 RDV851978:RDZ851978 QTZ851978:QUD851978 QKD851978:QKH851978 QAH851978:QAL851978 PQL851978:PQP851978 PGP851978:PGT851978 OWT851978:OWX851978 OMX851978:ONB851978 ODB851978:ODF851978 NTF851978:NTJ851978 NJJ851978:NJN851978 MZN851978:MZR851978 MPR851978:MPV851978 MFV851978:MFZ851978 LVZ851978:LWD851978 LMD851978:LMH851978 LCH851978:LCL851978 KSL851978:KSP851978 KIP851978:KIT851978 JYT851978:JYX851978 JOX851978:JPB851978 JFB851978:JFF851978 IVF851978:IVJ851978 ILJ851978:ILN851978 IBN851978:IBR851978 HRR851978:HRV851978 HHV851978:HHZ851978 GXZ851978:GYD851978 GOD851978:GOH851978 GEH851978:GEL851978 FUL851978:FUP851978 FKP851978:FKT851978 FAT851978:FAX851978 EQX851978:ERB851978 EHB851978:EHF851978 DXF851978:DXJ851978 DNJ851978:DNN851978 DDN851978:DDR851978 CTR851978:CTV851978 CJV851978:CJZ851978 BZZ851978:CAD851978 BQD851978:BQH851978 BGH851978:BGL851978 AWL851978:AWP851978 AMP851978:AMT851978 ACT851978:ACX851978 SX851978:TB851978 JB851978:JF851978 F851978:J851978 WVN786442:WVR786442 WLR786442:WLV786442 WBV786442:WBZ786442 VRZ786442:VSD786442 VID786442:VIH786442 UYH786442:UYL786442 UOL786442:UOP786442 UEP786442:UET786442 TUT786442:TUX786442 TKX786442:TLB786442 TBB786442:TBF786442 SRF786442:SRJ786442 SHJ786442:SHN786442 RXN786442:RXR786442 RNR786442:RNV786442 RDV786442:RDZ786442 QTZ786442:QUD786442 QKD786442:QKH786442 QAH786442:QAL786442 PQL786442:PQP786442 PGP786442:PGT786442 OWT786442:OWX786442 OMX786442:ONB786442 ODB786442:ODF786442 NTF786442:NTJ786442 NJJ786442:NJN786442 MZN786442:MZR786442 MPR786442:MPV786442 MFV786442:MFZ786442 LVZ786442:LWD786442 LMD786442:LMH786442 LCH786442:LCL786442 KSL786442:KSP786442 KIP786442:KIT786442 JYT786442:JYX786442 JOX786442:JPB786442 JFB786442:JFF786442 IVF786442:IVJ786442 ILJ786442:ILN786442 IBN786442:IBR786442 HRR786442:HRV786442 HHV786442:HHZ786442 GXZ786442:GYD786442 GOD786442:GOH786442 GEH786442:GEL786442 FUL786442:FUP786442 FKP786442:FKT786442 FAT786442:FAX786442 EQX786442:ERB786442 EHB786442:EHF786442 DXF786442:DXJ786442 DNJ786442:DNN786442 DDN786442:DDR786442 CTR786442:CTV786442 CJV786442:CJZ786442 BZZ786442:CAD786442 BQD786442:BQH786442 BGH786442:BGL786442 AWL786442:AWP786442 AMP786442:AMT786442 ACT786442:ACX786442 SX786442:TB786442 JB786442:JF786442 F786442:J786442 WVN720906:WVR720906 WLR720906:WLV720906 WBV720906:WBZ720906 VRZ720906:VSD720906 VID720906:VIH720906 UYH720906:UYL720906 UOL720906:UOP720906 UEP720906:UET720906 TUT720906:TUX720906 TKX720906:TLB720906 TBB720906:TBF720906 SRF720906:SRJ720906 SHJ720906:SHN720906 RXN720906:RXR720906 RNR720906:RNV720906 RDV720906:RDZ720906 QTZ720906:QUD720906 QKD720906:QKH720906 QAH720906:QAL720906 PQL720906:PQP720906 PGP720906:PGT720906 OWT720906:OWX720906 OMX720906:ONB720906 ODB720906:ODF720906 NTF720906:NTJ720906 NJJ720906:NJN720906 MZN720906:MZR720906 MPR720906:MPV720906 MFV720906:MFZ720906 LVZ720906:LWD720906 LMD720906:LMH720906 LCH720906:LCL720906 KSL720906:KSP720906 KIP720906:KIT720906 JYT720906:JYX720906 JOX720906:JPB720906 JFB720906:JFF720906 IVF720906:IVJ720906 ILJ720906:ILN720906 IBN720906:IBR720906 HRR720906:HRV720906 HHV720906:HHZ720906 GXZ720906:GYD720906 GOD720906:GOH720906 GEH720906:GEL720906 FUL720906:FUP720906 FKP720906:FKT720906 FAT720906:FAX720906 EQX720906:ERB720906 EHB720906:EHF720906 DXF720906:DXJ720906 DNJ720906:DNN720906 DDN720906:DDR720906 CTR720906:CTV720906 CJV720906:CJZ720906 BZZ720906:CAD720906 BQD720906:BQH720906 BGH720906:BGL720906 AWL720906:AWP720906 AMP720906:AMT720906 ACT720906:ACX720906 SX720906:TB720906 JB720906:JF720906 F720906:J720906 WVN655370:WVR655370 WLR655370:WLV655370 WBV655370:WBZ655370 VRZ655370:VSD655370 VID655370:VIH655370 UYH655370:UYL655370 UOL655370:UOP655370 UEP655370:UET655370 TUT655370:TUX655370 TKX655370:TLB655370 TBB655370:TBF655370 SRF655370:SRJ655370 SHJ655370:SHN655370 RXN655370:RXR655370 RNR655370:RNV655370 RDV655370:RDZ655370 QTZ655370:QUD655370 QKD655370:QKH655370 QAH655370:QAL655370 PQL655370:PQP655370 PGP655370:PGT655370 OWT655370:OWX655370 OMX655370:ONB655370 ODB655370:ODF655370 NTF655370:NTJ655370 NJJ655370:NJN655370 MZN655370:MZR655370 MPR655370:MPV655370 MFV655370:MFZ655370 LVZ655370:LWD655370 LMD655370:LMH655370 LCH655370:LCL655370 KSL655370:KSP655370 KIP655370:KIT655370 JYT655370:JYX655370 JOX655370:JPB655370 JFB655370:JFF655370 IVF655370:IVJ655370 ILJ655370:ILN655370 IBN655370:IBR655370 HRR655370:HRV655370 HHV655370:HHZ655370 GXZ655370:GYD655370 GOD655370:GOH655370 GEH655370:GEL655370 FUL655370:FUP655370 FKP655370:FKT655370 FAT655370:FAX655370 EQX655370:ERB655370 EHB655370:EHF655370 DXF655370:DXJ655370 DNJ655370:DNN655370 DDN655370:DDR655370 CTR655370:CTV655370 CJV655370:CJZ655370 BZZ655370:CAD655370 BQD655370:BQH655370 BGH655370:BGL655370 AWL655370:AWP655370 AMP655370:AMT655370 ACT655370:ACX655370 SX655370:TB655370 JB655370:JF655370 F655370:J655370 WVN589834:WVR589834 WLR589834:WLV589834 WBV589834:WBZ589834 VRZ589834:VSD589834 VID589834:VIH589834 UYH589834:UYL589834 UOL589834:UOP589834 UEP589834:UET589834 TUT589834:TUX589834 TKX589834:TLB589834 TBB589834:TBF589834 SRF589834:SRJ589834 SHJ589834:SHN589834 RXN589834:RXR589834 RNR589834:RNV589834 RDV589834:RDZ589834 QTZ589834:QUD589834 QKD589834:QKH589834 QAH589834:QAL589834 PQL589834:PQP589834 PGP589834:PGT589834 OWT589834:OWX589834 OMX589834:ONB589834 ODB589834:ODF589834 NTF589834:NTJ589834 NJJ589834:NJN589834 MZN589834:MZR589834 MPR589834:MPV589834 MFV589834:MFZ589834 LVZ589834:LWD589834 LMD589834:LMH589834 LCH589834:LCL589834 KSL589834:KSP589834 KIP589834:KIT589834 JYT589834:JYX589834 JOX589834:JPB589834 JFB589834:JFF589834 IVF589834:IVJ589834 ILJ589834:ILN589834 IBN589834:IBR589834 HRR589834:HRV589834 HHV589834:HHZ589834 GXZ589834:GYD589834 GOD589834:GOH589834 GEH589834:GEL589834 FUL589834:FUP589834 FKP589834:FKT589834 FAT589834:FAX589834 EQX589834:ERB589834 EHB589834:EHF589834 DXF589834:DXJ589834 DNJ589834:DNN589834 DDN589834:DDR589834 CTR589834:CTV589834 CJV589834:CJZ589834 BZZ589834:CAD589834 BQD589834:BQH589834 BGH589834:BGL589834 AWL589834:AWP589834 AMP589834:AMT589834 ACT589834:ACX589834 SX589834:TB589834 JB589834:JF589834 F589834:J589834 WVN524298:WVR524298 WLR524298:WLV524298 WBV524298:WBZ524298 VRZ524298:VSD524298 VID524298:VIH524298 UYH524298:UYL524298 UOL524298:UOP524298 UEP524298:UET524298 TUT524298:TUX524298 TKX524298:TLB524298 TBB524298:TBF524298 SRF524298:SRJ524298 SHJ524298:SHN524298 RXN524298:RXR524298 RNR524298:RNV524298 RDV524298:RDZ524298 QTZ524298:QUD524298 QKD524298:QKH524298 QAH524298:QAL524298 PQL524298:PQP524298 PGP524298:PGT524298 OWT524298:OWX524298 OMX524298:ONB524298 ODB524298:ODF524298 NTF524298:NTJ524298 NJJ524298:NJN524298 MZN524298:MZR524298 MPR524298:MPV524298 MFV524298:MFZ524298 LVZ524298:LWD524298 LMD524298:LMH524298 LCH524298:LCL524298 KSL524298:KSP524298 KIP524298:KIT524298 JYT524298:JYX524298 JOX524298:JPB524298 JFB524298:JFF524298 IVF524298:IVJ524298 ILJ524298:ILN524298 IBN524298:IBR524298 HRR524298:HRV524298 HHV524298:HHZ524298 GXZ524298:GYD524298 GOD524298:GOH524298 GEH524298:GEL524298 FUL524298:FUP524298 FKP524298:FKT524298 FAT524298:FAX524298 EQX524298:ERB524298 EHB524298:EHF524298 DXF524298:DXJ524298 DNJ524298:DNN524298 DDN524298:DDR524298 CTR524298:CTV524298 CJV524298:CJZ524298 BZZ524298:CAD524298 BQD524298:BQH524298 BGH524298:BGL524298 AWL524298:AWP524298 AMP524298:AMT524298 ACT524298:ACX524298 SX524298:TB524298 JB524298:JF524298 F524298:J524298 WVN458762:WVR458762 WLR458762:WLV458762 WBV458762:WBZ458762 VRZ458762:VSD458762 VID458762:VIH458762 UYH458762:UYL458762 UOL458762:UOP458762 UEP458762:UET458762 TUT458762:TUX458762 TKX458762:TLB458762 TBB458762:TBF458762 SRF458762:SRJ458762 SHJ458762:SHN458762 RXN458762:RXR458762 RNR458762:RNV458762 RDV458762:RDZ458762 QTZ458762:QUD458762 QKD458762:QKH458762 QAH458762:QAL458762 PQL458762:PQP458762 PGP458762:PGT458762 OWT458762:OWX458762 OMX458762:ONB458762 ODB458762:ODF458762 NTF458762:NTJ458762 NJJ458762:NJN458762 MZN458762:MZR458762 MPR458762:MPV458762 MFV458762:MFZ458762 LVZ458762:LWD458762 LMD458762:LMH458762 LCH458762:LCL458762 KSL458762:KSP458762 KIP458762:KIT458762 JYT458762:JYX458762 JOX458762:JPB458762 JFB458762:JFF458762 IVF458762:IVJ458762 ILJ458762:ILN458762 IBN458762:IBR458762 HRR458762:HRV458762 HHV458762:HHZ458762 GXZ458762:GYD458762 GOD458762:GOH458762 GEH458762:GEL458762 FUL458762:FUP458762 FKP458762:FKT458762 FAT458762:FAX458762 EQX458762:ERB458762 EHB458762:EHF458762 DXF458762:DXJ458762 DNJ458762:DNN458762 DDN458762:DDR458762 CTR458762:CTV458762 CJV458762:CJZ458762 BZZ458762:CAD458762 BQD458762:BQH458762 BGH458762:BGL458762 AWL458762:AWP458762 AMP458762:AMT458762 ACT458762:ACX458762 SX458762:TB458762 JB458762:JF458762 F458762:J458762 WVN393226:WVR393226 WLR393226:WLV393226 WBV393226:WBZ393226 VRZ393226:VSD393226 VID393226:VIH393226 UYH393226:UYL393226 UOL393226:UOP393226 UEP393226:UET393226 TUT393226:TUX393226 TKX393226:TLB393226 TBB393226:TBF393226 SRF393226:SRJ393226 SHJ393226:SHN393226 RXN393226:RXR393226 RNR393226:RNV393226 RDV393226:RDZ393226 QTZ393226:QUD393226 QKD393226:QKH393226 QAH393226:QAL393226 PQL393226:PQP393226 PGP393226:PGT393226 OWT393226:OWX393226 OMX393226:ONB393226 ODB393226:ODF393226 NTF393226:NTJ393226 NJJ393226:NJN393226 MZN393226:MZR393226 MPR393226:MPV393226 MFV393226:MFZ393226 LVZ393226:LWD393226 LMD393226:LMH393226 LCH393226:LCL393226 KSL393226:KSP393226 KIP393226:KIT393226 JYT393226:JYX393226 JOX393226:JPB393226 JFB393226:JFF393226 IVF393226:IVJ393226 ILJ393226:ILN393226 IBN393226:IBR393226 HRR393226:HRV393226 HHV393226:HHZ393226 GXZ393226:GYD393226 GOD393226:GOH393226 GEH393226:GEL393226 FUL393226:FUP393226 FKP393226:FKT393226 FAT393226:FAX393226 EQX393226:ERB393226 EHB393226:EHF393226 DXF393226:DXJ393226 DNJ393226:DNN393226 DDN393226:DDR393226 CTR393226:CTV393226 CJV393226:CJZ393226 BZZ393226:CAD393226 BQD393226:BQH393226 BGH393226:BGL393226 AWL393226:AWP393226 AMP393226:AMT393226 ACT393226:ACX393226 SX393226:TB393226 JB393226:JF393226 F393226:J393226 WVN327690:WVR327690 WLR327690:WLV327690 WBV327690:WBZ327690 VRZ327690:VSD327690 VID327690:VIH327690 UYH327690:UYL327690 UOL327690:UOP327690 UEP327690:UET327690 TUT327690:TUX327690 TKX327690:TLB327690 TBB327690:TBF327690 SRF327690:SRJ327690 SHJ327690:SHN327690 RXN327690:RXR327690 RNR327690:RNV327690 RDV327690:RDZ327690 QTZ327690:QUD327690 QKD327690:QKH327690 QAH327690:QAL327690 PQL327690:PQP327690 PGP327690:PGT327690 OWT327690:OWX327690 OMX327690:ONB327690 ODB327690:ODF327690 NTF327690:NTJ327690 NJJ327690:NJN327690 MZN327690:MZR327690 MPR327690:MPV327690 MFV327690:MFZ327690 LVZ327690:LWD327690 LMD327690:LMH327690 LCH327690:LCL327690 KSL327690:KSP327690 KIP327690:KIT327690 JYT327690:JYX327690 JOX327690:JPB327690 JFB327690:JFF327690 IVF327690:IVJ327690 ILJ327690:ILN327690 IBN327690:IBR327690 HRR327690:HRV327690 HHV327690:HHZ327690 GXZ327690:GYD327690 GOD327690:GOH327690 GEH327690:GEL327690 FUL327690:FUP327690 FKP327690:FKT327690 FAT327690:FAX327690 EQX327690:ERB327690 EHB327690:EHF327690 DXF327690:DXJ327690 DNJ327690:DNN327690 DDN327690:DDR327690 CTR327690:CTV327690 CJV327690:CJZ327690 BZZ327690:CAD327690 BQD327690:BQH327690 BGH327690:BGL327690 AWL327690:AWP327690 AMP327690:AMT327690 ACT327690:ACX327690 SX327690:TB327690 JB327690:JF327690 F327690:J327690 WVN262154:WVR262154 WLR262154:WLV262154 WBV262154:WBZ262154 VRZ262154:VSD262154 VID262154:VIH262154 UYH262154:UYL262154 UOL262154:UOP262154 UEP262154:UET262154 TUT262154:TUX262154 TKX262154:TLB262154 TBB262154:TBF262154 SRF262154:SRJ262154 SHJ262154:SHN262154 RXN262154:RXR262154 RNR262154:RNV262154 RDV262154:RDZ262154 QTZ262154:QUD262154 QKD262154:QKH262154 QAH262154:QAL262154 PQL262154:PQP262154 PGP262154:PGT262154 OWT262154:OWX262154 OMX262154:ONB262154 ODB262154:ODF262154 NTF262154:NTJ262154 NJJ262154:NJN262154 MZN262154:MZR262154 MPR262154:MPV262154 MFV262154:MFZ262154 LVZ262154:LWD262154 LMD262154:LMH262154 LCH262154:LCL262154 KSL262154:KSP262154 KIP262154:KIT262154 JYT262154:JYX262154 JOX262154:JPB262154 JFB262154:JFF262154 IVF262154:IVJ262154 ILJ262154:ILN262154 IBN262154:IBR262154 HRR262154:HRV262154 HHV262154:HHZ262154 GXZ262154:GYD262154 GOD262154:GOH262154 GEH262154:GEL262154 FUL262154:FUP262154 FKP262154:FKT262154 FAT262154:FAX262154 EQX262154:ERB262154 EHB262154:EHF262154 DXF262154:DXJ262154 DNJ262154:DNN262154 DDN262154:DDR262154 CTR262154:CTV262154 CJV262154:CJZ262154 BZZ262154:CAD262154 BQD262154:BQH262154 BGH262154:BGL262154 AWL262154:AWP262154 AMP262154:AMT262154 ACT262154:ACX262154 SX262154:TB262154 JB262154:JF262154 F262154:J262154 WVN196618:WVR196618 WLR196618:WLV196618 WBV196618:WBZ196618 VRZ196618:VSD196618 VID196618:VIH196618 UYH196618:UYL196618 UOL196618:UOP196618 UEP196618:UET196618 TUT196618:TUX196618 TKX196618:TLB196618 TBB196618:TBF196618 SRF196618:SRJ196618 SHJ196618:SHN196618 RXN196618:RXR196618 RNR196618:RNV196618 RDV196618:RDZ196618 QTZ196618:QUD196618 QKD196618:QKH196618 QAH196618:QAL196618 PQL196618:PQP196618 PGP196618:PGT196618 OWT196618:OWX196618 OMX196618:ONB196618 ODB196618:ODF196618 NTF196618:NTJ196618 NJJ196618:NJN196618 MZN196618:MZR196618 MPR196618:MPV196618 MFV196618:MFZ196618 LVZ196618:LWD196618 LMD196618:LMH196618 LCH196618:LCL196618 KSL196618:KSP196618 KIP196618:KIT196618 JYT196618:JYX196618 JOX196618:JPB196618 JFB196618:JFF196618 IVF196618:IVJ196618 ILJ196618:ILN196618 IBN196618:IBR196618 HRR196618:HRV196618 HHV196618:HHZ196618 GXZ196618:GYD196618 GOD196618:GOH196618 GEH196618:GEL196618 FUL196618:FUP196618 FKP196618:FKT196618 FAT196618:FAX196618 EQX196618:ERB196618 EHB196618:EHF196618 DXF196618:DXJ196618 DNJ196618:DNN196618 DDN196618:DDR196618 CTR196618:CTV196618 CJV196618:CJZ196618 BZZ196618:CAD196618 BQD196618:BQH196618 BGH196618:BGL196618 AWL196618:AWP196618 AMP196618:AMT196618 ACT196618:ACX196618 SX196618:TB196618 JB196618:JF196618 F196618:J196618 WVN131082:WVR131082 WLR131082:WLV131082 WBV131082:WBZ131082 VRZ131082:VSD131082 VID131082:VIH131082 UYH131082:UYL131082 UOL131082:UOP131082 UEP131082:UET131082 TUT131082:TUX131082 TKX131082:TLB131082 TBB131082:TBF131082 SRF131082:SRJ131082 SHJ131082:SHN131082 RXN131082:RXR131082 RNR131082:RNV131082 RDV131082:RDZ131082 QTZ131082:QUD131082 QKD131082:QKH131082 QAH131082:QAL131082 PQL131082:PQP131082 PGP131082:PGT131082 OWT131082:OWX131082 OMX131082:ONB131082 ODB131082:ODF131082 NTF131082:NTJ131082 NJJ131082:NJN131082 MZN131082:MZR131082 MPR131082:MPV131082 MFV131082:MFZ131082 LVZ131082:LWD131082 LMD131082:LMH131082 LCH131082:LCL131082 KSL131082:KSP131082 KIP131082:KIT131082 JYT131082:JYX131082 JOX131082:JPB131082 JFB131082:JFF131082 IVF131082:IVJ131082 ILJ131082:ILN131082 IBN131082:IBR131082 HRR131082:HRV131082 HHV131082:HHZ131082 GXZ131082:GYD131082 GOD131082:GOH131082 GEH131082:GEL131082 FUL131082:FUP131082 FKP131082:FKT131082 FAT131082:FAX131082 EQX131082:ERB131082 EHB131082:EHF131082 DXF131082:DXJ131082 DNJ131082:DNN131082 DDN131082:DDR131082 CTR131082:CTV131082 CJV131082:CJZ131082 BZZ131082:CAD131082 BQD131082:BQH131082 BGH131082:BGL131082 AWL131082:AWP131082 AMP131082:AMT131082 ACT131082:ACX131082 SX131082:TB131082 JB131082:JF131082 F131082:J131082 WVN65546:WVR65546 WLR65546:WLV65546 WBV65546:WBZ65546 VRZ65546:VSD65546 VID65546:VIH65546 UYH65546:UYL65546 UOL65546:UOP65546 UEP65546:UET65546 TUT65546:TUX65546 TKX65546:TLB65546 TBB65546:TBF65546 SRF65546:SRJ65546 SHJ65546:SHN65546 RXN65546:RXR65546 RNR65546:RNV65546 RDV65546:RDZ65546 QTZ65546:QUD65546 QKD65546:QKH65546 QAH65546:QAL65546 PQL65546:PQP65546 PGP65546:PGT65546 OWT65546:OWX65546 OMX65546:ONB65546 ODB65546:ODF65546 NTF65546:NTJ65546 NJJ65546:NJN65546 MZN65546:MZR65546 MPR65546:MPV65546 MFV65546:MFZ65546 LVZ65546:LWD65546 LMD65546:LMH65546 LCH65546:LCL65546 KSL65546:KSP65546 KIP65546:KIT65546 JYT65546:JYX65546 JOX65546:JPB65546 JFB65546:JFF65546 IVF65546:IVJ65546 ILJ65546:ILN65546 IBN65546:IBR65546 HRR65546:HRV65546 HHV65546:HHZ65546 GXZ65546:GYD65546 GOD65546:GOH65546 GEH65546:GEL65546 FUL65546:FUP65546 FKP65546:FKT65546 FAT65546:FAX65546 EQX65546:ERB65546 EHB65546:EHF65546 DXF65546:DXJ65546 DNJ65546:DNN65546 DDN65546:DDR65546 CTR65546:CTV65546 CJV65546:CJZ65546 BZZ65546:CAD65546 BQD65546:BQH65546 BGH65546:BGL65546 AWL65546:AWP65546 AMP65546:AMT65546 ACT65546:ACX65546 SX65546:TB65546 JB65546:JF65546 F65546:J65546 JB37:JF37 SX37:TB37 ACT37:ACX37 AMP37:AMT37 AWL37:AWP37 BGH37:BGL37 BQD37:BQH37 BZZ37:CAD37 CJV37:CJZ37 CTR37:CTV37 DDN37:DDR37 DNJ37:DNN37 DXF37:DXJ37 EHB37:EHF37 EQX37:ERB37 FAT37:FAX37 FKP37:FKT37 FUL37:FUP37 GEH37:GEL37 GOD37:GOH37 GXZ37:GYD37 HHV37:HHZ37 HRR37:HRV37 IBN37:IBR37 ILJ37:ILN37 IVF37:IVJ37 JFB37:JFF37 JOX37:JPB37 JYT37:JYX37 KIP37:KIT37 KSL37:KSP37 LCH37:LCL37 LMD37:LMH37 LVZ37:LWD37 MFV37:MFZ37 MPR37:MPV37 MZN37:MZR37 NJJ37:NJN37 NTF37:NTJ37 ODB37:ODF37 OMX37:ONB37 OWT37:OWX37 PGP37:PGT37 PQL37:PQP37 QAH37:QAL37 QKD37:QKH37 QTZ37:QUD37 RDV37:RDZ37 RNR37:RNV37 RXN37:RXR37 SHJ37:SHN37 SRF37:SRJ37 TBB37:TBF37 TKX37:TLB37 TUT37:TUX37 UEP37:UET37 UOL37:UOP37 UYH37:UYL37 VID37:VIH37 VRZ37:VSD37 WBV37:WBZ37 WLR37:WLV37 WVN37:WVR37" xr:uid="{00000000-0002-0000-0800-000000000000}">
      <formula1>$K$7:$K$7</formula1>
    </dataValidation>
  </dataValidations>
  <printOptions horizontalCentered="1"/>
  <pageMargins left="0.19685039370078741" right="0.19685039370078741" top="0.51181102362204722" bottom="0.31496062992125984" header="0.15748031496062992" footer="0.19685039370078741"/>
  <pageSetup paperSize="9" scale="44" orientation="portrait" r:id="rId1"/>
  <headerFooter>
    <oddFooter>&amp;L&amp;8Rev: 0
Emisión: 15/12/19&amp;C&amp;8Revisa y aprueba: ME. Barbeito&amp;R&amp;8&amp;P de &amp;N</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N47"/>
  <sheetViews>
    <sheetView workbookViewId="0"/>
  </sheetViews>
  <sheetFormatPr baseColWidth="10" defaultRowHeight="12.75" x14ac:dyDescent="0.2"/>
  <cols>
    <col min="1" max="1" width="12.28515625" style="613" customWidth="1"/>
    <col min="2" max="2" width="11.42578125" style="613" customWidth="1"/>
    <col min="3" max="3" width="28.7109375" style="613" customWidth="1"/>
    <col min="4" max="5" width="28.85546875" style="613" customWidth="1"/>
    <col min="6" max="6" width="27.85546875" style="613" customWidth="1"/>
    <col min="7" max="7" width="7.140625" style="613" customWidth="1"/>
    <col min="8" max="8" width="10.85546875" style="613" customWidth="1"/>
    <col min="9" max="9" width="17.42578125" style="613" customWidth="1"/>
    <col min="10" max="10" width="1.7109375" style="613" customWidth="1"/>
    <col min="11" max="11" width="11.42578125" style="613" customWidth="1"/>
    <col min="12" max="12" width="2.140625" style="613" customWidth="1"/>
    <col min="13" max="16384" width="11.42578125" style="613"/>
  </cols>
  <sheetData>
    <row r="1" spans="1:11" ht="46.5" customHeight="1" thickBot="1" x14ac:dyDescent="0.25">
      <c r="A1" s="649"/>
      <c r="B1" s="648"/>
      <c r="C1" s="762" t="s">
        <v>2428</v>
      </c>
      <c r="D1" s="763"/>
      <c r="E1" s="763"/>
      <c r="F1" s="763"/>
      <c r="G1" s="763"/>
      <c r="H1" s="763"/>
      <c r="I1" s="764"/>
      <c r="J1" s="618"/>
    </row>
    <row r="2" spans="1:11" ht="33.75" customHeight="1" thickBot="1" x14ac:dyDescent="0.25">
      <c r="A2" s="647"/>
      <c r="B2" s="646"/>
      <c r="C2" s="765" t="s">
        <v>1658</v>
      </c>
      <c r="D2" s="766"/>
      <c r="E2" s="767" t="s">
        <v>1659</v>
      </c>
      <c r="F2" s="768"/>
      <c r="G2" s="768"/>
      <c r="H2" s="768"/>
      <c r="I2" s="769"/>
      <c r="J2" s="618"/>
    </row>
    <row r="3" spans="1:11" ht="13.5" thickBot="1" x14ac:dyDescent="0.25"/>
    <row r="4" spans="1:11" ht="23.25" customHeight="1" thickBot="1" x14ac:dyDescent="0.25">
      <c r="A4" s="786" t="s">
        <v>2510</v>
      </c>
      <c r="B4" s="787"/>
      <c r="C4" s="788" t="s">
        <v>2509</v>
      </c>
      <c r="D4" s="789"/>
      <c r="E4" s="645"/>
      <c r="F4" s="641" t="s">
        <v>2508</v>
      </c>
      <c r="G4" s="793">
        <v>40221</v>
      </c>
      <c r="H4" s="761"/>
      <c r="I4" s="644" t="s">
        <v>2507</v>
      </c>
    </row>
    <row r="5" spans="1:11" ht="24" customHeight="1" thickBot="1" x14ac:dyDescent="0.25">
      <c r="A5" s="786" t="s">
        <v>1662</v>
      </c>
      <c r="B5" s="787"/>
      <c r="C5" s="643" t="s">
        <v>2506</v>
      </c>
      <c r="D5" s="642"/>
      <c r="F5" s="641" t="s">
        <v>2505</v>
      </c>
      <c r="G5" s="792">
        <v>44671</v>
      </c>
      <c r="H5" s="792"/>
      <c r="I5" s="640" t="s">
        <v>2504</v>
      </c>
    </row>
    <row r="6" spans="1:11" ht="15.75" customHeight="1" x14ac:dyDescent="0.2">
      <c r="J6" s="618"/>
    </row>
    <row r="8" spans="1:11" ht="34.5" customHeight="1" x14ac:dyDescent="0.2">
      <c r="A8" s="750" t="s">
        <v>2503</v>
      </c>
      <c r="B8" s="750" t="s">
        <v>2502</v>
      </c>
      <c r="C8" s="750" t="s">
        <v>2501</v>
      </c>
      <c r="D8" s="750" t="s">
        <v>2500</v>
      </c>
      <c r="E8" s="750"/>
      <c r="F8" s="750"/>
      <c r="G8" s="750" t="s">
        <v>2499</v>
      </c>
      <c r="H8" s="750"/>
      <c r="I8" s="750" t="s">
        <v>2498</v>
      </c>
      <c r="J8" s="627"/>
    </row>
    <row r="9" spans="1:11" ht="31.5" customHeight="1" x14ac:dyDescent="0.2">
      <c r="A9" s="750"/>
      <c r="B9" s="750"/>
      <c r="C9" s="750"/>
      <c r="D9" s="639">
        <v>1</v>
      </c>
      <c r="E9" s="639">
        <v>2</v>
      </c>
      <c r="F9" s="639">
        <v>3</v>
      </c>
      <c r="G9" s="639" t="s">
        <v>2497</v>
      </c>
      <c r="H9" s="639" t="s">
        <v>2496</v>
      </c>
      <c r="I9" s="750"/>
      <c r="J9" s="627"/>
    </row>
    <row r="10" spans="1:11" ht="27" customHeight="1" x14ac:dyDescent="0.2">
      <c r="A10" s="807" t="s">
        <v>2495</v>
      </c>
      <c r="B10" s="761"/>
      <c r="C10" s="754" t="s">
        <v>2490</v>
      </c>
      <c r="D10" s="54" t="s">
        <v>2489</v>
      </c>
      <c r="E10" s="54" t="s">
        <v>2488</v>
      </c>
      <c r="F10" s="54" t="s">
        <v>2487</v>
      </c>
      <c r="G10" s="757">
        <f>+IF(D11="x",5,+IF(E11="x",10,+IF(F11="x",20,"sin evaluar")))</f>
        <v>10</v>
      </c>
      <c r="H10" s="751">
        <v>20</v>
      </c>
      <c r="I10" s="775">
        <f>SUM(G10:G17)/SUM(H10:H17)</f>
        <v>0.9</v>
      </c>
      <c r="J10" s="626"/>
      <c r="K10" s="613">
        <f>SUM(G10:G17)</f>
        <v>90</v>
      </c>
    </row>
    <row r="11" spans="1:11" ht="27" customHeight="1" x14ac:dyDescent="0.2">
      <c r="A11" s="808"/>
      <c r="B11" s="761"/>
      <c r="C11" s="754"/>
      <c r="D11" s="638"/>
      <c r="E11" s="636" t="s">
        <v>1679</v>
      </c>
      <c r="F11" s="638"/>
      <c r="G11" s="757"/>
      <c r="H11" s="751"/>
      <c r="I11" s="776"/>
      <c r="J11" s="626"/>
    </row>
    <row r="12" spans="1:11" ht="44.25" customHeight="1" x14ac:dyDescent="0.2">
      <c r="A12" s="808"/>
      <c r="B12" s="761"/>
      <c r="C12" s="754" t="s">
        <v>2486</v>
      </c>
      <c r="D12" s="54" t="s">
        <v>2485</v>
      </c>
      <c r="E12" s="54" t="s">
        <v>2484</v>
      </c>
      <c r="F12" s="54" t="s">
        <v>2483</v>
      </c>
      <c r="G12" s="757">
        <f>+IF(D13="x",5,+IF(E13="x",10,+IF(F13="x",20,"sin evaluar")))</f>
        <v>20</v>
      </c>
      <c r="H12" s="751">
        <v>20</v>
      </c>
      <c r="I12" s="776"/>
      <c r="J12" s="626"/>
    </row>
    <row r="13" spans="1:11" ht="18.75" customHeight="1" x14ac:dyDescent="0.2">
      <c r="A13" s="808"/>
      <c r="B13" s="761"/>
      <c r="C13" s="754"/>
      <c r="D13" s="638"/>
      <c r="E13" s="638"/>
      <c r="F13" s="636" t="s">
        <v>1679</v>
      </c>
      <c r="G13" s="757"/>
      <c r="H13" s="751"/>
      <c r="I13" s="776"/>
      <c r="J13" s="626"/>
    </row>
    <row r="14" spans="1:11" ht="37.5" customHeight="1" x14ac:dyDescent="0.2">
      <c r="A14" s="808"/>
      <c r="B14" s="761"/>
      <c r="C14" s="754" t="s">
        <v>2482</v>
      </c>
      <c r="D14" s="54" t="s">
        <v>2481</v>
      </c>
      <c r="E14" s="54" t="s">
        <v>2480</v>
      </c>
      <c r="F14" s="54" t="s">
        <v>2479</v>
      </c>
      <c r="G14" s="757">
        <f>+IF(D15="x",5,+IF(E15="x",10,+IF(F15="x",30,"sin evaluar")))</f>
        <v>30</v>
      </c>
      <c r="H14" s="751">
        <v>30</v>
      </c>
      <c r="I14" s="776"/>
      <c r="J14" s="626"/>
    </row>
    <row r="15" spans="1:11" ht="21.75" customHeight="1" x14ac:dyDescent="0.2">
      <c r="A15" s="808"/>
      <c r="B15" s="761"/>
      <c r="C15" s="754"/>
      <c r="D15" s="638"/>
      <c r="E15" s="638"/>
      <c r="F15" s="636" t="s">
        <v>1679</v>
      </c>
      <c r="G15" s="757"/>
      <c r="H15" s="751"/>
      <c r="I15" s="776"/>
      <c r="J15" s="626"/>
    </row>
    <row r="16" spans="1:11" ht="59.25" customHeight="1" x14ac:dyDescent="0.2">
      <c r="A16" s="808"/>
      <c r="B16" s="761"/>
      <c r="C16" s="754" t="s">
        <v>2478</v>
      </c>
      <c r="D16" s="54" t="s">
        <v>2477</v>
      </c>
      <c r="E16" s="54" t="s">
        <v>2476</v>
      </c>
      <c r="F16" s="54" t="s">
        <v>2475</v>
      </c>
      <c r="G16" s="757">
        <f>+IF(D17="x",10,+IF(E17="x",20,+IF(F17="x",30,"sin evaluar")))</f>
        <v>30</v>
      </c>
      <c r="H16" s="751">
        <v>30</v>
      </c>
      <c r="I16" s="776"/>
      <c r="J16" s="626"/>
    </row>
    <row r="17" spans="1:11" ht="24.75" customHeight="1" x14ac:dyDescent="0.2">
      <c r="A17" s="809"/>
      <c r="B17" s="761"/>
      <c r="C17" s="754"/>
      <c r="D17" s="638"/>
      <c r="E17" s="638"/>
      <c r="F17" s="636" t="s">
        <v>1679</v>
      </c>
      <c r="G17" s="757"/>
      <c r="H17" s="751"/>
      <c r="I17" s="777"/>
      <c r="J17" s="626"/>
    </row>
    <row r="18" spans="1:11" ht="63.75" x14ac:dyDescent="0.2">
      <c r="A18" s="806" t="s">
        <v>2474</v>
      </c>
      <c r="B18" s="803">
        <v>100</v>
      </c>
      <c r="C18" s="752" t="s">
        <v>2473</v>
      </c>
      <c r="D18" s="636" t="s">
        <v>2472</v>
      </c>
      <c r="E18" s="758" t="s">
        <v>2471</v>
      </c>
      <c r="F18" s="759"/>
      <c r="G18" s="757">
        <f>+IF(D19="x",10,+IF(E19="x",20,"sin evaluar"))</f>
        <v>20</v>
      </c>
      <c r="H18" s="755">
        <v>20</v>
      </c>
      <c r="I18" s="775">
        <f>SUM(G18:G31)/SUM(H18:H31)</f>
        <v>0.9285714285714286</v>
      </c>
      <c r="J18" s="626"/>
    </row>
    <row r="19" spans="1:11" ht="21.75" customHeight="1" x14ac:dyDescent="0.2">
      <c r="A19" s="806"/>
      <c r="B19" s="804"/>
      <c r="C19" s="753"/>
      <c r="D19" s="636"/>
      <c r="E19" s="758" t="s">
        <v>1679</v>
      </c>
      <c r="F19" s="759"/>
      <c r="G19" s="757"/>
      <c r="H19" s="756"/>
      <c r="I19" s="776"/>
      <c r="J19" s="626"/>
    </row>
    <row r="20" spans="1:11" ht="99.75" customHeight="1" x14ac:dyDescent="0.2">
      <c r="A20" s="806"/>
      <c r="B20" s="804"/>
      <c r="C20" s="752" t="s">
        <v>2470</v>
      </c>
      <c r="D20" s="637" t="s">
        <v>2469</v>
      </c>
      <c r="E20" s="637" t="s">
        <v>2468</v>
      </c>
      <c r="F20" s="637" t="s">
        <v>2467</v>
      </c>
      <c r="G20" s="757">
        <f>+IF(D21="x",0,+IF(E21="x",10,+IF(F21="x",20,"sin evaluar")))</f>
        <v>20</v>
      </c>
      <c r="H20" s="751">
        <v>20</v>
      </c>
      <c r="I20" s="776"/>
      <c r="J20" s="626"/>
    </row>
    <row r="21" spans="1:11" ht="21.75" customHeight="1" x14ac:dyDescent="0.2">
      <c r="A21" s="806"/>
      <c r="B21" s="804"/>
      <c r="C21" s="753"/>
      <c r="D21" s="636"/>
      <c r="E21" s="636"/>
      <c r="F21" s="636" t="s">
        <v>1679</v>
      </c>
      <c r="G21" s="757"/>
      <c r="H21" s="751"/>
      <c r="I21" s="776"/>
      <c r="J21" s="626"/>
    </row>
    <row r="22" spans="1:11" ht="51" x14ac:dyDescent="0.2">
      <c r="A22" s="806"/>
      <c r="B22" s="804"/>
      <c r="C22" s="637" t="s">
        <v>2466</v>
      </c>
      <c r="D22" s="637" t="s">
        <v>2465</v>
      </c>
      <c r="E22" s="637" t="s">
        <v>2464</v>
      </c>
      <c r="F22" s="637" t="s">
        <v>2463</v>
      </c>
      <c r="G22" s="757">
        <f>+IF(D23="x",0,+IF(E23="x",10,+IF(F23="x",20,"sin evaluar")))</f>
        <v>20</v>
      </c>
      <c r="H22" s="755">
        <v>20</v>
      </c>
      <c r="I22" s="776"/>
      <c r="J22" s="626"/>
      <c r="K22" s="613">
        <f>SUM(G18:G31)</f>
        <v>130</v>
      </c>
    </row>
    <row r="23" spans="1:11" ht="24.75" customHeight="1" x14ac:dyDescent="0.2">
      <c r="A23" s="806"/>
      <c r="B23" s="804"/>
      <c r="C23" s="637"/>
      <c r="D23" s="636"/>
      <c r="E23" s="636"/>
      <c r="F23" s="636" t="s">
        <v>1679</v>
      </c>
      <c r="G23" s="757"/>
      <c r="H23" s="756"/>
      <c r="I23" s="776"/>
      <c r="J23" s="626"/>
    </row>
    <row r="24" spans="1:11" ht="121.5" customHeight="1" x14ac:dyDescent="0.2">
      <c r="A24" s="806"/>
      <c r="B24" s="804"/>
      <c r="C24" s="752" t="s">
        <v>2462</v>
      </c>
      <c r="D24" s="637" t="s">
        <v>2461</v>
      </c>
      <c r="E24" s="637" t="s">
        <v>2460</v>
      </c>
      <c r="F24" s="637" t="s">
        <v>2459</v>
      </c>
      <c r="G24" s="757">
        <f>+IF(D25="x",0,+IF(E25="x",10,+IF(F25="x",20,"sin evaluar")))</f>
        <v>20</v>
      </c>
      <c r="H24" s="751">
        <v>20</v>
      </c>
      <c r="I24" s="776"/>
      <c r="J24" s="626"/>
    </row>
    <row r="25" spans="1:11" ht="24.75" customHeight="1" x14ac:dyDescent="0.2">
      <c r="A25" s="806"/>
      <c r="B25" s="804"/>
      <c r="C25" s="753"/>
      <c r="D25" s="636"/>
      <c r="E25" s="636"/>
      <c r="F25" s="636" t="s">
        <v>1679</v>
      </c>
      <c r="G25" s="757"/>
      <c r="H25" s="751"/>
      <c r="I25" s="776"/>
      <c r="J25" s="626"/>
    </row>
    <row r="26" spans="1:11" ht="114.75" customHeight="1" x14ac:dyDescent="0.2">
      <c r="A26" s="806"/>
      <c r="B26" s="804"/>
      <c r="C26" s="752" t="s">
        <v>2458</v>
      </c>
      <c r="D26" s="637" t="s">
        <v>2457</v>
      </c>
      <c r="E26" s="637" t="s">
        <v>2550</v>
      </c>
      <c r="F26" s="637" t="s">
        <v>2455</v>
      </c>
      <c r="G26" s="757">
        <f>+IF(D27="x",0,+IF(E27="x",10,+IF(F27="x",20,"sin evaluar")))</f>
        <v>10</v>
      </c>
      <c r="H26" s="751">
        <v>20</v>
      </c>
      <c r="I26" s="776"/>
      <c r="J26" s="626"/>
    </row>
    <row r="27" spans="1:11" ht="21.75" customHeight="1" x14ac:dyDescent="0.2">
      <c r="A27" s="806"/>
      <c r="B27" s="804"/>
      <c r="C27" s="753"/>
      <c r="D27" s="636"/>
      <c r="E27" s="636" t="s">
        <v>1679</v>
      </c>
      <c r="F27" s="636"/>
      <c r="G27" s="757"/>
      <c r="H27" s="751"/>
      <c r="I27" s="776"/>
      <c r="J27" s="626"/>
    </row>
    <row r="28" spans="1:11" ht="84" customHeight="1" x14ac:dyDescent="0.2">
      <c r="A28" s="806"/>
      <c r="B28" s="804"/>
      <c r="C28" s="752" t="s">
        <v>2454</v>
      </c>
      <c r="D28" s="637" t="s">
        <v>2453</v>
      </c>
      <c r="E28" s="637" t="s">
        <v>2452</v>
      </c>
      <c r="F28" s="637" t="s">
        <v>2451</v>
      </c>
      <c r="G28" s="757">
        <f>+IF(D29="x",5,+IF(E29="x",10,+IF(F29="x",20,"sin evaluar")))</f>
        <v>20</v>
      </c>
      <c r="H28" s="751">
        <v>20</v>
      </c>
      <c r="I28" s="776"/>
      <c r="J28" s="626"/>
    </row>
    <row r="29" spans="1:11" ht="24.75" customHeight="1" x14ac:dyDescent="0.2">
      <c r="A29" s="806"/>
      <c r="B29" s="804"/>
      <c r="C29" s="753"/>
      <c r="D29" s="636"/>
      <c r="E29" s="636"/>
      <c r="F29" s="636" t="s">
        <v>1679</v>
      </c>
      <c r="G29" s="757"/>
      <c r="H29" s="751"/>
      <c r="I29" s="776"/>
      <c r="J29" s="626"/>
    </row>
    <row r="30" spans="1:11" ht="63" customHeight="1" x14ac:dyDescent="0.2">
      <c r="A30" s="806"/>
      <c r="B30" s="804"/>
      <c r="C30" s="752" t="s">
        <v>2450</v>
      </c>
      <c r="D30" s="637" t="s">
        <v>2449</v>
      </c>
      <c r="E30" s="637" t="s">
        <v>2448</v>
      </c>
      <c r="F30" s="637" t="s">
        <v>2447</v>
      </c>
      <c r="G30" s="757">
        <f>+IF(D31="x",5,+IF(E31="x",10,+IF(F31="x",20,"sin evaluar")))</f>
        <v>20</v>
      </c>
      <c r="H30" s="751">
        <v>20</v>
      </c>
      <c r="I30" s="776"/>
      <c r="J30" s="626"/>
    </row>
    <row r="31" spans="1:11" ht="24.75" customHeight="1" x14ac:dyDescent="0.2">
      <c r="A31" s="806"/>
      <c r="B31" s="805"/>
      <c r="C31" s="753"/>
      <c r="D31" s="636"/>
      <c r="E31" s="636"/>
      <c r="F31" s="635" t="s">
        <v>1679</v>
      </c>
      <c r="G31" s="757"/>
      <c r="H31" s="751"/>
      <c r="I31" s="777"/>
      <c r="J31" s="626"/>
    </row>
    <row r="32" spans="1:11" x14ac:dyDescent="0.2">
      <c r="A32" s="27"/>
      <c r="B32" s="27"/>
      <c r="C32" s="27"/>
      <c r="D32" s="27"/>
      <c r="E32" s="785" t="s">
        <v>2446</v>
      </c>
      <c r="F32" s="785"/>
      <c r="G32" s="785"/>
      <c r="H32" s="785"/>
      <c r="I32" s="634">
        <f>+AVERAGE(I10:I31)</f>
        <v>0.91428571428571437</v>
      </c>
      <c r="J32" s="626"/>
    </row>
    <row r="33" spans="1:14" ht="26.25" customHeight="1" x14ac:dyDescent="0.2">
      <c r="D33" s="629"/>
      <c r="E33" s="633" t="s">
        <v>2445</v>
      </c>
      <c r="F33" s="772" t="str">
        <f>+IF(I32&gt;85%,C44,IF(I32&gt;70%,C45,+IF(I32&gt;45%,C46,C47)))</f>
        <v>EXCELENTE</v>
      </c>
      <c r="G33" s="773"/>
      <c r="H33" s="773"/>
      <c r="I33" s="774"/>
      <c r="J33" s="626"/>
    </row>
    <row r="34" spans="1:14" x14ac:dyDescent="0.2">
      <c r="D34" s="629"/>
      <c r="E34" s="628"/>
      <c r="F34" s="627"/>
      <c r="G34" s="627"/>
      <c r="H34" s="627"/>
      <c r="I34" s="627"/>
      <c r="J34" s="626"/>
    </row>
    <row r="35" spans="1:14" x14ac:dyDescent="0.2">
      <c r="D35" s="629"/>
      <c r="E35" s="628"/>
      <c r="F35" s="627"/>
      <c r="G35" s="627"/>
      <c r="H35" s="627"/>
      <c r="I35" s="627"/>
      <c r="J35" s="626"/>
    </row>
    <row r="36" spans="1:14" ht="8.25" customHeight="1" x14ac:dyDescent="0.2">
      <c r="A36" s="631"/>
      <c r="B36" s="631"/>
      <c r="C36" s="630"/>
      <c r="D36" s="630"/>
      <c r="E36" s="632"/>
      <c r="F36" s="631"/>
      <c r="H36" s="630"/>
      <c r="I36" s="630"/>
      <c r="J36" s="630"/>
    </row>
    <row r="37" spans="1:14" x14ac:dyDescent="0.2">
      <c r="A37" s="798"/>
      <c r="B37" s="798"/>
      <c r="C37" s="799"/>
      <c r="D37" s="799"/>
      <c r="E37" s="618"/>
      <c r="F37" s="800"/>
      <c r="G37" s="800"/>
      <c r="H37" s="800"/>
      <c r="I37" s="800"/>
      <c r="J37" s="625"/>
    </row>
    <row r="38" spans="1:14" x14ac:dyDescent="0.2">
      <c r="D38" s="629"/>
      <c r="E38" s="628"/>
      <c r="F38" s="627"/>
      <c r="G38" s="627"/>
      <c r="H38" s="627"/>
      <c r="I38" s="627"/>
      <c r="J38" s="626"/>
    </row>
    <row r="39" spans="1:14" x14ac:dyDescent="0.2">
      <c r="D39" s="629"/>
      <c r="E39" s="628"/>
      <c r="F39" s="627"/>
      <c r="G39" s="627"/>
      <c r="H39" s="627"/>
      <c r="I39" s="627"/>
      <c r="J39" s="626"/>
    </row>
    <row r="40" spans="1:14" x14ac:dyDescent="0.2">
      <c r="A40" s="625" t="s">
        <v>2444</v>
      </c>
      <c r="C40" s="613" t="s">
        <v>2551</v>
      </c>
      <c r="D40" s="618"/>
      <c r="E40" s="618"/>
      <c r="F40" s="618"/>
      <c r="G40" s="618"/>
      <c r="H40" s="618"/>
      <c r="I40" s="618"/>
      <c r="J40" s="618"/>
      <c r="K40" s="618"/>
      <c r="L40" s="618"/>
      <c r="M40" s="618"/>
      <c r="N40" s="618"/>
    </row>
    <row r="41" spans="1:14" s="623" customFormat="1" ht="30.75" customHeight="1" x14ac:dyDescent="0.2">
      <c r="A41" s="778"/>
      <c r="B41" s="779"/>
      <c r="C41" s="779"/>
      <c r="D41" s="779"/>
      <c r="E41" s="779"/>
      <c r="F41" s="779"/>
      <c r="G41" s="779"/>
      <c r="H41" s="779"/>
      <c r="I41" s="780"/>
      <c r="J41" s="624"/>
    </row>
    <row r="42" spans="1:14" ht="19.5" customHeight="1" thickBot="1" x14ac:dyDescent="0.25">
      <c r="C42" s="618"/>
      <c r="D42" s="618"/>
      <c r="E42" s="618"/>
      <c r="F42" s="618"/>
      <c r="G42" s="618"/>
      <c r="H42" s="618"/>
      <c r="I42" s="616"/>
      <c r="J42" s="618"/>
    </row>
    <row r="43" spans="1:14" x14ac:dyDescent="0.2">
      <c r="A43" s="794" t="s">
        <v>2443</v>
      </c>
      <c r="B43" s="795"/>
      <c r="C43" s="622" t="s">
        <v>2442</v>
      </c>
      <c r="D43" s="802" t="s">
        <v>2441</v>
      </c>
      <c r="E43" s="802"/>
      <c r="F43" s="802"/>
      <c r="G43" s="621"/>
      <c r="H43" s="620"/>
      <c r="I43" s="619"/>
      <c r="J43" s="618"/>
    </row>
    <row r="44" spans="1:14" x14ac:dyDescent="0.2">
      <c r="A44" s="796" t="s">
        <v>2440</v>
      </c>
      <c r="B44" s="797"/>
      <c r="C44" s="617" t="s">
        <v>2439</v>
      </c>
      <c r="D44" s="790" t="s">
        <v>2438</v>
      </c>
      <c r="E44" s="790"/>
      <c r="F44" s="790"/>
      <c r="G44" s="790"/>
      <c r="H44" s="790"/>
      <c r="I44" s="791"/>
      <c r="J44" s="616"/>
    </row>
    <row r="45" spans="1:14" x14ac:dyDescent="0.2">
      <c r="A45" s="796" t="s">
        <v>2437</v>
      </c>
      <c r="B45" s="797"/>
      <c r="C45" s="617" t="s">
        <v>2436</v>
      </c>
      <c r="D45" s="790" t="s">
        <v>2435</v>
      </c>
      <c r="E45" s="790"/>
      <c r="F45" s="790"/>
      <c r="G45" s="790"/>
      <c r="H45" s="790"/>
      <c r="I45" s="791"/>
      <c r="J45" s="616"/>
    </row>
    <row r="46" spans="1:14" ht="40.5" customHeight="1" x14ac:dyDescent="0.2">
      <c r="A46" s="796" t="s">
        <v>2434</v>
      </c>
      <c r="B46" s="797"/>
      <c r="C46" s="615" t="s">
        <v>2433</v>
      </c>
      <c r="D46" s="781" t="s">
        <v>2432</v>
      </c>
      <c r="E46" s="781"/>
      <c r="F46" s="781"/>
      <c r="G46" s="781"/>
      <c r="H46" s="781"/>
      <c r="I46" s="782"/>
    </row>
    <row r="47" spans="1:14" ht="13.5" thickBot="1" x14ac:dyDescent="0.25">
      <c r="A47" s="783" t="s">
        <v>2431</v>
      </c>
      <c r="B47" s="784"/>
      <c r="C47" s="614" t="s">
        <v>2430</v>
      </c>
      <c r="D47" s="770" t="s">
        <v>2429</v>
      </c>
      <c r="E47" s="770"/>
      <c r="F47" s="770"/>
      <c r="G47" s="770"/>
      <c r="H47" s="770"/>
      <c r="I47" s="771"/>
    </row>
  </sheetData>
  <mergeCells count="70">
    <mergeCell ref="C1:I1"/>
    <mergeCell ref="C2:D2"/>
    <mergeCell ref="E2:I2"/>
    <mergeCell ref="A4:B4"/>
    <mergeCell ref="C4:D4"/>
    <mergeCell ref="G4:H4"/>
    <mergeCell ref="A5:B5"/>
    <mergeCell ref="G5:H5"/>
    <mergeCell ref="A8:A9"/>
    <mergeCell ref="B8:B9"/>
    <mergeCell ref="C8:C9"/>
    <mergeCell ref="D8:F8"/>
    <mergeCell ref="G8:H8"/>
    <mergeCell ref="I8:I9"/>
    <mergeCell ref="A10:A17"/>
    <mergeCell ref="B10:B17"/>
    <mergeCell ref="C10:C11"/>
    <mergeCell ref="G10:G11"/>
    <mergeCell ref="H10:H11"/>
    <mergeCell ref="I10:I17"/>
    <mergeCell ref="C12:C13"/>
    <mergeCell ref="G12:G13"/>
    <mergeCell ref="H12:H13"/>
    <mergeCell ref="C14:C15"/>
    <mergeCell ref="G14:G15"/>
    <mergeCell ref="H14:H15"/>
    <mergeCell ref="C16:C17"/>
    <mergeCell ref="G16:G17"/>
    <mergeCell ref="H16:H17"/>
    <mergeCell ref="F33:I33"/>
    <mergeCell ref="A37:B37"/>
    <mergeCell ref="C37:D37"/>
    <mergeCell ref="F37:I37"/>
    <mergeCell ref="I18:I31"/>
    <mergeCell ref="E19:F19"/>
    <mergeCell ref="C20:C21"/>
    <mergeCell ref="G20:G21"/>
    <mergeCell ref="H20:H21"/>
    <mergeCell ref="G22:G23"/>
    <mergeCell ref="H22:H23"/>
    <mergeCell ref="C24:C25"/>
    <mergeCell ref="G24:G25"/>
    <mergeCell ref="H24:H25"/>
    <mergeCell ref="C18:C19"/>
    <mergeCell ref="E18:F18"/>
    <mergeCell ref="E32:H32"/>
    <mergeCell ref="A18:A31"/>
    <mergeCell ref="B18:B31"/>
    <mergeCell ref="H26:H27"/>
    <mergeCell ref="C28:C29"/>
    <mergeCell ref="G18:G19"/>
    <mergeCell ref="H18:H19"/>
    <mergeCell ref="C26:C27"/>
    <mergeCell ref="G26:G27"/>
    <mergeCell ref="G28:G29"/>
    <mergeCell ref="H28:H29"/>
    <mergeCell ref="C30:C31"/>
    <mergeCell ref="G30:G31"/>
    <mergeCell ref="H30:H31"/>
    <mergeCell ref="A41:I41"/>
    <mergeCell ref="A47:B47"/>
    <mergeCell ref="D47:I47"/>
    <mergeCell ref="A44:B44"/>
    <mergeCell ref="D44:I44"/>
    <mergeCell ref="A45:B45"/>
    <mergeCell ref="D45:I45"/>
    <mergeCell ref="A46:B46"/>
    <mergeCell ref="D46:I46"/>
    <mergeCell ref="A43:B43"/>
    <mergeCell ref="D43:F43"/>
  </mergeCells>
  <dataValidations count="1">
    <dataValidation type="list" allowBlank="1" showInputMessage="1" showErrorMessage="1" sqref="F37:J37 WVN983050:WVR983050 WLR983050:WLV983050 WBV983050:WBZ983050 VRZ983050:VSD983050 VID983050:VIH983050 UYH983050:UYL983050 UOL983050:UOP983050 UEP983050:UET983050 TUT983050:TUX983050 TKX983050:TLB983050 TBB983050:TBF983050 SRF983050:SRJ983050 SHJ983050:SHN983050 RXN983050:RXR983050 RNR983050:RNV983050 RDV983050:RDZ983050 QTZ983050:QUD983050 QKD983050:QKH983050 QAH983050:QAL983050 PQL983050:PQP983050 PGP983050:PGT983050 OWT983050:OWX983050 OMX983050:ONB983050 ODB983050:ODF983050 NTF983050:NTJ983050 NJJ983050:NJN983050 MZN983050:MZR983050 MPR983050:MPV983050 MFV983050:MFZ983050 LVZ983050:LWD983050 LMD983050:LMH983050 LCH983050:LCL983050 KSL983050:KSP983050 KIP983050:KIT983050 JYT983050:JYX983050 JOX983050:JPB983050 JFB983050:JFF983050 IVF983050:IVJ983050 ILJ983050:ILN983050 IBN983050:IBR983050 HRR983050:HRV983050 HHV983050:HHZ983050 GXZ983050:GYD983050 GOD983050:GOH983050 GEH983050:GEL983050 FUL983050:FUP983050 FKP983050:FKT983050 FAT983050:FAX983050 EQX983050:ERB983050 EHB983050:EHF983050 DXF983050:DXJ983050 DNJ983050:DNN983050 DDN983050:DDR983050 CTR983050:CTV983050 CJV983050:CJZ983050 BZZ983050:CAD983050 BQD983050:BQH983050 BGH983050:BGL983050 AWL983050:AWP983050 AMP983050:AMT983050 ACT983050:ACX983050 SX983050:TB983050 JB983050:JF983050 F983050:J983050 WVN917514:WVR917514 WLR917514:WLV917514 WBV917514:WBZ917514 VRZ917514:VSD917514 VID917514:VIH917514 UYH917514:UYL917514 UOL917514:UOP917514 UEP917514:UET917514 TUT917514:TUX917514 TKX917514:TLB917514 TBB917514:TBF917514 SRF917514:SRJ917514 SHJ917514:SHN917514 RXN917514:RXR917514 RNR917514:RNV917514 RDV917514:RDZ917514 QTZ917514:QUD917514 QKD917514:QKH917514 QAH917514:QAL917514 PQL917514:PQP917514 PGP917514:PGT917514 OWT917514:OWX917514 OMX917514:ONB917514 ODB917514:ODF917514 NTF917514:NTJ917514 NJJ917514:NJN917514 MZN917514:MZR917514 MPR917514:MPV917514 MFV917514:MFZ917514 LVZ917514:LWD917514 LMD917514:LMH917514 LCH917514:LCL917514 KSL917514:KSP917514 KIP917514:KIT917514 JYT917514:JYX917514 JOX917514:JPB917514 JFB917514:JFF917514 IVF917514:IVJ917514 ILJ917514:ILN917514 IBN917514:IBR917514 HRR917514:HRV917514 HHV917514:HHZ917514 GXZ917514:GYD917514 GOD917514:GOH917514 GEH917514:GEL917514 FUL917514:FUP917514 FKP917514:FKT917514 FAT917514:FAX917514 EQX917514:ERB917514 EHB917514:EHF917514 DXF917514:DXJ917514 DNJ917514:DNN917514 DDN917514:DDR917514 CTR917514:CTV917514 CJV917514:CJZ917514 BZZ917514:CAD917514 BQD917514:BQH917514 BGH917514:BGL917514 AWL917514:AWP917514 AMP917514:AMT917514 ACT917514:ACX917514 SX917514:TB917514 JB917514:JF917514 F917514:J917514 WVN851978:WVR851978 WLR851978:WLV851978 WBV851978:WBZ851978 VRZ851978:VSD851978 VID851978:VIH851978 UYH851978:UYL851978 UOL851978:UOP851978 UEP851978:UET851978 TUT851978:TUX851978 TKX851978:TLB851978 TBB851978:TBF851978 SRF851978:SRJ851978 SHJ851978:SHN851978 RXN851978:RXR851978 RNR851978:RNV851978 RDV851978:RDZ851978 QTZ851978:QUD851978 QKD851978:QKH851978 QAH851978:QAL851978 PQL851978:PQP851978 PGP851978:PGT851978 OWT851978:OWX851978 OMX851978:ONB851978 ODB851978:ODF851978 NTF851978:NTJ851978 NJJ851978:NJN851978 MZN851978:MZR851978 MPR851978:MPV851978 MFV851978:MFZ851978 LVZ851978:LWD851978 LMD851978:LMH851978 LCH851978:LCL851978 KSL851978:KSP851978 KIP851978:KIT851978 JYT851978:JYX851978 JOX851978:JPB851978 JFB851978:JFF851978 IVF851978:IVJ851978 ILJ851978:ILN851978 IBN851978:IBR851978 HRR851978:HRV851978 HHV851978:HHZ851978 GXZ851978:GYD851978 GOD851978:GOH851978 GEH851978:GEL851978 FUL851978:FUP851978 FKP851978:FKT851978 FAT851978:FAX851978 EQX851978:ERB851978 EHB851978:EHF851978 DXF851978:DXJ851978 DNJ851978:DNN851978 DDN851978:DDR851978 CTR851978:CTV851978 CJV851978:CJZ851978 BZZ851978:CAD851978 BQD851978:BQH851978 BGH851978:BGL851978 AWL851978:AWP851978 AMP851978:AMT851978 ACT851978:ACX851978 SX851978:TB851978 JB851978:JF851978 F851978:J851978 WVN786442:WVR786442 WLR786442:WLV786442 WBV786442:WBZ786442 VRZ786442:VSD786442 VID786442:VIH786442 UYH786442:UYL786442 UOL786442:UOP786442 UEP786442:UET786442 TUT786442:TUX786442 TKX786442:TLB786442 TBB786442:TBF786442 SRF786442:SRJ786442 SHJ786442:SHN786442 RXN786442:RXR786442 RNR786442:RNV786442 RDV786442:RDZ786442 QTZ786442:QUD786442 QKD786442:QKH786442 QAH786442:QAL786442 PQL786442:PQP786442 PGP786442:PGT786442 OWT786442:OWX786442 OMX786442:ONB786442 ODB786442:ODF786442 NTF786442:NTJ786442 NJJ786442:NJN786442 MZN786442:MZR786442 MPR786442:MPV786442 MFV786442:MFZ786442 LVZ786442:LWD786442 LMD786442:LMH786442 LCH786442:LCL786442 KSL786442:KSP786442 KIP786442:KIT786442 JYT786442:JYX786442 JOX786442:JPB786442 JFB786442:JFF786442 IVF786442:IVJ786442 ILJ786442:ILN786442 IBN786442:IBR786442 HRR786442:HRV786442 HHV786442:HHZ786442 GXZ786442:GYD786442 GOD786442:GOH786442 GEH786442:GEL786442 FUL786442:FUP786442 FKP786442:FKT786442 FAT786442:FAX786442 EQX786442:ERB786442 EHB786442:EHF786442 DXF786442:DXJ786442 DNJ786442:DNN786442 DDN786442:DDR786442 CTR786442:CTV786442 CJV786442:CJZ786442 BZZ786442:CAD786442 BQD786442:BQH786442 BGH786442:BGL786442 AWL786442:AWP786442 AMP786442:AMT786442 ACT786442:ACX786442 SX786442:TB786442 JB786442:JF786442 F786442:J786442 WVN720906:WVR720906 WLR720906:WLV720906 WBV720906:WBZ720906 VRZ720906:VSD720906 VID720906:VIH720906 UYH720906:UYL720906 UOL720906:UOP720906 UEP720906:UET720906 TUT720906:TUX720906 TKX720906:TLB720906 TBB720906:TBF720906 SRF720906:SRJ720906 SHJ720906:SHN720906 RXN720906:RXR720906 RNR720906:RNV720906 RDV720906:RDZ720906 QTZ720906:QUD720906 QKD720906:QKH720906 QAH720906:QAL720906 PQL720906:PQP720906 PGP720906:PGT720906 OWT720906:OWX720906 OMX720906:ONB720906 ODB720906:ODF720906 NTF720906:NTJ720906 NJJ720906:NJN720906 MZN720906:MZR720906 MPR720906:MPV720906 MFV720906:MFZ720906 LVZ720906:LWD720906 LMD720906:LMH720906 LCH720906:LCL720906 KSL720906:KSP720906 KIP720906:KIT720906 JYT720906:JYX720906 JOX720906:JPB720906 JFB720906:JFF720906 IVF720906:IVJ720906 ILJ720906:ILN720906 IBN720906:IBR720906 HRR720906:HRV720906 HHV720906:HHZ720906 GXZ720906:GYD720906 GOD720906:GOH720906 GEH720906:GEL720906 FUL720906:FUP720906 FKP720906:FKT720906 FAT720906:FAX720906 EQX720906:ERB720906 EHB720906:EHF720906 DXF720906:DXJ720906 DNJ720906:DNN720906 DDN720906:DDR720906 CTR720906:CTV720906 CJV720906:CJZ720906 BZZ720906:CAD720906 BQD720906:BQH720906 BGH720906:BGL720906 AWL720906:AWP720906 AMP720906:AMT720906 ACT720906:ACX720906 SX720906:TB720906 JB720906:JF720906 F720906:J720906 WVN655370:WVR655370 WLR655370:WLV655370 WBV655370:WBZ655370 VRZ655370:VSD655370 VID655370:VIH655370 UYH655370:UYL655370 UOL655370:UOP655370 UEP655370:UET655370 TUT655370:TUX655370 TKX655370:TLB655370 TBB655370:TBF655370 SRF655370:SRJ655370 SHJ655370:SHN655370 RXN655370:RXR655370 RNR655370:RNV655370 RDV655370:RDZ655370 QTZ655370:QUD655370 QKD655370:QKH655370 QAH655370:QAL655370 PQL655370:PQP655370 PGP655370:PGT655370 OWT655370:OWX655370 OMX655370:ONB655370 ODB655370:ODF655370 NTF655370:NTJ655370 NJJ655370:NJN655370 MZN655370:MZR655370 MPR655370:MPV655370 MFV655370:MFZ655370 LVZ655370:LWD655370 LMD655370:LMH655370 LCH655370:LCL655370 KSL655370:KSP655370 KIP655370:KIT655370 JYT655370:JYX655370 JOX655370:JPB655370 JFB655370:JFF655370 IVF655370:IVJ655370 ILJ655370:ILN655370 IBN655370:IBR655370 HRR655370:HRV655370 HHV655370:HHZ655370 GXZ655370:GYD655370 GOD655370:GOH655370 GEH655370:GEL655370 FUL655370:FUP655370 FKP655370:FKT655370 FAT655370:FAX655370 EQX655370:ERB655370 EHB655370:EHF655370 DXF655370:DXJ655370 DNJ655370:DNN655370 DDN655370:DDR655370 CTR655370:CTV655370 CJV655370:CJZ655370 BZZ655370:CAD655370 BQD655370:BQH655370 BGH655370:BGL655370 AWL655370:AWP655370 AMP655370:AMT655370 ACT655370:ACX655370 SX655370:TB655370 JB655370:JF655370 F655370:J655370 WVN589834:WVR589834 WLR589834:WLV589834 WBV589834:WBZ589834 VRZ589834:VSD589834 VID589834:VIH589834 UYH589834:UYL589834 UOL589834:UOP589834 UEP589834:UET589834 TUT589834:TUX589834 TKX589834:TLB589834 TBB589834:TBF589834 SRF589834:SRJ589834 SHJ589834:SHN589834 RXN589834:RXR589834 RNR589834:RNV589834 RDV589834:RDZ589834 QTZ589834:QUD589834 QKD589834:QKH589834 QAH589834:QAL589834 PQL589834:PQP589834 PGP589834:PGT589834 OWT589834:OWX589834 OMX589834:ONB589834 ODB589834:ODF589834 NTF589834:NTJ589834 NJJ589834:NJN589834 MZN589834:MZR589834 MPR589834:MPV589834 MFV589834:MFZ589834 LVZ589834:LWD589834 LMD589834:LMH589834 LCH589834:LCL589834 KSL589834:KSP589834 KIP589834:KIT589834 JYT589834:JYX589834 JOX589834:JPB589834 JFB589834:JFF589834 IVF589834:IVJ589834 ILJ589834:ILN589834 IBN589834:IBR589834 HRR589834:HRV589834 HHV589834:HHZ589834 GXZ589834:GYD589834 GOD589834:GOH589834 GEH589834:GEL589834 FUL589834:FUP589834 FKP589834:FKT589834 FAT589834:FAX589834 EQX589834:ERB589834 EHB589834:EHF589834 DXF589834:DXJ589834 DNJ589834:DNN589834 DDN589834:DDR589834 CTR589834:CTV589834 CJV589834:CJZ589834 BZZ589834:CAD589834 BQD589834:BQH589834 BGH589834:BGL589834 AWL589834:AWP589834 AMP589834:AMT589834 ACT589834:ACX589834 SX589834:TB589834 JB589834:JF589834 F589834:J589834 WVN524298:WVR524298 WLR524298:WLV524298 WBV524298:WBZ524298 VRZ524298:VSD524298 VID524298:VIH524298 UYH524298:UYL524298 UOL524298:UOP524298 UEP524298:UET524298 TUT524298:TUX524298 TKX524298:TLB524298 TBB524298:TBF524298 SRF524298:SRJ524298 SHJ524298:SHN524298 RXN524298:RXR524298 RNR524298:RNV524298 RDV524298:RDZ524298 QTZ524298:QUD524298 QKD524298:QKH524298 QAH524298:QAL524298 PQL524298:PQP524298 PGP524298:PGT524298 OWT524298:OWX524298 OMX524298:ONB524298 ODB524298:ODF524298 NTF524298:NTJ524298 NJJ524298:NJN524298 MZN524298:MZR524298 MPR524298:MPV524298 MFV524298:MFZ524298 LVZ524298:LWD524298 LMD524298:LMH524298 LCH524298:LCL524298 KSL524298:KSP524298 KIP524298:KIT524298 JYT524298:JYX524298 JOX524298:JPB524298 JFB524298:JFF524298 IVF524298:IVJ524298 ILJ524298:ILN524298 IBN524298:IBR524298 HRR524298:HRV524298 HHV524298:HHZ524298 GXZ524298:GYD524298 GOD524298:GOH524298 GEH524298:GEL524298 FUL524298:FUP524298 FKP524298:FKT524298 FAT524298:FAX524298 EQX524298:ERB524298 EHB524298:EHF524298 DXF524298:DXJ524298 DNJ524298:DNN524298 DDN524298:DDR524298 CTR524298:CTV524298 CJV524298:CJZ524298 BZZ524298:CAD524298 BQD524298:BQH524298 BGH524298:BGL524298 AWL524298:AWP524298 AMP524298:AMT524298 ACT524298:ACX524298 SX524298:TB524298 JB524298:JF524298 F524298:J524298 WVN458762:WVR458762 WLR458762:WLV458762 WBV458762:WBZ458762 VRZ458762:VSD458762 VID458762:VIH458762 UYH458762:UYL458762 UOL458762:UOP458762 UEP458762:UET458762 TUT458762:TUX458762 TKX458762:TLB458762 TBB458762:TBF458762 SRF458762:SRJ458762 SHJ458762:SHN458762 RXN458762:RXR458762 RNR458762:RNV458762 RDV458762:RDZ458762 QTZ458762:QUD458762 QKD458762:QKH458762 QAH458762:QAL458762 PQL458762:PQP458762 PGP458762:PGT458762 OWT458762:OWX458762 OMX458762:ONB458762 ODB458762:ODF458762 NTF458762:NTJ458762 NJJ458762:NJN458762 MZN458762:MZR458762 MPR458762:MPV458762 MFV458762:MFZ458762 LVZ458762:LWD458762 LMD458762:LMH458762 LCH458762:LCL458762 KSL458762:KSP458762 KIP458762:KIT458762 JYT458762:JYX458762 JOX458762:JPB458762 JFB458762:JFF458762 IVF458762:IVJ458762 ILJ458762:ILN458762 IBN458762:IBR458762 HRR458762:HRV458762 HHV458762:HHZ458762 GXZ458762:GYD458762 GOD458762:GOH458762 GEH458762:GEL458762 FUL458762:FUP458762 FKP458762:FKT458762 FAT458762:FAX458762 EQX458762:ERB458762 EHB458762:EHF458762 DXF458762:DXJ458762 DNJ458762:DNN458762 DDN458762:DDR458762 CTR458762:CTV458762 CJV458762:CJZ458762 BZZ458762:CAD458762 BQD458762:BQH458762 BGH458762:BGL458762 AWL458762:AWP458762 AMP458762:AMT458762 ACT458762:ACX458762 SX458762:TB458762 JB458762:JF458762 F458762:J458762 WVN393226:WVR393226 WLR393226:WLV393226 WBV393226:WBZ393226 VRZ393226:VSD393226 VID393226:VIH393226 UYH393226:UYL393226 UOL393226:UOP393226 UEP393226:UET393226 TUT393226:TUX393226 TKX393226:TLB393226 TBB393226:TBF393226 SRF393226:SRJ393226 SHJ393226:SHN393226 RXN393226:RXR393226 RNR393226:RNV393226 RDV393226:RDZ393226 QTZ393226:QUD393226 QKD393226:QKH393226 QAH393226:QAL393226 PQL393226:PQP393226 PGP393226:PGT393226 OWT393226:OWX393226 OMX393226:ONB393226 ODB393226:ODF393226 NTF393226:NTJ393226 NJJ393226:NJN393226 MZN393226:MZR393226 MPR393226:MPV393226 MFV393226:MFZ393226 LVZ393226:LWD393226 LMD393226:LMH393226 LCH393226:LCL393226 KSL393226:KSP393226 KIP393226:KIT393226 JYT393226:JYX393226 JOX393226:JPB393226 JFB393226:JFF393226 IVF393226:IVJ393226 ILJ393226:ILN393226 IBN393226:IBR393226 HRR393226:HRV393226 HHV393226:HHZ393226 GXZ393226:GYD393226 GOD393226:GOH393226 GEH393226:GEL393226 FUL393226:FUP393226 FKP393226:FKT393226 FAT393226:FAX393226 EQX393226:ERB393226 EHB393226:EHF393226 DXF393226:DXJ393226 DNJ393226:DNN393226 DDN393226:DDR393226 CTR393226:CTV393226 CJV393226:CJZ393226 BZZ393226:CAD393226 BQD393226:BQH393226 BGH393226:BGL393226 AWL393226:AWP393226 AMP393226:AMT393226 ACT393226:ACX393226 SX393226:TB393226 JB393226:JF393226 F393226:J393226 WVN327690:WVR327690 WLR327690:WLV327690 WBV327690:WBZ327690 VRZ327690:VSD327690 VID327690:VIH327690 UYH327690:UYL327690 UOL327690:UOP327690 UEP327690:UET327690 TUT327690:TUX327690 TKX327690:TLB327690 TBB327690:TBF327690 SRF327690:SRJ327690 SHJ327690:SHN327690 RXN327690:RXR327690 RNR327690:RNV327690 RDV327690:RDZ327690 QTZ327690:QUD327690 QKD327690:QKH327690 QAH327690:QAL327690 PQL327690:PQP327690 PGP327690:PGT327690 OWT327690:OWX327690 OMX327690:ONB327690 ODB327690:ODF327690 NTF327690:NTJ327690 NJJ327690:NJN327690 MZN327690:MZR327690 MPR327690:MPV327690 MFV327690:MFZ327690 LVZ327690:LWD327690 LMD327690:LMH327690 LCH327690:LCL327690 KSL327690:KSP327690 KIP327690:KIT327690 JYT327690:JYX327690 JOX327690:JPB327690 JFB327690:JFF327690 IVF327690:IVJ327690 ILJ327690:ILN327690 IBN327690:IBR327690 HRR327690:HRV327690 HHV327690:HHZ327690 GXZ327690:GYD327690 GOD327690:GOH327690 GEH327690:GEL327690 FUL327690:FUP327690 FKP327690:FKT327690 FAT327690:FAX327690 EQX327690:ERB327690 EHB327690:EHF327690 DXF327690:DXJ327690 DNJ327690:DNN327690 DDN327690:DDR327690 CTR327690:CTV327690 CJV327690:CJZ327690 BZZ327690:CAD327690 BQD327690:BQH327690 BGH327690:BGL327690 AWL327690:AWP327690 AMP327690:AMT327690 ACT327690:ACX327690 SX327690:TB327690 JB327690:JF327690 F327690:J327690 WVN262154:WVR262154 WLR262154:WLV262154 WBV262154:WBZ262154 VRZ262154:VSD262154 VID262154:VIH262154 UYH262154:UYL262154 UOL262154:UOP262154 UEP262154:UET262154 TUT262154:TUX262154 TKX262154:TLB262154 TBB262154:TBF262154 SRF262154:SRJ262154 SHJ262154:SHN262154 RXN262154:RXR262154 RNR262154:RNV262154 RDV262154:RDZ262154 QTZ262154:QUD262154 QKD262154:QKH262154 QAH262154:QAL262154 PQL262154:PQP262154 PGP262154:PGT262154 OWT262154:OWX262154 OMX262154:ONB262154 ODB262154:ODF262154 NTF262154:NTJ262154 NJJ262154:NJN262154 MZN262154:MZR262154 MPR262154:MPV262154 MFV262154:MFZ262154 LVZ262154:LWD262154 LMD262154:LMH262154 LCH262154:LCL262154 KSL262154:KSP262154 KIP262154:KIT262154 JYT262154:JYX262154 JOX262154:JPB262154 JFB262154:JFF262154 IVF262154:IVJ262154 ILJ262154:ILN262154 IBN262154:IBR262154 HRR262154:HRV262154 HHV262154:HHZ262154 GXZ262154:GYD262154 GOD262154:GOH262154 GEH262154:GEL262154 FUL262154:FUP262154 FKP262154:FKT262154 FAT262154:FAX262154 EQX262154:ERB262154 EHB262154:EHF262154 DXF262154:DXJ262154 DNJ262154:DNN262154 DDN262154:DDR262154 CTR262154:CTV262154 CJV262154:CJZ262154 BZZ262154:CAD262154 BQD262154:BQH262154 BGH262154:BGL262154 AWL262154:AWP262154 AMP262154:AMT262154 ACT262154:ACX262154 SX262154:TB262154 JB262154:JF262154 F262154:J262154 WVN196618:WVR196618 WLR196618:WLV196618 WBV196618:WBZ196618 VRZ196618:VSD196618 VID196618:VIH196618 UYH196618:UYL196618 UOL196618:UOP196618 UEP196618:UET196618 TUT196618:TUX196618 TKX196618:TLB196618 TBB196618:TBF196618 SRF196618:SRJ196618 SHJ196618:SHN196618 RXN196618:RXR196618 RNR196618:RNV196618 RDV196618:RDZ196618 QTZ196618:QUD196618 QKD196618:QKH196618 QAH196618:QAL196618 PQL196618:PQP196618 PGP196618:PGT196618 OWT196618:OWX196618 OMX196618:ONB196618 ODB196618:ODF196618 NTF196618:NTJ196618 NJJ196618:NJN196618 MZN196618:MZR196618 MPR196618:MPV196618 MFV196618:MFZ196618 LVZ196618:LWD196618 LMD196618:LMH196618 LCH196618:LCL196618 KSL196618:KSP196618 KIP196618:KIT196618 JYT196618:JYX196618 JOX196618:JPB196618 JFB196618:JFF196618 IVF196618:IVJ196618 ILJ196618:ILN196618 IBN196618:IBR196618 HRR196618:HRV196618 HHV196618:HHZ196618 GXZ196618:GYD196618 GOD196618:GOH196618 GEH196618:GEL196618 FUL196618:FUP196618 FKP196618:FKT196618 FAT196618:FAX196618 EQX196618:ERB196618 EHB196618:EHF196618 DXF196618:DXJ196618 DNJ196618:DNN196618 DDN196618:DDR196618 CTR196618:CTV196618 CJV196618:CJZ196618 BZZ196618:CAD196618 BQD196618:BQH196618 BGH196618:BGL196618 AWL196618:AWP196618 AMP196618:AMT196618 ACT196618:ACX196618 SX196618:TB196618 JB196618:JF196618 F196618:J196618 WVN131082:WVR131082 WLR131082:WLV131082 WBV131082:WBZ131082 VRZ131082:VSD131082 VID131082:VIH131082 UYH131082:UYL131082 UOL131082:UOP131082 UEP131082:UET131082 TUT131082:TUX131082 TKX131082:TLB131082 TBB131082:TBF131082 SRF131082:SRJ131082 SHJ131082:SHN131082 RXN131082:RXR131082 RNR131082:RNV131082 RDV131082:RDZ131082 QTZ131082:QUD131082 QKD131082:QKH131082 QAH131082:QAL131082 PQL131082:PQP131082 PGP131082:PGT131082 OWT131082:OWX131082 OMX131082:ONB131082 ODB131082:ODF131082 NTF131082:NTJ131082 NJJ131082:NJN131082 MZN131082:MZR131082 MPR131082:MPV131082 MFV131082:MFZ131082 LVZ131082:LWD131082 LMD131082:LMH131082 LCH131082:LCL131082 KSL131082:KSP131082 KIP131082:KIT131082 JYT131082:JYX131082 JOX131082:JPB131082 JFB131082:JFF131082 IVF131082:IVJ131082 ILJ131082:ILN131082 IBN131082:IBR131082 HRR131082:HRV131082 HHV131082:HHZ131082 GXZ131082:GYD131082 GOD131082:GOH131082 GEH131082:GEL131082 FUL131082:FUP131082 FKP131082:FKT131082 FAT131082:FAX131082 EQX131082:ERB131082 EHB131082:EHF131082 DXF131082:DXJ131082 DNJ131082:DNN131082 DDN131082:DDR131082 CTR131082:CTV131082 CJV131082:CJZ131082 BZZ131082:CAD131082 BQD131082:BQH131082 BGH131082:BGL131082 AWL131082:AWP131082 AMP131082:AMT131082 ACT131082:ACX131082 SX131082:TB131082 JB131082:JF131082 F131082:J131082 WVN65546:WVR65546 WLR65546:WLV65546 WBV65546:WBZ65546 VRZ65546:VSD65546 VID65546:VIH65546 UYH65546:UYL65546 UOL65546:UOP65546 UEP65546:UET65546 TUT65546:TUX65546 TKX65546:TLB65546 TBB65546:TBF65546 SRF65546:SRJ65546 SHJ65546:SHN65546 RXN65546:RXR65546 RNR65546:RNV65546 RDV65546:RDZ65546 QTZ65546:QUD65546 QKD65546:QKH65546 QAH65546:QAL65546 PQL65546:PQP65546 PGP65546:PGT65546 OWT65546:OWX65546 OMX65546:ONB65546 ODB65546:ODF65546 NTF65546:NTJ65546 NJJ65546:NJN65546 MZN65546:MZR65546 MPR65546:MPV65546 MFV65546:MFZ65546 LVZ65546:LWD65546 LMD65546:LMH65546 LCH65546:LCL65546 KSL65546:KSP65546 KIP65546:KIT65546 JYT65546:JYX65546 JOX65546:JPB65546 JFB65546:JFF65546 IVF65546:IVJ65546 ILJ65546:ILN65546 IBN65546:IBR65546 HRR65546:HRV65546 HHV65546:HHZ65546 GXZ65546:GYD65546 GOD65546:GOH65546 GEH65546:GEL65546 FUL65546:FUP65546 FKP65546:FKT65546 FAT65546:FAX65546 EQX65546:ERB65546 EHB65546:EHF65546 DXF65546:DXJ65546 DNJ65546:DNN65546 DDN65546:DDR65546 CTR65546:CTV65546 CJV65546:CJZ65546 BZZ65546:CAD65546 BQD65546:BQH65546 BGH65546:BGL65546 AWL65546:AWP65546 AMP65546:AMT65546 ACT65546:ACX65546 SX65546:TB65546 JB65546:JF65546 F65546:J65546 JB37:JF37 SX37:TB37 ACT37:ACX37 AMP37:AMT37 AWL37:AWP37 BGH37:BGL37 BQD37:BQH37 BZZ37:CAD37 CJV37:CJZ37 CTR37:CTV37 DDN37:DDR37 DNJ37:DNN37 DXF37:DXJ37 EHB37:EHF37 EQX37:ERB37 FAT37:FAX37 FKP37:FKT37 FUL37:FUP37 GEH37:GEL37 GOD37:GOH37 GXZ37:GYD37 HHV37:HHZ37 HRR37:HRV37 IBN37:IBR37 ILJ37:ILN37 IVF37:IVJ37 JFB37:JFF37 JOX37:JPB37 JYT37:JYX37 KIP37:KIT37 KSL37:KSP37 LCH37:LCL37 LMD37:LMH37 LVZ37:LWD37 MFV37:MFZ37 MPR37:MPV37 MZN37:MZR37 NJJ37:NJN37 NTF37:NTJ37 ODB37:ODF37 OMX37:ONB37 OWT37:OWX37 PGP37:PGT37 PQL37:PQP37 QAH37:QAL37 QKD37:QKH37 QTZ37:QUD37 RDV37:RDZ37 RNR37:RNV37 RXN37:RXR37 SHJ37:SHN37 SRF37:SRJ37 TBB37:TBF37 TKX37:TLB37 TUT37:TUX37 UEP37:UET37 UOL37:UOP37 UYH37:UYL37 VID37:VIH37 VRZ37:VSD37 WBV37:WBZ37 WLR37:WLV37 WVN37:WVR37" xr:uid="{00000000-0002-0000-0900-000000000000}">
      <formula1>$K$7:$K$7</formula1>
    </dataValidation>
  </dataValidations>
  <printOptions horizontalCentered="1"/>
  <pageMargins left="0.19685039370078741" right="0.19685039370078741" top="0.51181102362204722" bottom="0.31496062992125984" header="0.15748031496062992" footer="0.19685039370078741"/>
  <pageSetup paperSize="9" scale="44" orientation="portrait" r:id="rId1"/>
  <headerFooter>
    <oddFooter>&amp;L&amp;8Rev: 0
Emisión: 15/12/19&amp;C&amp;8Revisa y aprueba: ME. Barbeito&amp;R&amp;8&amp;P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16</vt:i4>
      </vt:variant>
    </vt:vector>
  </HeadingPairs>
  <TitlesOfParts>
    <vt:vector size="35" baseType="lpstr">
      <vt:lpstr>BDatos</vt:lpstr>
      <vt:lpstr>Listado de Proveedores</vt:lpstr>
      <vt:lpstr>Servicios 2020</vt:lpstr>
      <vt:lpstr>Insumos 2020</vt:lpstr>
      <vt:lpstr>Prov Insumos</vt:lpstr>
      <vt:lpstr>Prov. Servicios</vt:lpstr>
      <vt:lpstr>Jenck 2019</vt:lpstr>
      <vt:lpstr>Jenck 2021</vt:lpstr>
      <vt:lpstr>Jenck 2022</vt:lpstr>
      <vt:lpstr>Evaluación INTI 2018</vt:lpstr>
      <vt:lpstr>Evaluación INTI 2019</vt:lpstr>
      <vt:lpstr>Evaluación IRAM 2018</vt:lpstr>
      <vt:lpstr>Evaluación IRAM 2019</vt:lpstr>
      <vt:lpstr>Evaluación FQA 2018</vt:lpstr>
      <vt:lpstr>Evaluación INTI 2020</vt:lpstr>
      <vt:lpstr>Evaluación FQA 2019</vt:lpstr>
      <vt:lpstr>Evaluación IRAM 2020</vt:lpstr>
      <vt:lpstr>Superado</vt:lpstr>
      <vt:lpstr>obsoleto</vt:lpstr>
      <vt:lpstr>'Evaluación FQA 2018'!Área_de_impresión</vt:lpstr>
      <vt:lpstr>'Evaluación FQA 2019'!Área_de_impresión</vt:lpstr>
      <vt:lpstr>'Evaluación INTI 2018'!Área_de_impresión</vt:lpstr>
      <vt:lpstr>'Evaluación INTI 2019'!Área_de_impresión</vt:lpstr>
      <vt:lpstr>'Evaluación INTI 2020'!Área_de_impresión</vt:lpstr>
      <vt:lpstr>'Evaluación IRAM 2018'!Área_de_impresión</vt:lpstr>
      <vt:lpstr>'Evaluación IRAM 2019'!Área_de_impresión</vt:lpstr>
      <vt:lpstr>'Evaluación IRAM 2020'!Área_de_impresión</vt:lpstr>
      <vt:lpstr>'Insumos 2020'!Área_de_impresión</vt:lpstr>
      <vt:lpstr>'Jenck 2019'!Área_de_impresión</vt:lpstr>
      <vt:lpstr>'Jenck 2021'!Área_de_impresión</vt:lpstr>
      <vt:lpstr>'Jenck 2022'!Área_de_impresión</vt:lpstr>
      <vt:lpstr>'Listado de Proveedores'!Área_de_impresión</vt:lpstr>
      <vt:lpstr>'Prov Insumos'!Área_de_impresión</vt:lpstr>
      <vt:lpstr>'Prov. Servicios'!Área_de_impresión</vt:lpstr>
      <vt:lpstr>Superado!Área_de_impresión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FPerazzo</dc:creator>
  <cp:lastModifiedBy>Fabrizio Perazzo</cp:lastModifiedBy>
  <cp:lastPrinted>2021-07-05T19:31:19Z</cp:lastPrinted>
  <dcterms:created xsi:type="dcterms:W3CDTF">1996-11-27T10:00:04Z</dcterms:created>
  <dcterms:modified xsi:type="dcterms:W3CDTF">2023-10-03T18:37:19Z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b8b11796-bac7-4a7c-9ab5-cd25811838e7</vt:lpwstr>
  </property>
</Properties>
</file>