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653" activeTab="4"/>
  </bookViews>
  <sheets>
    <sheet name="Ejercicio 1" sheetId="1" r:id="rId1"/>
    <sheet name="Ejercicio 2" sheetId="2" r:id="rId2"/>
    <sheet name="Ejercio 3" sheetId="3" r:id="rId3"/>
    <sheet name="Hoja1" sheetId="5" r:id="rId4"/>
    <sheet name="PLANILLA PORTICO RIGIDEZ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C9" i="6" s="1"/>
  <c r="B8" i="6"/>
  <c r="B9" i="6" s="1"/>
  <c r="D5" i="6"/>
  <c r="D6" i="6"/>
  <c r="B10" i="6" l="1"/>
  <c r="B11" i="6" s="1"/>
  <c r="D8" i="6"/>
  <c r="D9" i="6" s="1"/>
  <c r="D10" i="6" s="1"/>
  <c r="D13" i="6"/>
  <c r="G13" i="5"/>
  <c r="B14" i="5"/>
  <c r="B13" i="5"/>
  <c r="B11" i="5"/>
  <c r="B12" i="5"/>
  <c r="D12" i="5"/>
  <c r="H189" i="5"/>
  <c r="D189" i="5"/>
  <c r="H188" i="5"/>
  <c r="G188" i="5"/>
  <c r="G189" i="5" s="1"/>
  <c r="F188" i="5"/>
  <c r="F189" i="5" s="1"/>
  <c r="F190" i="5" s="1"/>
  <c r="F191" i="5" s="1"/>
  <c r="E188" i="5"/>
  <c r="E189" i="5" s="1"/>
  <c r="D188" i="5"/>
  <c r="C188" i="5"/>
  <c r="C189" i="5" s="1"/>
  <c r="B188" i="5"/>
  <c r="H192" i="5" s="1"/>
  <c r="E177" i="5"/>
  <c r="H176" i="5"/>
  <c r="H177" i="5" s="1"/>
  <c r="G176" i="5"/>
  <c r="G177" i="5" s="1"/>
  <c r="F176" i="5"/>
  <c r="F177" i="5" s="1"/>
  <c r="F178" i="5" s="1"/>
  <c r="F179" i="5" s="1"/>
  <c r="E176" i="5"/>
  <c r="D176" i="5"/>
  <c r="D177" i="5" s="1"/>
  <c r="C176" i="5"/>
  <c r="C177" i="5" s="1"/>
  <c r="B176" i="5"/>
  <c r="H180" i="5" s="1"/>
  <c r="H168" i="5"/>
  <c r="F165" i="5"/>
  <c r="B165" i="5"/>
  <c r="H164" i="5"/>
  <c r="H165" i="5" s="1"/>
  <c r="H166" i="5" s="1"/>
  <c r="H167" i="5" s="1"/>
  <c r="G164" i="5"/>
  <c r="G165" i="5" s="1"/>
  <c r="F164" i="5"/>
  <c r="E164" i="5"/>
  <c r="E165" i="5" s="1"/>
  <c r="D164" i="5"/>
  <c r="D165" i="5" s="1"/>
  <c r="D166" i="5" s="1"/>
  <c r="D167" i="5" s="1"/>
  <c r="C164" i="5"/>
  <c r="C165" i="5" s="1"/>
  <c r="B164" i="5"/>
  <c r="G153" i="5"/>
  <c r="C153" i="5"/>
  <c r="H152" i="5"/>
  <c r="H153" i="5" s="1"/>
  <c r="H154" i="5" s="1"/>
  <c r="H155" i="5" s="1"/>
  <c r="G152" i="5"/>
  <c r="F152" i="5"/>
  <c r="F153" i="5" s="1"/>
  <c r="E152" i="5"/>
  <c r="E153" i="5" s="1"/>
  <c r="D152" i="5"/>
  <c r="D153" i="5" s="1"/>
  <c r="C152" i="5"/>
  <c r="B152" i="5"/>
  <c r="H156" i="5" s="1"/>
  <c r="H141" i="5"/>
  <c r="H142" i="5" s="1"/>
  <c r="H143" i="5" s="1"/>
  <c r="D141" i="5"/>
  <c r="H140" i="5"/>
  <c r="G140" i="5"/>
  <c r="G141" i="5" s="1"/>
  <c r="F140" i="5"/>
  <c r="F141" i="5" s="1"/>
  <c r="F142" i="5" s="1"/>
  <c r="F143" i="5" s="1"/>
  <c r="E140" i="5"/>
  <c r="E141" i="5" s="1"/>
  <c r="D140" i="5"/>
  <c r="C140" i="5"/>
  <c r="C141" i="5" s="1"/>
  <c r="B140" i="5"/>
  <c r="H144" i="5" s="1"/>
  <c r="E128" i="5"/>
  <c r="F127" i="5"/>
  <c r="F128" i="5" s="1"/>
  <c r="F129" i="5" s="1"/>
  <c r="F130" i="5" s="1"/>
  <c r="E127" i="5"/>
  <c r="D127" i="5"/>
  <c r="D128" i="5" s="1"/>
  <c r="D129" i="5" s="1"/>
  <c r="D130" i="5" s="1"/>
  <c r="C127" i="5"/>
  <c r="C128" i="5" s="1"/>
  <c r="B127" i="5"/>
  <c r="H131" i="5" s="1"/>
  <c r="D115" i="5"/>
  <c r="F114" i="5"/>
  <c r="F115" i="5" s="1"/>
  <c r="F116" i="5" s="1"/>
  <c r="F117" i="5" s="1"/>
  <c r="E114" i="5"/>
  <c r="E115" i="5" s="1"/>
  <c r="D114" i="5"/>
  <c r="C114" i="5"/>
  <c r="C115" i="5" s="1"/>
  <c r="B114" i="5"/>
  <c r="H118" i="5" s="1"/>
  <c r="C102" i="5"/>
  <c r="F101" i="5"/>
  <c r="F102" i="5" s="1"/>
  <c r="E101" i="5"/>
  <c r="E102" i="5" s="1"/>
  <c r="D101" i="5"/>
  <c r="D102" i="5" s="1"/>
  <c r="D103" i="5" s="1"/>
  <c r="D104" i="5" s="1"/>
  <c r="C101" i="5"/>
  <c r="B101" i="5"/>
  <c r="H105" i="5" s="1"/>
  <c r="H92" i="5"/>
  <c r="F89" i="5"/>
  <c r="F90" i="5" s="1"/>
  <c r="F91" i="5" s="1"/>
  <c r="B89" i="5"/>
  <c r="F88" i="5"/>
  <c r="E88" i="5"/>
  <c r="E89" i="5" s="1"/>
  <c r="D88" i="5"/>
  <c r="D89" i="5" s="1"/>
  <c r="D90" i="5" s="1"/>
  <c r="D91" i="5" s="1"/>
  <c r="C88" i="5"/>
  <c r="C89" i="5" s="1"/>
  <c r="B88" i="5"/>
  <c r="E76" i="5"/>
  <c r="F75" i="5"/>
  <c r="F76" i="5" s="1"/>
  <c r="F77" i="5" s="1"/>
  <c r="F78" i="5" s="1"/>
  <c r="E75" i="5"/>
  <c r="D75" i="5"/>
  <c r="D76" i="5" s="1"/>
  <c r="C75" i="5"/>
  <c r="C76" i="5" s="1"/>
  <c r="B75" i="5"/>
  <c r="H79" i="5" s="1"/>
  <c r="H66" i="5"/>
  <c r="B63" i="5"/>
  <c r="D62" i="5"/>
  <c r="D63" i="5" s="1"/>
  <c r="C62" i="5"/>
  <c r="C63" i="5" s="1"/>
  <c r="B62" i="5"/>
  <c r="D49" i="5"/>
  <c r="D50" i="5" s="1"/>
  <c r="D51" i="5" s="1"/>
  <c r="D52" i="5" s="1"/>
  <c r="C49" i="5"/>
  <c r="C50" i="5" s="1"/>
  <c r="B49" i="5"/>
  <c r="D37" i="5"/>
  <c r="D38" i="5" s="1"/>
  <c r="D39" i="5" s="1"/>
  <c r="D36" i="5"/>
  <c r="C36" i="5"/>
  <c r="C37" i="5" s="1"/>
  <c r="B36" i="5"/>
  <c r="H40" i="5" s="1"/>
  <c r="D24" i="5"/>
  <c r="D23" i="5"/>
  <c r="C23" i="5"/>
  <c r="C24" i="5" s="1"/>
  <c r="B23" i="5"/>
  <c r="H27" i="5" s="1"/>
  <c r="R15" i="5"/>
  <c r="Q15" i="5"/>
  <c r="P15" i="5"/>
  <c r="N15" i="5"/>
  <c r="L15" i="5"/>
  <c r="S15" i="5" s="1"/>
  <c r="R14" i="5"/>
  <c r="Q14" i="5"/>
  <c r="P14" i="5"/>
  <c r="N14" i="5"/>
  <c r="L14" i="5"/>
  <c r="S14" i="5" s="1"/>
  <c r="R13" i="5"/>
  <c r="Q13" i="5"/>
  <c r="P13" i="5"/>
  <c r="N13" i="5"/>
  <c r="L13" i="5"/>
  <c r="S13" i="5" s="1"/>
  <c r="R12" i="5"/>
  <c r="Q12" i="5"/>
  <c r="P12" i="5"/>
  <c r="N12" i="5"/>
  <c r="L12" i="5"/>
  <c r="S12" i="5" s="1"/>
  <c r="R11" i="5"/>
  <c r="Q11" i="5"/>
  <c r="P11" i="5"/>
  <c r="N11" i="5"/>
  <c r="L11" i="5"/>
  <c r="S11" i="5" s="1"/>
  <c r="D11" i="5"/>
  <c r="R10" i="5"/>
  <c r="Q10" i="5"/>
  <c r="P10" i="5"/>
  <c r="N10" i="5"/>
  <c r="L10" i="5"/>
  <c r="S10" i="5" s="1"/>
  <c r="D10" i="5"/>
  <c r="C10" i="5"/>
  <c r="C11" i="5" s="1"/>
  <c r="B10" i="5"/>
  <c r="R9" i="5"/>
  <c r="Q9" i="5"/>
  <c r="N9" i="5"/>
  <c r="L9" i="5"/>
  <c r="S9" i="5" s="1"/>
  <c r="R8" i="5"/>
  <c r="Q8" i="5"/>
  <c r="N8" i="5"/>
  <c r="L8" i="5"/>
  <c r="S8" i="5" s="1"/>
  <c r="R7" i="5"/>
  <c r="Q7" i="5"/>
  <c r="N7" i="5"/>
  <c r="L7" i="5"/>
  <c r="S7" i="5" s="1"/>
  <c r="R6" i="5"/>
  <c r="Q6" i="5"/>
  <c r="N6" i="5"/>
  <c r="L6" i="5"/>
  <c r="S6" i="5" s="1"/>
  <c r="P15" i="3"/>
  <c r="P14" i="3"/>
  <c r="P13" i="3"/>
  <c r="P12" i="3"/>
  <c r="P11" i="3"/>
  <c r="P10" i="3"/>
  <c r="N7" i="3"/>
  <c r="N8" i="3"/>
  <c r="N9" i="3"/>
  <c r="N10" i="3"/>
  <c r="N11" i="3"/>
  <c r="N12" i="3"/>
  <c r="N13" i="3"/>
  <c r="N14" i="3"/>
  <c r="N15" i="3"/>
  <c r="N6" i="3"/>
  <c r="K67" i="3"/>
  <c r="B67" i="3"/>
  <c r="B66" i="3"/>
  <c r="K54" i="3"/>
  <c r="B54" i="3"/>
  <c r="B53" i="3"/>
  <c r="K41" i="3"/>
  <c r="B41" i="3"/>
  <c r="B40" i="3"/>
  <c r="K28" i="3"/>
  <c r="K14" i="3"/>
  <c r="K15" i="3"/>
  <c r="K27" i="3"/>
  <c r="H27" i="3"/>
  <c r="B28" i="3"/>
  <c r="B27" i="3"/>
  <c r="B15" i="3"/>
  <c r="H14" i="3"/>
  <c r="S7" i="3"/>
  <c r="S8" i="3"/>
  <c r="S9" i="3"/>
  <c r="S10" i="3"/>
  <c r="S11" i="3"/>
  <c r="S12" i="3"/>
  <c r="S13" i="3"/>
  <c r="S14" i="3"/>
  <c r="S15" i="3"/>
  <c r="S6" i="3"/>
  <c r="L15" i="3"/>
  <c r="L14" i="3"/>
  <c r="L13" i="3"/>
  <c r="L12" i="3"/>
  <c r="L11" i="3"/>
  <c r="L10" i="3"/>
  <c r="L9" i="3"/>
  <c r="L8" i="3"/>
  <c r="L7" i="3"/>
  <c r="L6" i="3"/>
  <c r="R7" i="3"/>
  <c r="R8" i="3"/>
  <c r="R9" i="3"/>
  <c r="R10" i="3"/>
  <c r="R11" i="3"/>
  <c r="R12" i="3"/>
  <c r="R13" i="3"/>
  <c r="R14" i="3"/>
  <c r="R15" i="3"/>
  <c r="R6" i="3"/>
  <c r="Q6" i="3"/>
  <c r="Q7" i="3"/>
  <c r="Q8" i="3"/>
  <c r="Q9" i="3"/>
  <c r="Q10" i="3"/>
  <c r="Q11" i="3"/>
  <c r="Q12" i="3"/>
  <c r="Q13" i="3"/>
  <c r="Q14" i="3"/>
  <c r="Q15" i="3"/>
  <c r="L6" i="2"/>
  <c r="D11" i="6" l="1"/>
  <c r="B12" i="6" s="1"/>
  <c r="D25" i="5"/>
  <c r="D26" i="5" s="1"/>
  <c r="D13" i="5"/>
  <c r="D64" i="5"/>
  <c r="D65" i="5" s="1"/>
  <c r="D116" i="5"/>
  <c r="D117" i="5" s="1"/>
  <c r="F154" i="5"/>
  <c r="F155" i="5" s="1"/>
  <c r="B166" i="5"/>
  <c r="B167" i="5" s="1"/>
  <c r="B64" i="5"/>
  <c r="B65" i="5" s="1"/>
  <c r="B66" i="5" s="1"/>
  <c r="K66" i="5" s="1"/>
  <c r="D77" i="5"/>
  <c r="D78" i="5" s="1"/>
  <c r="F103" i="5"/>
  <c r="F104" i="5" s="1"/>
  <c r="F166" i="5"/>
  <c r="F167" i="5" s="1"/>
  <c r="D178" i="5"/>
  <c r="D179" i="5" s="1"/>
  <c r="H178" i="5"/>
  <c r="H179" i="5" s="1"/>
  <c r="B90" i="5"/>
  <c r="B91" i="5" s="1"/>
  <c r="B92" i="5" s="1"/>
  <c r="K92" i="5" s="1"/>
  <c r="D142" i="5"/>
  <c r="D143" i="5" s="1"/>
  <c r="D154" i="5"/>
  <c r="D155" i="5" s="1"/>
  <c r="D190" i="5"/>
  <c r="D191" i="5" s="1"/>
  <c r="H190" i="5"/>
  <c r="H191" i="5" s="1"/>
  <c r="H14" i="5"/>
  <c r="B50" i="5"/>
  <c r="B51" i="5" s="1"/>
  <c r="B52" i="5" s="1"/>
  <c r="B53" i="5" s="1"/>
  <c r="K53" i="5" s="1"/>
  <c r="H53" i="5"/>
  <c r="B76" i="5"/>
  <c r="B77" i="5" s="1"/>
  <c r="B78" i="5" s="1"/>
  <c r="B79" i="5" s="1"/>
  <c r="K79" i="5" s="1"/>
  <c r="B128" i="5"/>
  <c r="B129" i="5" s="1"/>
  <c r="B130" i="5" s="1"/>
  <c r="B131" i="5" s="1"/>
  <c r="K131" i="5" s="1"/>
  <c r="B177" i="5"/>
  <c r="B178" i="5" s="1"/>
  <c r="B179" i="5" s="1"/>
  <c r="B180" i="5" s="1"/>
  <c r="K180" i="5" s="1"/>
  <c r="B37" i="5"/>
  <c r="B38" i="5" s="1"/>
  <c r="B115" i="5"/>
  <c r="B116" i="5" s="1"/>
  <c r="B117" i="5" s="1"/>
  <c r="B118" i="5" s="1"/>
  <c r="K118" i="5" s="1"/>
  <c r="B141" i="5"/>
  <c r="B142" i="5" s="1"/>
  <c r="B143" i="5" s="1"/>
  <c r="B144" i="5" s="1"/>
  <c r="K144" i="5" s="1"/>
  <c r="B189" i="5"/>
  <c r="B190" i="5" s="1"/>
  <c r="B191" i="5" s="1"/>
  <c r="B192" i="5" s="1"/>
  <c r="K192" i="5" s="1"/>
  <c r="B24" i="5"/>
  <c r="B25" i="5" s="1"/>
  <c r="B26" i="5" s="1"/>
  <c r="B27" i="5" s="1"/>
  <c r="K27" i="5" s="1"/>
  <c r="B102" i="5"/>
  <c r="B103" i="5" s="1"/>
  <c r="B104" i="5" s="1"/>
  <c r="B105" i="5" s="1"/>
  <c r="K105" i="5" s="1"/>
  <c r="B153" i="5"/>
  <c r="B154" i="5" s="1"/>
  <c r="B155" i="5" s="1"/>
  <c r="B156" i="5" s="1"/>
  <c r="K156" i="5" s="1"/>
  <c r="D65" i="3"/>
  <c r="B65" i="3"/>
  <c r="D52" i="3"/>
  <c r="B52" i="3"/>
  <c r="D64" i="3"/>
  <c r="B64" i="3"/>
  <c r="D51" i="3"/>
  <c r="B51" i="3"/>
  <c r="D38" i="3"/>
  <c r="B38" i="3"/>
  <c r="D63" i="3"/>
  <c r="C63" i="3"/>
  <c r="B63" i="3"/>
  <c r="D50" i="3"/>
  <c r="C50" i="3"/>
  <c r="B50" i="3"/>
  <c r="D37" i="3"/>
  <c r="C37" i="3"/>
  <c r="B37" i="3"/>
  <c r="D24" i="3"/>
  <c r="C24" i="3"/>
  <c r="B24" i="3"/>
  <c r="B25" i="3" s="1"/>
  <c r="B26" i="3" s="1"/>
  <c r="D62" i="3"/>
  <c r="D49" i="3"/>
  <c r="H192" i="3"/>
  <c r="B192" i="3"/>
  <c r="K192" i="3" s="1"/>
  <c r="H180" i="3"/>
  <c r="B180" i="3"/>
  <c r="K180" i="3" s="1"/>
  <c r="H168" i="3"/>
  <c r="B168" i="3"/>
  <c r="K168" i="3" s="1"/>
  <c r="H156" i="3"/>
  <c r="B156" i="3"/>
  <c r="K156" i="3" s="1"/>
  <c r="H144" i="3"/>
  <c r="B144" i="3"/>
  <c r="K144" i="3" s="1"/>
  <c r="H131" i="3"/>
  <c r="B131" i="3"/>
  <c r="K131" i="3" s="1"/>
  <c r="H118" i="3"/>
  <c r="B118" i="3"/>
  <c r="K118" i="3" s="1"/>
  <c r="H105" i="3"/>
  <c r="B105" i="3"/>
  <c r="K105" i="3" s="1"/>
  <c r="H92" i="3"/>
  <c r="B92" i="3"/>
  <c r="K92" i="3" s="1"/>
  <c r="H79" i="3"/>
  <c r="B79" i="3"/>
  <c r="H66" i="3"/>
  <c r="H53" i="3"/>
  <c r="H40" i="3"/>
  <c r="D39" i="3"/>
  <c r="D25" i="3"/>
  <c r="D26" i="3" s="1"/>
  <c r="B14" i="3"/>
  <c r="D13" i="3"/>
  <c r="D12" i="3"/>
  <c r="D10" i="3"/>
  <c r="D11" i="3" s="1"/>
  <c r="B13" i="3"/>
  <c r="C10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6" i="2"/>
  <c r="I6" i="2"/>
  <c r="H6" i="2"/>
  <c r="J7" i="1"/>
  <c r="J8" i="1"/>
  <c r="J9" i="1"/>
  <c r="J10" i="1"/>
  <c r="J11" i="1"/>
  <c r="J17" i="1"/>
  <c r="J18" i="1"/>
  <c r="J19" i="1"/>
  <c r="J20" i="1"/>
  <c r="J6" i="1"/>
  <c r="I7" i="1"/>
  <c r="I8" i="1"/>
  <c r="I9" i="1"/>
  <c r="I10" i="1"/>
  <c r="I11" i="1"/>
  <c r="I12" i="1"/>
  <c r="J12" i="1" s="1"/>
  <c r="I17" i="1"/>
  <c r="I18" i="1"/>
  <c r="I19" i="1"/>
  <c r="I20" i="1"/>
  <c r="I6" i="1"/>
  <c r="H7" i="1"/>
  <c r="H8" i="1"/>
  <c r="H9" i="1"/>
  <c r="H10" i="1"/>
  <c r="H11" i="1"/>
  <c r="H12" i="1"/>
  <c r="H17" i="1"/>
  <c r="H18" i="1"/>
  <c r="H19" i="1"/>
  <c r="H20" i="1"/>
  <c r="H6" i="1"/>
  <c r="K6" i="1"/>
  <c r="H188" i="3"/>
  <c r="H189" i="3" s="1"/>
  <c r="G188" i="3"/>
  <c r="G189" i="3" s="1"/>
  <c r="F188" i="3"/>
  <c r="F189" i="3" s="1"/>
  <c r="E188" i="3"/>
  <c r="E189" i="3" s="1"/>
  <c r="D188" i="3"/>
  <c r="D189" i="3" s="1"/>
  <c r="D190" i="3" s="1"/>
  <c r="C188" i="3"/>
  <c r="C189" i="3" s="1"/>
  <c r="B188" i="3"/>
  <c r="B189" i="3" s="1"/>
  <c r="H176" i="3"/>
  <c r="H177" i="3" s="1"/>
  <c r="G176" i="3"/>
  <c r="G177" i="3" s="1"/>
  <c r="F176" i="3"/>
  <c r="F177" i="3" s="1"/>
  <c r="E176" i="3"/>
  <c r="E177" i="3" s="1"/>
  <c r="D176" i="3"/>
  <c r="D177" i="3" s="1"/>
  <c r="C176" i="3"/>
  <c r="C177" i="3" s="1"/>
  <c r="B176" i="3"/>
  <c r="B177" i="3" s="1"/>
  <c r="H164" i="3"/>
  <c r="H165" i="3" s="1"/>
  <c r="G164" i="3"/>
  <c r="G165" i="3" s="1"/>
  <c r="F164" i="3"/>
  <c r="F165" i="3" s="1"/>
  <c r="E164" i="3"/>
  <c r="E165" i="3" s="1"/>
  <c r="D164" i="3"/>
  <c r="D165" i="3" s="1"/>
  <c r="C164" i="3"/>
  <c r="C165" i="3" s="1"/>
  <c r="B164" i="3"/>
  <c r="B165" i="3" s="1"/>
  <c r="H152" i="3"/>
  <c r="H153" i="3" s="1"/>
  <c r="G152" i="3"/>
  <c r="G153" i="3" s="1"/>
  <c r="F152" i="3"/>
  <c r="F153" i="3" s="1"/>
  <c r="E152" i="3"/>
  <c r="E153" i="3" s="1"/>
  <c r="D152" i="3"/>
  <c r="D153" i="3" s="1"/>
  <c r="C152" i="3"/>
  <c r="C153" i="3" s="1"/>
  <c r="B152" i="3"/>
  <c r="B153" i="3" s="1"/>
  <c r="H140" i="3"/>
  <c r="H141" i="3" s="1"/>
  <c r="G140" i="3"/>
  <c r="G141" i="3" s="1"/>
  <c r="F140" i="3"/>
  <c r="F141" i="3" s="1"/>
  <c r="F142" i="3" s="1"/>
  <c r="E140" i="3"/>
  <c r="E141" i="3" s="1"/>
  <c r="D140" i="3"/>
  <c r="D141" i="3" s="1"/>
  <c r="C140" i="3"/>
  <c r="C141" i="3" s="1"/>
  <c r="B140" i="3"/>
  <c r="B141" i="3" s="1"/>
  <c r="F127" i="3"/>
  <c r="F128" i="3" s="1"/>
  <c r="E127" i="3"/>
  <c r="E128" i="3" s="1"/>
  <c r="D127" i="3"/>
  <c r="D128" i="3" s="1"/>
  <c r="C127" i="3"/>
  <c r="C128" i="3" s="1"/>
  <c r="B127" i="3"/>
  <c r="B128" i="3" s="1"/>
  <c r="F114" i="3"/>
  <c r="F115" i="3" s="1"/>
  <c r="F116" i="3" s="1"/>
  <c r="F117" i="3" s="1"/>
  <c r="E114" i="3"/>
  <c r="E115" i="3" s="1"/>
  <c r="D114" i="3"/>
  <c r="D115" i="3" s="1"/>
  <c r="C114" i="3"/>
  <c r="C115" i="3" s="1"/>
  <c r="B114" i="3"/>
  <c r="B115" i="3" s="1"/>
  <c r="F101" i="3"/>
  <c r="F102" i="3" s="1"/>
  <c r="E101" i="3"/>
  <c r="E102" i="3" s="1"/>
  <c r="D101" i="3"/>
  <c r="D102" i="3" s="1"/>
  <c r="C101" i="3"/>
  <c r="C102" i="3" s="1"/>
  <c r="B101" i="3"/>
  <c r="B102" i="3" s="1"/>
  <c r="F88" i="3"/>
  <c r="F89" i="3" s="1"/>
  <c r="E88" i="3"/>
  <c r="E89" i="3" s="1"/>
  <c r="D88" i="3"/>
  <c r="D89" i="3" s="1"/>
  <c r="C88" i="3"/>
  <c r="C89" i="3" s="1"/>
  <c r="B88" i="3"/>
  <c r="B89" i="3" s="1"/>
  <c r="C14" i="6" l="1"/>
  <c r="K14" i="5"/>
  <c r="B39" i="5"/>
  <c r="B40" i="5" s="1"/>
  <c r="K40" i="5" s="1"/>
  <c r="B168" i="5"/>
  <c r="K168" i="5" s="1"/>
  <c r="K79" i="3"/>
  <c r="H178" i="3"/>
  <c r="H179" i="3" s="1"/>
  <c r="H142" i="3"/>
  <c r="H143" i="3" s="1"/>
  <c r="F90" i="3"/>
  <c r="F91" i="3" s="1"/>
  <c r="D191" i="3"/>
  <c r="H190" i="3"/>
  <c r="H191" i="3" s="1"/>
  <c r="F190" i="3"/>
  <c r="F191" i="3" s="1"/>
  <c r="B190" i="3"/>
  <c r="B191" i="3" s="1"/>
  <c r="D178" i="3"/>
  <c r="B178" i="3"/>
  <c r="B179" i="3" s="1"/>
  <c r="F178" i="3"/>
  <c r="F179" i="3" s="1"/>
  <c r="H166" i="3"/>
  <c r="H167" i="3" s="1"/>
  <c r="D166" i="3"/>
  <c r="B166" i="3"/>
  <c r="B167" i="3" s="1"/>
  <c r="F166" i="3"/>
  <c r="F167" i="3" s="1"/>
  <c r="H154" i="3"/>
  <c r="H155" i="3" s="1"/>
  <c r="D154" i="3"/>
  <c r="B154" i="3"/>
  <c r="B155" i="3" s="1"/>
  <c r="F154" i="3"/>
  <c r="F155" i="3" s="1"/>
  <c r="F143" i="3"/>
  <c r="B142" i="3"/>
  <c r="B143" i="3" s="1"/>
  <c r="D142" i="3"/>
  <c r="F129" i="3"/>
  <c r="F130" i="3" s="1"/>
  <c r="B129" i="3"/>
  <c r="B130" i="3" s="1"/>
  <c r="D129" i="3"/>
  <c r="D103" i="3"/>
  <c r="D104" i="3" s="1"/>
  <c r="B103" i="3"/>
  <c r="B104" i="3" s="1"/>
  <c r="B116" i="3"/>
  <c r="B117" i="3" s="1"/>
  <c r="D116" i="3"/>
  <c r="F103" i="3"/>
  <c r="F104" i="3" s="1"/>
  <c r="B90" i="3"/>
  <c r="B91" i="3" s="1"/>
  <c r="D90" i="3"/>
  <c r="F75" i="3"/>
  <c r="F76" i="3" s="1"/>
  <c r="E75" i="3"/>
  <c r="E76" i="3" s="1"/>
  <c r="D75" i="3"/>
  <c r="D76" i="3" s="1"/>
  <c r="C75" i="3"/>
  <c r="C76" i="3" s="1"/>
  <c r="B75" i="3"/>
  <c r="C62" i="3"/>
  <c r="B62" i="3"/>
  <c r="C49" i="3"/>
  <c r="B49" i="3"/>
  <c r="D36" i="3"/>
  <c r="C36" i="3"/>
  <c r="B36" i="3"/>
  <c r="D23" i="3"/>
  <c r="C23" i="3"/>
  <c r="B23" i="3"/>
  <c r="E10" i="1"/>
  <c r="D179" i="3" l="1"/>
  <c r="D167" i="3"/>
  <c r="D155" i="3"/>
  <c r="D143" i="3"/>
  <c r="D130" i="3"/>
  <c r="D117" i="3"/>
  <c r="F77" i="3"/>
  <c r="F78" i="3" s="1"/>
  <c r="D77" i="3"/>
  <c r="D91" i="3"/>
  <c r="B76" i="3"/>
  <c r="B77" i="3" s="1"/>
  <c r="B78" i="3" s="1"/>
  <c r="K53" i="3"/>
  <c r="B39" i="3"/>
  <c r="K40" i="3" s="1"/>
  <c r="D78" i="3" l="1"/>
  <c r="K66" i="3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F7" i="1"/>
  <c r="F8" i="1"/>
  <c r="F10" i="1"/>
  <c r="F11" i="1"/>
  <c r="F12" i="1"/>
  <c r="F6" i="1"/>
  <c r="B10" i="3" l="1"/>
  <c r="B11" i="3" l="1"/>
  <c r="C11" i="3"/>
  <c r="B12" i="3" l="1"/>
  <c r="L20" i="1" l="1"/>
  <c r="F20" i="1"/>
  <c r="E20" i="1"/>
  <c r="M20" i="1" s="1"/>
  <c r="F18" i="1"/>
  <c r="F19" i="1"/>
  <c r="F17" i="1"/>
  <c r="L19" i="1"/>
  <c r="E19" i="1"/>
  <c r="K19" i="1" s="1"/>
  <c r="E18" i="1"/>
  <c r="K18" i="1" s="1"/>
  <c r="L18" i="1"/>
  <c r="L17" i="1"/>
  <c r="E17" i="1"/>
  <c r="K17" i="1" s="1"/>
  <c r="L11" i="1"/>
  <c r="H3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34" i="2"/>
  <c r="E24" i="2"/>
  <c r="G24" i="2" s="1"/>
  <c r="E25" i="2"/>
  <c r="G25" i="2" s="1"/>
  <c r="E26" i="2"/>
  <c r="M26" i="2" s="1"/>
  <c r="G26" i="2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9" i="2"/>
  <c r="G9" i="2" s="1"/>
  <c r="E10" i="2"/>
  <c r="G10" i="2" s="1"/>
  <c r="E11" i="2"/>
  <c r="G11" i="2"/>
  <c r="E12" i="2"/>
  <c r="G12" i="2"/>
  <c r="E13" i="2"/>
  <c r="M13" i="2" s="1"/>
  <c r="E14" i="2"/>
  <c r="G14" i="2" s="1"/>
  <c r="E15" i="2"/>
  <c r="G15" i="2" s="1"/>
  <c r="E16" i="2"/>
  <c r="G16" i="2" s="1"/>
  <c r="E17" i="2"/>
  <c r="M17" i="2" s="1"/>
  <c r="G17" i="2"/>
  <c r="E18" i="2"/>
  <c r="G18" i="2" s="1"/>
  <c r="E19" i="2"/>
  <c r="G19" i="2" s="1"/>
  <c r="E20" i="2"/>
  <c r="M20" i="2" s="1"/>
  <c r="G20" i="2"/>
  <c r="E21" i="2"/>
  <c r="G21" i="2" s="1"/>
  <c r="E22" i="2"/>
  <c r="G22" i="2" s="1"/>
  <c r="E23" i="2"/>
  <c r="G23" i="2" s="1"/>
  <c r="E8" i="2"/>
  <c r="G8" i="2" s="1"/>
  <c r="E7" i="2"/>
  <c r="G7" i="2" s="1"/>
  <c r="E6" i="2"/>
  <c r="G6" i="2" s="1"/>
  <c r="N12" i="1"/>
  <c r="L12" i="1"/>
  <c r="E12" i="1"/>
  <c r="K12" i="1" s="1"/>
  <c r="K11" i="1"/>
  <c r="E11" i="1"/>
  <c r="L6" i="1"/>
  <c r="L7" i="1"/>
  <c r="L8" i="1"/>
  <c r="L9" i="1"/>
  <c r="L10" i="1"/>
  <c r="M10" i="1" s="1"/>
  <c r="K9" i="1"/>
  <c r="E8" i="1"/>
  <c r="K8" i="1" s="1"/>
  <c r="E7" i="1"/>
  <c r="K7" i="1" s="1"/>
  <c r="E6" i="1"/>
  <c r="M33" i="2" l="1"/>
  <c r="M29" i="2"/>
  <c r="M25" i="2"/>
  <c r="M21" i="2"/>
  <c r="M12" i="1"/>
  <c r="M32" i="2"/>
  <c r="M28" i="2"/>
  <c r="M24" i="2"/>
  <c r="M16" i="2"/>
  <c r="G34" i="2"/>
  <c r="M34" i="2"/>
  <c r="M31" i="2"/>
  <c r="M27" i="2"/>
  <c r="M23" i="2"/>
  <c r="M19" i="2"/>
  <c r="M15" i="2"/>
  <c r="K20" i="1"/>
  <c r="M30" i="2"/>
  <c r="M22" i="2"/>
  <c r="M18" i="2"/>
  <c r="M14" i="2"/>
  <c r="M19" i="1"/>
  <c r="G13" i="2"/>
  <c r="O20" i="1"/>
</calcChain>
</file>

<file path=xl/sharedStrings.xml><?xml version="1.0" encoding="utf-8"?>
<sst xmlns="http://schemas.openxmlformats.org/spreadsheetml/2006/main" count="854" uniqueCount="84">
  <si>
    <t>Rigidez</t>
  </si>
  <si>
    <t>b</t>
  </si>
  <si>
    <t>d</t>
  </si>
  <si>
    <t>h</t>
  </si>
  <si>
    <t>Cm</t>
  </si>
  <si>
    <t>I</t>
  </si>
  <si>
    <t>Cm4</t>
  </si>
  <si>
    <t>E</t>
  </si>
  <si>
    <t>A</t>
  </si>
  <si>
    <t>B</t>
  </si>
  <si>
    <t>t/cm</t>
  </si>
  <si>
    <t>t/cm2</t>
  </si>
  <si>
    <t>c</t>
  </si>
  <si>
    <t>K    H° Acero Madera</t>
  </si>
  <si>
    <t>K  Mampostería</t>
  </si>
  <si>
    <t>D</t>
  </si>
  <si>
    <t>λ = b/h</t>
  </si>
  <si>
    <t>F</t>
  </si>
  <si>
    <t>G</t>
  </si>
  <si>
    <t>Revisar</t>
  </si>
  <si>
    <t>λ = b/d&gt;4-5 c/corte</t>
  </si>
  <si>
    <t>λ = d/b&lt;4-5 s/corte</t>
  </si>
  <si>
    <t>K para ≥ 4 Tabique</t>
  </si>
  <si>
    <t>K Colum H°-A-Mad</t>
  </si>
  <si>
    <t>d/b</t>
  </si>
  <si>
    <t>Colum Restringidaas</t>
  </si>
  <si>
    <t>K para &lt; 4 Tabique</t>
  </si>
  <si>
    <t>g</t>
  </si>
  <si>
    <t>RIGIDEZ DE PORTICOS</t>
  </si>
  <si>
    <t>E =</t>
  </si>
  <si>
    <t>kg/cm²</t>
  </si>
  <si>
    <t>HºAº</t>
  </si>
  <si>
    <t>COLUMNA 1</t>
  </si>
  <si>
    <t>VANO 1</t>
  </si>
  <si>
    <t>COLUMNA 2</t>
  </si>
  <si>
    <t>VANO 2</t>
  </si>
  <si>
    <t>COLUMNA 3</t>
  </si>
  <si>
    <t>VANO 3</t>
  </si>
  <si>
    <t>COLUMNA 4</t>
  </si>
  <si>
    <t>VANO 4</t>
  </si>
  <si>
    <t>COLUMNA 5</t>
  </si>
  <si>
    <t>H o L</t>
  </si>
  <si>
    <t>h sección</t>
  </si>
  <si>
    <t>b sección</t>
  </si>
  <si>
    <t>&gt;4 Tabique</t>
  </si>
  <si>
    <t>λ = L/h</t>
  </si>
  <si>
    <t>E1</t>
  </si>
  <si>
    <t>E2</t>
  </si>
  <si>
    <t>N° de Colum</t>
  </si>
  <si>
    <t>β=Kc/Kv</t>
  </si>
  <si>
    <t>J</t>
  </si>
  <si>
    <t>Kc=Jc/H  -  Kv=Jv/L</t>
  </si>
  <si>
    <t>δ=0,5*B+1/2B+1</t>
  </si>
  <si>
    <t>,</t>
  </si>
  <si>
    <t xml:space="preserve"> </t>
  </si>
  <si>
    <t>K con lambda</t>
  </si>
  <si>
    <t>K sin lambda</t>
  </si>
  <si>
    <t xml:space="preserve">relacion </t>
  </si>
  <si>
    <t>K sin lambdda</t>
  </si>
  <si>
    <t>relacion+</t>
  </si>
  <si>
    <t>alfa</t>
  </si>
  <si>
    <t>kg/cm</t>
  </si>
  <si>
    <t>2EIc/h3 (suma rigidez columnas)=</t>
  </si>
  <si>
    <t>factor de rigidez=</t>
  </si>
  <si>
    <t>3EIc/h3 (suma rigidez columnas)=</t>
  </si>
  <si>
    <t>(factor entre 3 y 12)</t>
  </si>
  <si>
    <t>BETA</t>
  </si>
  <si>
    <t>COEF</t>
  </si>
  <si>
    <t>Ic</t>
  </si>
  <si>
    <t>Rigidez Simp</t>
  </si>
  <si>
    <t>Rigidez real</t>
  </si>
  <si>
    <t>Eh=</t>
  </si>
  <si>
    <t>kg/cm2</t>
  </si>
  <si>
    <t>alfa ==&gt; 0.25</t>
  </si>
  <si>
    <t>si Kv==&gt;0</t>
  </si>
  <si>
    <t>alfa ==&gt; 1</t>
  </si>
  <si>
    <t>si Kv==&gt;inf</t>
  </si>
  <si>
    <t>Beta==&gt;0</t>
  </si>
  <si>
    <t>Beta==&gt;inf</t>
  </si>
  <si>
    <t xml:space="preserve"> Entonces 12EI/h3 x alfa= 3 EI/h3</t>
  </si>
  <si>
    <t xml:space="preserve"> Entonces 12EI/h3 x alfa= 12 EI/h3</t>
  </si>
  <si>
    <t>nEIc/h3 (suma rigidez columnas)=</t>
  </si>
  <si>
    <t xml:space="preserve">beta 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</si>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</sst>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00"/>
    <numFmt numFmtId="167" formatCode="0.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5" xfId="0" applyFont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3" fillId="0" borderId="16" xfId="0" applyFont="1" applyBorder="1"/>
    <xf numFmtId="165" fontId="0" fillId="0" borderId="3" xfId="1" applyNumberFormat="1" applyFont="1" applyBorder="1"/>
    <xf numFmtId="165" fontId="0" fillId="0" borderId="1" xfId="1" applyNumberFormat="1" applyFont="1" applyBorder="1"/>
    <xf numFmtId="2" fontId="0" fillId="0" borderId="3" xfId="0" applyNumberFormat="1" applyBorder="1"/>
    <xf numFmtId="166" fontId="0" fillId="0" borderId="1" xfId="0" applyNumberFormat="1" applyBorder="1"/>
    <xf numFmtId="0" fontId="0" fillId="0" borderId="25" xfId="0" applyBorder="1"/>
    <xf numFmtId="0" fontId="0" fillId="2" borderId="0" xfId="0" applyFill="1" applyBorder="1"/>
    <xf numFmtId="0" fontId="0" fillId="0" borderId="0" xfId="0" applyBorder="1"/>
    <xf numFmtId="0" fontId="0" fillId="0" borderId="2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/>
    <xf numFmtId="1" fontId="0" fillId="0" borderId="1" xfId="0" applyNumberFormat="1" applyBorder="1"/>
    <xf numFmtId="1" fontId="0" fillId="0" borderId="13" xfId="0" applyNumberFormat="1" applyBorder="1"/>
    <xf numFmtId="2" fontId="0" fillId="0" borderId="28" xfId="0" applyNumberFormat="1" applyBorder="1"/>
    <xf numFmtId="2" fontId="0" fillId="0" borderId="0" xfId="0" applyNumberFormat="1" applyBorder="1"/>
    <xf numFmtId="2" fontId="0" fillId="0" borderId="26" xfId="0" applyNumberFormat="1" applyBorder="1"/>
    <xf numFmtId="0" fontId="0" fillId="0" borderId="27" xfId="0" applyBorder="1"/>
    <xf numFmtId="2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0" fillId="0" borderId="2" xfId="0" applyNumberFormat="1" applyBorder="1"/>
    <xf numFmtId="0" fontId="3" fillId="0" borderId="12" xfId="0" applyFont="1" applyBorder="1"/>
    <xf numFmtId="1" fontId="0" fillId="0" borderId="15" xfId="0" applyNumberFormat="1" applyBorder="1"/>
    <xf numFmtId="0" fontId="3" fillId="0" borderId="25" xfId="0" applyFont="1" applyBorder="1"/>
    <xf numFmtId="1" fontId="0" fillId="0" borderId="0" xfId="0" applyNumberFormat="1" applyBorder="1"/>
    <xf numFmtId="1" fontId="0" fillId="0" borderId="26" xfId="0" applyNumberFormat="1" applyBorder="1"/>
    <xf numFmtId="0" fontId="0" fillId="2" borderId="23" xfId="0" applyFill="1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9" xfId="0" applyNumberFormat="1" applyBorder="1"/>
    <xf numFmtId="2" fontId="0" fillId="0" borderId="20" xfId="0" applyNumberFormat="1" applyBorder="1"/>
    <xf numFmtId="0" fontId="3" fillId="0" borderId="27" xfId="0" applyFont="1" applyBorder="1"/>
    <xf numFmtId="1" fontId="0" fillId="0" borderId="28" xfId="0" applyNumberFormat="1" applyBorder="1"/>
    <xf numFmtId="1" fontId="0" fillId="0" borderId="29" xfId="0" applyNumberFormat="1" applyBorder="1"/>
    <xf numFmtId="164" fontId="0" fillId="3" borderId="3" xfId="1" applyNumberFormat="1" applyFont="1" applyFill="1" applyBorder="1"/>
    <xf numFmtId="13" fontId="0" fillId="3" borderId="3" xfId="1" applyNumberFormat="1" applyFont="1" applyFill="1" applyBorder="1"/>
    <xf numFmtId="0" fontId="0" fillId="3" borderId="3" xfId="0" applyFill="1" applyBorder="1"/>
    <xf numFmtId="0" fontId="0" fillId="4" borderId="0" xfId="0" applyFill="1"/>
    <xf numFmtId="0" fontId="0" fillId="4" borderId="5" xfId="0" applyFill="1" applyBorder="1"/>
    <xf numFmtId="0" fontId="0" fillId="4" borderId="8" xfId="0" applyFill="1" applyBorder="1"/>
    <xf numFmtId="164" fontId="0" fillId="4" borderId="3" xfId="1" applyNumberFormat="1" applyFont="1" applyFill="1" applyBorder="1"/>
    <xf numFmtId="165" fontId="0" fillId="4" borderId="1" xfId="1" applyNumberFormat="1" applyFont="1" applyFill="1" applyBorder="1"/>
    <xf numFmtId="0" fontId="0" fillId="4" borderId="1" xfId="0" applyFill="1" applyBorder="1"/>
    <xf numFmtId="0" fontId="3" fillId="4" borderId="5" xfId="0" applyFont="1" applyFill="1" applyBorder="1"/>
    <xf numFmtId="0" fontId="3" fillId="4" borderId="16" xfId="0" applyFont="1" applyFill="1" applyBorder="1"/>
    <xf numFmtId="2" fontId="0" fillId="4" borderId="3" xfId="0" applyNumberFormat="1" applyFill="1" applyBorder="1"/>
    <xf numFmtId="0" fontId="0" fillId="4" borderId="25" xfId="0" applyFill="1" applyBorder="1"/>
    <xf numFmtId="2" fontId="0" fillId="4" borderId="2" xfId="0" applyNumberFormat="1" applyFill="1" applyBorder="1"/>
    <xf numFmtId="2" fontId="0" fillId="4" borderId="0" xfId="0" applyNumberFormat="1" applyFill="1" applyBorder="1"/>
    <xf numFmtId="2" fontId="0" fillId="0" borderId="0" xfId="0" applyNumberFormat="1"/>
    <xf numFmtId="2" fontId="0" fillId="0" borderId="5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0" fontId="4" fillId="0" borderId="0" xfId="0" applyFont="1" applyFill="1" applyBorder="1" applyAlignment="1">
      <alignment horizontal="center"/>
    </xf>
    <xf numFmtId="168" fontId="0" fillId="0" borderId="0" xfId="0" applyNumberFormat="1"/>
    <xf numFmtId="1" fontId="0" fillId="0" borderId="0" xfId="0" applyNumberFormat="1"/>
    <xf numFmtId="0" fontId="0" fillId="0" borderId="25" xfId="0" applyFill="1" applyBorder="1"/>
    <xf numFmtId="0" fontId="0" fillId="5" borderId="1" xfId="0" applyFill="1" applyBorder="1"/>
    <xf numFmtId="0" fontId="5" fillId="5" borderId="1" xfId="0" applyFont="1" applyFill="1" applyBorder="1"/>
    <xf numFmtId="167" fontId="5" fillId="5" borderId="2" xfId="0" applyNumberFormat="1" applyFont="1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'Ejercio 3'!$M$6:$M$15</c:f>
              <c:numCache>
                <c:formatCode>General</c:formatCode>
                <c:ptCount val="10"/>
                <c:pt idx="0">
                  <c:v>0.22</c:v>
                </c:pt>
                <c:pt idx="1">
                  <c:v>1.19</c:v>
                </c:pt>
                <c:pt idx="2">
                  <c:v>2.5299999999999998</c:v>
                </c:pt>
                <c:pt idx="3">
                  <c:v>0.03</c:v>
                </c:pt>
                <c:pt idx="4">
                  <c:v>0.11</c:v>
                </c:pt>
                <c:pt idx="5">
                  <c:v>0.6</c:v>
                </c:pt>
                <c:pt idx="6">
                  <c:v>1.27</c:v>
                </c:pt>
                <c:pt idx="7">
                  <c:v>0.6</c:v>
                </c:pt>
                <c:pt idx="8">
                  <c:v>0.02</c:v>
                </c:pt>
                <c:pt idx="9">
                  <c:v>0.28000000000000003</c:v>
                </c:pt>
              </c:numCache>
            </c:numRef>
          </c:xVal>
          <c:yVal>
            <c:numRef>
              <c:f>'Ejercio 3'!$P$6:$P$15</c:f>
              <c:numCache>
                <c:formatCode>General</c:formatCode>
                <c:ptCount val="10"/>
                <c:pt idx="0">
                  <c:v>10.84</c:v>
                </c:pt>
                <c:pt idx="1">
                  <c:v>8.01</c:v>
                </c:pt>
                <c:pt idx="2">
                  <c:v>6.35</c:v>
                </c:pt>
                <c:pt idx="3">
                  <c:v>11.8</c:v>
                </c:pt>
                <c:pt idx="4">
                  <c:v>10.61</c:v>
                </c:pt>
                <c:pt idx="5">
                  <c:v>7.62</c:v>
                </c:pt>
                <c:pt idx="6">
                  <c:v>6.02</c:v>
                </c:pt>
                <c:pt idx="7">
                  <c:v>8.1300000000000008</c:v>
                </c:pt>
                <c:pt idx="8">
                  <c:v>11.75</c:v>
                </c:pt>
                <c:pt idx="9">
                  <c:v>9.61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94848"/>
        <c:axId val="211308928"/>
      </c:scatterChart>
      <c:valAx>
        <c:axId val="2112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08928"/>
        <c:crosses val="autoZero"/>
        <c:crossBetween val="midCat"/>
      </c:valAx>
      <c:valAx>
        <c:axId val="21130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294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348464566929134"/>
                  <c:y val="3.193277923592884E-2"/>
                </c:manualLayout>
              </c:layout>
              <c:numFmt formatCode="General" sourceLinked="0"/>
            </c:trendlineLbl>
          </c:trendline>
          <c:xVal>
            <c:numRef>
              <c:f>'PLANILLA PORTICO RIGIDEZ'!$I$14:$I$18</c:f>
              <c:numCache>
                <c:formatCode>General</c:formatCode>
                <c:ptCount val="5"/>
                <c:pt idx="0">
                  <c:v>0.5</c:v>
                </c:pt>
                <c:pt idx="1">
                  <c:v>0.79</c:v>
                </c:pt>
                <c:pt idx="2">
                  <c:v>0.28999999999999998</c:v>
                </c:pt>
                <c:pt idx="3">
                  <c:v>0.27</c:v>
                </c:pt>
                <c:pt idx="4">
                  <c:v>0.87</c:v>
                </c:pt>
              </c:numCache>
            </c:numRef>
          </c:xVal>
          <c:yVal>
            <c:numRef>
              <c:f>'PLANILLA PORTICO RIGIDEZ'!$J$14:$J$18</c:f>
              <c:numCache>
                <c:formatCode>General</c:formatCode>
                <c:ptCount val="5"/>
                <c:pt idx="0">
                  <c:v>6</c:v>
                </c:pt>
                <c:pt idx="1">
                  <c:v>9.4</c:v>
                </c:pt>
                <c:pt idx="2">
                  <c:v>3.5</c:v>
                </c:pt>
                <c:pt idx="3">
                  <c:v>3.3</c:v>
                </c:pt>
                <c:pt idx="4">
                  <c:v>10.4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03520"/>
        <c:axId val="211405056"/>
      </c:scatterChart>
      <c:valAx>
        <c:axId val="2114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05056"/>
        <c:crosses val="autoZero"/>
        <c:crossBetween val="midCat"/>
      </c:valAx>
      <c:valAx>
        <c:axId val="21140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403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445435</xdr:colOff>
      <xdr:row>18</xdr:row>
      <xdr:rowOff>8125</xdr:rowOff>
    </xdr:from>
    <xdr:to>
      <xdr:col>19</xdr:col>
      <xdr:colOff>437031</xdr:colOff>
      <xdr:row>33</xdr:row>
      <xdr:rowOff>47906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500061</xdr:colOff>
      <xdr:row>19</xdr:row>
      <xdr:rowOff>45242</xdr:rowOff>
    </xdr:from>
    <xdr:to>
      <xdr:col>11</xdr:col>
      <xdr:colOff>500061</xdr:colOff>
      <xdr:row>33</xdr:row>
      <xdr:rowOff>121442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zoomScale="112" zoomScaleNormal="112" workbookViewId="0">
      <pane ySplit="5" topLeftCell="A6" activePane="bottomLeft" state="frozen"/>
      <selection activeCell="C1" sqref="C1"/>
      <selection pane="bottomLeft" activeCell="G14" sqref="G14"/>
    </sheetView>
  </sheetViews>
  <sheetFormatPr baseColWidth="10" defaultRowHeight="15" x14ac:dyDescent="0.25"/>
  <cols>
    <col min="1" max="4" width="7.7109375" customWidth="1"/>
    <col min="5" max="5" width="10.42578125" customWidth="1"/>
    <col min="6" max="6" width="12.5703125" customWidth="1"/>
    <col min="8" max="10" width="15.28515625" style="58" customWidth="1"/>
    <col min="11" max="13" width="18.140625" customWidth="1"/>
    <col min="14" max="14" width="20.28515625" customWidth="1"/>
    <col min="15" max="15" width="18.85546875" customWidth="1"/>
    <col min="16" max="16" width="26.85546875" customWidth="1"/>
  </cols>
  <sheetData>
    <row r="2" spans="1:16" x14ac:dyDescent="0.25">
      <c r="A2" s="1" t="s">
        <v>0</v>
      </c>
    </row>
    <row r="3" spans="1:16" ht="15.75" thickBot="1" x14ac:dyDescent="0.3">
      <c r="O3" t="s">
        <v>25</v>
      </c>
    </row>
    <row r="4" spans="1:16" x14ac:dyDescent="0.25">
      <c r="A4" s="4"/>
      <c r="B4" s="5" t="s">
        <v>1</v>
      </c>
      <c r="C4" s="5" t="s">
        <v>2</v>
      </c>
      <c r="D4" s="5" t="s">
        <v>3</v>
      </c>
      <c r="E4" s="5" t="s">
        <v>5</v>
      </c>
      <c r="F4" s="5" t="s">
        <v>24</v>
      </c>
      <c r="G4" s="5" t="s">
        <v>7</v>
      </c>
      <c r="H4" s="59" t="s">
        <v>55</v>
      </c>
      <c r="I4" s="59" t="s">
        <v>56</v>
      </c>
      <c r="J4" s="59" t="s">
        <v>57</v>
      </c>
      <c r="K4" s="5" t="s">
        <v>23</v>
      </c>
      <c r="L4" s="14" t="s">
        <v>16</v>
      </c>
      <c r="M4" s="14" t="s">
        <v>22</v>
      </c>
      <c r="N4" s="5" t="s">
        <v>14</v>
      </c>
      <c r="O4" s="5" t="s">
        <v>26</v>
      </c>
      <c r="P4" s="6"/>
    </row>
    <row r="5" spans="1:16" ht="15.75" thickBot="1" x14ac:dyDescent="0.3">
      <c r="A5" s="7"/>
      <c r="B5" s="8" t="s">
        <v>4</v>
      </c>
      <c r="C5" s="8" t="s">
        <v>4</v>
      </c>
      <c r="D5" s="8" t="s">
        <v>4</v>
      </c>
      <c r="E5" s="8" t="s">
        <v>6</v>
      </c>
      <c r="F5" s="8" t="s">
        <v>44</v>
      </c>
      <c r="G5" s="8" t="s">
        <v>11</v>
      </c>
      <c r="H5" s="60"/>
      <c r="I5" s="60"/>
      <c r="J5" s="60"/>
      <c r="K5" s="8" t="s">
        <v>10</v>
      </c>
      <c r="L5" s="8"/>
      <c r="M5" s="8" t="s">
        <v>10</v>
      </c>
      <c r="N5" s="8"/>
      <c r="O5" s="8"/>
      <c r="P5" s="9"/>
    </row>
    <row r="6" spans="1:16" x14ac:dyDescent="0.25">
      <c r="A6" s="10" t="s">
        <v>8</v>
      </c>
      <c r="B6" s="3">
        <v>20</v>
      </c>
      <c r="C6" s="3">
        <v>35</v>
      </c>
      <c r="D6" s="3">
        <v>270</v>
      </c>
      <c r="E6" s="3">
        <f>+B6*POWER(C6,3)/12</f>
        <v>71458.333333333328</v>
      </c>
      <c r="F6" s="3">
        <f>+C6/B6</f>
        <v>1.75</v>
      </c>
      <c r="G6" s="55">
        <v>250</v>
      </c>
      <c r="H6" s="61">
        <f>3*G6*E6/(D6^3*(1+0.75*(C6/D6)^2))</f>
        <v>2.6889559951959412</v>
      </c>
      <c r="I6" s="61">
        <f>3*G6*E6/D6^3</f>
        <v>2.7228445866991819</v>
      </c>
      <c r="J6" s="61">
        <f>+H6/I6</f>
        <v>0.98755397510795029</v>
      </c>
      <c r="K6" s="3">
        <f>+(3*G6*E6)/POWER(D6,3)</f>
        <v>2.7228445866991819</v>
      </c>
      <c r="L6" s="3">
        <f t="shared" ref="L6:L9" si="0">+C6/D6</f>
        <v>0.12962962962962962</v>
      </c>
      <c r="M6" s="3"/>
      <c r="N6" s="3"/>
      <c r="O6" s="3"/>
      <c r="P6" s="11"/>
    </row>
    <row r="7" spans="1:16" x14ac:dyDescent="0.25">
      <c r="A7" s="12" t="s">
        <v>9</v>
      </c>
      <c r="B7" s="2">
        <v>20</v>
      </c>
      <c r="C7" s="2">
        <v>35</v>
      </c>
      <c r="D7" s="2">
        <v>540</v>
      </c>
      <c r="E7" s="3">
        <f>+B7*POWER(C7,3)/12</f>
        <v>71458.333333333328</v>
      </c>
      <c r="F7" s="3">
        <f t="shared" ref="F7:F12" si="1">+C7/B7</f>
        <v>1.75</v>
      </c>
      <c r="G7" s="55">
        <v>210</v>
      </c>
      <c r="H7" s="61">
        <f t="shared" ref="H7:H20" si="2">3*G7*E7/(D7^3*(1+0.75*(C7/D7)^2))</f>
        <v>0.28500072407514238</v>
      </c>
      <c r="I7" s="61">
        <f t="shared" ref="I7:I20" si="3">3*G7*E7/D7^3</f>
        <v>0.28589868160341414</v>
      </c>
      <c r="J7" s="61">
        <f t="shared" ref="J7:J20" si="4">+H7/I7</f>
        <v>0.99685917569386562</v>
      </c>
      <c r="K7" s="3">
        <f>+(3*G7*E7)/POWER(D7,3)</f>
        <v>0.28589868160341414</v>
      </c>
      <c r="L7" s="3">
        <f t="shared" si="0"/>
        <v>6.4814814814814811E-2</v>
      </c>
      <c r="M7" s="3"/>
      <c r="N7" s="2"/>
      <c r="O7" s="2"/>
      <c r="P7" s="13"/>
    </row>
    <row r="8" spans="1:16" x14ac:dyDescent="0.25">
      <c r="A8" s="12" t="s">
        <v>12</v>
      </c>
      <c r="B8" s="2">
        <v>20</v>
      </c>
      <c r="C8" s="2">
        <v>35</v>
      </c>
      <c r="D8" s="2">
        <v>250</v>
      </c>
      <c r="E8" s="3">
        <f>+B8*POWER(C8,3)/12</f>
        <v>71458.333333333328</v>
      </c>
      <c r="F8" s="3">
        <f t="shared" si="1"/>
        <v>1.75</v>
      </c>
      <c r="G8" s="56">
        <v>80</v>
      </c>
      <c r="H8" s="61">
        <f t="shared" si="2"/>
        <v>1.0816990243421702</v>
      </c>
      <c r="I8" s="61">
        <f t="shared" si="3"/>
        <v>1.0975999999999999</v>
      </c>
      <c r="J8" s="61">
        <f t="shared" si="4"/>
        <v>0.98551295949541762</v>
      </c>
      <c r="K8" s="3">
        <f>+(3*G8*E8)/POWER(D8,3)</f>
        <v>1.0975999999999999</v>
      </c>
      <c r="L8" s="3">
        <f t="shared" si="0"/>
        <v>0.14000000000000001</v>
      </c>
      <c r="M8" s="3"/>
      <c r="N8" s="2"/>
      <c r="O8" s="2"/>
      <c r="P8" s="13"/>
    </row>
    <row r="9" spans="1:16" x14ac:dyDescent="0.25">
      <c r="A9" s="12" t="s">
        <v>15</v>
      </c>
      <c r="B9" s="2"/>
      <c r="C9" s="2"/>
      <c r="D9" s="2">
        <v>260</v>
      </c>
      <c r="E9" s="2">
        <v>9800</v>
      </c>
      <c r="F9" s="3"/>
      <c r="G9" s="55">
        <v>2100</v>
      </c>
      <c r="H9" s="61">
        <f t="shared" si="2"/>
        <v>3.5127446517979064</v>
      </c>
      <c r="I9" s="61">
        <f t="shared" si="3"/>
        <v>3.5127446517979064</v>
      </c>
      <c r="J9" s="61">
        <f t="shared" si="4"/>
        <v>1</v>
      </c>
      <c r="K9" s="3">
        <f>+(3*G9*E9)/POWER(D9,3)</f>
        <v>3.5127446517979064</v>
      </c>
      <c r="L9" s="3">
        <f t="shared" si="0"/>
        <v>0</v>
      </c>
      <c r="M9" s="3"/>
      <c r="N9" s="2"/>
      <c r="O9" s="2"/>
      <c r="P9" s="13"/>
    </row>
    <row r="10" spans="1:16" x14ac:dyDescent="0.25">
      <c r="A10" s="12" t="s">
        <v>7</v>
      </c>
      <c r="B10" s="2">
        <v>20</v>
      </c>
      <c r="C10" s="2">
        <v>310</v>
      </c>
      <c r="D10" s="2">
        <v>260</v>
      </c>
      <c r="E10" s="2">
        <f>+B10*POWER(C10,3)/12</f>
        <v>49651666.666666664</v>
      </c>
      <c r="F10" s="3">
        <f t="shared" si="1"/>
        <v>15.5</v>
      </c>
      <c r="G10" s="55">
        <v>250</v>
      </c>
      <c r="H10" s="61">
        <f t="shared" si="2"/>
        <v>1025.4230287342871</v>
      </c>
      <c r="I10" s="61">
        <f t="shared" si="3"/>
        <v>2118.7272416932178</v>
      </c>
      <c r="J10" s="61">
        <f t="shared" si="4"/>
        <v>0.48398066941113305</v>
      </c>
      <c r="K10" s="3"/>
      <c r="L10" s="3">
        <f>+C10/D10</f>
        <v>1.1923076923076923</v>
      </c>
      <c r="M10" s="21">
        <f>+(3*G10*E10)/((POWER(D10,3)*(1+0.75*POWER(L10,2))))</f>
        <v>1025.4230287342871</v>
      </c>
      <c r="N10" s="2"/>
      <c r="O10" s="2"/>
      <c r="P10" s="13"/>
    </row>
    <row r="11" spans="1:16" x14ac:dyDescent="0.25">
      <c r="A11" s="12" t="s">
        <v>17</v>
      </c>
      <c r="B11" s="2">
        <v>310</v>
      </c>
      <c r="C11" s="2">
        <v>20</v>
      </c>
      <c r="D11" s="2">
        <v>260</v>
      </c>
      <c r="E11" s="2">
        <f>+B11*POWER(C11,3)/12</f>
        <v>206666.66666666666</v>
      </c>
      <c r="F11" s="3">
        <f t="shared" si="1"/>
        <v>6.4516129032258063E-2</v>
      </c>
      <c r="G11" s="55">
        <v>250</v>
      </c>
      <c r="H11" s="61">
        <f t="shared" si="2"/>
        <v>8.7798799139005332</v>
      </c>
      <c r="I11" s="61">
        <f t="shared" si="3"/>
        <v>8.8188438780154765</v>
      </c>
      <c r="J11" s="61">
        <f t="shared" si="4"/>
        <v>0.9955817378497791</v>
      </c>
      <c r="K11" s="3">
        <f>+(3*G11*E11)/POWER(D11,3)</f>
        <v>8.8188438780154765</v>
      </c>
      <c r="L11" s="2">
        <f>+C11/D11</f>
        <v>7.6923076923076927E-2</v>
      </c>
      <c r="M11" s="21"/>
      <c r="N11" s="2"/>
      <c r="O11" s="2"/>
      <c r="P11" s="13"/>
    </row>
    <row r="12" spans="1:16" x14ac:dyDescent="0.25">
      <c r="A12" s="12" t="s">
        <v>18</v>
      </c>
      <c r="B12" s="2">
        <v>20</v>
      </c>
      <c r="C12" s="2">
        <v>310</v>
      </c>
      <c r="D12" s="2">
        <v>260</v>
      </c>
      <c r="E12" s="2">
        <f>+B12*POWER(C12,3)/12</f>
        <v>49651666.666666664</v>
      </c>
      <c r="F12" s="3">
        <f t="shared" si="1"/>
        <v>15.5</v>
      </c>
      <c r="G12" s="55">
        <v>16</v>
      </c>
      <c r="H12" s="61">
        <f t="shared" si="2"/>
        <v>65.627073838994363</v>
      </c>
      <c r="I12" s="61">
        <f t="shared" si="3"/>
        <v>135.59854346836596</v>
      </c>
      <c r="J12" s="61">
        <f t="shared" si="4"/>
        <v>0.48398066941113294</v>
      </c>
      <c r="K12" s="2">
        <f>+(3*G12*E12)/POWER(D12,3)</f>
        <v>135.59854346836596</v>
      </c>
      <c r="L12" s="2">
        <f>+C12/D12</f>
        <v>1.1923076923076923</v>
      </c>
      <c r="M12" s="21">
        <f>+(3*G12*E12)/((POWER(D12,3)*(1+0.75*POWER(L12,2))))</f>
        <v>65.627073838994363</v>
      </c>
      <c r="N12" s="2">
        <f>+(G12*POWER(C12,2)*B12)/(4*(POWER(SQRT((C12*C12)*(B12*B12)),2)))</f>
        <v>0.2</v>
      </c>
      <c r="O12" s="2"/>
      <c r="P12" s="13" t="s">
        <v>19</v>
      </c>
    </row>
    <row r="13" spans="1:16" x14ac:dyDescent="0.25">
      <c r="A13" s="12"/>
      <c r="B13" s="2"/>
      <c r="C13" s="2"/>
      <c r="D13" s="2"/>
      <c r="E13" s="2"/>
      <c r="F13" s="2"/>
      <c r="G13" s="20"/>
      <c r="H13" s="61"/>
      <c r="I13" s="61"/>
      <c r="J13" s="61"/>
      <c r="K13" s="2"/>
      <c r="L13" s="2"/>
      <c r="M13" s="2"/>
      <c r="N13" s="2"/>
      <c r="O13" s="2"/>
      <c r="P13" s="13"/>
    </row>
    <row r="14" spans="1:16" x14ac:dyDescent="0.25">
      <c r="A14" s="12"/>
      <c r="B14" s="2"/>
      <c r="C14" s="2"/>
      <c r="D14" s="2"/>
      <c r="E14" s="2"/>
      <c r="F14" s="2"/>
      <c r="G14" s="20"/>
      <c r="H14" s="61"/>
      <c r="I14" s="61"/>
      <c r="J14" s="61"/>
      <c r="K14" s="2"/>
      <c r="L14" s="2"/>
      <c r="M14" s="2"/>
      <c r="N14" s="2"/>
      <c r="O14" s="2"/>
      <c r="P14" s="13"/>
    </row>
    <row r="15" spans="1:16" x14ac:dyDescent="0.25">
      <c r="A15" s="12"/>
      <c r="B15" s="2"/>
      <c r="C15" s="2"/>
      <c r="D15" s="2"/>
      <c r="E15" s="2"/>
      <c r="F15" s="2"/>
      <c r="G15" s="20"/>
      <c r="H15" s="61"/>
      <c r="I15" s="61"/>
      <c r="J15" s="61"/>
      <c r="K15" s="2"/>
      <c r="L15" s="2"/>
      <c r="M15" s="2"/>
      <c r="N15" s="2"/>
      <c r="O15" s="2"/>
      <c r="P15" s="13"/>
    </row>
    <row r="16" spans="1:16" x14ac:dyDescent="0.25">
      <c r="A16" s="12"/>
      <c r="B16" s="2"/>
      <c r="C16" s="2"/>
      <c r="D16" s="2"/>
      <c r="E16" s="2"/>
      <c r="F16" s="2"/>
      <c r="G16" s="20"/>
      <c r="H16" s="61"/>
      <c r="I16" s="61"/>
      <c r="J16" s="61"/>
      <c r="K16" s="2"/>
      <c r="L16" s="2"/>
      <c r="M16" s="2"/>
      <c r="N16" s="2"/>
      <c r="O16" s="2"/>
      <c r="P16" s="13"/>
    </row>
    <row r="17" spans="1:16" x14ac:dyDescent="0.25">
      <c r="A17" s="10" t="s">
        <v>8</v>
      </c>
      <c r="B17" s="3">
        <v>20</v>
      </c>
      <c r="C17" s="3">
        <v>40</v>
      </c>
      <c r="D17" s="3">
        <v>300</v>
      </c>
      <c r="E17" s="3">
        <f>+B17*POWER(C17,3)/12</f>
        <v>106666.66666666667</v>
      </c>
      <c r="F17" s="3">
        <f>+C17/B17</f>
        <v>2</v>
      </c>
      <c r="G17" s="19">
        <v>250</v>
      </c>
      <c r="H17" s="61">
        <f t="shared" si="2"/>
        <v>2.9239766081871341</v>
      </c>
      <c r="I17" s="61">
        <f t="shared" si="3"/>
        <v>2.9629629629629628</v>
      </c>
      <c r="J17" s="61">
        <f t="shared" si="4"/>
        <v>0.98684210526315785</v>
      </c>
      <c r="K17" s="3">
        <f>+(3*G17*E17)/POWER(D17,3)</f>
        <v>2.9629629629629628</v>
      </c>
      <c r="L17" s="3">
        <f t="shared" ref="L17" si="5">+C17/D17</f>
        <v>0.13333333333333333</v>
      </c>
      <c r="M17" s="2"/>
      <c r="N17" s="2"/>
      <c r="O17" s="2"/>
      <c r="P17" s="13"/>
    </row>
    <row r="18" spans="1:16" x14ac:dyDescent="0.25">
      <c r="A18" s="10" t="s">
        <v>8</v>
      </c>
      <c r="B18" s="3">
        <v>40</v>
      </c>
      <c r="C18" s="3">
        <v>20</v>
      </c>
      <c r="D18" s="3">
        <v>300</v>
      </c>
      <c r="E18" s="3">
        <f>+B18*POWER(C18,3)/12</f>
        <v>26666.666666666668</v>
      </c>
      <c r="F18" s="3">
        <f t="shared" ref="F18:F19" si="6">+C18/B18</f>
        <v>0.5</v>
      </c>
      <c r="G18" s="19">
        <v>250</v>
      </c>
      <c r="H18" s="61">
        <f t="shared" si="2"/>
        <v>0.7382798080472498</v>
      </c>
      <c r="I18" s="61">
        <f t="shared" si="3"/>
        <v>0.7407407407407407</v>
      </c>
      <c r="J18" s="61">
        <f t="shared" si="4"/>
        <v>0.99667774086378724</v>
      </c>
      <c r="K18" s="3">
        <f>+(3*G18*E18)/POWER(D18,3)</f>
        <v>0.7407407407407407</v>
      </c>
      <c r="L18" s="3">
        <f t="shared" ref="L18" si="7">+C18/D18</f>
        <v>6.6666666666666666E-2</v>
      </c>
      <c r="M18" s="2"/>
      <c r="N18" s="2"/>
      <c r="O18" s="2"/>
      <c r="P18" s="13"/>
    </row>
    <row r="19" spans="1:16" x14ac:dyDescent="0.25">
      <c r="A19" s="12" t="s">
        <v>17</v>
      </c>
      <c r="B19" s="2">
        <v>20</v>
      </c>
      <c r="C19" s="2">
        <v>100</v>
      </c>
      <c r="D19" s="2">
        <v>300</v>
      </c>
      <c r="E19" s="2">
        <f>+B19*POWER(C19,3)/12</f>
        <v>1666666.6666666667</v>
      </c>
      <c r="F19" s="3">
        <f t="shared" si="6"/>
        <v>5</v>
      </c>
      <c r="G19" s="20">
        <v>250</v>
      </c>
      <c r="H19" s="61">
        <f t="shared" si="2"/>
        <v>42.73504273504274</v>
      </c>
      <c r="I19" s="61">
        <f t="shared" si="3"/>
        <v>46.296296296296298</v>
      </c>
      <c r="J19" s="61">
        <f t="shared" si="4"/>
        <v>0.92307692307692313</v>
      </c>
      <c r="K19" s="3">
        <f>+(3*G19*E19)/POWER(D19,3)</f>
        <v>46.296296296296298</v>
      </c>
      <c r="L19" s="2">
        <f>+C19/D19</f>
        <v>0.33333333333333331</v>
      </c>
      <c r="M19" s="21">
        <f>+(3*G19*E19)/((POWER(D19,3)*(1+0.75*POWER(L19,2))))</f>
        <v>42.73504273504274</v>
      </c>
      <c r="N19" s="2"/>
      <c r="O19" s="2"/>
      <c r="P19" s="13"/>
    </row>
    <row r="20" spans="1:16" x14ac:dyDescent="0.25">
      <c r="A20" s="12" t="s">
        <v>27</v>
      </c>
      <c r="B20" s="2">
        <v>20</v>
      </c>
      <c r="C20" s="2">
        <v>40</v>
      </c>
      <c r="D20" s="2">
        <v>300</v>
      </c>
      <c r="E20" s="2">
        <f>+B20*POWER(C20,3)/12</f>
        <v>106666.66666666667</v>
      </c>
      <c r="F20" s="3">
        <f t="shared" ref="F20" si="8">+C20/B20</f>
        <v>2</v>
      </c>
      <c r="G20" s="20">
        <v>250</v>
      </c>
      <c r="H20" s="61">
        <f t="shared" si="2"/>
        <v>2.9239766081871341</v>
      </c>
      <c r="I20" s="61">
        <f t="shared" si="3"/>
        <v>2.9629629629629628</v>
      </c>
      <c r="J20" s="61">
        <f t="shared" si="4"/>
        <v>0.98684210526315785</v>
      </c>
      <c r="K20" s="3">
        <f>+(3*G20*E20)/POWER(D20,3)</f>
        <v>2.9629629629629628</v>
      </c>
      <c r="L20" s="2">
        <f>+C20/D20</f>
        <v>0.13333333333333333</v>
      </c>
      <c r="M20" s="21">
        <f>+(3*G20*E20)/((POWER(D20,3)*(1+0.75*POWER(L20,2))))</f>
        <v>2.9239766081871341</v>
      </c>
      <c r="N20" s="2"/>
      <c r="O20" s="22">
        <f>12*G20*E20/((POWER(D20,3)*(1+0.75*POWER(L19,2))))</f>
        <v>10.940170940170942</v>
      </c>
      <c r="P20" s="13"/>
    </row>
    <row r="21" spans="1:16" x14ac:dyDescent="0.25">
      <c r="A21" s="12"/>
      <c r="B21" s="2"/>
      <c r="C21" s="2"/>
      <c r="D21" s="2"/>
      <c r="E21" s="2"/>
      <c r="F21" s="2"/>
      <c r="G21" s="20"/>
      <c r="H21" s="62"/>
      <c r="I21" s="62"/>
      <c r="J21" s="62"/>
      <c r="K21" s="2"/>
      <c r="L21" s="2"/>
      <c r="M21" s="2"/>
      <c r="N21" s="2"/>
      <c r="O21" s="2"/>
      <c r="P21" s="13"/>
    </row>
    <row r="22" spans="1:16" x14ac:dyDescent="0.25">
      <c r="A22" s="12"/>
      <c r="B22" s="2"/>
      <c r="C22" s="2"/>
      <c r="D22" s="2"/>
      <c r="E22" s="2"/>
      <c r="F22" s="2"/>
      <c r="G22" s="20"/>
      <c r="H22" s="62"/>
      <c r="I22" s="62"/>
      <c r="J22" s="62"/>
      <c r="K22" s="2"/>
      <c r="L22" s="2"/>
      <c r="M22" s="2"/>
      <c r="N22" s="2"/>
      <c r="O22" s="2"/>
      <c r="P22" s="13"/>
    </row>
    <row r="23" spans="1:16" x14ac:dyDescent="0.25">
      <c r="A23" s="12"/>
      <c r="B23" s="2"/>
      <c r="C23" s="2"/>
      <c r="D23" s="2"/>
      <c r="E23" s="2"/>
      <c r="F23" s="2"/>
      <c r="G23" s="20"/>
      <c r="H23" s="62"/>
      <c r="I23" s="62"/>
      <c r="J23" s="62"/>
      <c r="K23" s="2"/>
      <c r="L23" s="2"/>
      <c r="M23" s="2"/>
      <c r="N23" s="2"/>
      <c r="O23" s="2"/>
      <c r="P23" s="13"/>
    </row>
    <row r="24" spans="1:16" x14ac:dyDescent="0.25">
      <c r="A24" s="12"/>
      <c r="B24" s="2"/>
      <c r="C24" s="2"/>
      <c r="D24" s="2"/>
      <c r="E24" s="2"/>
      <c r="F24" s="2"/>
      <c r="G24" s="20"/>
      <c r="H24" s="62"/>
      <c r="I24" s="62"/>
      <c r="J24" s="62"/>
      <c r="K24" s="2"/>
      <c r="L24" s="2"/>
      <c r="M24" s="2"/>
      <c r="N24" s="2"/>
      <c r="O24" s="2"/>
      <c r="P24" s="13"/>
    </row>
    <row r="25" spans="1:16" x14ac:dyDescent="0.25">
      <c r="A25" s="12"/>
      <c r="B25" s="2"/>
      <c r="C25" s="2"/>
      <c r="D25" s="2"/>
      <c r="E25" s="2"/>
      <c r="F25" s="2"/>
      <c r="G25" s="20"/>
      <c r="H25" s="62"/>
      <c r="I25" s="62"/>
      <c r="J25" s="62"/>
      <c r="K25" s="2"/>
      <c r="L25" s="2"/>
      <c r="M25" s="2"/>
      <c r="N25" s="2"/>
      <c r="O25" s="2"/>
      <c r="P25" s="13"/>
    </row>
    <row r="26" spans="1:16" x14ac:dyDescent="0.25">
      <c r="A26" s="12"/>
      <c r="B26" s="2"/>
      <c r="C26" s="2"/>
      <c r="D26" s="2"/>
      <c r="E26" s="2"/>
      <c r="F26" s="2"/>
      <c r="G26" s="20"/>
      <c r="H26" s="62"/>
      <c r="I26" s="62"/>
      <c r="J26" s="62"/>
      <c r="K26" s="2"/>
      <c r="L26" s="2"/>
      <c r="M26" s="2"/>
      <c r="N26" s="2"/>
      <c r="O26" s="2"/>
      <c r="P26" s="13"/>
    </row>
    <row r="27" spans="1:16" x14ac:dyDescent="0.25">
      <c r="A27" s="12"/>
      <c r="B27" s="2"/>
      <c r="C27" s="2"/>
      <c r="D27" s="2"/>
      <c r="E27" s="2"/>
      <c r="F27" s="2"/>
      <c r="G27" s="20"/>
      <c r="H27" s="62"/>
      <c r="I27" s="62"/>
      <c r="J27" s="62"/>
      <c r="K27" s="2"/>
      <c r="L27" s="2"/>
      <c r="M27" s="2"/>
      <c r="N27" s="2"/>
      <c r="O27" s="2"/>
      <c r="P27" s="13"/>
    </row>
    <row r="28" spans="1:16" x14ac:dyDescent="0.25">
      <c r="A28" s="12"/>
      <c r="B28" s="2"/>
      <c r="C28" s="2"/>
      <c r="D28" s="2"/>
      <c r="E28" s="2"/>
      <c r="F28" s="2"/>
      <c r="G28" s="2"/>
      <c r="H28" s="63"/>
      <c r="I28" s="63"/>
      <c r="J28" s="63"/>
      <c r="K28" s="2"/>
      <c r="L28" s="2"/>
      <c r="M28" s="2"/>
      <c r="N28" s="2"/>
      <c r="O28" s="2"/>
      <c r="P28" s="13"/>
    </row>
    <row r="29" spans="1:16" x14ac:dyDescent="0.25">
      <c r="A29" s="12"/>
      <c r="B29" s="2"/>
      <c r="C29" s="2"/>
      <c r="D29" s="2"/>
      <c r="E29" s="2"/>
      <c r="F29" s="2"/>
      <c r="G29" s="2"/>
      <c r="H29" s="63"/>
      <c r="I29" s="63"/>
      <c r="J29" s="63"/>
      <c r="K29" s="2"/>
      <c r="L29" s="2"/>
      <c r="M29" s="2"/>
      <c r="N29" s="2"/>
      <c r="O29" s="2"/>
      <c r="P29" s="13"/>
    </row>
    <row r="30" spans="1:16" x14ac:dyDescent="0.25">
      <c r="A30" s="12"/>
      <c r="B30" s="2"/>
      <c r="C30" s="2"/>
      <c r="D30" s="2"/>
      <c r="E30" s="2"/>
      <c r="F30" s="2"/>
      <c r="G30" s="2"/>
      <c r="H30" s="63"/>
      <c r="I30" s="63"/>
      <c r="J30" s="63"/>
      <c r="K30" s="2"/>
      <c r="L30" s="2"/>
      <c r="M30" s="2"/>
      <c r="N30" s="2"/>
      <c r="O30" s="2"/>
      <c r="P30" s="13"/>
    </row>
    <row r="31" spans="1:16" x14ac:dyDescent="0.25">
      <c r="A31" s="12"/>
      <c r="B31" s="2"/>
      <c r="C31" s="2"/>
      <c r="D31" s="2"/>
      <c r="E31" s="2"/>
      <c r="F31" s="2"/>
      <c r="G31" s="2"/>
      <c r="H31" s="63"/>
      <c r="I31" s="63"/>
      <c r="J31" s="63"/>
      <c r="K31" s="2"/>
      <c r="L31" s="2"/>
      <c r="M31" s="2"/>
      <c r="N31" s="2"/>
      <c r="O31" s="2"/>
      <c r="P31" s="13"/>
    </row>
    <row r="32" spans="1:16" x14ac:dyDescent="0.25">
      <c r="A32" s="12"/>
      <c r="B32" s="2"/>
      <c r="C32" s="2"/>
      <c r="D32" s="2"/>
      <c r="E32" s="2"/>
      <c r="F32" s="2"/>
      <c r="G32" s="2"/>
      <c r="H32" s="63"/>
      <c r="I32" s="63"/>
      <c r="J32" s="63"/>
      <c r="K32" s="2"/>
      <c r="L32" s="2"/>
      <c r="M32" s="2"/>
      <c r="N32" s="2"/>
      <c r="O32" s="2"/>
      <c r="P32" s="13"/>
    </row>
    <row r="33" spans="1:16" x14ac:dyDescent="0.25">
      <c r="A33" s="12"/>
      <c r="B33" s="2"/>
      <c r="C33" s="2"/>
      <c r="D33" s="2"/>
      <c r="E33" s="2"/>
      <c r="F33" s="2"/>
      <c r="G33" s="2"/>
      <c r="H33" s="63"/>
      <c r="I33" s="63"/>
      <c r="J33" s="63"/>
      <c r="K33" s="2"/>
      <c r="L33" s="2"/>
      <c r="M33" s="2"/>
      <c r="N33" s="2"/>
      <c r="O33" s="2"/>
      <c r="P33" s="13"/>
    </row>
    <row r="34" spans="1:16" ht="15.75" thickBot="1" x14ac:dyDescent="0.3">
      <c r="A34" s="7"/>
      <c r="B34" s="8"/>
      <c r="C34" s="8"/>
      <c r="D34" s="8"/>
      <c r="E34" s="8"/>
      <c r="F34" s="8"/>
      <c r="G34" s="8"/>
      <c r="H34" s="60"/>
      <c r="I34" s="60"/>
      <c r="J34" s="60"/>
      <c r="K34" s="8"/>
      <c r="L34" s="8"/>
      <c r="M34" s="8"/>
      <c r="N34" s="8"/>
      <c r="O34" s="8"/>
      <c r="P34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workbookViewId="0">
      <pane ySplit="5" topLeftCell="A6" activePane="bottomLeft" state="frozen"/>
      <selection pane="bottomLeft" activeCell="G7" sqref="G7"/>
    </sheetView>
  </sheetViews>
  <sheetFormatPr baseColWidth="10" defaultRowHeight="15" x14ac:dyDescent="0.25"/>
  <cols>
    <col min="5" max="5" width="16.42578125" customWidth="1"/>
    <col min="7" max="9" width="18.140625" customWidth="1"/>
    <col min="10" max="12" width="13.5703125" style="58" customWidth="1"/>
    <col min="13" max="13" width="18.140625" customWidth="1"/>
    <col min="14" max="14" width="20.28515625" customWidth="1"/>
    <col min="15" max="15" width="18.85546875" customWidth="1"/>
    <col min="16" max="16" width="26.85546875" customWidth="1"/>
  </cols>
  <sheetData>
    <row r="2" spans="1:16" x14ac:dyDescent="0.25">
      <c r="A2" s="1" t="s">
        <v>0</v>
      </c>
    </row>
    <row r="3" spans="1:16" ht="15.75" thickBot="1" x14ac:dyDescent="0.3"/>
    <row r="4" spans="1:16" ht="15.75" thickBot="1" x14ac:dyDescent="0.3">
      <c r="A4" s="4"/>
      <c r="B4" s="5" t="s">
        <v>1</v>
      </c>
      <c r="C4" s="5" t="s">
        <v>2</v>
      </c>
      <c r="D4" s="5" t="s">
        <v>3</v>
      </c>
      <c r="E4" s="5" t="s">
        <v>5</v>
      </c>
      <c r="F4" s="5" t="s">
        <v>7</v>
      </c>
      <c r="G4" s="5" t="s">
        <v>13</v>
      </c>
      <c r="H4" s="14" t="s">
        <v>21</v>
      </c>
      <c r="I4" s="14" t="s">
        <v>45</v>
      </c>
      <c r="J4" s="64" t="s">
        <v>55</v>
      </c>
      <c r="K4" s="64" t="s">
        <v>58</v>
      </c>
      <c r="L4" s="64" t="s">
        <v>59</v>
      </c>
      <c r="M4" s="14" t="s">
        <v>22</v>
      </c>
      <c r="N4" s="5" t="s">
        <v>14</v>
      </c>
      <c r="O4" s="5"/>
      <c r="P4" s="6"/>
    </row>
    <row r="5" spans="1:16" ht="15.75" thickBot="1" x14ac:dyDescent="0.3">
      <c r="A5" s="7"/>
      <c r="B5" s="8" t="s">
        <v>4</v>
      </c>
      <c r="C5" s="8" t="s">
        <v>4</v>
      </c>
      <c r="D5" s="8" t="s">
        <v>4</v>
      </c>
      <c r="E5" s="8" t="s">
        <v>6</v>
      </c>
      <c r="F5" s="8" t="s">
        <v>11</v>
      </c>
      <c r="G5" s="8" t="s">
        <v>10</v>
      </c>
      <c r="H5" s="14" t="s">
        <v>20</v>
      </c>
      <c r="I5" s="18"/>
      <c r="J5" s="65"/>
      <c r="K5" s="65"/>
      <c r="L5" s="65"/>
      <c r="M5" s="8" t="s">
        <v>10</v>
      </c>
      <c r="N5" s="8"/>
      <c r="O5" s="8"/>
      <c r="P5" s="9"/>
    </row>
    <row r="6" spans="1:16" x14ac:dyDescent="0.25">
      <c r="A6" s="10">
        <v>1</v>
      </c>
      <c r="B6" s="3">
        <v>20</v>
      </c>
      <c r="C6" s="3">
        <v>20</v>
      </c>
      <c r="D6" s="3">
        <v>300</v>
      </c>
      <c r="E6" s="21">
        <f>+B6*POWER(C6,3)/12</f>
        <v>13333.333333333334</v>
      </c>
      <c r="F6" s="57">
        <v>330</v>
      </c>
      <c r="G6" s="21">
        <f>+(3*F6*E6)/POWER(D6,3)</f>
        <v>0.48888888888888887</v>
      </c>
      <c r="H6" s="21">
        <f>+C6/B6</f>
        <v>1</v>
      </c>
      <c r="I6" s="21">
        <f>+C6/D6</f>
        <v>6.6666666666666666E-2</v>
      </c>
      <c r="J6" s="66">
        <f>3*F6*E6/(D6^3*(1+0.75*(C6/D6)^2))</f>
        <v>0.48726467331118489</v>
      </c>
      <c r="K6" s="66">
        <f>3*F6*E6/D6^3</f>
        <v>0.48888888888888887</v>
      </c>
      <c r="L6" s="66">
        <f>+J6/K6</f>
        <v>0.99667774086378735</v>
      </c>
      <c r="M6" s="3"/>
      <c r="N6" s="3"/>
      <c r="O6" s="3"/>
      <c r="P6" s="11"/>
    </row>
    <row r="7" spans="1:16" x14ac:dyDescent="0.25">
      <c r="A7" s="12">
        <v>2</v>
      </c>
      <c r="B7" s="2">
        <v>20</v>
      </c>
      <c r="C7" s="2">
        <v>30</v>
      </c>
      <c r="D7" s="2">
        <v>300</v>
      </c>
      <c r="E7" s="21">
        <f>+B7*POWER(C7,3)/12</f>
        <v>45000</v>
      </c>
      <c r="F7" s="57">
        <v>250</v>
      </c>
      <c r="G7" s="21">
        <f>+(3*F7*E7)/POWER(D7,3)</f>
        <v>1.25</v>
      </c>
      <c r="H7" s="21">
        <f t="shared" ref="H7:H34" si="0">+C7/B7</f>
        <v>1.5</v>
      </c>
      <c r="I7" s="21">
        <f t="shared" ref="I7:I34" si="1">+C7/D7</f>
        <v>0.1</v>
      </c>
      <c r="J7" s="66">
        <f t="shared" ref="J7:J34" si="2">3*F7*E7/(D7^3*(1+0.75*(C7/D7)^2))</f>
        <v>1.2406947890818858</v>
      </c>
      <c r="K7" s="66">
        <f t="shared" ref="K7:K34" si="3">3*F7*E7/D7^3</f>
        <v>1.25</v>
      </c>
      <c r="L7" s="66">
        <f t="shared" ref="L7:L34" si="4">+J7/K7</f>
        <v>0.99255583126550861</v>
      </c>
      <c r="M7" s="3"/>
      <c r="N7" s="2"/>
      <c r="O7" s="2"/>
      <c r="P7" s="13"/>
    </row>
    <row r="8" spans="1:16" x14ac:dyDescent="0.25">
      <c r="A8" s="12">
        <v>2</v>
      </c>
      <c r="B8" s="2">
        <v>20</v>
      </c>
      <c r="C8" s="2">
        <v>40</v>
      </c>
      <c r="D8" s="2">
        <v>300</v>
      </c>
      <c r="E8" s="21">
        <f t="shared" ref="E8:E9" si="5">+B8*POWER(C8,3)/12</f>
        <v>106666.66666666667</v>
      </c>
      <c r="F8" s="57">
        <v>250</v>
      </c>
      <c r="G8" s="21">
        <f t="shared" ref="G8:G9" si="6">+(3*F8*E8)/POWER(D8,3)</f>
        <v>2.9629629629629628</v>
      </c>
      <c r="H8" s="21">
        <f t="shared" si="0"/>
        <v>2</v>
      </c>
      <c r="I8" s="21">
        <f t="shared" si="1"/>
        <v>0.13333333333333333</v>
      </c>
      <c r="J8" s="66">
        <f t="shared" si="2"/>
        <v>2.9239766081871341</v>
      </c>
      <c r="K8" s="66">
        <f t="shared" si="3"/>
        <v>2.9629629629629628</v>
      </c>
      <c r="L8" s="66">
        <f t="shared" si="4"/>
        <v>0.98684210526315785</v>
      </c>
      <c r="M8" s="3"/>
      <c r="N8" s="2"/>
      <c r="O8" s="2"/>
      <c r="P8" s="13"/>
    </row>
    <row r="9" spans="1:16" x14ac:dyDescent="0.25">
      <c r="A9" s="12">
        <v>2</v>
      </c>
      <c r="B9" s="2">
        <v>20</v>
      </c>
      <c r="C9" s="2">
        <v>50</v>
      </c>
      <c r="D9" s="2">
        <v>300</v>
      </c>
      <c r="E9" s="21">
        <f t="shared" si="5"/>
        <v>208333.33333333334</v>
      </c>
      <c r="F9" s="57">
        <v>250</v>
      </c>
      <c r="G9" s="21">
        <f t="shared" si="6"/>
        <v>5.7870370370370372</v>
      </c>
      <c r="H9" s="21">
        <f t="shared" si="0"/>
        <v>2.5</v>
      </c>
      <c r="I9" s="21">
        <f t="shared" si="1"/>
        <v>0.16666666666666666</v>
      </c>
      <c r="J9" s="66">
        <f t="shared" si="2"/>
        <v>5.6689342403628125</v>
      </c>
      <c r="K9" s="66">
        <f t="shared" si="3"/>
        <v>5.7870370370370372</v>
      </c>
      <c r="L9" s="66">
        <f t="shared" si="4"/>
        <v>0.97959183673469397</v>
      </c>
      <c r="M9" s="3"/>
      <c r="N9" s="2"/>
      <c r="O9" s="2"/>
      <c r="P9" s="13"/>
    </row>
    <row r="10" spans="1:16" x14ac:dyDescent="0.25">
      <c r="A10" s="12">
        <v>2</v>
      </c>
      <c r="B10" s="2">
        <v>20</v>
      </c>
      <c r="C10" s="2">
        <v>60</v>
      </c>
      <c r="D10" s="2">
        <v>300</v>
      </c>
      <c r="E10" s="21">
        <f t="shared" ref="E10:E23" si="7">+B10*POWER(C10,3)/12</f>
        <v>360000</v>
      </c>
      <c r="F10" s="57">
        <v>250</v>
      </c>
      <c r="G10" s="21">
        <f t="shared" ref="G10:G23" si="8">+(3*F10*E10)/POWER(D10,3)</f>
        <v>10</v>
      </c>
      <c r="H10" s="21">
        <f t="shared" si="0"/>
        <v>3</v>
      </c>
      <c r="I10" s="21">
        <f t="shared" si="1"/>
        <v>0.2</v>
      </c>
      <c r="J10" s="66">
        <f t="shared" si="2"/>
        <v>9.7087378640776691</v>
      </c>
      <c r="K10" s="66">
        <f t="shared" si="3"/>
        <v>10</v>
      </c>
      <c r="L10" s="66">
        <f t="shared" si="4"/>
        <v>0.97087378640776689</v>
      </c>
      <c r="M10" s="3"/>
      <c r="N10" s="2"/>
      <c r="O10" s="2"/>
      <c r="P10" s="13"/>
    </row>
    <row r="11" spans="1:16" ht="15.75" thickBot="1" x14ac:dyDescent="0.3">
      <c r="A11" s="15">
        <v>2</v>
      </c>
      <c r="B11" s="16">
        <v>20</v>
      </c>
      <c r="C11" s="16">
        <v>70</v>
      </c>
      <c r="D11" s="16">
        <v>300</v>
      </c>
      <c r="E11" s="72">
        <f t="shared" si="7"/>
        <v>571666.66666666663</v>
      </c>
      <c r="F11" s="57">
        <v>250</v>
      </c>
      <c r="G11" s="72">
        <f t="shared" si="8"/>
        <v>15.87962962962963</v>
      </c>
      <c r="H11" s="72">
        <f t="shared" si="0"/>
        <v>3.5</v>
      </c>
      <c r="I11" s="21">
        <f t="shared" si="1"/>
        <v>0.23333333333333334</v>
      </c>
      <c r="J11" s="66">
        <f t="shared" si="2"/>
        <v>15.256649764255849</v>
      </c>
      <c r="K11" s="66">
        <f t="shared" si="3"/>
        <v>15.87962962962963</v>
      </c>
      <c r="L11" s="66">
        <f t="shared" si="4"/>
        <v>0.96076861489191356</v>
      </c>
      <c r="M11" s="16"/>
      <c r="N11" s="16"/>
      <c r="O11" s="16"/>
      <c r="P11" s="17"/>
    </row>
    <row r="12" spans="1:16" ht="15.75" thickBot="1" x14ac:dyDescent="0.3">
      <c r="A12" s="4">
        <v>2</v>
      </c>
      <c r="B12" s="5">
        <v>20</v>
      </c>
      <c r="C12" s="5">
        <v>80</v>
      </c>
      <c r="D12" s="5">
        <v>300</v>
      </c>
      <c r="E12" s="71">
        <f t="shared" si="7"/>
        <v>853333.33333333337</v>
      </c>
      <c r="F12" s="57">
        <v>250</v>
      </c>
      <c r="G12" s="71">
        <f t="shared" si="8"/>
        <v>23.703703703703702</v>
      </c>
      <c r="H12" s="71">
        <f t="shared" si="0"/>
        <v>4</v>
      </c>
      <c r="I12" s="21">
        <f t="shared" si="1"/>
        <v>0.26666666666666666</v>
      </c>
      <c r="J12" s="66">
        <f t="shared" si="2"/>
        <v>22.503516174402254</v>
      </c>
      <c r="K12" s="66">
        <f t="shared" si="3"/>
        <v>23.703703703703702</v>
      </c>
      <c r="L12" s="66">
        <f t="shared" si="4"/>
        <v>0.94936708860759511</v>
      </c>
      <c r="M12" s="5" t="s">
        <v>54</v>
      </c>
      <c r="N12" s="5"/>
      <c r="O12" s="5"/>
      <c r="P12" s="6"/>
    </row>
    <row r="13" spans="1:16" ht="15.75" thickBot="1" x14ac:dyDescent="0.3">
      <c r="A13" s="12">
        <v>2</v>
      </c>
      <c r="B13" s="2">
        <v>20</v>
      </c>
      <c r="C13" s="2">
        <v>90</v>
      </c>
      <c r="D13" s="2">
        <v>300</v>
      </c>
      <c r="E13" s="21">
        <f t="shared" si="7"/>
        <v>1215000</v>
      </c>
      <c r="F13" s="57">
        <v>250</v>
      </c>
      <c r="G13" s="21">
        <f t="shared" si="8"/>
        <v>33.75</v>
      </c>
      <c r="H13" s="21">
        <f t="shared" si="0"/>
        <v>4.5</v>
      </c>
      <c r="I13" s="21">
        <f t="shared" si="1"/>
        <v>0.3</v>
      </c>
      <c r="J13" s="66">
        <f t="shared" si="2"/>
        <v>31.615925058548015</v>
      </c>
      <c r="K13" s="66">
        <f t="shared" si="3"/>
        <v>33.75</v>
      </c>
      <c r="L13" s="66">
        <f t="shared" si="4"/>
        <v>0.93676814988290413</v>
      </c>
      <c r="M13" s="71">
        <f t="shared" ref="M13:M34" si="9">+(3*F13*E13)/((POWER(D13,3)*(1+0.75*POWER(I13,2))))</f>
        <v>31.615925058548015</v>
      </c>
      <c r="N13" s="2"/>
      <c r="O13" s="2"/>
      <c r="P13" s="13"/>
    </row>
    <row r="14" spans="1:16" ht="15.75" thickBot="1" x14ac:dyDescent="0.3">
      <c r="A14" s="12">
        <v>2</v>
      </c>
      <c r="B14" s="2">
        <v>20</v>
      </c>
      <c r="C14" s="2">
        <v>100</v>
      </c>
      <c r="D14" s="2">
        <v>300</v>
      </c>
      <c r="E14" s="21">
        <f t="shared" si="7"/>
        <v>1666666.6666666667</v>
      </c>
      <c r="F14" s="57">
        <v>250</v>
      </c>
      <c r="G14" s="21">
        <f t="shared" si="8"/>
        <v>46.296296296296298</v>
      </c>
      <c r="H14" s="21">
        <f t="shared" si="0"/>
        <v>5</v>
      </c>
      <c r="I14" s="21">
        <f t="shared" si="1"/>
        <v>0.33333333333333331</v>
      </c>
      <c r="J14" s="66">
        <f t="shared" si="2"/>
        <v>42.73504273504274</v>
      </c>
      <c r="K14" s="66">
        <f t="shared" si="3"/>
        <v>46.296296296296298</v>
      </c>
      <c r="L14" s="66">
        <f t="shared" si="4"/>
        <v>0.92307692307692313</v>
      </c>
      <c r="M14" s="71">
        <f t="shared" si="9"/>
        <v>42.73504273504274</v>
      </c>
      <c r="N14" s="2"/>
      <c r="O14" s="2"/>
      <c r="P14" s="13"/>
    </row>
    <row r="15" spans="1:16" ht="15.75" thickBot="1" x14ac:dyDescent="0.3">
      <c r="A15" s="12">
        <v>2</v>
      </c>
      <c r="B15" s="2">
        <v>20</v>
      </c>
      <c r="C15" s="2">
        <v>110</v>
      </c>
      <c r="D15" s="2">
        <v>300</v>
      </c>
      <c r="E15" s="21">
        <f t="shared" si="7"/>
        <v>2218333.3333333335</v>
      </c>
      <c r="F15" s="57">
        <v>250</v>
      </c>
      <c r="G15" s="21">
        <f t="shared" si="8"/>
        <v>61.620370370370374</v>
      </c>
      <c r="H15" s="21">
        <f t="shared" si="0"/>
        <v>5.5</v>
      </c>
      <c r="I15" s="21">
        <f t="shared" si="1"/>
        <v>0.36666666666666664</v>
      </c>
      <c r="J15" s="66">
        <f t="shared" si="2"/>
        <v>55.976112372781564</v>
      </c>
      <c r="K15" s="66">
        <f t="shared" si="3"/>
        <v>61.620370370370374</v>
      </c>
      <c r="L15" s="66">
        <f t="shared" si="4"/>
        <v>0.90840272520817555</v>
      </c>
      <c r="M15" s="71">
        <f t="shared" si="9"/>
        <v>55.976112372781564</v>
      </c>
      <c r="N15" s="2"/>
      <c r="O15" s="2"/>
      <c r="P15" s="13"/>
    </row>
    <row r="16" spans="1:16" ht="15.75" thickBot="1" x14ac:dyDescent="0.3">
      <c r="A16" s="12">
        <v>2</v>
      </c>
      <c r="B16" s="2">
        <v>20</v>
      </c>
      <c r="C16" s="2">
        <v>120</v>
      </c>
      <c r="D16" s="2">
        <v>300</v>
      </c>
      <c r="E16" s="21">
        <f t="shared" si="7"/>
        <v>2880000</v>
      </c>
      <c r="F16" s="57">
        <v>250</v>
      </c>
      <c r="G16" s="21">
        <f t="shared" si="8"/>
        <v>80</v>
      </c>
      <c r="H16" s="21">
        <f t="shared" si="0"/>
        <v>6</v>
      </c>
      <c r="I16" s="21">
        <f t="shared" si="1"/>
        <v>0.4</v>
      </c>
      <c r="J16" s="66">
        <f t="shared" si="2"/>
        <v>71.428571428571416</v>
      </c>
      <c r="K16" s="66">
        <f t="shared" si="3"/>
        <v>80</v>
      </c>
      <c r="L16" s="66">
        <f t="shared" si="4"/>
        <v>0.89285714285714268</v>
      </c>
      <c r="M16" s="71">
        <f t="shared" si="9"/>
        <v>71.428571428571416</v>
      </c>
      <c r="N16" s="2"/>
      <c r="O16" s="2"/>
      <c r="P16" s="13"/>
    </row>
    <row r="17" spans="1:16" ht="15.75" thickBot="1" x14ac:dyDescent="0.3">
      <c r="A17" s="12">
        <v>2</v>
      </c>
      <c r="B17" s="2">
        <v>20</v>
      </c>
      <c r="C17" s="2">
        <v>130</v>
      </c>
      <c r="D17" s="2">
        <v>300</v>
      </c>
      <c r="E17" s="21">
        <f t="shared" si="7"/>
        <v>3661666.6666666665</v>
      </c>
      <c r="F17" s="57">
        <v>250</v>
      </c>
      <c r="G17" s="21">
        <f t="shared" si="8"/>
        <v>101.71296296296296</v>
      </c>
      <c r="H17" s="21">
        <f t="shared" si="0"/>
        <v>6.5</v>
      </c>
      <c r="I17" s="21">
        <f t="shared" si="1"/>
        <v>0.43333333333333335</v>
      </c>
      <c r="J17" s="66">
        <f t="shared" si="2"/>
        <v>89.156724291859433</v>
      </c>
      <c r="K17" s="66">
        <f t="shared" si="3"/>
        <v>101.71296296296296</v>
      </c>
      <c r="L17" s="66">
        <f t="shared" si="4"/>
        <v>0.87655222790357934</v>
      </c>
      <c r="M17" s="71">
        <f t="shared" si="9"/>
        <v>89.156724291859433</v>
      </c>
      <c r="N17" s="2"/>
      <c r="O17" s="2"/>
      <c r="P17" s="13"/>
    </row>
    <row r="18" spans="1:16" ht="15.75" thickBot="1" x14ac:dyDescent="0.3">
      <c r="A18" s="12">
        <v>2</v>
      </c>
      <c r="B18" s="2">
        <v>20</v>
      </c>
      <c r="C18" s="2">
        <v>140</v>
      </c>
      <c r="D18" s="2">
        <v>300</v>
      </c>
      <c r="E18" s="21">
        <f t="shared" si="7"/>
        <v>4573333.333333333</v>
      </c>
      <c r="F18" s="57">
        <v>250</v>
      </c>
      <c r="G18" s="21">
        <f t="shared" si="8"/>
        <v>127.03703703703704</v>
      </c>
      <c r="H18" s="21">
        <f t="shared" si="0"/>
        <v>7</v>
      </c>
      <c r="I18" s="21">
        <f t="shared" si="1"/>
        <v>0.46666666666666667</v>
      </c>
      <c r="J18" s="66">
        <f t="shared" si="2"/>
        <v>109.20089143584846</v>
      </c>
      <c r="K18" s="66">
        <f t="shared" si="3"/>
        <v>127.03703703703704</v>
      </c>
      <c r="L18" s="66">
        <f t="shared" si="4"/>
        <v>0.8595988538681949</v>
      </c>
      <c r="M18" s="71">
        <f t="shared" si="9"/>
        <v>109.20089143584846</v>
      </c>
      <c r="N18" s="2"/>
      <c r="O18" s="2"/>
      <c r="P18" s="13"/>
    </row>
    <row r="19" spans="1:16" ht="15.75" thickBot="1" x14ac:dyDescent="0.3">
      <c r="A19" s="12">
        <v>2</v>
      </c>
      <c r="B19" s="2">
        <v>20</v>
      </c>
      <c r="C19" s="2">
        <v>150</v>
      </c>
      <c r="D19" s="2">
        <v>300</v>
      </c>
      <c r="E19" s="21">
        <f t="shared" si="7"/>
        <v>5625000</v>
      </c>
      <c r="F19" s="57">
        <v>250</v>
      </c>
      <c r="G19" s="21">
        <f t="shared" si="8"/>
        <v>156.25</v>
      </c>
      <c r="H19" s="21">
        <f t="shared" si="0"/>
        <v>7.5</v>
      </c>
      <c r="I19" s="21">
        <f t="shared" si="1"/>
        <v>0.5</v>
      </c>
      <c r="J19" s="66">
        <f t="shared" si="2"/>
        <v>131.57894736842104</v>
      </c>
      <c r="K19" s="66">
        <f t="shared" si="3"/>
        <v>156.25</v>
      </c>
      <c r="L19" s="66">
        <f t="shared" si="4"/>
        <v>0.84210526315789469</v>
      </c>
      <c r="M19" s="71">
        <f t="shared" si="9"/>
        <v>131.57894736842104</v>
      </c>
      <c r="N19" s="2"/>
      <c r="O19" s="2"/>
      <c r="P19" s="13"/>
    </row>
    <row r="20" spans="1:16" ht="15.75" thickBot="1" x14ac:dyDescent="0.3">
      <c r="A20" s="12">
        <v>2</v>
      </c>
      <c r="B20" s="2">
        <v>20</v>
      </c>
      <c r="C20" s="2">
        <v>160</v>
      </c>
      <c r="D20" s="2">
        <v>300</v>
      </c>
      <c r="E20" s="21">
        <f t="shared" si="7"/>
        <v>6826666.666666667</v>
      </c>
      <c r="F20" s="57">
        <v>250</v>
      </c>
      <c r="G20" s="21">
        <f t="shared" si="8"/>
        <v>189.62962962962962</v>
      </c>
      <c r="H20" s="21">
        <f t="shared" si="0"/>
        <v>8</v>
      </c>
      <c r="I20" s="21">
        <f t="shared" si="1"/>
        <v>0.53333333333333333</v>
      </c>
      <c r="J20" s="66">
        <f t="shared" si="2"/>
        <v>156.2881562881563</v>
      </c>
      <c r="K20" s="66">
        <f t="shared" si="3"/>
        <v>189.62962962962962</v>
      </c>
      <c r="L20" s="66">
        <f t="shared" si="4"/>
        <v>0.82417582417582425</v>
      </c>
      <c r="M20" s="71">
        <f t="shared" si="9"/>
        <v>156.2881562881563</v>
      </c>
      <c r="N20" s="2"/>
      <c r="O20" s="2"/>
      <c r="P20" s="13"/>
    </row>
    <row r="21" spans="1:16" ht="15.75" thickBot="1" x14ac:dyDescent="0.3">
      <c r="A21" s="12">
        <v>2</v>
      </c>
      <c r="B21" s="2">
        <v>20</v>
      </c>
      <c r="C21" s="2">
        <v>170</v>
      </c>
      <c r="D21" s="2">
        <v>300</v>
      </c>
      <c r="E21" s="21">
        <f t="shared" si="7"/>
        <v>8188333.333333333</v>
      </c>
      <c r="F21" s="57">
        <v>250</v>
      </c>
      <c r="G21" s="21">
        <f t="shared" si="8"/>
        <v>227.4537037037037</v>
      </c>
      <c r="H21" s="21">
        <f t="shared" si="0"/>
        <v>8.5</v>
      </c>
      <c r="I21" s="21">
        <f t="shared" si="1"/>
        <v>0.56666666666666665</v>
      </c>
      <c r="J21" s="66">
        <f t="shared" si="2"/>
        <v>183.30721587941201</v>
      </c>
      <c r="K21" s="66">
        <f t="shared" si="3"/>
        <v>227.4537037037037</v>
      </c>
      <c r="L21" s="66">
        <f t="shared" si="4"/>
        <v>0.80591000671591684</v>
      </c>
      <c r="M21" s="71">
        <f t="shared" si="9"/>
        <v>183.30721587941201</v>
      </c>
      <c r="N21" s="2"/>
      <c r="O21" s="2"/>
      <c r="P21" s="13"/>
    </row>
    <row r="22" spans="1:16" ht="15.75" thickBot="1" x14ac:dyDescent="0.3">
      <c r="A22" s="12">
        <v>2</v>
      </c>
      <c r="B22" s="2">
        <v>20</v>
      </c>
      <c r="C22" s="2">
        <v>180</v>
      </c>
      <c r="D22" s="2">
        <v>300</v>
      </c>
      <c r="E22" s="21">
        <f t="shared" si="7"/>
        <v>9720000</v>
      </c>
      <c r="F22" s="57">
        <v>250</v>
      </c>
      <c r="G22" s="21">
        <f t="shared" si="8"/>
        <v>270</v>
      </c>
      <c r="H22" s="21">
        <f t="shared" si="0"/>
        <v>9</v>
      </c>
      <c r="I22" s="21">
        <f t="shared" si="1"/>
        <v>0.6</v>
      </c>
      <c r="J22" s="66">
        <f t="shared" si="2"/>
        <v>212.5984251968504</v>
      </c>
      <c r="K22" s="66">
        <f t="shared" si="3"/>
        <v>270</v>
      </c>
      <c r="L22" s="66">
        <f t="shared" si="4"/>
        <v>0.78740157480314965</v>
      </c>
      <c r="M22" s="71">
        <f t="shared" si="9"/>
        <v>212.5984251968504</v>
      </c>
      <c r="N22" s="2"/>
      <c r="O22" s="2"/>
      <c r="P22" s="13"/>
    </row>
    <row r="23" spans="1:16" ht="15.75" thickBot="1" x14ac:dyDescent="0.3">
      <c r="A23" s="12">
        <v>2</v>
      </c>
      <c r="B23" s="2">
        <v>20</v>
      </c>
      <c r="C23" s="2">
        <v>190</v>
      </c>
      <c r="D23" s="2">
        <v>300</v>
      </c>
      <c r="E23" s="21">
        <f t="shared" si="7"/>
        <v>11431666.666666666</v>
      </c>
      <c r="F23" s="57">
        <v>250</v>
      </c>
      <c r="G23" s="21">
        <f t="shared" si="8"/>
        <v>317.5462962962963</v>
      </c>
      <c r="H23" s="21">
        <f t="shared" si="0"/>
        <v>9.5</v>
      </c>
      <c r="I23" s="21">
        <f t="shared" si="1"/>
        <v>0.6333333333333333</v>
      </c>
      <c r="J23" s="66">
        <f t="shared" si="2"/>
        <v>244.10990106057372</v>
      </c>
      <c r="K23" s="66">
        <f t="shared" si="3"/>
        <v>317.5462962962963</v>
      </c>
      <c r="L23" s="66">
        <f t="shared" si="4"/>
        <v>0.76873798846893016</v>
      </c>
      <c r="M23" s="71">
        <f t="shared" si="9"/>
        <v>244.10990106057372</v>
      </c>
      <c r="N23" s="2"/>
      <c r="O23" s="2"/>
      <c r="P23" s="13"/>
    </row>
    <row r="24" spans="1:16" ht="15.75" thickBot="1" x14ac:dyDescent="0.3">
      <c r="A24" s="12">
        <v>2</v>
      </c>
      <c r="B24" s="2">
        <v>20</v>
      </c>
      <c r="C24" s="2">
        <v>200</v>
      </c>
      <c r="D24" s="2">
        <v>300</v>
      </c>
      <c r="E24" s="21">
        <f>+B24*POWER(C24,3)/12</f>
        <v>13333333.333333334</v>
      </c>
      <c r="F24" s="57">
        <v>250</v>
      </c>
      <c r="G24" s="21">
        <f>+(3*F24*E24)/POWER(D24,3)</f>
        <v>370.37037037037038</v>
      </c>
      <c r="H24" s="21">
        <f t="shared" si="0"/>
        <v>10</v>
      </c>
      <c r="I24" s="21">
        <f t="shared" si="1"/>
        <v>0.66666666666666663</v>
      </c>
      <c r="J24" s="66">
        <f t="shared" si="2"/>
        <v>277.77777777777777</v>
      </c>
      <c r="K24" s="66">
        <f t="shared" si="3"/>
        <v>370.37037037037038</v>
      </c>
      <c r="L24" s="66">
        <f t="shared" si="4"/>
        <v>0.75</v>
      </c>
      <c r="M24" s="71">
        <f t="shared" si="9"/>
        <v>277.77777777777777</v>
      </c>
      <c r="N24" s="2"/>
      <c r="O24" s="2"/>
      <c r="P24" s="13"/>
    </row>
    <row r="25" spans="1:16" ht="15.75" thickBot="1" x14ac:dyDescent="0.3">
      <c r="A25" s="12">
        <v>2</v>
      </c>
      <c r="B25" s="2">
        <v>20</v>
      </c>
      <c r="C25" s="2">
        <v>210</v>
      </c>
      <c r="D25" s="2">
        <v>300</v>
      </c>
      <c r="E25" s="21">
        <f t="shared" ref="E25:E33" si="10">+B25*POWER(C25,3)/12</f>
        <v>15435000</v>
      </c>
      <c r="F25" s="57">
        <v>250</v>
      </c>
      <c r="G25" s="21">
        <f t="shared" ref="G25:G33" si="11">+(3*F25*E25)/POWER(D25,3)</f>
        <v>428.75</v>
      </c>
      <c r="H25" s="21">
        <f t="shared" si="0"/>
        <v>10.5</v>
      </c>
      <c r="I25" s="21">
        <f t="shared" si="1"/>
        <v>0.7</v>
      </c>
      <c r="J25" s="66">
        <f t="shared" si="2"/>
        <v>313.52833638025595</v>
      </c>
      <c r="K25" s="66">
        <f t="shared" si="3"/>
        <v>428.75</v>
      </c>
      <c r="L25" s="66">
        <f t="shared" si="4"/>
        <v>0.73126142595978061</v>
      </c>
      <c r="M25" s="71">
        <f t="shared" si="9"/>
        <v>313.52833638025595</v>
      </c>
      <c r="N25" s="2"/>
      <c r="O25" s="2"/>
      <c r="P25" s="13"/>
    </row>
    <row r="26" spans="1:16" ht="15.75" thickBot="1" x14ac:dyDescent="0.3">
      <c r="A26" s="12">
        <v>2</v>
      </c>
      <c r="B26" s="2">
        <v>20</v>
      </c>
      <c r="C26" s="2">
        <v>220</v>
      </c>
      <c r="D26" s="2">
        <v>300</v>
      </c>
      <c r="E26" s="21">
        <f t="shared" si="10"/>
        <v>17746666.666666668</v>
      </c>
      <c r="F26" s="57">
        <v>250</v>
      </c>
      <c r="G26" s="21">
        <f t="shared" si="11"/>
        <v>492.96296296296299</v>
      </c>
      <c r="H26" s="21">
        <f t="shared" si="0"/>
        <v>11</v>
      </c>
      <c r="I26" s="21">
        <f t="shared" si="1"/>
        <v>0.73333333333333328</v>
      </c>
      <c r="J26" s="66">
        <f t="shared" si="2"/>
        <v>351.28002111375031</v>
      </c>
      <c r="K26" s="66">
        <f t="shared" si="3"/>
        <v>492.96296296296299</v>
      </c>
      <c r="L26" s="66">
        <f t="shared" si="4"/>
        <v>0.71258907363420421</v>
      </c>
      <c r="M26" s="71">
        <f t="shared" si="9"/>
        <v>351.28002111375031</v>
      </c>
      <c r="N26" s="2"/>
      <c r="O26" s="2"/>
      <c r="P26" s="13"/>
    </row>
    <row r="27" spans="1:16" ht="15.75" thickBot="1" x14ac:dyDescent="0.3">
      <c r="A27" s="12">
        <v>2</v>
      </c>
      <c r="B27" s="2">
        <v>20</v>
      </c>
      <c r="C27" s="2">
        <v>230</v>
      </c>
      <c r="D27" s="2">
        <v>300</v>
      </c>
      <c r="E27" s="21">
        <f t="shared" si="10"/>
        <v>20278333.333333332</v>
      </c>
      <c r="F27" s="57">
        <v>250</v>
      </c>
      <c r="G27" s="21">
        <f t="shared" si="11"/>
        <v>563.28703703703707</v>
      </c>
      <c r="H27" s="21">
        <f t="shared" si="0"/>
        <v>11.5</v>
      </c>
      <c r="I27" s="21">
        <f t="shared" si="1"/>
        <v>0.76666666666666672</v>
      </c>
      <c r="J27" s="66">
        <f t="shared" si="2"/>
        <v>390.94531199794358</v>
      </c>
      <c r="K27" s="66">
        <f t="shared" si="3"/>
        <v>563.28703703703707</v>
      </c>
      <c r="L27" s="66">
        <f t="shared" si="4"/>
        <v>0.69404279930595714</v>
      </c>
      <c r="M27" s="71">
        <f t="shared" si="9"/>
        <v>390.94531199794358</v>
      </c>
      <c r="N27" s="2"/>
      <c r="O27" s="2"/>
      <c r="P27" s="13"/>
    </row>
    <row r="28" spans="1:16" ht="15.75" thickBot="1" x14ac:dyDescent="0.3">
      <c r="A28" s="12">
        <v>2</v>
      </c>
      <c r="B28" s="2">
        <v>20</v>
      </c>
      <c r="C28" s="2">
        <v>240</v>
      </c>
      <c r="D28" s="2">
        <v>300</v>
      </c>
      <c r="E28" s="21">
        <f t="shared" si="10"/>
        <v>23040000</v>
      </c>
      <c r="F28" s="57">
        <v>250</v>
      </c>
      <c r="G28" s="21">
        <f t="shared" si="11"/>
        <v>640</v>
      </c>
      <c r="H28" s="21">
        <f t="shared" si="0"/>
        <v>12</v>
      </c>
      <c r="I28" s="21">
        <f t="shared" si="1"/>
        <v>0.8</v>
      </c>
      <c r="J28" s="66">
        <f t="shared" si="2"/>
        <v>432.43243243243245</v>
      </c>
      <c r="K28" s="66">
        <f t="shared" si="3"/>
        <v>640</v>
      </c>
      <c r="L28" s="66">
        <f t="shared" si="4"/>
        <v>0.67567567567567566</v>
      </c>
      <c r="M28" s="71">
        <f t="shared" si="9"/>
        <v>432.43243243243245</v>
      </c>
      <c r="N28" s="2"/>
      <c r="O28" s="2"/>
      <c r="P28" s="13"/>
    </row>
    <row r="29" spans="1:16" ht="15.75" thickBot="1" x14ac:dyDescent="0.3">
      <c r="A29" s="12">
        <v>2</v>
      </c>
      <c r="B29" s="2">
        <v>20</v>
      </c>
      <c r="C29" s="2">
        <v>250</v>
      </c>
      <c r="D29" s="2">
        <v>300</v>
      </c>
      <c r="E29" s="21">
        <f t="shared" si="10"/>
        <v>26041666.666666668</v>
      </c>
      <c r="F29" s="57">
        <v>250</v>
      </c>
      <c r="G29" s="21">
        <f t="shared" si="11"/>
        <v>723.37962962962968</v>
      </c>
      <c r="H29" s="21">
        <f t="shared" si="0"/>
        <v>12.5</v>
      </c>
      <c r="I29" s="21">
        <f t="shared" si="1"/>
        <v>0.83333333333333337</v>
      </c>
      <c r="J29" s="66">
        <f t="shared" si="2"/>
        <v>475.64687975646871</v>
      </c>
      <c r="K29" s="66">
        <f t="shared" si="3"/>
        <v>723.37962962962968</v>
      </c>
      <c r="L29" s="66">
        <f t="shared" si="4"/>
        <v>0.65753424657534232</v>
      </c>
      <c r="M29" s="71">
        <f t="shared" si="9"/>
        <v>475.64687975646871</v>
      </c>
      <c r="N29" s="2"/>
      <c r="O29" s="2"/>
      <c r="P29" s="13"/>
    </row>
    <row r="30" spans="1:16" ht="15.75" thickBot="1" x14ac:dyDescent="0.3">
      <c r="A30" s="12">
        <v>2</v>
      </c>
      <c r="B30" s="2">
        <v>20</v>
      </c>
      <c r="C30" s="2">
        <v>260</v>
      </c>
      <c r="D30" s="2">
        <v>300</v>
      </c>
      <c r="E30" s="21">
        <f t="shared" si="10"/>
        <v>29293333.333333332</v>
      </c>
      <c r="F30" s="57">
        <v>250</v>
      </c>
      <c r="G30" s="21">
        <f t="shared" si="11"/>
        <v>813.7037037037037</v>
      </c>
      <c r="H30" s="21">
        <f t="shared" si="0"/>
        <v>13</v>
      </c>
      <c r="I30" s="21">
        <f t="shared" si="1"/>
        <v>0.8666666666666667</v>
      </c>
      <c r="J30" s="66">
        <f t="shared" si="2"/>
        <v>520.49277422411751</v>
      </c>
      <c r="K30" s="66">
        <f t="shared" si="3"/>
        <v>813.7037037037037</v>
      </c>
      <c r="L30" s="66">
        <f t="shared" si="4"/>
        <v>0.63965884861407252</v>
      </c>
      <c r="M30" s="71">
        <f t="shared" si="9"/>
        <v>520.49277422411751</v>
      </c>
      <c r="N30" s="2"/>
      <c r="O30" s="2"/>
      <c r="P30" s="13"/>
    </row>
    <row r="31" spans="1:16" ht="15.75" thickBot="1" x14ac:dyDescent="0.3">
      <c r="A31" s="12">
        <v>2</v>
      </c>
      <c r="B31" s="2">
        <v>20</v>
      </c>
      <c r="C31" s="2">
        <v>270</v>
      </c>
      <c r="D31" s="2">
        <v>300</v>
      </c>
      <c r="E31" s="21">
        <f t="shared" si="10"/>
        <v>32805000</v>
      </c>
      <c r="F31" s="57">
        <v>250</v>
      </c>
      <c r="G31" s="21">
        <f t="shared" si="11"/>
        <v>911.25</v>
      </c>
      <c r="H31" s="21">
        <f t="shared" si="0"/>
        <v>13.5</v>
      </c>
      <c r="I31" s="21">
        <f t="shared" si="1"/>
        <v>0.9</v>
      </c>
      <c r="J31" s="66">
        <f t="shared" si="2"/>
        <v>566.87402799377912</v>
      </c>
      <c r="K31" s="66">
        <f t="shared" si="3"/>
        <v>911.25</v>
      </c>
      <c r="L31" s="66">
        <f t="shared" si="4"/>
        <v>0.62208398133748055</v>
      </c>
      <c r="M31" s="71">
        <f t="shared" si="9"/>
        <v>566.87402799377912</v>
      </c>
      <c r="N31" s="2"/>
      <c r="O31" s="2"/>
      <c r="P31" s="13"/>
    </row>
    <row r="32" spans="1:16" ht="15.75" thickBot="1" x14ac:dyDescent="0.3">
      <c r="A32" s="12">
        <v>2</v>
      </c>
      <c r="B32" s="2">
        <v>20</v>
      </c>
      <c r="C32" s="2">
        <v>280</v>
      </c>
      <c r="D32" s="2">
        <v>300</v>
      </c>
      <c r="E32" s="21">
        <f t="shared" si="10"/>
        <v>36586666.666666664</v>
      </c>
      <c r="F32" s="57">
        <v>250</v>
      </c>
      <c r="G32" s="21">
        <f t="shared" si="11"/>
        <v>1016.2962962962963</v>
      </c>
      <c r="H32" s="21">
        <f t="shared" si="0"/>
        <v>14</v>
      </c>
      <c r="I32" s="21">
        <f t="shared" si="1"/>
        <v>0.93333333333333335</v>
      </c>
      <c r="J32" s="66">
        <f t="shared" si="2"/>
        <v>614.69534050179209</v>
      </c>
      <c r="K32" s="66">
        <f t="shared" si="3"/>
        <v>1016.2962962962963</v>
      </c>
      <c r="L32" s="66">
        <f t="shared" si="4"/>
        <v>0.60483870967741937</v>
      </c>
      <c r="M32" s="71">
        <f t="shared" si="9"/>
        <v>614.69534050179209</v>
      </c>
      <c r="N32" s="2"/>
      <c r="O32" s="2"/>
      <c r="P32" s="13"/>
    </row>
    <row r="33" spans="1:16" ht="15.75" thickBot="1" x14ac:dyDescent="0.3">
      <c r="A33" s="12">
        <v>2</v>
      </c>
      <c r="B33" s="2">
        <v>20</v>
      </c>
      <c r="C33" s="2">
        <v>290</v>
      </c>
      <c r="D33" s="2">
        <v>300</v>
      </c>
      <c r="E33" s="21">
        <f t="shared" si="10"/>
        <v>40648333.333333336</v>
      </c>
      <c r="F33" s="57">
        <v>250</v>
      </c>
      <c r="G33" s="21">
        <f t="shared" si="11"/>
        <v>1129.1203703703704</v>
      </c>
      <c r="H33" s="21">
        <f t="shared" si="0"/>
        <v>14.5</v>
      </c>
      <c r="I33" s="21">
        <f t="shared" si="1"/>
        <v>0.96666666666666667</v>
      </c>
      <c r="J33" s="66">
        <f t="shared" si="2"/>
        <v>663.86303010506833</v>
      </c>
      <c r="K33" s="66">
        <f t="shared" si="3"/>
        <v>1129.1203703703704</v>
      </c>
      <c r="L33" s="66">
        <f t="shared" si="4"/>
        <v>0.58794708476237134</v>
      </c>
      <c r="M33" s="71">
        <f t="shared" si="9"/>
        <v>663.86303010506833</v>
      </c>
      <c r="N33" s="2"/>
      <c r="O33" s="2"/>
      <c r="P33" s="13"/>
    </row>
    <row r="34" spans="1:16" ht="15.75" thickBot="1" x14ac:dyDescent="0.3">
      <c r="A34" s="7">
        <v>2</v>
      </c>
      <c r="B34" s="8">
        <v>20</v>
      </c>
      <c r="C34" s="8">
        <v>300</v>
      </c>
      <c r="D34" s="8">
        <v>300</v>
      </c>
      <c r="E34" s="73">
        <f>+B34*POWER(C34,3)/12</f>
        <v>45000000</v>
      </c>
      <c r="F34" s="57">
        <v>250</v>
      </c>
      <c r="G34" s="73">
        <f>+(3*F34*E34)/POWER(D34,3)</f>
        <v>1250</v>
      </c>
      <c r="H34" s="73">
        <f t="shared" si="0"/>
        <v>15</v>
      </c>
      <c r="I34" s="21">
        <f t="shared" si="1"/>
        <v>1</v>
      </c>
      <c r="J34" s="66">
        <f t="shared" si="2"/>
        <v>714.28571428571433</v>
      </c>
      <c r="K34" s="66">
        <f t="shared" si="3"/>
        <v>1250</v>
      </c>
      <c r="L34" s="66">
        <f t="shared" si="4"/>
        <v>0.57142857142857151</v>
      </c>
      <c r="M34" s="71">
        <f t="shared" si="9"/>
        <v>714.28571428571433</v>
      </c>
      <c r="N34" s="8"/>
      <c r="O34" s="8"/>
      <c r="P3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opLeftCell="A25" zoomScale="115" zoomScaleNormal="115" workbookViewId="0">
      <selection activeCell="C55" sqref="C55"/>
    </sheetView>
  </sheetViews>
  <sheetFormatPr baseColWidth="10" defaultRowHeight="15" x14ac:dyDescent="0.25"/>
  <cols>
    <col min="1" max="1" width="17.28515625" customWidth="1"/>
  </cols>
  <sheetData>
    <row r="1" spans="1:19" ht="15.75" thickBot="1" x14ac:dyDescent="0.3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8"/>
    </row>
    <row r="2" spans="1:19" x14ac:dyDescent="0.25">
      <c r="A2" s="83"/>
      <c r="B2" s="84"/>
      <c r="C2" s="84"/>
      <c r="D2" s="84"/>
      <c r="E2" s="84"/>
      <c r="F2" s="84"/>
      <c r="G2" s="84"/>
      <c r="H2" s="84"/>
      <c r="I2" s="84"/>
      <c r="J2" s="85"/>
    </row>
    <row r="3" spans="1:19" x14ac:dyDescent="0.25">
      <c r="A3" s="23" t="s">
        <v>29</v>
      </c>
      <c r="B3" s="24">
        <v>240000</v>
      </c>
      <c r="C3" s="25" t="s">
        <v>30</v>
      </c>
      <c r="D3" s="25" t="s">
        <v>31</v>
      </c>
      <c r="E3" s="89"/>
      <c r="F3" s="89"/>
      <c r="G3" s="89"/>
      <c r="H3" s="89"/>
      <c r="I3" s="89"/>
      <c r="J3" s="90"/>
    </row>
    <row r="4" spans="1:19" ht="15.75" thickBot="1" x14ac:dyDescent="0.3">
      <c r="A4" s="81"/>
      <c r="B4" s="82"/>
      <c r="C4" s="82"/>
      <c r="D4" s="82"/>
      <c r="E4" s="82"/>
      <c r="F4" s="82"/>
      <c r="G4" s="82"/>
      <c r="H4" s="82"/>
      <c r="I4" s="82"/>
      <c r="J4" s="91"/>
    </row>
    <row r="5" spans="1:19" x14ac:dyDescent="0.25">
      <c r="A5" s="26"/>
      <c r="B5" s="27" t="s">
        <v>32</v>
      </c>
      <c r="C5" s="27" t="s">
        <v>33</v>
      </c>
      <c r="D5" s="27" t="s">
        <v>34</v>
      </c>
      <c r="E5" s="27" t="s">
        <v>35</v>
      </c>
      <c r="F5" s="27" t="s">
        <v>36</v>
      </c>
      <c r="G5" s="27" t="s">
        <v>37</v>
      </c>
      <c r="H5" s="27" t="s">
        <v>38</v>
      </c>
      <c r="I5" s="27" t="s">
        <v>39</v>
      </c>
      <c r="J5" s="28" t="s">
        <v>40</v>
      </c>
      <c r="L5" s="74" t="s">
        <v>68</v>
      </c>
      <c r="M5" s="74" t="s">
        <v>66</v>
      </c>
      <c r="N5" s="74"/>
      <c r="O5" s="74" t="s">
        <v>67</v>
      </c>
      <c r="P5" s="74"/>
    </row>
    <row r="6" spans="1:19" x14ac:dyDescent="0.25">
      <c r="A6" s="23" t="s">
        <v>48</v>
      </c>
      <c r="B6" s="38">
        <v>2</v>
      </c>
      <c r="C6" s="38"/>
      <c r="D6" s="38"/>
      <c r="E6" s="38"/>
      <c r="F6" s="38"/>
      <c r="G6" s="38"/>
      <c r="H6" s="38"/>
      <c r="I6" s="38"/>
      <c r="J6" s="39"/>
      <c r="L6" s="76">
        <f>+B10</f>
        <v>13333.333333333334</v>
      </c>
      <c r="M6">
        <v>0.22</v>
      </c>
      <c r="N6">
        <f>1/M6</f>
        <v>4.5454545454545459</v>
      </c>
      <c r="O6">
        <v>9.23</v>
      </c>
      <c r="P6">
        <v>10.84</v>
      </c>
      <c r="Q6" s="70">
        <f>6.5-1.4*LN(M6)</f>
        <v>8.619778825681685</v>
      </c>
      <c r="R6" s="75">
        <f>+(1+6*M6)/(2+3*M6)</f>
        <v>0.87218045112781961</v>
      </c>
      <c r="S6">
        <f>12*$B$3*L6/260^3</f>
        <v>2184.7974510696404</v>
      </c>
    </row>
    <row r="7" spans="1:19" x14ac:dyDescent="0.25">
      <c r="A7" s="12" t="s">
        <v>41</v>
      </c>
      <c r="B7" s="29">
        <v>260</v>
      </c>
      <c r="C7" s="29">
        <v>310</v>
      </c>
      <c r="D7" s="29">
        <v>260</v>
      </c>
      <c r="E7" s="29"/>
      <c r="F7" s="29"/>
      <c r="G7" s="29"/>
      <c r="H7" s="29"/>
      <c r="I7" s="29"/>
      <c r="J7" s="30"/>
      <c r="L7" s="76">
        <f>+B23</f>
        <v>71458.333333333328</v>
      </c>
      <c r="M7">
        <v>1.19</v>
      </c>
      <c r="N7">
        <f t="shared" ref="N7:N14" si="0">1/M7</f>
        <v>0.84033613445378152</v>
      </c>
      <c r="O7">
        <v>5.66</v>
      </c>
      <c r="P7">
        <v>8.01</v>
      </c>
      <c r="Q7" s="70">
        <f t="shared" ref="Q7:Q14" si="1">6.5-1.4*LN(M7)</f>
        <v>6.2564653700271871</v>
      </c>
      <c r="R7" s="75">
        <f t="shared" ref="R7:R14" si="2">+(1+6*M7)/(2+3*M7)</f>
        <v>1.4614003590664273</v>
      </c>
      <c r="S7">
        <f t="shared" ref="S7:S14" si="3">12*$B$3*L7/260^3</f>
        <v>11709.148839326353</v>
      </c>
    </row>
    <row r="8" spans="1:19" x14ac:dyDescent="0.25">
      <c r="A8" s="12" t="s">
        <v>42</v>
      </c>
      <c r="B8" s="29">
        <v>20</v>
      </c>
      <c r="C8" s="29">
        <v>35</v>
      </c>
      <c r="D8" s="29">
        <v>20</v>
      </c>
      <c r="E8" s="29"/>
      <c r="F8" s="29"/>
      <c r="G8" s="29"/>
      <c r="H8" s="29"/>
      <c r="I8" s="29"/>
      <c r="J8" s="30"/>
      <c r="L8" s="76">
        <f>+B36</f>
        <v>151875</v>
      </c>
      <c r="M8">
        <v>2.5299999999999998</v>
      </c>
      <c r="N8">
        <f t="shared" si="0"/>
        <v>0.39525691699604748</v>
      </c>
      <c r="O8">
        <v>4.4800000000000004</v>
      </c>
      <c r="P8">
        <v>6.35</v>
      </c>
      <c r="Q8" s="70">
        <f t="shared" si="1"/>
        <v>5.2004929761647993</v>
      </c>
      <c r="R8" s="75">
        <f t="shared" si="2"/>
        <v>1.6871741397288842</v>
      </c>
      <c r="S8">
        <f t="shared" si="3"/>
        <v>24886.208466090124</v>
      </c>
    </row>
    <row r="9" spans="1:19" x14ac:dyDescent="0.25">
      <c r="A9" s="12" t="s">
        <v>43</v>
      </c>
      <c r="B9" s="29">
        <v>20</v>
      </c>
      <c r="C9" s="29">
        <v>20</v>
      </c>
      <c r="D9" s="29">
        <v>20</v>
      </c>
      <c r="E9" s="29"/>
      <c r="F9" s="29"/>
      <c r="G9" s="29"/>
      <c r="H9" s="29"/>
      <c r="I9" s="29"/>
      <c r="J9" s="30"/>
      <c r="L9" s="76">
        <f>+B49</f>
        <v>13333.333333333334</v>
      </c>
      <c r="M9">
        <v>0.03</v>
      </c>
      <c r="N9">
        <f t="shared" si="0"/>
        <v>33.333333333333336</v>
      </c>
      <c r="O9">
        <v>11.42</v>
      </c>
      <c r="P9">
        <v>11.8</v>
      </c>
      <c r="Q9" s="70">
        <f t="shared" si="1"/>
        <v>11.409181056247974</v>
      </c>
      <c r="R9" s="75">
        <f t="shared" si="2"/>
        <v>0.56459330143540676</v>
      </c>
      <c r="S9">
        <f t="shared" si="3"/>
        <v>2184.7974510696404</v>
      </c>
    </row>
    <row r="10" spans="1:19" x14ac:dyDescent="0.25">
      <c r="A10" s="12" t="s">
        <v>50</v>
      </c>
      <c r="B10" s="31">
        <f t="shared" ref="B10" si="4">+B9*B8^3/12</f>
        <v>13333.333333333334</v>
      </c>
      <c r="C10" s="31">
        <f>+C9*C8^3/12</f>
        <v>71458.333333333328</v>
      </c>
      <c r="D10" s="31">
        <f t="shared" ref="D10" si="5">+D9*D8^3/12</f>
        <v>13333.333333333334</v>
      </c>
      <c r="E10" s="31"/>
      <c r="F10" s="31"/>
      <c r="G10" s="31"/>
      <c r="H10" s="31"/>
      <c r="I10" s="31"/>
      <c r="J10" s="32"/>
      <c r="L10" s="76">
        <f>+B75</f>
        <v>13333.333333333334</v>
      </c>
      <c r="M10">
        <v>0.11</v>
      </c>
      <c r="N10">
        <f t="shared" si="0"/>
        <v>9.0909090909090917</v>
      </c>
      <c r="O10">
        <v>10.61</v>
      </c>
      <c r="P10">
        <f t="shared" ref="P10:P15" si="6">+O10</f>
        <v>10.61</v>
      </c>
      <c r="Q10" s="70">
        <f t="shared" si="1"/>
        <v>9.5901848784656085</v>
      </c>
      <c r="R10" s="75">
        <f t="shared" si="2"/>
        <v>0.71244635193133055</v>
      </c>
      <c r="S10">
        <f t="shared" si="3"/>
        <v>2184.7974510696404</v>
      </c>
    </row>
    <row r="11" spans="1:19" x14ac:dyDescent="0.25">
      <c r="A11" s="12" t="s">
        <v>51</v>
      </c>
      <c r="B11" s="37">
        <f>+B10/B7</f>
        <v>51.282051282051285</v>
      </c>
      <c r="C11" s="37">
        <f>+C10/C7</f>
        <v>230.51075268817203</v>
      </c>
      <c r="D11" s="37">
        <f>+D10/D7</f>
        <v>51.282051282051285</v>
      </c>
      <c r="E11" s="31"/>
      <c r="F11" s="31"/>
      <c r="G11" s="31"/>
      <c r="H11" s="31"/>
      <c r="I11" s="31"/>
      <c r="J11" s="32"/>
      <c r="L11" s="76">
        <f>+B88</f>
        <v>71458.333333333328</v>
      </c>
      <c r="M11">
        <v>0.6</v>
      </c>
      <c r="N11">
        <f t="shared" si="0"/>
        <v>1.6666666666666667</v>
      </c>
      <c r="O11">
        <v>7.62</v>
      </c>
      <c r="P11">
        <f t="shared" si="6"/>
        <v>7.62</v>
      </c>
      <c r="Q11" s="70">
        <f t="shared" si="1"/>
        <v>7.2151558732723871</v>
      </c>
      <c r="R11" s="75">
        <f t="shared" si="2"/>
        <v>1.2105263157894737</v>
      </c>
      <c r="S11">
        <f t="shared" si="3"/>
        <v>11709.148839326353</v>
      </c>
    </row>
    <row r="12" spans="1:19" ht="15.75" thickBot="1" x14ac:dyDescent="0.3">
      <c r="A12" s="41" t="s">
        <v>49</v>
      </c>
      <c r="B12" s="37">
        <f>+B11/C11</f>
        <v>0.22247140614487557</v>
      </c>
      <c r="C12" s="42"/>
      <c r="D12" s="37">
        <f>+D11/C11</f>
        <v>0.22247140614487557</v>
      </c>
      <c r="E12" s="31"/>
      <c r="F12" s="31"/>
      <c r="G12" s="31"/>
      <c r="H12" s="31"/>
      <c r="I12" s="31"/>
      <c r="J12" s="32"/>
      <c r="L12" s="76">
        <f>+B101</f>
        <v>151875</v>
      </c>
      <c r="M12">
        <v>1.27</v>
      </c>
      <c r="N12">
        <f t="shared" si="0"/>
        <v>0.78740157480314954</v>
      </c>
      <c r="O12">
        <v>6.02</v>
      </c>
      <c r="P12">
        <f t="shared" si="6"/>
        <v>6.02</v>
      </c>
      <c r="Q12" s="70">
        <f t="shared" si="1"/>
        <v>6.1653763393413001</v>
      </c>
      <c r="R12" s="75">
        <f t="shared" si="2"/>
        <v>1.4836488812392428</v>
      </c>
      <c r="S12">
        <f t="shared" si="3"/>
        <v>24886.208466090124</v>
      </c>
    </row>
    <row r="13" spans="1:19" ht="15.75" thickBot="1" x14ac:dyDescent="0.3">
      <c r="A13" s="23" t="s">
        <v>60</v>
      </c>
      <c r="B13" s="40">
        <f>+(0.5*B12+1)/(2*B12+1)</f>
        <v>0.7690516839981375</v>
      </c>
      <c r="C13" s="40"/>
      <c r="D13" s="40">
        <f>+(0.5*D12+1)/(2*D12+1)</f>
        <v>0.7690516839981375</v>
      </c>
      <c r="E13" s="34" t="s">
        <v>46</v>
      </c>
      <c r="F13" s="34" t="s">
        <v>8</v>
      </c>
      <c r="G13" s="34"/>
      <c r="H13" s="34"/>
      <c r="I13" s="34"/>
      <c r="J13" s="35"/>
      <c r="L13" s="76">
        <f>+B152</f>
        <v>71458.333333333328</v>
      </c>
      <c r="M13">
        <v>0.6</v>
      </c>
      <c r="N13">
        <f t="shared" si="0"/>
        <v>1.6666666666666667</v>
      </c>
      <c r="O13">
        <v>8.1300000000000008</v>
      </c>
      <c r="P13">
        <f t="shared" si="6"/>
        <v>8.1300000000000008</v>
      </c>
      <c r="Q13" s="70">
        <f t="shared" si="1"/>
        <v>7.2151558732723871</v>
      </c>
      <c r="R13" s="75">
        <f t="shared" si="2"/>
        <v>1.2105263157894737</v>
      </c>
      <c r="S13">
        <f t="shared" si="3"/>
        <v>11709.148839326353</v>
      </c>
    </row>
    <row r="14" spans="1:19" ht="15.75" thickBot="1" x14ac:dyDescent="0.3">
      <c r="A14" s="67" t="s">
        <v>69</v>
      </c>
      <c r="B14" s="68">
        <f>+(12*B3/B7^3)*(B13*B10+D13*D10)</f>
        <v>3360.4443178798906</v>
      </c>
      <c r="C14" s="69" t="s">
        <v>61</v>
      </c>
      <c r="E14" s="34" t="s">
        <v>62</v>
      </c>
      <c r="H14" s="34">
        <f>2*B3*B10/B7^3</f>
        <v>364.13290851160673</v>
      </c>
      <c r="I14" s="34" t="s">
        <v>63</v>
      </c>
      <c r="J14" s="35"/>
      <c r="K14" s="40">
        <f>+B14/H14</f>
        <v>9.2286202079776505</v>
      </c>
      <c r="L14" s="76">
        <f>+B176</f>
        <v>13333.333333333334</v>
      </c>
      <c r="M14">
        <v>0.02</v>
      </c>
      <c r="N14">
        <f t="shared" si="0"/>
        <v>50</v>
      </c>
      <c r="O14">
        <v>11.75</v>
      </c>
      <c r="P14">
        <f t="shared" si="6"/>
        <v>11.75</v>
      </c>
      <c r="Q14" s="70">
        <f t="shared" si="1"/>
        <v>11.976832207599404</v>
      </c>
      <c r="R14" s="75">
        <f t="shared" si="2"/>
        <v>0.54368932038834961</v>
      </c>
      <c r="S14">
        <f t="shared" si="3"/>
        <v>2184.7974510696404</v>
      </c>
    </row>
    <row r="15" spans="1:19" x14ac:dyDescent="0.25">
      <c r="A15" s="67" t="s">
        <v>70</v>
      </c>
      <c r="B15" s="34">
        <f>+(12*B3*B10/B7^3)*(1+6*1/B12)/(2+3*1/B12)</f>
        <v>3946.317953087575</v>
      </c>
      <c r="C15" s="69"/>
      <c r="D15" s="34"/>
      <c r="E15" s="34"/>
      <c r="H15" s="34"/>
      <c r="I15" s="34"/>
      <c r="J15" s="35"/>
      <c r="K15" s="34">
        <f>+B15/H14</f>
        <v>10.837575678666752</v>
      </c>
      <c r="L15" s="76">
        <f>+B164</f>
        <v>71458.333333333328</v>
      </c>
      <c r="M15">
        <v>0.28000000000000003</v>
      </c>
      <c r="N15">
        <f>1/M15</f>
        <v>3.5714285714285712</v>
      </c>
      <c r="O15">
        <v>9.61</v>
      </c>
      <c r="P15">
        <f t="shared" si="6"/>
        <v>9.61</v>
      </c>
      <c r="Q15" s="70">
        <f>6.5-1.4*LN(M15)</f>
        <v>8.2821519461380415</v>
      </c>
      <c r="R15" s="75">
        <f>+(1+6*M15)/(2+3*M15)</f>
        <v>0.94366197183098599</v>
      </c>
      <c r="S15">
        <f>12*$B$3*L15/260^3</f>
        <v>11709.148839326353</v>
      </c>
    </row>
    <row r="16" spans="1:19" x14ac:dyDescent="0.25">
      <c r="A16" s="23" t="s">
        <v>29</v>
      </c>
      <c r="B16" s="24">
        <v>240000</v>
      </c>
      <c r="C16" s="25" t="s">
        <v>30</v>
      </c>
      <c r="D16" s="25" t="s">
        <v>31</v>
      </c>
      <c r="E16" s="34"/>
      <c r="F16" s="34"/>
      <c r="G16" s="34"/>
      <c r="H16" s="34"/>
      <c r="I16" s="34" t="s">
        <v>65</v>
      </c>
      <c r="J16" s="35"/>
    </row>
    <row r="17" spans="1:11" ht="15.75" thickBot="1" x14ac:dyDescent="0.3">
      <c r="A17" s="81"/>
      <c r="B17" s="82"/>
      <c r="C17" s="82"/>
      <c r="D17" s="82"/>
      <c r="E17" s="34"/>
      <c r="F17" s="34"/>
      <c r="G17" s="34"/>
      <c r="H17" s="34"/>
      <c r="I17" s="34"/>
      <c r="J17" s="35"/>
    </row>
    <row r="18" spans="1:11" x14ac:dyDescent="0.25">
      <c r="A18" s="26"/>
      <c r="B18" s="27" t="s">
        <v>32</v>
      </c>
      <c r="C18" s="27" t="s">
        <v>33</v>
      </c>
      <c r="D18" s="27" t="s">
        <v>34</v>
      </c>
      <c r="E18" s="27" t="s">
        <v>35</v>
      </c>
      <c r="F18" s="27" t="s">
        <v>36</v>
      </c>
      <c r="G18" s="27" t="s">
        <v>37</v>
      </c>
      <c r="H18" s="27" t="s">
        <v>38</v>
      </c>
      <c r="I18" s="27" t="s">
        <v>39</v>
      </c>
      <c r="J18" s="28" t="s">
        <v>40</v>
      </c>
    </row>
    <row r="19" spans="1:11" x14ac:dyDescent="0.25">
      <c r="A19" s="23" t="s">
        <v>48</v>
      </c>
      <c r="B19" s="38">
        <v>2</v>
      </c>
      <c r="C19" s="38"/>
      <c r="D19" s="38"/>
      <c r="E19" s="38"/>
      <c r="F19" s="38"/>
      <c r="G19" s="38"/>
      <c r="H19" s="38"/>
      <c r="I19" s="38"/>
      <c r="J19" s="39"/>
    </row>
    <row r="20" spans="1:11" x14ac:dyDescent="0.25">
      <c r="A20" s="12" t="s">
        <v>41</v>
      </c>
      <c r="B20" s="29">
        <v>260</v>
      </c>
      <c r="C20" s="29">
        <v>310</v>
      </c>
      <c r="D20" s="29">
        <v>260</v>
      </c>
      <c r="E20" s="29"/>
      <c r="F20" s="29"/>
      <c r="G20" s="29"/>
      <c r="H20" s="29"/>
      <c r="I20" s="29"/>
      <c r="J20" s="30"/>
    </row>
    <row r="21" spans="1:11" x14ac:dyDescent="0.25">
      <c r="A21" s="12" t="s">
        <v>42</v>
      </c>
      <c r="B21" s="29">
        <v>35</v>
      </c>
      <c r="C21" s="29">
        <v>35</v>
      </c>
      <c r="D21" s="29">
        <v>35</v>
      </c>
      <c r="E21" s="29"/>
      <c r="F21" s="29"/>
      <c r="G21" s="29"/>
      <c r="H21" s="29"/>
      <c r="I21" s="29"/>
      <c r="J21" s="30"/>
    </row>
    <row r="22" spans="1:11" x14ac:dyDescent="0.25">
      <c r="A22" s="12" t="s">
        <v>43</v>
      </c>
      <c r="B22" s="29">
        <v>20</v>
      </c>
      <c r="C22" s="29">
        <v>20</v>
      </c>
      <c r="D22" s="29">
        <v>20</v>
      </c>
      <c r="E22" s="29"/>
      <c r="F22" s="29"/>
      <c r="G22" s="29"/>
      <c r="H22" s="29"/>
      <c r="I22" s="29"/>
      <c r="J22" s="30"/>
    </row>
    <row r="23" spans="1:11" x14ac:dyDescent="0.25">
      <c r="A23" s="12" t="s">
        <v>50</v>
      </c>
      <c r="B23" s="31">
        <f t="shared" ref="B23:D23" si="7">+B22*B21^3/12</f>
        <v>71458.333333333328</v>
      </c>
      <c r="C23" s="31">
        <f t="shared" si="7"/>
        <v>71458.333333333328</v>
      </c>
      <c r="D23" s="31">
        <f t="shared" si="7"/>
        <v>71458.333333333328</v>
      </c>
      <c r="E23" s="31"/>
      <c r="F23" s="31"/>
      <c r="G23" s="31"/>
      <c r="H23" s="31"/>
      <c r="I23" s="31"/>
      <c r="J23" s="32"/>
    </row>
    <row r="24" spans="1:11" x14ac:dyDescent="0.25">
      <c r="A24" s="12" t="s">
        <v>51</v>
      </c>
      <c r="B24" s="37">
        <f>+B23/B20</f>
        <v>274.83974358974359</v>
      </c>
      <c r="C24" s="37">
        <f>+C23/C20</f>
        <v>230.51075268817203</v>
      </c>
      <c r="D24" s="37">
        <f>+D23/D20</f>
        <v>274.83974358974359</v>
      </c>
      <c r="E24" s="31"/>
      <c r="F24" s="31"/>
      <c r="G24" s="31"/>
      <c r="H24" s="31"/>
      <c r="I24" s="31"/>
      <c r="J24" s="32"/>
    </row>
    <row r="25" spans="1:11" ht="15.75" thickBot="1" x14ac:dyDescent="0.3">
      <c r="A25" s="41" t="s">
        <v>49</v>
      </c>
      <c r="B25" s="37">
        <f>+B24/C24</f>
        <v>1.1923076923076923</v>
      </c>
      <c r="C25" s="42"/>
      <c r="D25" s="37">
        <f>+D24/C24</f>
        <v>1.1923076923076923</v>
      </c>
      <c r="E25" s="31"/>
      <c r="F25" s="31"/>
      <c r="G25" s="31"/>
      <c r="H25" s="31"/>
      <c r="I25" s="31"/>
      <c r="J25" s="32"/>
    </row>
    <row r="26" spans="1:11" ht="15.75" thickBot="1" x14ac:dyDescent="0.3">
      <c r="A26" s="23" t="s">
        <v>60</v>
      </c>
      <c r="B26" s="40">
        <f>+(0.5*B25+1)/(2*B25+1)</f>
        <v>0.47159090909090912</v>
      </c>
      <c r="C26" s="40"/>
      <c r="D26" s="40">
        <f>+(0.5*D25+1)/(2*D25+1)</f>
        <v>0.47159090909090912</v>
      </c>
      <c r="E26" s="34" t="s">
        <v>47</v>
      </c>
      <c r="F26" s="34" t="s">
        <v>9</v>
      </c>
      <c r="G26" s="34"/>
      <c r="H26" s="34"/>
      <c r="I26" s="34"/>
      <c r="J26" s="35"/>
    </row>
    <row r="27" spans="1:11" ht="15.75" thickBot="1" x14ac:dyDescent="0.3">
      <c r="A27" s="67" t="s">
        <v>69</v>
      </c>
      <c r="B27" s="68">
        <f>+(12*B16/B20^3)*(B26*B23+D26*D23)</f>
        <v>11043.856291637356</v>
      </c>
      <c r="C27" s="69" t="s">
        <v>61</v>
      </c>
      <c r="D27" s="34"/>
      <c r="E27" s="34" t="s">
        <v>62</v>
      </c>
      <c r="H27" s="34">
        <f>2*B16*B23/B20^3</f>
        <v>1951.5248065543922</v>
      </c>
      <c r="I27" s="34" t="s">
        <v>63</v>
      </c>
      <c r="J27" s="35"/>
      <c r="K27" s="40">
        <f>+B27/H27</f>
        <v>5.6590909090909092</v>
      </c>
    </row>
    <row r="28" spans="1:11" x14ac:dyDescent="0.25">
      <c r="A28" s="67" t="s">
        <v>70</v>
      </c>
      <c r="B28" s="34">
        <f>+(12*B16*B23/B20^3)*(1+6*1/B25)/(2+3*1/B25)</f>
        <v>15640.077378243059</v>
      </c>
      <c r="C28" s="69" t="s">
        <v>61</v>
      </c>
      <c r="D28" s="34"/>
      <c r="E28" s="34"/>
      <c r="H28" s="34"/>
      <c r="I28" s="34"/>
      <c r="J28" s="35"/>
      <c r="K28" s="34">
        <f>+B28/H27</f>
        <v>8.0142857142857142</v>
      </c>
    </row>
    <row r="29" spans="1:11" x14ac:dyDescent="0.25">
      <c r="A29" s="23" t="s">
        <v>29</v>
      </c>
      <c r="B29" s="24">
        <v>210000</v>
      </c>
      <c r="C29" s="25" t="s">
        <v>30</v>
      </c>
      <c r="D29" s="25" t="s">
        <v>31</v>
      </c>
      <c r="E29" s="34"/>
      <c r="F29" s="34"/>
      <c r="G29" s="34"/>
      <c r="H29" s="34"/>
      <c r="I29" s="34"/>
      <c r="J29" s="35"/>
    </row>
    <row r="30" spans="1:11" ht="15.75" thickBot="1" x14ac:dyDescent="0.3">
      <c r="A30" s="81"/>
      <c r="B30" s="82"/>
      <c r="C30" s="82"/>
      <c r="D30" s="82"/>
      <c r="E30" s="34"/>
      <c r="F30" s="34"/>
      <c r="G30" s="34"/>
      <c r="H30" s="34"/>
      <c r="I30" s="34"/>
      <c r="J30" s="35"/>
    </row>
    <row r="31" spans="1:11" x14ac:dyDescent="0.25">
      <c r="A31" s="26"/>
      <c r="B31" s="27" t="s">
        <v>32</v>
      </c>
      <c r="C31" s="27" t="s">
        <v>33</v>
      </c>
      <c r="D31" s="27" t="s">
        <v>34</v>
      </c>
      <c r="E31" s="27" t="s">
        <v>35</v>
      </c>
      <c r="F31" s="27" t="s">
        <v>36</v>
      </c>
      <c r="G31" s="27" t="s">
        <v>37</v>
      </c>
      <c r="H31" s="27" t="s">
        <v>38</v>
      </c>
      <c r="I31" s="27" t="s">
        <v>39</v>
      </c>
      <c r="J31" s="28" t="s">
        <v>40</v>
      </c>
    </row>
    <row r="32" spans="1:11" x14ac:dyDescent="0.25">
      <c r="A32" s="23" t="s">
        <v>48</v>
      </c>
      <c r="B32" s="38">
        <v>2</v>
      </c>
      <c r="C32" s="38"/>
      <c r="D32" s="38"/>
      <c r="E32" s="38"/>
      <c r="F32" s="38"/>
      <c r="G32" s="38"/>
      <c r="H32" s="38"/>
      <c r="I32" s="38"/>
      <c r="J32" s="39"/>
    </row>
    <row r="33" spans="1:11" x14ac:dyDescent="0.25">
      <c r="A33" s="12" t="s">
        <v>41</v>
      </c>
      <c r="B33" s="29">
        <v>260</v>
      </c>
      <c r="C33" s="29">
        <v>310</v>
      </c>
      <c r="D33" s="29">
        <v>260</v>
      </c>
      <c r="E33" s="29"/>
      <c r="F33" s="29"/>
      <c r="G33" s="29"/>
      <c r="H33" s="29"/>
      <c r="I33" s="29"/>
      <c r="J33" s="30"/>
    </row>
    <row r="34" spans="1:11" x14ac:dyDescent="0.25">
      <c r="A34" s="12" t="s">
        <v>42</v>
      </c>
      <c r="B34" s="29">
        <v>45</v>
      </c>
      <c r="C34" s="29">
        <v>35</v>
      </c>
      <c r="D34" s="29">
        <v>45</v>
      </c>
      <c r="E34" s="29"/>
      <c r="F34" s="29"/>
      <c r="G34" s="29"/>
      <c r="H34" s="29"/>
      <c r="I34" s="29"/>
      <c r="J34" s="30"/>
    </row>
    <row r="35" spans="1:11" x14ac:dyDescent="0.25">
      <c r="A35" s="12" t="s">
        <v>43</v>
      </c>
      <c r="B35" s="29">
        <v>20</v>
      </c>
      <c r="C35" s="29">
        <v>20</v>
      </c>
      <c r="D35" s="29">
        <v>20</v>
      </c>
      <c r="E35" s="29"/>
      <c r="F35" s="29"/>
      <c r="G35" s="29"/>
      <c r="H35" s="29"/>
      <c r="I35" s="29"/>
      <c r="J35" s="30"/>
    </row>
    <row r="36" spans="1:11" x14ac:dyDescent="0.25">
      <c r="A36" s="12" t="s">
        <v>50</v>
      </c>
      <c r="B36" s="31">
        <f t="shared" ref="B36:D36" si="8">+B35*B34^3/12</f>
        <v>151875</v>
      </c>
      <c r="C36" s="31">
        <f t="shared" si="8"/>
        <v>71458.333333333328</v>
      </c>
      <c r="D36" s="31">
        <f t="shared" si="8"/>
        <v>151875</v>
      </c>
      <c r="E36" s="31"/>
      <c r="F36" s="31"/>
      <c r="G36" s="31"/>
      <c r="H36" s="31"/>
      <c r="I36" s="31"/>
      <c r="J36" s="32"/>
    </row>
    <row r="37" spans="1:11" x14ac:dyDescent="0.25">
      <c r="A37" s="12" t="s">
        <v>51</v>
      </c>
      <c r="B37" s="37">
        <f>+B36/B33</f>
        <v>584.13461538461536</v>
      </c>
      <c r="C37" s="37">
        <f>+C36/C33</f>
        <v>230.51075268817203</v>
      </c>
      <c r="D37" s="37">
        <f>+D36/D33</f>
        <v>584.13461538461536</v>
      </c>
      <c r="E37" s="31"/>
      <c r="F37" s="31"/>
      <c r="G37" s="31"/>
      <c r="H37" s="31"/>
      <c r="I37" s="31"/>
      <c r="J37" s="32"/>
    </row>
    <row r="38" spans="1:11" ht="15.75" thickBot="1" x14ac:dyDescent="0.3">
      <c r="A38" s="41" t="s">
        <v>49</v>
      </c>
      <c r="B38" s="37">
        <f>+B37/C37</f>
        <v>2.534088360618973</v>
      </c>
      <c r="C38" s="42"/>
      <c r="D38" s="37">
        <f>+D37/C37</f>
        <v>2.534088360618973</v>
      </c>
      <c r="E38" s="31"/>
      <c r="F38" s="31"/>
      <c r="G38" s="31"/>
      <c r="H38" s="31"/>
      <c r="I38" s="31"/>
      <c r="J38" s="32"/>
    </row>
    <row r="39" spans="1:11" ht="15.75" thickBot="1" x14ac:dyDescent="0.3">
      <c r="A39" s="23" t="s">
        <v>60</v>
      </c>
      <c r="B39" s="40">
        <f>+(0.5*B38+1)/(2*B38+1)</f>
        <v>0.37359560943159142</v>
      </c>
      <c r="C39" s="40"/>
      <c r="D39" s="40">
        <f>+(0.5*D38+1)/(2*D38+1)</f>
        <v>0.37359560943159142</v>
      </c>
      <c r="E39" s="34" t="s">
        <v>47</v>
      </c>
      <c r="F39" s="34" t="s">
        <v>9</v>
      </c>
      <c r="G39" s="34"/>
      <c r="H39" s="34"/>
      <c r="I39" s="34"/>
      <c r="J39" s="35"/>
    </row>
    <row r="40" spans="1:11" ht="15.75" thickBot="1" x14ac:dyDescent="0.3">
      <c r="A40" s="67" t="s">
        <v>69</v>
      </c>
      <c r="B40" s="68">
        <f>+(12*B29/B33^3)*(B39*B36+D39*D36)</f>
        <v>16270.411882078495</v>
      </c>
      <c r="C40" s="69" t="s">
        <v>61</v>
      </c>
      <c r="D40" s="34"/>
      <c r="E40" s="34" t="s">
        <v>62</v>
      </c>
      <c r="H40" s="34">
        <f>2*B29*B36/B33^3</f>
        <v>3629.2387346381429</v>
      </c>
      <c r="I40" s="34" t="s">
        <v>63</v>
      </c>
      <c r="J40" s="35"/>
      <c r="K40" s="40">
        <f>+B40/H40</f>
        <v>4.4831473131790966</v>
      </c>
    </row>
    <row r="41" spans="1:11" x14ac:dyDescent="0.25">
      <c r="A41" s="67" t="s">
        <v>70</v>
      </c>
      <c r="B41" s="34">
        <f>+(12*B29*B36/B33^3)*(1+6*1/B38)/(2+3*1/B38)</f>
        <v>23032.894627843991</v>
      </c>
      <c r="C41" s="69" t="s">
        <v>61</v>
      </c>
      <c r="D41" s="34"/>
      <c r="E41" s="34"/>
      <c r="H41" s="34"/>
      <c r="I41" s="34"/>
      <c r="J41" s="35"/>
      <c r="K41" s="34">
        <f>+B41/H40</f>
        <v>6.3464809873248829</v>
      </c>
    </row>
    <row r="42" spans="1:11" x14ac:dyDescent="0.25">
      <c r="A42" s="23" t="s">
        <v>29</v>
      </c>
      <c r="B42" s="24">
        <v>250000</v>
      </c>
      <c r="C42" s="25" t="s">
        <v>30</v>
      </c>
      <c r="D42" s="25" t="s">
        <v>31</v>
      </c>
      <c r="E42" s="34"/>
      <c r="F42" s="34"/>
      <c r="G42" s="34"/>
      <c r="H42" s="34"/>
      <c r="I42" s="34"/>
      <c r="J42" s="35"/>
    </row>
    <row r="43" spans="1:11" ht="15.75" thickBot="1" x14ac:dyDescent="0.3">
      <c r="A43" s="81"/>
      <c r="B43" s="82"/>
      <c r="C43" s="82"/>
      <c r="D43" s="82"/>
      <c r="E43" s="34"/>
      <c r="F43" s="34"/>
      <c r="G43" s="34"/>
      <c r="H43" s="34"/>
      <c r="I43" s="34"/>
      <c r="J43" s="35"/>
    </row>
    <row r="44" spans="1:11" x14ac:dyDescent="0.25">
      <c r="A44" s="26"/>
      <c r="B44" s="27" t="s">
        <v>32</v>
      </c>
      <c r="C44" s="27" t="s">
        <v>33</v>
      </c>
      <c r="D44" s="27" t="s">
        <v>34</v>
      </c>
      <c r="E44" s="27" t="s">
        <v>35</v>
      </c>
      <c r="F44" s="27" t="s">
        <v>36</v>
      </c>
      <c r="G44" s="27" t="s">
        <v>37</v>
      </c>
      <c r="H44" s="27" t="s">
        <v>38</v>
      </c>
      <c r="I44" s="27" t="s">
        <v>39</v>
      </c>
      <c r="J44" s="28" t="s">
        <v>40</v>
      </c>
    </row>
    <row r="45" spans="1:11" x14ac:dyDescent="0.25">
      <c r="A45" s="23" t="s">
        <v>48</v>
      </c>
      <c r="B45" s="38">
        <v>2</v>
      </c>
      <c r="C45" s="38"/>
      <c r="D45" s="38"/>
      <c r="E45" s="38"/>
      <c r="F45" s="38"/>
      <c r="G45" s="38"/>
      <c r="H45" s="38"/>
      <c r="I45" s="38"/>
      <c r="J45" s="39"/>
    </row>
    <row r="46" spans="1:11" x14ac:dyDescent="0.25">
      <c r="A46" s="12" t="s">
        <v>41</v>
      </c>
      <c r="B46" s="29">
        <v>260</v>
      </c>
      <c r="C46" s="29">
        <v>310</v>
      </c>
      <c r="D46" s="29">
        <v>260</v>
      </c>
      <c r="E46" s="29"/>
      <c r="F46" s="29"/>
      <c r="G46" s="29"/>
      <c r="H46" s="29"/>
      <c r="I46" s="29"/>
      <c r="J46" s="30"/>
    </row>
    <row r="47" spans="1:11" x14ac:dyDescent="0.25">
      <c r="A47" s="12" t="s">
        <v>42</v>
      </c>
      <c r="B47" s="29">
        <v>20</v>
      </c>
      <c r="C47" s="29">
        <v>65</v>
      </c>
      <c r="D47" s="29">
        <v>20</v>
      </c>
      <c r="E47" s="29"/>
      <c r="F47" s="29"/>
      <c r="G47" s="29"/>
      <c r="H47" s="29"/>
      <c r="I47" s="29"/>
      <c r="J47" s="30"/>
    </row>
    <row r="48" spans="1:11" x14ac:dyDescent="0.25">
      <c r="A48" s="12" t="s">
        <v>43</v>
      </c>
      <c r="B48" s="29">
        <v>20</v>
      </c>
      <c r="C48" s="29">
        <v>20</v>
      </c>
      <c r="D48" s="29">
        <v>20</v>
      </c>
      <c r="E48" s="29"/>
      <c r="F48" s="29"/>
      <c r="G48" s="29"/>
      <c r="H48" s="29"/>
      <c r="I48" s="29"/>
      <c r="J48" s="30"/>
    </row>
    <row r="49" spans="1:11" x14ac:dyDescent="0.25">
      <c r="A49" s="12" t="s">
        <v>50</v>
      </c>
      <c r="B49" s="31">
        <f t="shared" ref="B49:C49" si="9">+B48*B47^3/12</f>
        <v>13333.333333333334</v>
      </c>
      <c r="C49" s="31">
        <f t="shared" si="9"/>
        <v>457708.33333333331</v>
      </c>
      <c r="D49" s="31">
        <f t="shared" ref="D49" si="10">+D48*D47^3/12</f>
        <v>13333.333333333334</v>
      </c>
      <c r="E49" s="31"/>
      <c r="F49" s="31"/>
      <c r="G49" s="31"/>
      <c r="H49" s="31"/>
      <c r="I49" s="31"/>
      <c r="J49" s="32"/>
    </row>
    <row r="50" spans="1:11" x14ac:dyDescent="0.25">
      <c r="A50" s="12" t="s">
        <v>51</v>
      </c>
      <c r="B50" s="37">
        <f>+B49/B46</f>
        <v>51.282051282051285</v>
      </c>
      <c r="C50" s="37">
        <f>+C49/C46</f>
        <v>1476.4784946236559</v>
      </c>
      <c r="D50" s="37">
        <f>+D49/D46</f>
        <v>51.282051282051285</v>
      </c>
      <c r="E50" s="31"/>
      <c r="F50" s="31"/>
      <c r="G50" s="31"/>
      <c r="H50" s="31"/>
      <c r="I50" s="31"/>
      <c r="J50" s="32"/>
    </row>
    <row r="51" spans="1:11" ht="15.75" thickBot="1" x14ac:dyDescent="0.3">
      <c r="A51" s="41" t="s">
        <v>49</v>
      </c>
      <c r="B51" s="37">
        <f>+B50/C50</f>
        <v>3.4732677427260952E-2</v>
      </c>
      <c r="C51" s="42"/>
      <c r="D51" s="37">
        <f>+D50/C50</f>
        <v>3.4732677427260952E-2</v>
      </c>
      <c r="E51" s="31"/>
      <c r="F51" s="31"/>
      <c r="G51" s="31"/>
      <c r="H51" s="31"/>
      <c r="I51" s="31"/>
      <c r="J51" s="32"/>
    </row>
    <row r="52" spans="1:11" ht="15.75" thickBot="1" x14ac:dyDescent="0.3">
      <c r="A52" s="23" t="s">
        <v>60</v>
      </c>
      <c r="B52" s="40">
        <f>+(0.5*B51+1)/(2*B51+1)</f>
        <v>0.95128498935996075</v>
      </c>
      <c r="C52" s="40"/>
      <c r="D52" s="40">
        <f>+(0.5*D51+1)/(2*D51+1)</f>
        <v>0.95128498935996075</v>
      </c>
      <c r="E52" s="34" t="s">
        <v>47</v>
      </c>
      <c r="F52" s="34" t="s">
        <v>9</v>
      </c>
      <c r="G52" s="34"/>
      <c r="H52" s="34"/>
      <c r="I52" s="34"/>
      <c r="J52" s="35"/>
    </row>
    <row r="53" spans="1:11" ht="15.75" thickBot="1" x14ac:dyDescent="0.3">
      <c r="A53" s="67" t="s">
        <v>69</v>
      </c>
      <c r="B53" s="68">
        <f>+(12*B42/B46^3)*(B52*B49+D52*D49)</f>
        <v>4329.9271249884423</v>
      </c>
      <c r="C53" s="69" t="s">
        <v>61</v>
      </c>
      <c r="D53" s="34"/>
      <c r="E53" s="34" t="s">
        <v>62</v>
      </c>
      <c r="H53" s="34">
        <f>2*B42*B49/B46^3</f>
        <v>379.30511303292371</v>
      </c>
      <c r="I53" s="34" t="s">
        <v>63</v>
      </c>
      <c r="J53" s="35"/>
      <c r="K53" s="40">
        <f>+B53/H53</f>
        <v>11.415419872319529</v>
      </c>
    </row>
    <row r="54" spans="1:11" x14ac:dyDescent="0.25">
      <c r="A54" s="67" t="s">
        <v>70</v>
      </c>
      <c r="B54" s="34">
        <f>+(12*B42*B49/B46^3)*(1+6*1/B51)/(2+3*1/B51)</f>
        <v>4474.4045539686758</v>
      </c>
      <c r="C54" s="69" t="s">
        <v>61</v>
      </c>
      <c r="D54" s="34"/>
      <c r="E54" s="34"/>
      <c r="H54" s="34"/>
      <c r="I54" s="34"/>
      <c r="J54" s="35"/>
      <c r="K54" s="34">
        <f>+B54/H53</f>
        <v>11.796320166083015</v>
      </c>
    </row>
    <row r="55" spans="1:11" x14ac:dyDescent="0.25">
      <c r="A55" s="23" t="s">
        <v>29</v>
      </c>
      <c r="B55" s="24">
        <v>250000</v>
      </c>
      <c r="C55" s="25" t="s">
        <v>30</v>
      </c>
      <c r="D55" s="25" t="s">
        <v>31</v>
      </c>
      <c r="E55" s="34"/>
      <c r="F55" s="34"/>
      <c r="G55" s="34"/>
      <c r="H55" s="34"/>
      <c r="I55" s="34"/>
      <c r="J55" s="35"/>
    </row>
    <row r="56" spans="1:11" ht="15.75" thickBot="1" x14ac:dyDescent="0.3">
      <c r="A56" s="81" t="s">
        <v>53</v>
      </c>
      <c r="B56" s="82"/>
      <c r="C56" s="82"/>
      <c r="D56" s="82"/>
      <c r="E56" s="34"/>
      <c r="F56" s="34"/>
      <c r="G56" s="34"/>
      <c r="H56" s="34"/>
      <c r="I56" s="34"/>
      <c r="J56" s="35"/>
    </row>
    <row r="57" spans="1:11" x14ac:dyDescent="0.25">
      <c r="A57" s="26"/>
      <c r="B57" s="27" t="s">
        <v>32</v>
      </c>
      <c r="C57" s="27" t="s">
        <v>33</v>
      </c>
      <c r="D57" s="27" t="s">
        <v>34</v>
      </c>
      <c r="E57" s="27" t="s">
        <v>35</v>
      </c>
      <c r="F57" s="27" t="s">
        <v>36</v>
      </c>
      <c r="G57" s="27" t="s">
        <v>37</v>
      </c>
      <c r="H57" s="27" t="s">
        <v>38</v>
      </c>
      <c r="I57" s="27" t="s">
        <v>39</v>
      </c>
      <c r="J57" s="28" t="s">
        <v>40</v>
      </c>
    </row>
    <row r="58" spans="1:11" x14ac:dyDescent="0.25">
      <c r="A58" s="23" t="s">
        <v>48</v>
      </c>
      <c r="B58" s="38">
        <v>2</v>
      </c>
      <c r="C58" s="38"/>
      <c r="D58" s="38"/>
      <c r="E58" s="38"/>
      <c r="F58" s="38"/>
      <c r="G58" s="38"/>
      <c r="H58" s="38"/>
      <c r="I58" s="38"/>
      <c r="J58" s="39"/>
    </row>
    <row r="59" spans="1:11" x14ac:dyDescent="0.25">
      <c r="A59" s="12" t="s">
        <v>41</v>
      </c>
      <c r="B59" s="29">
        <v>260</v>
      </c>
      <c r="C59" s="29">
        <v>310</v>
      </c>
      <c r="D59" s="29">
        <v>260</v>
      </c>
      <c r="E59" s="29"/>
      <c r="F59" s="29"/>
      <c r="G59" s="29"/>
      <c r="H59" s="29"/>
      <c r="I59" s="29"/>
      <c r="J59" s="30"/>
    </row>
    <row r="60" spans="1:11" x14ac:dyDescent="0.25">
      <c r="A60" s="12" t="s">
        <v>42</v>
      </c>
      <c r="B60" s="29">
        <v>65</v>
      </c>
      <c r="C60" s="29">
        <v>65</v>
      </c>
      <c r="D60" s="29">
        <v>65</v>
      </c>
      <c r="E60" s="29"/>
      <c r="F60" s="29"/>
      <c r="G60" s="29"/>
      <c r="H60" s="29"/>
      <c r="I60" s="29"/>
      <c r="J60" s="30"/>
    </row>
    <row r="61" spans="1:11" x14ac:dyDescent="0.25">
      <c r="A61" s="12" t="s">
        <v>43</v>
      </c>
      <c r="B61" s="29">
        <v>20</v>
      </c>
      <c r="C61" s="29">
        <v>20</v>
      </c>
      <c r="D61" s="29">
        <v>20</v>
      </c>
      <c r="E61" s="29"/>
      <c r="F61" s="29"/>
      <c r="G61" s="29"/>
      <c r="H61" s="29"/>
      <c r="I61" s="29"/>
      <c r="J61" s="30"/>
    </row>
    <row r="62" spans="1:11" x14ac:dyDescent="0.25">
      <c r="A62" s="12" t="s">
        <v>50</v>
      </c>
      <c r="B62" s="31">
        <f t="shared" ref="B62:C62" si="11">+B61*B60^3/12</f>
        <v>457708.33333333331</v>
      </c>
      <c r="C62" s="31">
        <f t="shared" si="11"/>
        <v>457708.33333333331</v>
      </c>
      <c r="D62" s="31">
        <f t="shared" ref="D62" si="12">+D61*D60^3/12</f>
        <v>457708.33333333331</v>
      </c>
      <c r="E62" s="31"/>
      <c r="F62" s="31"/>
      <c r="G62" s="31"/>
      <c r="H62" s="31"/>
      <c r="I62" s="31"/>
      <c r="J62" s="32"/>
    </row>
    <row r="63" spans="1:11" x14ac:dyDescent="0.25">
      <c r="A63" s="12" t="s">
        <v>51</v>
      </c>
      <c r="B63" s="37">
        <f>+B62/B59</f>
        <v>1760.4166666666665</v>
      </c>
      <c r="C63" s="37">
        <f>+C62/C59</f>
        <v>1476.4784946236559</v>
      </c>
      <c r="D63" s="37">
        <f>+D62/D59</f>
        <v>1760.4166666666665</v>
      </c>
      <c r="E63" s="31"/>
      <c r="F63" s="31"/>
      <c r="G63" s="31"/>
      <c r="H63" s="31"/>
      <c r="I63" s="31"/>
      <c r="J63" s="32"/>
    </row>
    <row r="64" spans="1:11" ht="15.75" thickBot="1" x14ac:dyDescent="0.3">
      <c r="A64" s="41" t="s">
        <v>49</v>
      </c>
      <c r="B64" s="37">
        <f>+B63/C63</f>
        <v>1.1923076923076923</v>
      </c>
      <c r="C64" s="42"/>
      <c r="D64" s="37">
        <f>+D63/C63</f>
        <v>1.1923076923076923</v>
      </c>
      <c r="E64" s="31"/>
      <c r="F64" s="31"/>
      <c r="G64" s="31"/>
      <c r="H64" s="31"/>
      <c r="I64" s="31"/>
      <c r="J64" s="32"/>
    </row>
    <row r="65" spans="1:11" ht="15.75" thickBot="1" x14ac:dyDescent="0.3">
      <c r="A65" s="23" t="s">
        <v>60</v>
      </c>
      <c r="B65" s="40">
        <f>+(0.5*B64+1)/(2*B64+1)</f>
        <v>0.47159090909090912</v>
      </c>
      <c r="C65" s="40"/>
      <c r="D65" s="40">
        <f>+(0.5*D64+1)/(2*D64+1)</f>
        <v>0.47159090909090912</v>
      </c>
      <c r="E65" s="34" t="s">
        <v>47</v>
      </c>
      <c r="F65" s="34" t="s">
        <v>9</v>
      </c>
      <c r="G65" s="34"/>
      <c r="H65" s="34"/>
      <c r="I65" s="34"/>
      <c r="J65" s="35"/>
    </row>
    <row r="66" spans="1:11" ht="15.75" thickBot="1" x14ac:dyDescent="0.3">
      <c r="A66" s="67" t="s">
        <v>69</v>
      </c>
      <c r="B66" s="68">
        <f>+(12*B55/B59^3)*(B65*B62+D65*D62)</f>
        <v>73686.079545454544</v>
      </c>
      <c r="C66" s="69" t="s">
        <v>61</v>
      </c>
      <c r="D66" s="34"/>
      <c r="E66" s="34" t="s">
        <v>62</v>
      </c>
      <c r="H66" s="34">
        <f>2*B55*B62/B59^3</f>
        <v>13020.833333333332</v>
      </c>
      <c r="I66" s="34" t="s">
        <v>63</v>
      </c>
      <c r="J66" s="35"/>
      <c r="K66" s="70">
        <f>+B66/H66</f>
        <v>5.6590909090909092</v>
      </c>
    </row>
    <row r="67" spans="1:11" ht="15.75" thickBot="1" x14ac:dyDescent="0.3">
      <c r="A67" s="67" t="s">
        <v>70</v>
      </c>
      <c r="B67" s="34">
        <f>+(12*B55*B62/B59^3)*(1+6*1/B64)/(2+3*1/B64)</f>
        <v>104352.67857142859</v>
      </c>
      <c r="C67" s="69" t="s">
        <v>61</v>
      </c>
      <c r="D67" s="34"/>
      <c r="E67" s="34"/>
      <c r="H67" s="34"/>
      <c r="I67" s="34"/>
      <c r="J67" s="35"/>
      <c r="K67" s="34">
        <f>+B67/H66</f>
        <v>8.014285714285716</v>
      </c>
    </row>
    <row r="68" spans="1:11" x14ac:dyDescent="0.25">
      <c r="A68" s="26" t="s">
        <v>29</v>
      </c>
      <c r="B68" s="46">
        <v>210000</v>
      </c>
      <c r="C68" s="47" t="s">
        <v>30</v>
      </c>
      <c r="D68" s="47" t="s">
        <v>31</v>
      </c>
      <c r="E68" s="48"/>
      <c r="F68" s="48"/>
      <c r="G68" s="48"/>
      <c r="H68" s="48"/>
      <c r="I68" s="48"/>
      <c r="J68" s="49"/>
    </row>
    <row r="69" spans="1:11" ht="15.75" thickBot="1" x14ac:dyDescent="0.3">
      <c r="A69" s="81"/>
      <c r="B69" s="82"/>
      <c r="C69" s="82"/>
      <c r="D69" s="82"/>
      <c r="E69" s="34"/>
      <c r="F69" s="34"/>
      <c r="G69" s="34"/>
      <c r="H69" s="34"/>
      <c r="I69" s="34"/>
      <c r="J69" s="35"/>
    </row>
    <row r="70" spans="1:11" x14ac:dyDescent="0.25">
      <c r="A70" s="26"/>
      <c r="B70" s="27" t="s">
        <v>32</v>
      </c>
      <c r="C70" s="27" t="s">
        <v>33</v>
      </c>
      <c r="D70" s="27" t="s">
        <v>34</v>
      </c>
      <c r="E70" s="27" t="s">
        <v>35</v>
      </c>
      <c r="F70" s="27" t="s">
        <v>36</v>
      </c>
      <c r="G70" s="27" t="s">
        <v>37</v>
      </c>
      <c r="H70" s="27" t="s">
        <v>38</v>
      </c>
      <c r="I70" s="27" t="s">
        <v>39</v>
      </c>
      <c r="J70" s="28" t="s">
        <v>40</v>
      </c>
    </row>
    <row r="71" spans="1:11" x14ac:dyDescent="0.25">
      <c r="A71" s="23" t="s">
        <v>48</v>
      </c>
      <c r="B71" s="38">
        <v>3</v>
      </c>
      <c r="C71" s="38"/>
      <c r="D71" s="38"/>
      <c r="E71" s="38"/>
      <c r="F71" s="38"/>
      <c r="G71" s="38"/>
      <c r="H71" s="38"/>
      <c r="I71" s="38"/>
      <c r="J71" s="39"/>
    </row>
    <row r="72" spans="1:11" x14ac:dyDescent="0.25">
      <c r="A72" s="12" t="s">
        <v>41</v>
      </c>
      <c r="B72" s="29">
        <v>260</v>
      </c>
      <c r="C72" s="29">
        <v>155</v>
      </c>
      <c r="D72" s="29">
        <v>260</v>
      </c>
      <c r="E72" s="29">
        <v>155</v>
      </c>
      <c r="F72" s="29">
        <v>260</v>
      </c>
      <c r="G72" s="29"/>
      <c r="H72" s="29"/>
      <c r="I72" s="29"/>
      <c r="J72" s="30"/>
    </row>
    <row r="73" spans="1:11" x14ac:dyDescent="0.25">
      <c r="A73" s="12" t="s">
        <v>42</v>
      </c>
      <c r="B73" s="29">
        <v>20</v>
      </c>
      <c r="C73" s="29">
        <v>35</v>
      </c>
      <c r="D73" s="29">
        <v>20</v>
      </c>
      <c r="E73" s="29">
        <v>35</v>
      </c>
      <c r="F73" s="29">
        <v>20</v>
      </c>
      <c r="G73" s="29"/>
      <c r="H73" s="29"/>
      <c r="I73" s="29"/>
      <c r="J73" s="30"/>
    </row>
    <row r="74" spans="1:11" x14ac:dyDescent="0.25">
      <c r="A74" s="12" t="s">
        <v>43</v>
      </c>
      <c r="B74" s="29">
        <v>20</v>
      </c>
      <c r="C74" s="29">
        <v>20</v>
      </c>
      <c r="D74" s="29">
        <v>20</v>
      </c>
      <c r="E74" s="29">
        <v>20</v>
      </c>
      <c r="F74" s="29">
        <v>20</v>
      </c>
      <c r="G74" s="29"/>
      <c r="H74" s="29"/>
      <c r="I74" s="29"/>
      <c r="J74" s="30"/>
    </row>
    <row r="75" spans="1:11" x14ac:dyDescent="0.25">
      <c r="A75" s="12" t="s">
        <v>50</v>
      </c>
      <c r="B75" s="31">
        <f t="shared" ref="B75:D75" si="13">+B74*B73^3/12</f>
        <v>13333.333333333334</v>
      </c>
      <c r="C75" s="31">
        <f t="shared" si="13"/>
        <v>71458.333333333328</v>
      </c>
      <c r="D75" s="31">
        <f t="shared" si="13"/>
        <v>13333.333333333334</v>
      </c>
      <c r="E75" s="31">
        <f t="shared" ref="E75:F75" si="14">+E74*E73^3/12</f>
        <v>71458.333333333328</v>
      </c>
      <c r="F75" s="31">
        <f t="shared" si="14"/>
        <v>13333.333333333334</v>
      </c>
      <c r="G75" s="31"/>
      <c r="H75" s="31"/>
      <c r="I75" s="31"/>
      <c r="J75" s="32"/>
    </row>
    <row r="76" spans="1:11" x14ac:dyDescent="0.25">
      <c r="A76" s="12" t="s">
        <v>51</v>
      </c>
      <c r="B76" s="37">
        <f>+B75/B72</f>
        <v>51.282051282051285</v>
      </c>
      <c r="C76" s="37">
        <f>+C75/C72</f>
        <v>461.02150537634407</v>
      </c>
      <c r="D76" s="37">
        <f>+D75/D72</f>
        <v>51.282051282051285</v>
      </c>
      <c r="E76" s="37">
        <f>+E75/E72</f>
        <v>461.02150537634407</v>
      </c>
      <c r="F76" s="37">
        <f>+F75/F72</f>
        <v>51.282051282051285</v>
      </c>
      <c r="G76" s="31"/>
      <c r="H76" s="31"/>
      <c r="I76" s="31"/>
      <c r="J76" s="32"/>
    </row>
    <row r="77" spans="1:11" x14ac:dyDescent="0.25">
      <c r="A77" s="41" t="s">
        <v>49</v>
      </c>
      <c r="B77" s="37">
        <f>+B76/C76</f>
        <v>0.11123570307243778</v>
      </c>
      <c r="C77" s="37"/>
      <c r="D77" s="37">
        <f>+D76/(C76+E76)</f>
        <v>5.5617851536218892E-2</v>
      </c>
      <c r="E77" s="37"/>
      <c r="F77" s="37">
        <f>+F76/E76</f>
        <v>0.11123570307243778</v>
      </c>
      <c r="G77" s="31"/>
      <c r="H77" s="31"/>
      <c r="I77" s="31"/>
      <c r="J77" s="32"/>
    </row>
    <row r="78" spans="1:11" ht="15.75" thickBot="1" x14ac:dyDescent="0.3">
      <c r="A78" s="43" t="s">
        <v>52</v>
      </c>
      <c r="B78" s="34">
        <f>(0.5*B77+1)/(2*B77+1)</f>
        <v>0.86351128233351671</v>
      </c>
      <c r="C78" s="34"/>
      <c r="D78" s="34">
        <f>(0.5*D77+1)/(2*D77+1)</f>
        <v>0.92492431886982829</v>
      </c>
      <c r="E78" s="34"/>
      <c r="F78" s="34">
        <f>(0.5*F77+1)/(2*F77+1)</f>
        <v>0.86351128233351671</v>
      </c>
      <c r="G78" s="44"/>
      <c r="H78" s="44"/>
      <c r="I78" s="44"/>
      <c r="J78" s="45"/>
    </row>
    <row r="79" spans="1:11" ht="15.75" thickBot="1" x14ac:dyDescent="0.3">
      <c r="A79" s="67" t="s">
        <v>0</v>
      </c>
      <c r="B79" s="68">
        <f>+(12*B68/B72^3)*(B78*B75+D78*D75+F78*F75)</f>
        <v>5069.720942582986</v>
      </c>
      <c r="C79" s="69" t="s">
        <v>61</v>
      </c>
      <c r="D79" s="34"/>
      <c r="E79" s="34" t="s">
        <v>64</v>
      </c>
      <c r="H79" s="34">
        <f>3*B68*B75/B72^3</f>
        <v>477.92444242148383</v>
      </c>
      <c r="I79" s="34" t="s">
        <v>63</v>
      </c>
      <c r="J79" s="35"/>
      <c r="K79" s="70">
        <f>+B79/H79</f>
        <v>10.607787534147448</v>
      </c>
    </row>
    <row r="80" spans="1:11" ht="15.75" thickBot="1" x14ac:dyDescent="0.3"/>
    <row r="81" spans="1:11" x14ac:dyDescent="0.25">
      <c r="A81" s="26" t="s">
        <v>29</v>
      </c>
      <c r="B81" s="46">
        <v>250000</v>
      </c>
      <c r="C81" s="47" t="s">
        <v>30</v>
      </c>
      <c r="D81" s="47" t="s">
        <v>31</v>
      </c>
      <c r="E81" s="48"/>
      <c r="F81" s="48"/>
      <c r="G81" s="48"/>
      <c r="H81" s="48"/>
      <c r="I81" s="48"/>
      <c r="J81" s="49"/>
    </row>
    <row r="82" spans="1:11" ht="15.75" thickBot="1" x14ac:dyDescent="0.3">
      <c r="A82" s="81"/>
      <c r="B82" s="82"/>
      <c r="C82" s="82"/>
      <c r="D82" s="82"/>
      <c r="E82" s="34"/>
      <c r="F82" s="34"/>
      <c r="G82" s="34"/>
      <c r="H82" s="34"/>
      <c r="I82" s="34"/>
      <c r="J82" s="35"/>
    </row>
    <row r="83" spans="1:11" x14ac:dyDescent="0.25">
      <c r="A83" s="26"/>
      <c r="B83" s="27" t="s">
        <v>32</v>
      </c>
      <c r="C83" s="27" t="s">
        <v>33</v>
      </c>
      <c r="D83" s="27" t="s">
        <v>34</v>
      </c>
      <c r="E83" s="27" t="s">
        <v>35</v>
      </c>
      <c r="F83" s="27" t="s">
        <v>36</v>
      </c>
      <c r="G83" s="27" t="s">
        <v>37</v>
      </c>
      <c r="H83" s="27" t="s">
        <v>38</v>
      </c>
      <c r="I83" s="27" t="s">
        <v>39</v>
      </c>
      <c r="J83" s="28" t="s">
        <v>40</v>
      </c>
    </row>
    <row r="84" spans="1:11" x14ac:dyDescent="0.25">
      <c r="A84" s="23" t="s">
        <v>48</v>
      </c>
      <c r="B84" s="38">
        <v>3</v>
      </c>
      <c r="C84" s="38"/>
      <c r="D84" s="38"/>
      <c r="E84" s="38"/>
      <c r="F84" s="38"/>
      <c r="G84" s="38"/>
      <c r="H84" s="38"/>
      <c r="I84" s="38"/>
      <c r="J84" s="39"/>
    </row>
    <row r="85" spans="1:11" x14ac:dyDescent="0.25">
      <c r="A85" s="12" t="s">
        <v>41</v>
      </c>
      <c r="B85" s="29">
        <v>260</v>
      </c>
      <c r="C85" s="29">
        <v>155</v>
      </c>
      <c r="D85" s="29">
        <v>260</v>
      </c>
      <c r="E85" s="29">
        <v>155</v>
      </c>
      <c r="F85" s="29">
        <v>260</v>
      </c>
      <c r="G85" s="29"/>
      <c r="H85" s="29"/>
      <c r="I85" s="29"/>
      <c r="J85" s="30"/>
    </row>
    <row r="86" spans="1:11" x14ac:dyDescent="0.25">
      <c r="A86" s="12" t="s">
        <v>42</v>
      </c>
      <c r="B86" s="29">
        <v>35</v>
      </c>
      <c r="C86" s="29">
        <v>35</v>
      </c>
      <c r="D86" s="29">
        <v>35</v>
      </c>
      <c r="E86" s="29">
        <v>35</v>
      </c>
      <c r="F86" s="29">
        <v>35</v>
      </c>
      <c r="G86" s="29"/>
      <c r="H86" s="29"/>
      <c r="I86" s="29"/>
      <c r="J86" s="30"/>
    </row>
    <row r="87" spans="1:11" x14ac:dyDescent="0.25">
      <c r="A87" s="12" t="s">
        <v>43</v>
      </c>
      <c r="B87" s="29">
        <v>20</v>
      </c>
      <c r="C87" s="29">
        <v>20</v>
      </c>
      <c r="D87" s="29">
        <v>20</v>
      </c>
      <c r="E87" s="29">
        <v>20</v>
      </c>
      <c r="F87" s="29">
        <v>20</v>
      </c>
      <c r="G87" s="29"/>
      <c r="H87" s="29"/>
      <c r="I87" s="29"/>
      <c r="J87" s="30"/>
    </row>
    <row r="88" spans="1:11" x14ac:dyDescent="0.25">
      <c r="A88" s="12" t="s">
        <v>50</v>
      </c>
      <c r="B88" s="31">
        <f t="shared" ref="B88:F88" si="15">+B87*B86^3/12</f>
        <v>71458.333333333328</v>
      </c>
      <c r="C88" s="31">
        <f t="shared" si="15"/>
        <v>71458.333333333328</v>
      </c>
      <c r="D88" s="31">
        <f t="shared" si="15"/>
        <v>71458.333333333328</v>
      </c>
      <c r="E88" s="31">
        <f t="shared" si="15"/>
        <v>71458.333333333328</v>
      </c>
      <c r="F88" s="31">
        <f t="shared" si="15"/>
        <v>71458.333333333328</v>
      </c>
      <c r="G88" s="31"/>
      <c r="H88" s="31"/>
      <c r="I88" s="31"/>
      <c r="J88" s="32"/>
    </row>
    <row r="89" spans="1:11" x14ac:dyDescent="0.25">
      <c r="A89" s="12" t="s">
        <v>51</v>
      </c>
      <c r="B89" s="37">
        <f>+B88/B85</f>
        <v>274.83974358974359</v>
      </c>
      <c r="C89" s="37">
        <f>+C88/C85</f>
        <v>461.02150537634407</v>
      </c>
      <c r="D89" s="37">
        <f>+D88/D85</f>
        <v>274.83974358974359</v>
      </c>
      <c r="E89" s="37">
        <f>+E88/E85</f>
        <v>461.02150537634407</v>
      </c>
      <c r="F89" s="37">
        <f>+F88/F85</f>
        <v>274.83974358974359</v>
      </c>
      <c r="G89" s="31"/>
      <c r="H89" s="31"/>
      <c r="I89" s="31"/>
      <c r="J89" s="32"/>
    </row>
    <row r="90" spans="1:11" x14ac:dyDescent="0.25">
      <c r="A90" s="41" t="s">
        <v>49</v>
      </c>
      <c r="B90" s="37">
        <f>+B89/C89</f>
        <v>0.59615384615384615</v>
      </c>
      <c r="C90" s="37"/>
      <c r="D90" s="37">
        <f>+D89/(C89+E89)</f>
        <v>0.29807692307692307</v>
      </c>
      <c r="E90" s="37"/>
      <c r="F90" s="37">
        <f>+F89/E89</f>
        <v>0.59615384615384615</v>
      </c>
      <c r="G90" s="31"/>
      <c r="H90" s="31"/>
      <c r="I90" s="31"/>
      <c r="J90" s="32"/>
    </row>
    <row r="91" spans="1:11" ht="15.75" thickBot="1" x14ac:dyDescent="0.3">
      <c r="A91" s="52" t="s">
        <v>52</v>
      </c>
      <c r="B91" s="33">
        <f>(0.5*B90+1)/(2*B90+1)</f>
        <v>0.59210526315789469</v>
      </c>
      <c r="C91" s="33"/>
      <c r="D91" s="33">
        <f>(0.5*D90+1)/(2*D90+1)</f>
        <v>0.719879518072289</v>
      </c>
      <c r="E91" s="33"/>
      <c r="F91" s="33">
        <f>(0.5*F90+1)/(2*F90+1)</f>
        <v>0.59210526315789469</v>
      </c>
      <c r="G91" s="53"/>
      <c r="H91" s="53"/>
      <c r="I91" s="53"/>
      <c r="J91" s="54"/>
    </row>
    <row r="92" spans="1:11" ht="15.75" thickBot="1" x14ac:dyDescent="0.3">
      <c r="A92" s="67" t="s">
        <v>0</v>
      </c>
      <c r="B92" s="68">
        <f>+(12*B81/B85^3)*(B91*B88+D91*D88+F91*F88)</f>
        <v>23224.243472103677</v>
      </c>
      <c r="C92" s="69" t="s">
        <v>61</v>
      </c>
      <c r="D92" s="34"/>
      <c r="E92" s="34" t="s">
        <v>64</v>
      </c>
      <c r="H92" s="34">
        <f>3*B81*B88/B85^3</f>
        <v>3049.2575102412379</v>
      </c>
      <c r="I92" s="34" t="s">
        <v>63</v>
      </c>
      <c r="J92" s="35"/>
      <c r="K92" s="70">
        <f>+B92/H92</f>
        <v>7.6163601775523126</v>
      </c>
    </row>
    <row r="93" spans="1:11" ht="15.75" thickBot="1" x14ac:dyDescent="0.3">
      <c r="A93" s="36"/>
      <c r="B93" s="51"/>
      <c r="C93" s="51"/>
      <c r="D93" s="33"/>
      <c r="E93" s="33"/>
      <c r="F93" s="33"/>
      <c r="G93" s="33"/>
      <c r="H93" s="33"/>
      <c r="I93" s="33"/>
      <c r="J93" s="50"/>
    </row>
    <row r="94" spans="1:11" x14ac:dyDescent="0.25">
      <c r="A94" s="26" t="s">
        <v>29</v>
      </c>
      <c r="B94" s="46">
        <v>250000</v>
      </c>
      <c r="C94" s="47" t="s">
        <v>30</v>
      </c>
      <c r="D94" s="47" t="s">
        <v>31</v>
      </c>
      <c r="E94" s="48"/>
      <c r="F94" s="48"/>
      <c r="G94" s="48"/>
      <c r="H94" s="48"/>
      <c r="I94" s="48"/>
      <c r="J94" s="49"/>
    </row>
    <row r="95" spans="1:11" ht="15.75" thickBot="1" x14ac:dyDescent="0.3">
      <c r="A95" s="81"/>
      <c r="B95" s="82"/>
      <c r="C95" s="82"/>
      <c r="D95" s="82"/>
      <c r="E95" s="34"/>
      <c r="F95" s="34"/>
      <c r="G95" s="34"/>
      <c r="H95" s="34"/>
      <c r="I95" s="34"/>
      <c r="J95" s="35"/>
    </row>
    <row r="96" spans="1:11" x14ac:dyDescent="0.25">
      <c r="A96" s="26"/>
      <c r="B96" s="27" t="s">
        <v>32</v>
      </c>
      <c r="C96" s="27" t="s">
        <v>33</v>
      </c>
      <c r="D96" s="27" t="s">
        <v>34</v>
      </c>
      <c r="E96" s="27" t="s">
        <v>35</v>
      </c>
      <c r="F96" s="27" t="s">
        <v>36</v>
      </c>
      <c r="G96" s="27" t="s">
        <v>37</v>
      </c>
      <c r="H96" s="27" t="s">
        <v>38</v>
      </c>
      <c r="I96" s="27" t="s">
        <v>39</v>
      </c>
      <c r="J96" s="28" t="s">
        <v>40</v>
      </c>
    </row>
    <row r="97" spans="1:11" x14ac:dyDescent="0.25">
      <c r="A97" s="23" t="s">
        <v>48</v>
      </c>
      <c r="B97" s="38">
        <v>3</v>
      </c>
      <c r="C97" s="38"/>
      <c r="D97" s="38"/>
      <c r="E97" s="38"/>
      <c r="F97" s="38"/>
      <c r="G97" s="38"/>
      <c r="H97" s="38"/>
      <c r="I97" s="38"/>
      <c r="J97" s="39"/>
    </row>
    <row r="98" spans="1:11" x14ac:dyDescent="0.25">
      <c r="A98" s="12" t="s">
        <v>41</v>
      </c>
      <c r="B98" s="29">
        <v>260</v>
      </c>
      <c r="C98" s="29">
        <v>155</v>
      </c>
      <c r="D98" s="29">
        <v>260</v>
      </c>
      <c r="E98" s="29">
        <v>155</v>
      </c>
      <c r="F98" s="29">
        <v>260</v>
      </c>
      <c r="G98" s="29"/>
      <c r="H98" s="29"/>
      <c r="I98" s="29"/>
      <c r="J98" s="30"/>
    </row>
    <row r="99" spans="1:11" x14ac:dyDescent="0.25">
      <c r="A99" s="12" t="s">
        <v>42</v>
      </c>
      <c r="B99" s="29">
        <v>45</v>
      </c>
      <c r="C99" s="29">
        <v>35</v>
      </c>
      <c r="D99" s="29">
        <v>45</v>
      </c>
      <c r="E99" s="29">
        <v>35</v>
      </c>
      <c r="F99" s="29">
        <v>45</v>
      </c>
      <c r="G99" s="29"/>
      <c r="H99" s="29"/>
      <c r="I99" s="29"/>
      <c r="J99" s="30"/>
    </row>
    <row r="100" spans="1:11" x14ac:dyDescent="0.25">
      <c r="A100" s="12" t="s">
        <v>43</v>
      </c>
      <c r="B100" s="29">
        <v>20</v>
      </c>
      <c r="C100" s="29">
        <v>20</v>
      </c>
      <c r="D100" s="29">
        <v>20</v>
      </c>
      <c r="E100" s="29">
        <v>20</v>
      </c>
      <c r="F100" s="29">
        <v>20</v>
      </c>
      <c r="G100" s="29"/>
      <c r="H100" s="29"/>
      <c r="I100" s="29"/>
      <c r="J100" s="30"/>
    </row>
    <row r="101" spans="1:11" x14ac:dyDescent="0.25">
      <c r="A101" s="12" t="s">
        <v>50</v>
      </c>
      <c r="B101" s="31">
        <f t="shared" ref="B101:F101" si="16">+B100*B99^3/12</f>
        <v>151875</v>
      </c>
      <c r="C101" s="31">
        <f t="shared" si="16"/>
        <v>71458.333333333328</v>
      </c>
      <c r="D101" s="31">
        <f t="shared" si="16"/>
        <v>151875</v>
      </c>
      <c r="E101" s="31">
        <f t="shared" si="16"/>
        <v>71458.333333333328</v>
      </c>
      <c r="F101" s="31">
        <f t="shared" si="16"/>
        <v>151875</v>
      </c>
      <c r="G101" s="31"/>
      <c r="H101" s="31"/>
      <c r="I101" s="31"/>
      <c r="J101" s="32"/>
    </row>
    <row r="102" spans="1:11" x14ac:dyDescent="0.25">
      <c r="A102" s="12" t="s">
        <v>51</v>
      </c>
      <c r="B102" s="37">
        <f>+B101/B98</f>
        <v>584.13461538461536</v>
      </c>
      <c r="C102" s="37">
        <f>+C101/C98</f>
        <v>461.02150537634407</v>
      </c>
      <c r="D102" s="37">
        <f>+D101/D98</f>
        <v>584.13461538461536</v>
      </c>
      <c r="E102" s="37">
        <f>+E101/E98</f>
        <v>461.02150537634407</v>
      </c>
      <c r="F102" s="37">
        <f>+F101/F98</f>
        <v>584.13461538461536</v>
      </c>
      <c r="G102" s="31"/>
      <c r="H102" s="31"/>
      <c r="I102" s="31"/>
      <c r="J102" s="32"/>
    </row>
    <row r="103" spans="1:11" x14ac:dyDescent="0.25">
      <c r="A103" s="41" t="s">
        <v>49</v>
      </c>
      <c r="B103" s="37">
        <f>+B102/C102</f>
        <v>1.2670441803094865</v>
      </c>
      <c r="C103" s="37"/>
      <c r="D103" s="37">
        <f>+D102/(C102+E102)</f>
        <v>0.63352209015474326</v>
      </c>
      <c r="E103" s="37"/>
      <c r="F103" s="37">
        <f>+F102/E102</f>
        <v>1.2670441803094865</v>
      </c>
      <c r="G103" s="31"/>
      <c r="H103" s="31"/>
      <c r="I103" s="31"/>
      <c r="J103" s="32"/>
    </row>
    <row r="104" spans="1:11" ht="15.75" thickBot="1" x14ac:dyDescent="0.3">
      <c r="A104" s="52" t="s">
        <v>52</v>
      </c>
      <c r="B104" s="33">
        <f>(0.5*B103+1)/(2*B103+1)</f>
        <v>0.46221880255100423</v>
      </c>
      <c r="C104" s="33"/>
      <c r="D104" s="33">
        <f>(0.5*D103+1)/(2*D103+1)</f>
        <v>0.58082725361691601</v>
      </c>
      <c r="E104" s="33"/>
      <c r="F104" s="33">
        <f>(0.5*F103+1)/(2*F103+1)</f>
        <v>0.46221880255100423</v>
      </c>
      <c r="G104" s="53"/>
      <c r="H104" s="53"/>
      <c r="I104" s="53"/>
      <c r="J104" s="54"/>
    </row>
    <row r="105" spans="1:11" ht="15.75" thickBot="1" x14ac:dyDescent="0.3">
      <c r="A105" s="67" t="s">
        <v>0</v>
      </c>
      <c r="B105" s="68">
        <f>+(12*B94/B98^3)*(B104*B101+D104*D101+F104*F101)</f>
        <v>39021.182365373796</v>
      </c>
      <c r="C105" s="69" t="s">
        <v>61</v>
      </c>
      <c r="D105" s="34"/>
      <c r="E105" s="34" t="s">
        <v>64</v>
      </c>
      <c r="H105" s="34">
        <f>3*B94*B101/B98^3</f>
        <v>6480.7834547109696</v>
      </c>
      <c r="I105" s="34" t="s">
        <v>63</v>
      </c>
      <c r="J105" s="35"/>
      <c r="K105" s="70">
        <f>+B105/H105</f>
        <v>6.0210594348756965</v>
      </c>
    </row>
    <row r="106" spans="1:11" ht="15.75" thickBot="1" x14ac:dyDescent="0.3">
      <c r="A106" s="36"/>
      <c r="B106" s="51"/>
      <c r="C106" s="51"/>
      <c r="D106" s="33"/>
      <c r="E106" s="33"/>
      <c r="F106" s="33"/>
      <c r="G106" s="33"/>
      <c r="H106" s="33"/>
      <c r="I106" s="33"/>
      <c r="J106" s="50"/>
    </row>
    <row r="107" spans="1:11" x14ac:dyDescent="0.25">
      <c r="A107" s="26" t="s">
        <v>29</v>
      </c>
      <c r="B107" s="46">
        <v>250000</v>
      </c>
      <c r="C107" s="47" t="s">
        <v>30</v>
      </c>
      <c r="D107" s="47" t="s">
        <v>31</v>
      </c>
      <c r="E107" s="48"/>
      <c r="F107" s="48"/>
      <c r="G107" s="48"/>
      <c r="H107" s="48"/>
      <c r="I107" s="48"/>
      <c r="J107" s="49"/>
    </row>
    <row r="108" spans="1:11" ht="15.75" thickBot="1" x14ac:dyDescent="0.3">
      <c r="A108" s="81"/>
      <c r="B108" s="82"/>
      <c r="C108" s="82"/>
      <c r="D108" s="82"/>
      <c r="E108" s="34"/>
      <c r="F108" s="34"/>
      <c r="G108" s="34"/>
      <c r="H108" s="34"/>
      <c r="I108" s="34"/>
      <c r="J108" s="35"/>
    </row>
    <row r="109" spans="1:11" x14ac:dyDescent="0.25">
      <c r="A109" s="26"/>
      <c r="B109" s="27" t="s">
        <v>32</v>
      </c>
      <c r="C109" s="27" t="s">
        <v>33</v>
      </c>
      <c r="D109" s="27" t="s">
        <v>34</v>
      </c>
      <c r="E109" s="27" t="s">
        <v>35</v>
      </c>
      <c r="F109" s="27" t="s">
        <v>36</v>
      </c>
      <c r="G109" s="27" t="s">
        <v>37</v>
      </c>
      <c r="H109" s="27" t="s">
        <v>38</v>
      </c>
      <c r="I109" s="27" t="s">
        <v>39</v>
      </c>
      <c r="J109" s="28" t="s">
        <v>40</v>
      </c>
    </row>
    <row r="110" spans="1:11" x14ac:dyDescent="0.25">
      <c r="A110" s="23" t="s">
        <v>48</v>
      </c>
      <c r="B110" s="38">
        <v>3</v>
      </c>
      <c r="C110" s="38"/>
      <c r="D110" s="38"/>
      <c r="E110" s="38"/>
      <c r="F110" s="38"/>
      <c r="G110" s="38"/>
      <c r="H110" s="38"/>
      <c r="I110" s="38"/>
      <c r="J110" s="39"/>
    </row>
    <row r="111" spans="1:11" x14ac:dyDescent="0.25">
      <c r="A111" s="12" t="s">
        <v>41</v>
      </c>
      <c r="B111" s="29">
        <v>260</v>
      </c>
      <c r="C111" s="29">
        <v>155</v>
      </c>
      <c r="D111" s="29">
        <v>260</v>
      </c>
      <c r="E111" s="29">
        <v>155</v>
      </c>
      <c r="F111" s="29">
        <v>260</v>
      </c>
      <c r="G111" s="29"/>
      <c r="H111" s="29"/>
      <c r="I111" s="29"/>
      <c r="J111" s="30"/>
    </row>
    <row r="112" spans="1:11" x14ac:dyDescent="0.25">
      <c r="A112" s="12" t="s">
        <v>42</v>
      </c>
      <c r="B112" s="29">
        <v>20</v>
      </c>
      <c r="C112" s="29">
        <v>65</v>
      </c>
      <c r="D112" s="29">
        <v>20</v>
      </c>
      <c r="E112" s="29">
        <v>65</v>
      </c>
      <c r="F112" s="29">
        <v>20</v>
      </c>
      <c r="G112" s="29"/>
      <c r="H112" s="29"/>
      <c r="I112" s="29"/>
      <c r="J112" s="30"/>
    </row>
    <row r="113" spans="1:11" x14ac:dyDescent="0.25">
      <c r="A113" s="12" t="s">
        <v>43</v>
      </c>
      <c r="B113" s="29">
        <v>20</v>
      </c>
      <c r="C113" s="29">
        <v>20</v>
      </c>
      <c r="D113" s="29">
        <v>20</v>
      </c>
      <c r="E113" s="29">
        <v>20</v>
      </c>
      <c r="F113" s="29">
        <v>20</v>
      </c>
      <c r="G113" s="29"/>
      <c r="H113" s="29"/>
      <c r="I113" s="29"/>
      <c r="J113" s="30"/>
    </row>
    <row r="114" spans="1:11" x14ac:dyDescent="0.25">
      <c r="A114" s="12" t="s">
        <v>50</v>
      </c>
      <c r="B114" s="31">
        <f t="shared" ref="B114:F114" si="17">+B113*B112^3/12</f>
        <v>13333.333333333334</v>
      </c>
      <c r="C114" s="31">
        <f t="shared" si="17"/>
        <v>457708.33333333331</v>
      </c>
      <c r="D114" s="31">
        <f t="shared" si="17"/>
        <v>13333.333333333334</v>
      </c>
      <c r="E114" s="31">
        <f t="shared" si="17"/>
        <v>457708.33333333331</v>
      </c>
      <c r="F114" s="31">
        <f t="shared" si="17"/>
        <v>13333.333333333334</v>
      </c>
      <c r="G114" s="31"/>
      <c r="H114" s="31"/>
      <c r="I114" s="31"/>
      <c r="J114" s="32"/>
    </row>
    <row r="115" spans="1:11" x14ac:dyDescent="0.25">
      <c r="A115" s="12" t="s">
        <v>51</v>
      </c>
      <c r="B115" s="37">
        <f>+B114/B111</f>
        <v>51.282051282051285</v>
      </c>
      <c r="C115" s="37">
        <f>+C114/C111</f>
        <v>2952.9569892473119</v>
      </c>
      <c r="D115" s="37">
        <f>+D114/D111</f>
        <v>51.282051282051285</v>
      </c>
      <c r="E115" s="37">
        <f>+E114/E111</f>
        <v>2952.9569892473119</v>
      </c>
      <c r="F115" s="37">
        <f>+F114/F111</f>
        <v>51.282051282051285</v>
      </c>
      <c r="G115" s="31"/>
      <c r="H115" s="31"/>
      <c r="I115" s="31"/>
      <c r="J115" s="32"/>
    </row>
    <row r="116" spans="1:11" x14ac:dyDescent="0.25">
      <c r="A116" s="41" t="s">
        <v>49</v>
      </c>
      <c r="B116" s="37">
        <f>+B115/C115</f>
        <v>1.7366338713630476E-2</v>
      </c>
      <c r="C116" s="37"/>
      <c r="D116" s="37">
        <f>+D115/(C115+E115)</f>
        <v>8.6831693568152381E-3</v>
      </c>
      <c r="E116" s="37"/>
      <c r="F116" s="37">
        <f>+F115/E115</f>
        <v>1.7366338713630476E-2</v>
      </c>
      <c r="G116" s="31"/>
      <c r="H116" s="31"/>
      <c r="I116" s="31"/>
      <c r="J116" s="32"/>
    </row>
    <row r="117" spans="1:11" ht="15.75" thickBot="1" x14ac:dyDescent="0.3">
      <c r="A117" s="52" t="s">
        <v>52</v>
      </c>
      <c r="B117" s="33">
        <f>(0.5*B116+1)/(2*B116+1)</f>
        <v>0.97482489087402291</v>
      </c>
      <c r="C117" s="33"/>
      <c r="D117" s="33">
        <f>(0.5*D116+1)/(2*D116+1)</f>
        <v>0.98719757717589562</v>
      </c>
      <c r="E117" s="33"/>
      <c r="F117" s="33">
        <f>(0.5*F116+1)/(2*F116+1)</f>
        <v>0.97482489087402291</v>
      </c>
      <c r="G117" s="53"/>
      <c r="H117" s="53"/>
      <c r="I117" s="53"/>
      <c r="J117" s="54"/>
    </row>
    <row r="118" spans="1:11" ht="15.75" thickBot="1" x14ac:dyDescent="0.3">
      <c r="A118" s="67" t="s">
        <v>0</v>
      </c>
      <c r="B118" s="68">
        <f>+(12*B107/B111^3)*(B117*B114+D117*D114+F117*F114)</f>
        <v>6683.7673166225341</v>
      </c>
      <c r="C118" s="69" t="s">
        <v>61</v>
      </c>
      <c r="D118" s="34"/>
      <c r="E118" s="34" t="s">
        <v>64</v>
      </c>
      <c r="H118" s="34">
        <f>3*B107*B114/B111^3</f>
        <v>568.95766954938551</v>
      </c>
      <c r="I118" s="34" t="s">
        <v>63</v>
      </c>
      <c r="J118" s="35"/>
      <c r="K118" s="70">
        <f>+B118/H118</f>
        <v>11.747389435695766</v>
      </c>
    </row>
    <row r="119" spans="1:11" ht="15.75" thickBot="1" x14ac:dyDescent="0.3">
      <c r="A119" s="83"/>
      <c r="B119" s="84"/>
      <c r="C119" s="84"/>
      <c r="D119" s="84"/>
      <c r="E119" s="84"/>
      <c r="F119" s="84"/>
      <c r="G119" s="84"/>
      <c r="H119" s="84"/>
      <c r="I119" s="84"/>
      <c r="J119" s="85"/>
    </row>
    <row r="120" spans="1:11" x14ac:dyDescent="0.25">
      <c r="A120" s="26" t="s">
        <v>29</v>
      </c>
      <c r="B120" s="46">
        <v>210000</v>
      </c>
      <c r="C120" s="47" t="s">
        <v>30</v>
      </c>
      <c r="D120" s="47" t="s">
        <v>31</v>
      </c>
      <c r="E120" s="48"/>
      <c r="F120" s="48"/>
      <c r="G120" s="48"/>
      <c r="H120" s="48"/>
      <c r="I120" s="48"/>
      <c r="J120" s="49"/>
    </row>
    <row r="121" spans="1:11" ht="15.75" thickBot="1" x14ac:dyDescent="0.3">
      <c r="A121" s="81"/>
      <c r="B121" s="82"/>
      <c r="C121" s="82"/>
      <c r="D121" s="82"/>
      <c r="E121" s="34"/>
      <c r="F121" s="34"/>
      <c r="G121" s="34"/>
      <c r="H121" s="34"/>
      <c r="I121" s="34"/>
      <c r="J121" s="35"/>
    </row>
    <row r="122" spans="1:11" x14ac:dyDescent="0.25">
      <c r="A122" s="26"/>
      <c r="B122" s="27" t="s">
        <v>32</v>
      </c>
      <c r="C122" s="27" t="s">
        <v>33</v>
      </c>
      <c r="D122" s="27" t="s">
        <v>34</v>
      </c>
      <c r="E122" s="27" t="s">
        <v>35</v>
      </c>
      <c r="F122" s="27" t="s">
        <v>36</v>
      </c>
      <c r="G122" s="27" t="s">
        <v>37</v>
      </c>
      <c r="H122" s="27" t="s">
        <v>38</v>
      </c>
      <c r="I122" s="27" t="s">
        <v>39</v>
      </c>
      <c r="J122" s="28" t="s">
        <v>40</v>
      </c>
    </row>
    <row r="123" spans="1:11" x14ac:dyDescent="0.25">
      <c r="A123" s="23" t="s">
        <v>48</v>
      </c>
      <c r="B123" s="38">
        <v>3</v>
      </c>
      <c r="C123" s="38"/>
      <c r="D123" s="38"/>
      <c r="E123" s="38"/>
      <c r="F123" s="38"/>
      <c r="G123" s="38"/>
      <c r="H123" s="38"/>
      <c r="I123" s="38"/>
      <c r="J123" s="39"/>
    </row>
    <row r="124" spans="1:11" x14ac:dyDescent="0.25">
      <c r="A124" s="12" t="s">
        <v>41</v>
      </c>
      <c r="B124" s="29">
        <v>260</v>
      </c>
      <c r="C124" s="29">
        <v>155</v>
      </c>
      <c r="D124" s="29">
        <v>260</v>
      </c>
      <c r="E124" s="29">
        <v>155</v>
      </c>
      <c r="F124" s="29">
        <v>260</v>
      </c>
      <c r="G124" s="29"/>
      <c r="H124" s="29"/>
      <c r="I124" s="29"/>
      <c r="J124" s="30"/>
    </row>
    <row r="125" spans="1:11" x14ac:dyDescent="0.25">
      <c r="A125" s="12" t="s">
        <v>42</v>
      </c>
      <c r="B125" s="29">
        <v>65</v>
      </c>
      <c r="C125" s="29">
        <v>65</v>
      </c>
      <c r="D125" s="29">
        <v>65</v>
      </c>
      <c r="E125" s="29">
        <v>65</v>
      </c>
      <c r="F125" s="29">
        <v>65</v>
      </c>
      <c r="G125" s="29"/>
      <c r="H125" s="29"/>
      <c r="I125" s="29"/>
      <c r="J125" s="30"/>
    </row>
    <row r="126" spans="1:11" x14ac:dyDescent="0.25">
      <c r="A126" s="12" t="s">
        <v>43</v>
      </c>
      <c r="B126" s="29">
        <v>20</v>
      </c>
      <c r="C126" s="29">
        <v>20</v>
      </c>
      <c r="D126" s="29">
        <v>20</v>
      </c>
      <c r="E126" s="29">
        <v>20</v>
      </c>
      <c r="F126" s="29">
        <v>20</v>
      </c>
      <c r="G126" s="29"/>
      <c r="H126" s="29"/>
      <c r="I126" s="29"/>
      <c r="J126" s="30"/>
    </row>
    <row r="127" spans="1:11" x14ac:dyDescent="0.25">
      <c r="A127" s="12" t="s">
        <v>50</v>
      </c>
      <c r="B127" s="31">
        <f t="shared" ref="B127:F127" si="18">+B126*B125^3/12</f>
        <v>457708.33333333331</v>
      </c>
      <c r="C127" s="31">
        <f t="shared" si="18"/>
        <v>457708.33333333331</v>
      </c>
      <c r="D127" s="31">
        <f t="shared" si="18"/>
        <v>457708.33333333331</v>
      </c>
      <c r="E127" s="31">
        <f t="shared" si="18"/>
        <v>457708.33333333331</v>
      </c>
      <c r="F127" s="31">
        <f t="shared" si="18"/>
        <v>457708.33333333331</v>
      </c>
      <c r="G127" s="31"/>
      <c r="H127" s="31"/>
      <c r="I127" s="31"/>
      <c r="J127" s="32"/>
    </row>
    <row r="128" spans="1:11" x14ac:dyDescent="0.25">
      <c r="A128" s="12" t="s">
        <v>51</v>
      </c>
      <c r="B128" s="37">
        <f>+B127/B124</f>
        <v>1760.4166666666665</v>
      </c>
      <c r="C128" s="37">
        <f>+C127/C124</f>
        <v>2952.9569892473119</v>
      </c>
      <c r="D128" s="37">
        <f>+D127/D124</f>
        <v>1760.4166666666665</v>
      </c>
      <c r="E128" s="37">
        <f>+E127/E124</f>
        <v>2952.9569892473119</v>
      </c>
      <c r="F128" s="37">
        <f>+F127/F124</f>
        <v>1760.4166666666665</v>
      </c>
      <c r="G128" s="31"/>
      <c r="H128" s="31"/>
      <c r="I128" s="31"/>
      <c r="J128" s="32"/>
    </row>
    <row r="129" spans="1:11" x14ac:dyDescent="0.25">
      <c r="A129" s="41" t="s">
        <v>49</v>
      </c>
      <c r="B129" s="37">
        <f>+B128/C128</f>
        <v>0.59615384615384615</v>
      </c>
      <c r="C129" s="37"/>
      <c r="D129" s="37">
        <f>+D128/(C128+E128)</f>
        <v>0.29807692307692307</v>
      </c>
      <c r="E129" s="37"/>
      <c r="F129" s="37">
        <f>+F128/E128</f>
        <v>0.59615384615384615</v>
      </c>
      <c r="G129" s="31"/>
      <c r="H129" s="31"/>
      <c r="I129" s="31"/>
      <c r="J129" s="32"/>
    </row>
    <row r="130" spans="1:11" ht="15.75" thickBot="1" x14ac:dyDescent="0.3">
      <c r="A130" s="52" t="s">
        <v>52</v>
      </c>
      <c r="B130" s="33">
        <f>(0.5*B129+1)/(2*B129+1)</f>
        <v>0.59210526315789469</v>
      </c>
      <c r="C130" s="33"/>
      <c r="D130" s="33">
        <f>(0.5*D129+1)/(2*D129+1)</f>
        <v>0.719879518072289</v>
      </c>
      <c r="E130" s="33"/>
      <c r="F130" s="33">
        <f>(0.5*F129+1)/(2*F129+1)</f>
        <v>0.59210526315789469</v>
      </c>
      <c r="G130" s="53"/>
      <c r="H130" s="53"/>
      <c r="I130" s="53"/>
      <c r="J130" s="54"/>
    </row>
    <row r="131" spans="1:11" ht="15.75" thickBot="1" x14ac:dyDescent="0.3">
      <c r="A131" s="67" t="s">
        <v>0</v>
      </c>
      <c r="B131" s="68">
        <f>+(12*B120/B124^3)*(B130*B127+D130*D127+F130*F127)</f>
        <v>124955.90916296764</v>
      </c>
      <c r="C131" s="69" t="s">
        <v>61</v>
      </c>
      <c r="D131" s="34"/>
      <c r="E131" s="34" t="s">
        <v>64</v>
      </c>
      <c r="H131" s="34">
        <f>3*B120*B127/B124^3</f>
        <v>16406.25</v>
      </c>
      <c r="I131" s="34" t="s">
        <v>63</v>
      </c>
      <c r="J131" s="35"/>
      <c r="K131" s="70">
        <f>+B131/H131</f>
        <v>7.6163601775523135</v>
      </c>
    </row>
    <row r="132" spans="1:11" ht="15.75" thickBot="1" x14ac:dyDescent="0.3"/>
    <row r="133" spans="1:11" x14ac:dyDescent="0.25">
      <c r="A133" s="26" t="s">
        <v>29</v>
      </c>
      <c r="B133" s="46">
        <v>270000</v>
      </c>
      <c r="C133" s="47" t="s">
        <v>30</v>
      </c>
      <c r="D133" s="47" t="s">
        <v>31</v>
      </c>
      <c r="E133" s="48"/>
      <c r="F133" s="48"/>
      <c r="G133" s="48"/>
      <c r="H133" s="48"/>
      <c r="I133" s="48"/>
      <c r="J133" s="49"/>
    </row>
    <row r="134" spans="1:11" ht="15.75" thickBot="1" x14ac:dyDescent="0.3">
      <c r="A134" s="81"/>
      <c r="B134" s="82"/>
      <c r="C134" s="82"/>
      <c r="D134" s="82"/>
      <c r="E134" s="34"/>
      <c r="F134" s="34"/>
      <c r="G134" s="34"/>
      <c r="H134" s="34"/>
      <c r="I134" s="34"/>
      <c r="J134" s="35"/>
    </row>
    <row r="135" spans="1:11" x14ac:dyDescent="0.25">
      <c r="A135" s="26"/>
      <c r="B135" s="27" t="s">
        <v>32</v>
      </c>
      <c r="C135" s="27" t="s">
        <v>33</v>
      </c>
      <c r="D135" s="27" t="s">
        <v>34</v>
      </c>
      <c r="E135" s="27" t="s">
        <v>35</v>
      </c>
      <c r="F135" s="27" t="s">
        <v>36</v>
      </c>
      <c r="G135" s="27" t="s">
        <v>37</v>
      </c>
      <c r="H135" s="27" t="s">
        <v>38</v>
      </c>
      <c r="I135" s="27" t="s">
        <v>39</v>
      </c>
      <c r="J135" s="28" t="s">
        <v>40</v>
      </c>
    </row>
    <row r="136" spans="1:11" x14ac:dyDescent="0.25">
      <c r="A136" s="23" t="s">
        <v>48</v>
      </c>
      <c r="B136" s="38">
        <v>3</v>
      </c>
      <c r="C136" s="38"/>
      <c r="D136" s="38"/>
      <c r="E136" s="38"/>
      <c r="F136" s="38"/>
      <c r="G136" s="38"/>
      <c r="H136" s="38"/>
      <c r="I136" s="38"/>
      <c r="J136" s="39"/>
    </row>
    <row r="137" spans="1:11" x14ac:dyDescent="0.25">
      <c r="A137" s="12" t="s">
        <v>41</v>
      </c>
      <c r="B137" s="29">
        <v>260</v>
      </c>
      <c r="C137" s="29">
        <v>155</v>
      </c>
      <c r="D137" s="29">
        <v>260</v>
      </c>
      <c r="E137" s="29">
        <v>155</v>
      </c>
      <c r="F137" s="29">
        <v>260</v>
      </c>
      <c r="G137" s="29">
        <v>155</v>
      </c>
      <c r="H137" s="29">
        <v>260</v>
      </c>
      <c r="I137" s="29"/>
      <c r="J137" s="30"/>
    </row>
    <row r="138" spans="1:11" x14ac:dyDescent="0.25">
      <c r="A138" s="12" t="s">
        <v>42</v>
      </c>
      <c r="B138" s="29">
        <v>20</v>
      </c>
      <c r="C138" s="29">
        <v>35</v>
      </c>
      <c r="D138" s="29">
        <v>20</v>
      </c>
      <c r="E138" s="29">
        <v>35</v>
      </c>
      <c r="F138" s="29">
        <v>20</v>
      </c>
      <c r="G138" s="29">
        <v>35</v>
      </c>
      <c r="H138" s="29">
        <v>20</v>
      </c>
      <c r="I138" s="29"/>
      <c r="J138" s="30"/>
    </row>
    <row r="139" spans="1:11" x14ac:dyDescent="0.25">
      <c r="A139" s="12" t="s">
        <v>43</v>
      </c>
      <c r="B139" s="29">
        <v>20</v>
      </c>
      <c r="C139" s="29">
        <v>20</v>
      </c>
      <c r="D139" s="29">
        <v>20</v>
      </c>
      <c r="E139" s="29">
        <v>20</v>
      </c>
      <c r="F139" s="29">
        <v>20</v>
      </c>
      <c r="G139" s="29">
        <v>20</v>
      </c>
      <c r="H139" s="29">
        <v>20</v>
      </c>
      <c r="I139" s="29"/>
      <c r="J139" s="30"/>
    </row>
    <row r="140" spans="1:11" x14ac:dyDescent="0.25">
      <c r="A140" s="12" t="s">
        <v>50</v>
      </c>
      <c r="B140" s="31">
        <f t="shared" ref="B140:F140" si="19">+B139*B138^3/12</f>
        <v>13333.333333333334</v>
      </c>
      <c r="C140" s="31">
        <f t="shared" si="19"/>
        <v>71458.333333333328</v>
      </c>
      <c r="D140" s="31">
        <f t="shared" si="19"/>
        <v>13333.333333333334</v>
      </c>
      <c r="E140" s="31">
        <f t="shared" si="19"/>
        <v>71458.333333333328</v>
      </c>
      <c r="F140" s="31">
        <f t="shared" si="19"/>
        <v>13333.333333333334</v>
      </c>
      <c r="G140" s="31">
        <f t="shared" ref="G140:H140" si="20">+G139*G138^3/12</f>
        <v>71458.333333333328</v>
      </c>
      <c r="H140" s="31">
        <f t="shared" si="20"/>
        <v>13333.333333333334</v>
      </c>
      <c r="I140" s="31"/>
      <c r="J140" s="32"/>
    </row>
    <row r="141" spans="1:11" x14ac:dyDescent="0.25">
      <c r="A141" s="12" t="s">
        <v>51</v>
      </c>
      <c r="B141" s="37">
        <f t="shared" ref="B141:H141" si="21">+B140/B137</f>
        <v>51.282051282051285</v>
      </c>
      <c r="C141" s="37">
        <f t="shared" si="21"/>
        <v>461.02150537634407</v>
      </c>
      <c r="D141" s="37">
        <f t="shared" si="21"/>
        <v>51.282051282051285</v>
      </c>
      <c r="E141" s="37">
        <f t="shared" si="21"/>
        <v>461.02150537634407</v>
      </c>
      <c r="F141" s="37">
        <f t="shared" si="21"/>
        <v>51.282051282051285</v>
      </c>
      <c r="G141" s="37">
        <f t="shared" si="21"/>
        <v>461.02150537634407</v>
      </c>
      <c r="H141" s="37">
        <f t="shared" si="21"/>
        <v>51.282051282051285</v>
      </c>
      <c r="I141" s="31"/>
      <c r="J141" s="32"/>
    </row>
    <row r="142" spans="1:11" x14ac:dyDescent="0.25">
      <c r="A142" s="41" t="s">
        <v>49</v>
      </c>
      <c r="B142" s="37">
        <f>+B141/C141</f>
        <v>0.11123570307243778</v>
      </c>
      <c r="C142" s="37"/>
      <c r="D142" s="37">
        <f>+D141/(C141+E141)</f>
        <v>5.5617851536218892E-2</v>
      </c>
      <c r="E142" s="37"/>
      <c r="F142" s="37">
        <f>+F141/(E141+G141)</f>
        <v>5.5617851536218892E-2</v>
      </c>
      <c r="G142" s="37"/>
      <c r="H142" s="37">
        <f>+H141/G141</f>
        <v>0.11123570307243778</v>
      </c>
      <c r="I142" s="31"/>
      <c r="J142" s="32"/>
    </row>
    <row r="143" spans="1:11" ht="15.75" thickBot="1" x14ac:dyDescent="0.3">
      <c r="A143" s="52" t="s">
        <v>52</v>
      </c>
      <c r="B143" s="33">
        <f>(0.5*B142+1)/(2*B142+1)</f>
        <v>0.86351128233351671</v>
      </c>
      <c r="C143" s="33"/>
      <c r="D143" s="33">
        <f>(0.5*D142+1)/(2*D142+1)</f>
        <v>0.92492431886982829</v>
      </c>
      <c r="E143" s="33"/>
      <c r="F143" s="33">
        <f>(0.5*F142+1)/(2*F142+1)</f>
        <v>0.92492431886982829</v>
      </c>
      <c r="G143" s="33"/>
      <c r="H143" s="33">
        <f>(0.5*H142+1)/(2*H142+1)</f>
        <v>0.86351128233351671</v>
      </c>
      <c r="I143" s="53"/>
      <c r="J143" s="54"/>
    </row>
    <row r="144" spans="1:11" ht="15.75" thickBot="1" x14ac:dyDescent="0.3">
      <c r="A144" s="67" t="s">
        <v>0</v>
      </c>
      <c r="B144" s="68">
        <f>+(12*B133/B137^3)*(B143*B140+D143*D140+F143*F140)</f>
        <v>6669.1595668616919</v>
      </c>
      <c r="C144" s="69" t="s">
        <v>61</v>
      </c>
      <c r="D144" s="34"/>
      <c r="E144" s="34" t="s">
        <v>64</v>
      </c>
      <c r="H144" s="34">
        <f>3*B133*B140/B137^3</f>
        <v>614.47428311333636</v>
      </c>
      <c r="I144" s="34" t="s">
        <v>63</v>
      </c>
      <c r="J144" s="35"/>
      <c r="K144" s="70">
        <f>+B144/H144</f>
        <v>10.853439680292695</v>
      </c>
    </row>
    <row r="145" spans="1:11" x14ac:dyDescent="0.25">
      <c r="A145" s="26" t="s">
        <v>29</v>
      </c>
      <c r="B145" s="46">
        <v>250000</v>
      </c>
      <c r="C145" s="47" t="s">
        <v>30</v>
      </c>
      <c r="D145" s="47" t="s">
        <v>31</v>
      </c>
      <c r="E145" s="48"/>
      <c r="F145" s="48"/>
      <c r="G145" s="48"/>
      <c r="H145" s="48"/>
      <c r="I145" s="48"/>
      <c r="J145" s="49"/>
    </row>
    <row r="146" spans="1:11" ht="15.75" thickBot="1" x14ac:dyDescent="0.3">
      <c r="A146" s="81"/>
      <c r="B146" s="82"/>
      <c r="C146" s="82"/>
      <c r="D146" s="82"/>
      <c r="E146" s="34"/>
      <c r="F146" s="34"/>
      <c r="G146" s="34"/>
      <c r="H146" s="34"/>
      <c r="I146" s="34"/>
      <c r="J146" s="35"/>
    </row>
    <row r="147" spans="1:11" x14ac:dyDescent="0.25">
      <c r="A147" s="26"/>
      <c r="B147" s="27" t="s">
        <v>32</v>
      </c>
      <c r="C147" s="27" t="s">
        <v>33</v>
      </c>
      <c r="D147" s="27" t="s">
        <v>34</v>
      </c>
      <c r="E147" s="27" t="s">
        <v>35</v>
      </c>
      <c r="F147" s="27" t="s">
        <v>36</v>
      </c>
      <c r="G147" s="27" t="s">
        <v>37</v>
      </c>
      <c r="H147" s="27" t="s">
        <v>38</v>
      </c>
      <c r="I147" s="27" t="s">
        <v>39</v>
      </c>
      <c r="J147" s="28" t="s">
        <v>40</v>
      </c>
    </row>
    <row r="148" spans="1:11" x14ac:dyDescent="0.25">
      <c r="A148" s="23" t="s">
        <v>48</v>
      </c>
      <c r="B148" s="38">
        <v>3</v>
      </c>
      <c r="C148" s="38"/>
      <c r="D148" s="38"/>
      <c r="E148" s="38"/>
      <c r="F148" s="38"/>
      <c r="G148" s="38"/>
      <c r="H148" s="38"/>
      <c r="I148" s="38"/>
      <c r="J148" s="39"/>
    </row>
    <row r="149" spans="1:11" x14ac:dyDescent="0.25">
      <c r="A149" s="12" t="s">
        <v>41</v>
      </c>
      <c r="B149" s="29">
        <v>260</v>
      </c>
      <c r="C149" s="29">
        <v>155</v>
      </c>
      <c r="D149" s="29">
        <v>260</v>
      </c>
      <c r="E149" s="29">
        <v>155</v>
      </c>
      <c r="F149" s="29">
        <v>260</v>
      </c>
      <c r="G149" s="29">
        <v>155</v>
      </c>
      <c r="H149" s="29">
        <v>260</v>
      </c>
      <c r="I149" s="29"/>
      <c r="J149" s="30"/>
    </row>
    <row r="150" spans="1:11" x14ac:dyDescent="0.25">
      <c r="A150" s="12" t="s">
        <v>42</v>
      </c>
      <c r="B150" s="29">
        <v>35</v>
      </c>
      <c r="C150" s="29">
        <v>35</v>
      </c>
      <c r="D150" s="29">
        <v>35</v>
      </c>
      <c r="E150" s="29">
        <v>35</v>
      </c>
      <c r="F150" s="29">
        <v>35</v>
      </c>
      <c r="G150" s="29">
        <v>35</v>
      </c>
      <c r="H150" s="29">
        <v>35</v>
      </c>
      <c r="I150" s="29"/>
      <c r="J150" s="30"/>
    </row>
    <row r="151" spans="1:11" x14ac:dyDescent="0.25">
      <c r="A151" s="12" t="s">
        <v>43</v>
      </c>
      <c r="B151" s="29">
        <v>20</v>
      </c>
      <c r="C151" s="29">
        <v>20</v>
      </c>
      <c r="D151" s="29">
        <v>20</v>
      </c>
      <c r="E151" s="29">
        <v>20</v>
      </c>
      <c r="F151" s="29">
        <v>20</v>
      </c>
      <c r="G151" s="29">
        <v>20</v>
      </c>
      <c r="H151" s="29">
        <v>20</v>
      </c>
      <c r="I151" s="29"/>
      <c r="J151" s="30"/>
    </row>
    <row r="152" spans="1:11" x14ac:dyDescent="0.25">
      <c r="A152" s="12" t="s">
        <v>50</v>
      </c>
      <c r="B152" s="31">
        <f t="shared" ref="B152:H152" si="22">+B151*B150^3/12</f>
        <v>71458.333333333328</v>
      </c>
      <c r="C152" s="31">
        <f t="shared" si="22"/>
        <v>71458.333333333328</v>
      </c>
      <c r="D152" s="31">
        <f t="shared" si="22"/>
        <v>71458.333333333328</v>
      </c>
      <c r="E152" s="31">
        <f t="shared" si="22"/>
        <v>71458.333333333328</v>
      </c>
      <c r="F152" s="31">
        <f t="shared" si="22"/>
        <v>71458.333333333328</v>
      </c>
      <c r="G152" s="31">
        <f t="shared" si="22"/>
        <v>71458.333333333328</v>
      </c>
      <c r="H152" s="31">
        <f t="shared" si="22"/>
        <v>71458.333333333328</v>
      </c>
      <c r="I152" s="31"/>
      <c r="J152" s="32"/>
    </row>
    <row r="153" spans="1:11" x14ac:dyDescent="0.25">
      <c r="A153" s="12" t="s">
        <v>51</v>
      </c>
      <c r="B153" s="37">
        <f t="shared" ref="B153:H153" si="23">+B152/B149</f>
        <v>274.83974358974359</v>
      </c>
      <c r="C153" s="37">
        <f t="shared" si="23"/>
        <v>461.02150537634407</v>
      </c>
      <c r="D153" s="37">
        <f t="shared" si="23"/>
        <v>274.83974358974359</v>
      </c>
      <c r="E153" s="37">
        <f t="shared" si="23"/>
        <v>461.02150537634407</v>
      </c>
      <c r="F153" s="37">
        <f t="shared" si="23"/>
        <v>274.83974358974359</v>
      </c>
      <c r="G153" s="37">
        <f t="shared" si="23"/>
        <v>461.02150537634407</v>
      </c>
      <c r="H153" s="37">
        <f t="shared" si="23"/>
        <v>274.83974358974359</v>
      </c>
      <c r="I153" s="31"/>
      <c r="J153" s="32"/>
    </row>
    <row r="154" spans="1:11" x14ac:dyDescent="0.25">
      <c r="A154" s="41" t="s">
        <v>49</v>
      </c>
      <c r="B154" s="37">
        <f>+B153/C153</f>
        <v>0.59615384615384615</v>
      </c>
      <c r="C154" s="37"/>
      <c r="D154" s="37">
        <f>+D153/(C153+E153)</f>
        <v>0.29807692307692307</v>
      </c>
      <c r="E154" s="37"/>
      <c r="F154" s="37">
        <f>+F153/(E153+G153)</f>
        <v>0.29807692307692307</v>
      </c>
      <c r="G154" s="37"/>
      <c r="H154" s="37">
        <f>+H153/G153</f>
        <v>0.59615384615384615</v>
      </c>
      <c r="I154" s="31"/>
      <c r="J154" s="32"/>
    </row>
    <row r="155" spans="1:11" ht="15.75" thickBot="1" x14ac:dyDescent="0.3">
      <c r="A155" s="52" t="s">
        <v>52</v>
      </c>
      <c r="B155" s="33">
        <f>(0.5*B154+1)/(2*B154+1)</f>
        <v>0.59210526315789469</v>
      </c>
      <c r="C155" s="33"/>
      <c r="D155" s="33">
        <f>(0.5*D154+1)/(2*D154+1)</f>
        <v>0.719879518072289</v>
      </c>
      <c r="E155" s="33"/>
      <c r="F155" s="33">
        <f>(0.5*F154+1)/(2*F154+1)</f>
        <v>0.719879518072289</v>
      </c>
      <c r="G155" s="33"/>
      <c r="H155" s="33">
        <f>(0.5*H154+1)/(2*H154+1)</f>
        <v>0.59210526315789469</v>
      </c>
      <c r="I155" s="53"/>
      <c r="J155" s="54"/>
    </row>
    <row r="156" spans="1:11" ht="15.75" thickBot="1" x14ac:dyDescent="0.3">
      <c r="A156" s="67" t="s">
        <v>0</v>
      </c>
      <c r="B156" s="68">
        <f>+(12*B145/B149^3)*(B155*B152+D155*D152+F155*F152)</f>
        <v>24782.70989775646</v>
      </c>
      <c r="C156" s="69" t="s">
        <v>61</v>
      </c>
      <c r="D156" s="34"/>
      <c r="E156" s="34" t="s">
        <v>64</v>
      </c>
      <c r="H156" s="34">
        <f>3*B145*B152/B149^3</f>
        <v>3049.2575102412379</v>
      </c>
      <c r="I156" s="34" t="s">
        <v>63</v>
      </c>
      <c r="J156" s="35"/>
      <c r="K156" s="70">
        <f>+B156/H156</f>
        <v>8.1274571972098908</v>
      </c>
    </row>
    <row r="157" spans="1:11" x14ac:dyDescent="0.25">
      <c r="A157" s="26" t="s">
        <v>29</v>
      </c>
      <c r="B157" s="46">
        <v>250000</v>
      </c>
      <c r="C157" s="47" t="s">
        <v>30</v>
      </c>
      <c r="D157" s="47" t="s">
        <v>31</v>
      </c>
      <c r="E157" s="48"/>
      <c r="F157" s="48"/>
      <c r="G157" s="48"/>
      <c r="H157" s="48"/>
      <c r="I157" s="48"/>
      <c r="J157" s="49"/>
    </row>
    <row r="158" spans="1:11" ht="15.75" thickBot="1" x14ac:dyDescent="0.3">
      <c r="A158" s="81"/>
      <c r="B158" s="82"/>
      <c r="C158" s="82"/>
      <c r="D158" s="82"/>
      <c r="E158" s="34"/>
      <c r="F158" s="34"/>
      <c r="G158" s="34"/>
      <c r="H158" s="34"/>
      <c r="I158" s="34"/>
      <c r="J158" s="35"/>
    </row>
    <row r="159" spans="1:11" x14ac:dyDescent="0.25">
      <c r="A159" s="26"/>
      <c r="B159" s="27" t="s">
        <v>32</v>
      </c>
      <c r="C159" s="27" t="s">
        <v>33</v>
      </c>
      <c r="D159" s="27" t="s">
        <v>34</v>
      </c>
      <c r="E159" s="27" t="s">
        <v>35</v>
      </c>
      <c r="F159" s="27" t="s">
        <v>36</v>
      </c>
      <c r="G159" s="27" t="s">
        <v>37</v>
      </c>
      <c r="H159" s="27" t="s">
        <v>38</v>
      </c>
      <c r="I159" s="27" t="s">
        <v>39</v>
      </c>
      <c r="J159" s="28" t="s">
        <v>40</v>
      </c>
    </row>
    <row r="160" spans="1:11" x14ac:dyDescent="0.25">
      <c r="A160" s="23" t="s">
        <v>48</v>
      </c>
      <c r="B160" s="38">
        <v>3</v>
      </c>
      <c r="C160" s="38"/>
      <c r="D160" s="38"/>
      <c r="E160" s="38"/>
      <c r="F160" s="38"/>
      <c r="G160" s="38"/>
      <c r="H160" s="38"/>
      <c r="I160" s="38"/>
      <c r="J160" s="39"/>
    </row>
    <row r="161" spans="1:11" x14ac:dyDescent="0.25">
      <c r="A161" s="12" t="s">
        <v>41</v>
      </c>
      <c r="B161" s="29">
        <v>260</v>
      </c>
      <c r="C161" s="29">
        <v>155</v>
      </c>
      <c r="D161" s="29">
        <v>260</v>
      </c>
      <c r="E161" s="29">
        <v>155</v>
      </c>
      <c r="F161" s="29">
        <v>260</v>
      </c>
      <c r="G161" s="29">
        <v>155</v>
      </c>
      <c r="H161" s="29">
        <v>260</v>
      </c>
      <c r="I161" s="29"/>
      <c r="J161" s="30"/>
    </row>
    <row r="162" spans="1:11" x14ac:dyDescent="0.25">
      <c r="A162" s="12" t="s">
        <v>42</v>
      </c>
      <c r="B162" s="29">
        <v>35</v>
      </c>
      <c r="C162" s="29">
        <v>45</v>
      </c>
      <c r="D162" s="29">
        <v>35</v>
      </c>
      <c r="E162" s="29">
        <v>45</v>
      </c>
      <c r="F162" s="29">
        <v>35</v>
      </c>
      <c r="G162" s="29">
        <v>45</v>
      </c>
      <c r="H162" s="29">
        <v>35</v>
      </c>
      <c r="I162" s="29"/>
      <c r="J162" s="30"/>
    </row>
    <row r="163" spans="1:11" x14ac:dyDescent="0.25">
      <c r="A163" s="12" t="s">
        <v>43</v>
      </c>
      <c r="B163" s="29">
        <v>20</v>
      </c>
      <c r="C163" s="29">
        <v>20</v>
      </c>
      <c r="D163" s="29">
        <v>20</v>
      </c>
      <c r="E163" s="29">
        <v>20</v>
      </c>
      <c r="F163" s="29">
        <v>20</v>
      </c>
      <c r="G163" s="29">
        <v>20</v>
      </c>
      <c r="H163" s="29">
        <v>20</v>
      </c>
      <c r="I163" s="29"/>
      <c r="J163" s="30"/>
    </row>
    <row r="164" spans="1:11" x14ac:dyDescent="0.25">
      <c r="A164" s="12" t="s">
        <v>50</v>
      </c>
      <c r="B164" s="31">
        <f t="shared" ref="B164:H164" si="24">+B163*B162^3/12</f>
        <v>71458.333333333328</v>
      </c>
      <c r="C164" s="31">
        <f t="shared" si="24"/>
        <v>151875</v>
      </c>
      <c r="D164" s="31">
        <f t="shared" si="24"/>
        <v>71458.333333333328</v>
      </c>
      <c r="E164" s="31">
        <f t="shared" si="24"/>
        <v>151875</v>
      </c>
      <c r="F164" s="31">
        <f t="shared" si="24"/>
        <v>71458.333333333328</v>
      </c>
      <c r="G164" s="31">
        <f t="shared" si="24"/>
        <v>151875</v>
      </c>
      <c r="H164" s="31">
        <f t="shared" si="24"/>
        <v>71458.333333333328</v>
      </c>
      <c r="I164" s="31"/>
      <c r="J164" s="32"/>
    </row>
    <row r="165" spans="1:11" x14ac:dyDescent="0.25">
      <c r="A165" s="12" t="s">
        <v>51</v>
      </c>
      <c r="B165" s="37">
        <f t="shared" ref="B165:H165" si="25">+B164/B161</f>
        <v>274.83974358974359</v>
      </c>
      <c r="C165" s="37">
        <f t="shared" si="25"/>
        <v>979.83870967741939</v>
      </c>
      <c r="D165" s="37">
        <f t="shared" si="25"/>
        <v>274.83974358974359</v>
      </c>
      <c r="E165" s="37">
        <f t="shared" si="25"/>
        <v>979.83870967741939</v>
      </c>
      <c r="F165" s="37">
        <f t="shared" si="25"/>
        <v>274.83974358974359</v>
      </c>
      <c r="G165" s="37">
        <f t="shared" si="25"/>
        <v>979.83870967741939</v>
      </c>
      <c r="H165" s="37">
        <f t="shared" si="25"/>
        <v>274.83974358974359</v>
      </c>
      <c r="I165" s="31"/>
      <c r="J165" s="32"/>
    </row>
    <row r="166" spans="1:11" x14ac:dyDescent="0.25">
      <c r="A166" s="41" t="s">
        <v>49</v>
      </c>
      <c r="B166" s="37">
        <f>+B165/C165</f>
        <v>0.2804948823467342</v>
      </c>
      <c r="C166" s="37"/>
      <c r="D166" s="37">
        <f>+D165/(C165+E165)</f>
        <v>0.1402474411733671</v>
      </c>
      <c r="E166" s="37"/>
      <c r="F166" s="37">
        <f>+F165/(E165+G165)</f>
        <v>0.1402474411733671</v>
      </c>
      <c r="G166" s="37"/>
      <c r="H166" s="37">
        <f>+H165/G165</f>
        <v>0.2804948823467342</v>
      </c>
      <c r="I166" s="31"/>
      <c r="J166" s="32"/>
    </row>
    <row r="167" spans="1:11" ht="15.75" thickBot="1" x14ac:dyDescent="0.3">
      <c r="A167" s="52" t="s">
        <v>52</v>
      </c>
      <c r="B167" s="33">
        <f>(0.5*B166+1)/(2*B166+1)</f>
        <v>0.73046439314563838</v>
      </c>
      <c r="C167" s="33"/>
      <c r="D167" s="33">
        <f>(0.5*D166+1)/(2*D166+1)</f>
        <v>0.83571104839208099</v>
      </c>
      <c r="E167" s="33"/>
      <c r="F167" s="33">
        <f>(0.5*F166+1)/(2*F166+1)</f>
        <v>0.83571104839208099</v>
      </c>
      <c r="G167" s="33"/>
      <c r="H167" s="33">
        <f>(0.5*H166+1)/(2*H166+1)</f>
        <v>0.73046439314563838</v>
      </c>
      <c r="I167" s="53"/>
      <c r="J167" s="54"/>
    </row>
    <row r="168" spans="1:11" ht="15.75" thickBot="1" x14ac:dyDescent="0.3">
      <c r="A168" s="67" t="s">
        <v>0</v>
      </c>
      <c r="B168" s="68">
        <f>+(12*B157/B161^3)*(B167*B164+D167*D164+F167*F164)</f>
        <v>29295.881672661639</v>
      </c>
      <c r="C168" s="69" t="s">
        <v>61</v>
      </c>
      <c r="D168" s="34"/>
      <c r="E168" s="34" t="s">
        <v>64</v>
      </c>
      <c r="H168" s="34">
        <f>3*B157*B164/B161^3</f>
        <v>3049.2575102412379</v>
      </c>
      <c r="I168" s="34" t="s">
        <v>63</v>
      </c>
      <c r="J168" s="35"/>
      <c r="K168" s="70">
        <f>+B168/H168</f>
        <v>9.6075459597192019</v>
      </c>
    </row>
    <row r="169" spans="1:11" x14ac:dyDescent="0.25">
      <c r="A169" s="26" t="s">
        <v>29</v>
      </c>
      <c r="B169" s="46">
        <v>250000</v>
      </c>
      <c r="C169" s="47" t="s">
        <v>30</v>
      </c>
      <c r="D169" s="47" t="s">
        <v>31</v>
      </c>
      <c r="E169" s="48"/>
      <c r="F169" s="48"/>
      <c r="G169" s="48"/>
      <c r="H169" s="48"/>
      <c r="I169" s="48"/>
      <c r="J169" s="49"/>
    </row>
    <row r="170" spans="1:11" ht="15.75" thickBot="1" x14ac:dyDescent="0.3">
      <c r="A170" s="81"/>
      <c r="B170" s="82"/>
      <c r="C170" s="82"/>
      <c r="D170" s="82"/>
      <c r="E170" s="34"/>
      <c r="F170" s="34"/>
      <c r="G170" s="34"/>
      <c r="H170" s="34"/>
      <c r="I170" s="34"/>
      <c r="J170" s="35"/>
    </row>
    <row r="171" spans="1:11" x14ac:dyDescent="0.25">
      <c r="A171" s="26"/>
      <c r="B171" s="27" t="s">
        <v>32</v>
      </c>
      <c r="C171" s="27" t="s">
        <v>33</v>
      </c>
      <c r="D171" s="27" t="s">
        <v>34</v>
      </c>
      <c r="E171" s="27" t="s">
        <v>35</v>
      </c>
      <c r="F171" s="27" t="s">
        <v>36</v>
      </c>
      <c r="G171" s="27" t="s">
        <v>37</v>
      </c>
      <c r="H171" s="27" t="s">
        <v>38</v>
      </c>
      <c r="I171" s="27" t="s">
        <v>39</v>
      </c>
      <c r="J171" s="28" t="s">
        <v>40</v>
      </c>
    </row>
    <row r="172" spans="1:11" x14ac:dyDescent="0.25">
      <c r="A172" s="23" t="s">
        <v>48</v>
      </c>
      <c r="B172" s="38">
        <v>3</v>
      </c>
      <c r="C172" s="38"/>
      <c r="D172" s="38"/>
      <c r="E172" s="38"/>
      <c r="F172" s="38"/>
      <c r="G172" s="38"/>
      <c r="H172" s="38"/>
      <c r="I172" s="38"/>
      <c r="J172" s="39"/>
    </row>
    <row r="173" spans="1:11" x14ac:dyDescent="0.25">
      <c r="A173" s="12" t="s">
        <v>41</v>
      </c>
      <c r="B173" s="29">
        <v>260</v>
      </c>
      <c r="C173" s="29">
        <v>155</v>
      </c>
      <c r="D173" s="29">
        <v>260</v>
      </c>
      <c r="E173" s="29">
        <v>155</v>
      </c>
      <c r="F173" s="29">
        <v>260</v>
      </c>
      <c r="G173" s="29">
        <v>155</v>
      </c>
      <c r="H173" s="29">
        <v>260</v>
      </c>
      <c r="I173" s="29"/>
      <c r="J173" s="30"/>
    </row>
    <row r="174" spans="1:11" x14ac:dyDescent="0.25">
      <c r="A174" s="12" t="s">
        <v>42</v>
      </c>
      <c r="B174" s="29">
        <v>20</v>
      </c>
      <c r="C174" s="29">
        <v>65</v>
      </c>
      <c r="D174" s="29">
        <v>20</v>
      </c>
      <c r="E174" s="29">
        <v>65</v>
      </c>
      <c r="F174" s="29">
        <v>20</v>
      </c>
      <c r="G174" s="29">
        <v>65</v>
      </c>
      <c r="H174" s="29">
        <v>20</v>
      </c>
      <c r="I174" s="29"/>
      <c r="J174" s="30"/>
    </row>
    <row r="175" spans="1:11" x14ac:dyDescent="0.25">
      <c r="A175" s="12" t="s">
        <v>43</v>
      </c>
      <c r="B175" s="29">
        <v>20</v>
      </c>
      <c r="C175" s="29">
        <v>20</v>
      </c>
      <c r="D175" s="29">
        <v>20</v>
      </c>
      <c r="E175" s="29">
        <v>20</v>
      </c>
      <c r="F175" s="29">
        <v>20</v>
      </c>
      <c r="G175" s="29">
        <v>20</v>
      </c>
      <c r="H175" s="29">
        <v>20</v>
      </c>
      <c r="I175" s="29"/>
      <c r="J175" s="30"/>
    </row>
    <row r="176" spans="1:11" x14ac:dyDescent="0.25">
      <c r="A176" s="12" t="s">
        <v>50</v>
      </c>
      <c r="B176" s="31">
        <f t="shared" ref="B176:H176" si="26">+B175*B174^3/12</f>
        <v>13333.333333333334</v>
      </c>
      <c r="C176" s="31">
        <f t="shared" si="26"/>
        <v>457708.33333333331</v>
      </c>
      <c r="D176" s="31">
        <f t="shared" si="26"/>
        <v>13333.333333333334</v>
      </c>
      <c r="E176" s="31">
        <f t="shared" si="26"/>
        <v>457708.33333333331</v>
      </c>
      <c r="F176" s="31">
        <f t="shared" si="26"/>
        <v>13333.333333333334</v>
      </c>
      <c r="G176" s="31">
        <f t="shared" si="26"/>
        <v>457708.33333333331</v>
      </c>
      <c r="H176" s="31">
        <f t="shared" si="26"/>
        <v>13333.333333333334</v>
      </c>
      <c r="I176" s="31"/>
      <c r="J176" s="32"/>
    </row>
    <row r="177" spans="1:11" x14ac:dyDescent="0.25">
      <c r="A177" s="12" t="s">
        <v>51</v>
      </c>
      <c r="B177" s="37">
        <f t="shared" ref="B177:H177" si="27">+B176/B173</f>
        <v>51.282051282051285</v>
      </c>
      <c r="C177" s="37">
        <f t="shared" si="27"/>
        <v>2952.9569892473119</v>
      </c>
      <c r="D177" s="37">
        <f t="shared" si="27"/>
        <v>51.282051282051285</v>
      </c>
      <c r="E177" s="37">
        <f t="shared" si="27"/>
        <v>2952.9569892473119</v>
      </c>
      <c r="F177" s="37">
        <f t="shared" si="27"/>
        <v>51.282051282051285</v>
      </c>
      <c r="G177" s="37">
        <f t="shared" si="27"/>
        <v>2952.9569892473119</v>
      </c>
      <c r="H177" s="37">
        <f t="shared" si="27"/>
        <v>51.282051282051285</v>
      </c>
      <c r="I177" s="31"/>
      <c r="J177" s="32"/>
    </row>
    <row r="178" spans="1:11" x14ac:dyDescent="0.25">
      <c r="A178" s="41" t="s">
        <v>49</v>
      </c>
      <c r="B178" s="37">
        <f>+B177/C177</f>
        <v>1.7366338713630476E-2</v>
      </c>
      <c r="C178" s="37"/>
      <c r="D178" s="37">
        <f>+D177/(C177+E177)</f>
        <v>8.6831693568152381E-3</v>
      </c>
      <c r="E178" s="37"/>
      <c r="F178" s="37">
        <f>+F177/(E177+G177)</f>
        <v>8.6831693568152381E-3</v>
      </c>
      <c r="G178" s="37"/>
      <c r="H178" s="37">
        <f>+H177/G177</f>
        <v>1.7366338713630476E-2</v>
      </c>
      <c r="I178" s="31"/>
      <c r="J178" s="32"/>
    </row>
    <row r="179" spans="1:11" ht="15.75" thickBot="1" x14ac:dyDescent="0.3">
      <c r="A179" s="52" t="s">
        <v>52</v>
      </c>
      <c r="B179" s="33">
        <f>(0.5*B178+1)/(2*B178+1)</f>
        <v>0.97482489087402291</v>
      </c>
      <c r="C179" s="33"/>
      <c r="D179" s="33">
        <f>(0.5*D178+1)/(2*D178+1)</f>
        <v>0.98719757717589562</v>
      </c>
      <c r="E179" s="33"/>
      <c r="F179" s="33">
        <f>(0.5*F178+1)/(2*F178+1)</f>
        <v>0.98719757717589562</v>
      </c>
      <c r="G179" s="33"/>
      <c r="H179" s="33">
        <f>(0.5*H178+1)/(2*H178+1)</f>
        <v>0.97482489087402291</v>
      </c>
      <c r="I179" s="53"/>
      <c r="J179" s="54"/>
    </row>
    <row r="180" spans="1:11" ht="15.75" thickBot="1" x14ac:dyDescent="0.3">
      <c r="A180" s="67" t="s">
        <v>0</v>
      </c>
      <c r="B180" s="68">
        <f>+(12*B169/B173^3)*(B179*B176+D179*D176+F179*F176)</f>
        <v>6711.9254556800506</v>
      </c>
      <c r="C180" s="69" t="s">
        <v>61</v>
      </c>
      <c r="D180" s="34"/>
      <c r="E180" s="34" t="s">
        <v>64</v>
      </c>
      <c r="H180" s="34">
        <f>3*B169*B176/B173^3</f>
        <v>568.95766954938551</v>
      </c>
      <c r="I180" s="34" t="s">
        <v>63</v>
      </c>
      <c r="J180" s="35"/>
      <c r="K180" s="70">
        <f>+B180/H180</f>
        <v>11.796880180903257</v>
      </c>
    </row>
    <row r="181" spans="1:11" x14ac:dyDescent="0.25">
      <c r="A181" s="26" t="s">
        <v>29</v>
      </c>
      <c r="B181" s="46">
        <v>270000</v>
      </c>
      <c r="C181" s="47" t="s">
        <v>30</v>
      </c>
      <c r="D181" s="47" t="s">
        <v>31</v>
      </c>
      <c r="E181" s="48"/>
      <c r="F181" s="48"/>
      <c r="G181" s="48"/>
      <c r="H181" s="48"/>
      <c r="I181" s="48"/>
      <c r="J181" s="49"/>
    </row>
    <row r="182" spans="1:11" ht="15.75" thickBot="1" x14ac:dyDescent="0.3">
      <c r="A182" s="81"/>
      <c r="B182" s="82"/>
      <c r="C182" s="82"/>
      <c r="D182" s="82"/>
      <c r="E182" s="34"/>
      <c r="F182" s="34"/>
      <c r="G182" s="34"/>
      <c r="H182" s="34"/>
      <c r="I182" s="34"/>
      <c r="J182" s="35"/>
    </row>
    <row r="183" spans="1:11" x14ac:dyDescent="0.25">
      <c r="A183" s="26"/>
      <c r="B183" s="27" t="s">
        <v>32</v>
      </c>
      <c r="C183" s="27" t="s">
        <v>33</v>
      </c>
      <c r="D183" s="27" t="s">
        <v>34</v>
      </c>
      <c r="E183" s="27" t="s">
        <v>35</v>
      </c>
      <c r="F183" s="27" t="s">
        <v>36</v>
      </c>
      <c r="G183" s="27" t="s">
        <v>37</v>
      </c>
      <c r="H183" s="27" t="s">
        <v>38</v>
      </c>
      <c r="I183" s="27" t="s">
        <v>39</v>
      </c>
      <c r="J183" s="28" t="s">
        <v>40</v>
      </c>
    </row>
    <row r="184" spans="1:11" x14ac:dyDescent="0.25">
      <c r="A184" s="23" t="s">
        <v>48</v>
      </c>
      <c r="B184" s="38">
        <v>3</v>
      </c>
      <c r="C184" s="38"/>
      <c r="D184" s="38"/>
      <c r="E184" s="38"/>
      <c r="F184" s="38"/>
      <c r="G184" s="38"/>
      <c r="H184" s="38"/>
      <c r="I184" s="38"/>
      <c r="J184" s="39"/>
    </row>
    <row r="185" spans="1:11" x14ac:dyDescent="0.25">
      <c r="A185" s="12" t="s">
        <v>41</v>
      </c>
      <c r="B185" s="29">
        <v>260</v>
      </c>
      <c r="C185" s="29">
        <v>155</v>
      </c>
      <c r="D185" s="29">
        <v>260</v>
      </c>
      <c r="E185" s="29">
        <v>155</v>
      </c>
      <c r="F185" s="29">
        <v>260</v>
      </c>
      <c r="G185" s="29">
        <v>155</v>
      </c>
      <c r="H185" s="29">
        <v>260</v>
      </c>
      <c r="I185" s="29"/>
      <c r="J185" s="30"/>
    </row>
    <row r="186" spans="1:11" x14ac:dyDescent="0.25">
      <c r="A186" s="12" t="s">
        <v>42</v>
      </c>
      <c r="B186" s="29">
        <v>65</v>
      </c>
      <c r="C186" s="29">
        <v>65</v>
      </c>
      <c r="D186" s="29">
        <v>65</v>
      </c>
      <c r="E186" s="29">
        <v>65</v>
      </c>
      <c r="F186" s="29">
        <v>65</v>
      </c>
      <c r="G186" s="29">
        <v>65</v>
      </c>
      <c r="H186" s="29">
        <v>65</v>
      </c>
      <c r="I186" s="29"/>
      <c r="J186" s="30"/>
    </row>
    <row r="187" spans="1:11" x14ac:dyDescent="0.25">
      <c r="A187" s="12" t="s">
        <v>43</v>
      </c>
      <c r="B187" s="29">
        <v>20</v>
      </c>
      <c r="C187" s="29">
        <v>20</v>
      </c>
      <c r="D187" s="29">
        <v>20</v>
      </c>
      <c r="E187" s="29">
        <v>20</v>
      </c>
      <c r="F187" s="29">
        <v>20</v>
      </c>
      <c r="G187" s="29">
        <v>20</v>
      </c>
      <c r="H187" s="29">
        <v>20</v>
      </c>
      <c r="I187" s="29"/>
      <c r="J187" s="30"/>
    </row>
    <row r="188" spans="1:11" x14ac:dyDescent="0.25">
      <c r="A188" s="12" t="s">
        <v>50</v>
      </c>
      <c r="B188" s="31">
        <f t="shared" ref="B188:H188" si="28">+B187*B186^3/12</f>
        <v>457708.33333333331</v>
      </c>
      <c r="C188" s="31">
        <f t="shared" si="28"/>
        <v>457708.33333333331</v>
      </c>
      <c r="D188" s="31">
        <f t="shared" si="28"/>
        <v>457708.33333333331</v>
      </c>
      <c r="E188" s="31">
        <f t="shared" si="28"/>
        <v>457708.33333333331</v>
      </c>
      <c r="F188" s="31">
        <f t="shared" si="28"/>
        <v>457708.33333333331</v>
      </c>
      <c r="G188" s="31">
        <f t="shared" si="28"/>
        <v>457708.33333333331</v>
      </c>
      <c r="H188" s="31">
        <f t="shared" si="28"/>
        <v>457708.33333333331</v>
      </c>
      <c r="I188" s="31"/>
      <c r="J188" s="32"/>
    </row>
    <row r="189" spans="1:11" x14ac:dyDescent="0.25">
      <c r="A189" s="12" t="s">
        <v>51</v>
      </c>
      <c r="B189" s="37">
        <f t="shared" ref="B189:H189" si="29">+B188/B185</f>
        <v>1760.4166666666665</v>
      </c>
      <c r="C189" s="37">
        <f t="shared" si="29"/>
        <v>2952.9569892473119</v>
      </c>
      <c r="D189" s="37">
        <f t="shared" si="29"/>
        <v>1760.4166666666665</v>
      </c>
      <c r="E189" s="37">
        <f t="shared" si="29"/>
        <v>2952.9569892473119</v>
      </c>
      <c r="F189" s="37">
        <f t="shared" si="29"/>
        <v>1760.4166666666665</v>
      </c>
      <c r="G189" s="37">
        <f t="shared" si="29"/>
        <v>2952.9569892473119</v>
      </c>
      <c r="H189" s="37">
        <f t="shared" si="29"/>
        <v>1760.4166666666665</v>
      </c>
      <c r="I189" s="31"/>
      <c r="J189" s="32"/>
    </row>
    <row r="190" spans="1:11" x14ac:dyDescent="0.25">
      <c r="A190" s="41" t="s">
        <v>49</v>
      </c>
      <c r="B190" s="37">
        <f>+B189/C189</f>
        <v>0.59615384615384615</v>
      </c>
      <c r="C190" s="37"/>
      <c r="D190" s="37">
        <f>+D189/(C189+E189)</f>
        <v>0.29807692307692307</v>
      </c>
      <c r="E190" s="37"/>
      <c r="F190" s="37">
        <f>+F189/(E189+G189)</f>
        <v>0.29807692307692307</v>
      </c>
      <c r="G190" s="37"/>
      <c r="H190" s="37">
        <f>+H189/G189</f>
        <v>0.59615384615384615</v>
      </c>
      <c r="I190" s="31"/>
      <c r="J190" s="32"/>
    </row>
    <row r="191" spans="1:11" ht="15.75" thickBot="1" x14ac:dyDescent="0.3">
      <c r="A191" s="52" t="s">
        <v>52</v>
      </c>
      <c r="B191" s="33">
        <f>(0.5*B190+1)/(2*B190+1)</f>
        <v>0.59210526315789469</v>
      </c>
      <c r="C191" s="33"/>
      <c r="D191" s="33">
        <f>(0.5*D190+1)/(2*D190+1)</f>
        <v>0.719879518072289</v>
      </c>
      <c r="E191" s="33"/>
      <c r="F191" s="33">
        <f>(0.5*F190+1)/(2*F190+1)</f>
        <v>0.719879518072289</v>
      </c>
      <c r="G191" s="33"/>
      <c r="H191" s="33">
        <f>(0.5*H190+1)/(2*H190+1)</f>
        <v>0.59210526315789469</v>
      </c>
      <c r="I191" s="53"/>
      <c r="J191" s="54"/>
    </row>
    <row r="192" spans="1:11" ht="15.75" thickBot="1" x14ac:dyDescent="0.3">
      <c r="A192" s="67" t="s">
        <v>0</v>
      </c>
      <c r="B192" s="68">
        <f>+(12*B181/B185^3)*(B191*B188+D191*D188+F191*F188)</f>
        <v>171438.5502536461</v>
      </c>
      <c r="C192" s="69" t="s">
        <v>61</v>
      </c>
      <c r="D192" s="34"/>
      <c r="E192" s="34" t="s">
        <v>64</v>
      </c>
      <c r="H192" s="34">
        <f>3*B181*B188/B185^3</f>
        <v>21093.75</v>
      </c>
      <c r="I192" s="34" t="s">
        <v>63</v>
      </c>
      <c r="J192" s="35"/>
      <c r="K192" s="70">
        <f>+B192/H192</f>
        <v>8.127457197209889</v>
      </c>
    </row>
  </sheetData>
  <mergeCells count="20">
    <mergeCell ref="A43:D43"/>
    <mergeCell ref="A30:D30"/>
    <mergeCell ref="A1:J1"/>
    <mergeCell ref="A2:D2"/>
    <mergeCell ref="E2:J4"/>
    <mergeCell ref="A4:D4"/>
    <mergeCell ref="A17:D17"/>
    <mergeCell ref="A56:D56"/>
    <mergeCell ref="A69:D69"/>
    <mergeCell ref="A119:D119"/>
    <mergeCell ref="E119:J119"/>
    <mergeCell ref="A121:D121"/>
    <mergeCell ref="A158:D158"/>
    <mergeCell ref="A170:D170"/>
    <mergeCell ref="A182:D182"/>
    <mergeCell ref="A82:D82"/>
    <mergeCell ref="A95:D95"/>
    <mergeCell ref="A108:D108"/>
    <mergeCell ref="A134:D134"/>
    <mergeCell ref="A146:D14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topLeftCell="A8" workbookViewId="0">
      <selection activeCell="A16" sqref="A16:D16"/>
    </sheetView>
  </sheetViews>
  <sheetFormatPr baseColWidth="10" defaultRowHeight="15" x14ac:dyDescent="0.25"/>
  <cols>
    <col min="1" max="1" width="17.28515625" customWidth="1"/>
  </cols>
  <sheetData>
    <row r="1" spans="1:19" ht="15.75" thickBot="1" x14ac:dyDescent="0.3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8"/>
    </row>
    <row r="2" spans="1:19" x14ac:dyDescent="0.25">
      <c r="A2" s="83"/>
      <c r="B2" s="84"/>
      <c r="C2" s="84"/>
      <c r="D2" s="84"/>
      <c r="E2" s="84"/>
      <c r="F2" s="84"/>
      <c r="G2" s="84"/>
      <c r="H2" s="84"/>
      <c r="I2" s="84"/>
      <c r="J2" s="85"/>
    </row>
    <row r="3" spans="1:19" x14ac:dyDescent="0.25">
      <c r="A3" s="23" t="s">
        <v>29</v>
      </c>
      <c r="B3" s="24">
        <v>240000</v>
      </c>
      <c r="C3" s="25" t="s">
        <v>30</v>
      </c>
      <c r="D3" s="25" t="s">
        <v>31</v>
      </c>
      <c r="E3" s="89"/>
      <c r="F3" s="89"/>
      <c r="G3" s="89"/>
      <c r="H3" s="89"/>
      <c r="I3" s="89"/>
      <c r="J3" s="90"/>
    </row>
    <row r="4" spans="1:19" ht="15.75" thickBot="1" x14ac:dyDescent="0.3">
      <c r="A4" s="81"/>
      <c r="B4" s="82"/>
      <c r="C4" s="82"/>
      <c r="D4" s="82"/>
      <c r="E4" s="82"/>
      <c r="F4" s="82"/>
      <c r="G4" s="82"/>
      <c r="H4" s="82"/>
      <c r="I4" s="82"/>
      <c r="J4" s="91"/>
    </row>
    <row r="5" spans="1:19" x14ac:dyDescent="0.25">
      <c r="A5" s="26"/>
      <c r="B5" s="27" t="s">
        <v>32</v>
      </c>
      <c r="C5" s="27" t="s">
        <v>33</v>
      </c>
      <c r="D5" s="27" t="s">
        <v>34</v>
      </c>
      <c r="E5" s="27" t="s">
        <v>35</v>
      </c>
      <c r="F5" s="27" t="s">
        <v>36</v>
      </c>
      <c r="G5" s="27" t="s">
        <v>37</v>
      </c>
      <c r="H5" s="27" t="s">
        <v>38</v>
      </c>
      <c r="I5" s="27" t="s">
        <v>39</v>
      </c>
      <c r="J5" s="28" t="s">
        <v>40</v>
      </c>
      <c r="L5" s="74" t="s">
        <v>68</v>
      </c>
      <c r="M5" s="74" t="s">
        <v>66</v>
      </c>
      <c r="N5" s="74"/>
      <c r="O5" s="74" t="s">
        <v>67</v>
      </c>
      <c r="P5" s="74"/>
    </row>
    <row r="6" spans="1:19" x14ac:dyDescent="0.25">
      <c r="A6" s="23" t="s">
        <v>48</v>
      </c>
      <c r="B6" s="38">
        <v>2</v>
      </c>
      <c r="C6" s="38"/>
      <c r="D6" s="38"/>
      <c r="E6" s="38"/>
      <c r="F6" s="38"/>
      <c r="G6" s="38"/>
      <c r="H6" s="38"/>
      <c r="I6" s="38"/>
      <c r="J6" s="39"/>
      <c r="L6" s="76">
        <f>+B10</f>
        <v>13333.333333333334</v>
      </c>
      <c r="M6">
        <v>0.22</v>
      </c>
      <c r="N6">
        <f>1/M6</f>
        <v>4.5454545454545459</v>
      </c>
      <c r="O6">
        <v>9.23</v>
      </c>
      <c r="P6">
        <v>10.84</v>
      </c>
      <c r="Q6" s="70">
        <f>6.5-1.4*LN(M6)</f>
        <v>8.619778825681685</v>
      </c>
      <c r="R6" s="75">
        <f>+(1+6*M6)/(2+3*M6)</f>
        <v>0.87218045112781961</v>
      </c>
      <c r="S6">
        <f>12*$B$3*L6/260^3</f>
        <v>2184.7974510696404</v>
      </c>
    </row>
    <row r="7" spans="1:19" x14ac:dyDescent="0.25">
      <c r="A7" s="12" t="s">
        <v>41</v>
      </c>
      <c r="B7" s="29">
        <v>260</v>
      </c>
      <c r="C7" s="29">
        <v>310</v>
      </c>
      <c r="D7" s="29">
        <v>260</v>
      </c>
      <c r="E7" s="29"/>
      <c r="F7" s="29"/>
      <c r="G7" s="29"/>
      <c r="H7" s="29"/>
      <c r="I7" s="29"/>
      <c r="J7" s="30"/>
      <c r="L7" s="76">
        <f>+B23</f>
        <v>71458.333333333328</v>
      </c>
      <c r="M7">
        <v>1.19</v>
      </c>
      <c r="N7">
        <f t="shared" ref="N7:N14" si="0">1/M7</f>
        <v>0.84033613445378152</v>
      </c>
      <c r="O7">
        <v>5.66</v>
      </c>
      <c r="P7">
        <v>8.01</v>
      </c>
      <c r="Q7" s="70">
        <f t="shared" ref="Q7:Q14" si="1">6.5-1.4*LN(M7)</f>
        <v>6.2564653700271871</v>
      </c>
      <c r="R7" s="75">
        <f t="shared" ref="R7:R14" si="2">+(1+6*M7)/(2+3*M7)</f>
        <v>1.4614003590664273</v>
      </c>
      <c r="S7">
        <f t="shared" ref="S7:S14" si="3">12*$B$3*L7/260^3</f>
        <v>11709.148839326353</v>
      </c>
    </row>
    <row r="8" spans="1:19" x14ac:dyDescent="0.25">
      <c r="A8" s="12" t="s">
        <v>42</v>
      </c>
      <c r="B8" s="29">
        <v>20</v>
      </c>
      <c r="C8" s="29">
        <v>35</v>
      </c>
      <c r="D8" s="29">
        <v>20</v>
      </c>
      <c r="E8" s="29"/>
      <c r="F8" s="29"/>
      <c r="G8" s="29"/>
      <c r="H8" s="29"/>
      <c r="I8" s="29"/>
      <c r="J8" s="30"/>
      <c r="L8" s="76">
        <f>+B36</f>
        <v>151875</v>
      </c>
      <c r="M8">
        <v>2.5299999999999998</v>
      </c>
      <c r="N8">
        <f t="shared" si="0"/>
        <v>0.39525691699604748</v>
      </c>
      <c r="O8">
        <v>4.4800000000000004</v>
      </c>
      <c r="P8">
        <v>6.35</v>
      </c>
      <c r="Q8" s="70">
        <f t="shared" si="1"/>
        <v>5.2004929761647993</v>
      </c>
      <c r="R8" s="75">
        <f t="shared" si="2"/>
        <v>1.6871741397288842</v>
      </c>
      <c r="S8">
        <f t="shared" si="3"/>
        <v>24886.208466090124</v>
      </c>
    </row>
    <row r="9" spans="1:19" x14ac:dyDescent="0.25">
      <c r="A9" s="12" t="s">
        <v>43</v>
      </c>
      <c r="B9" s="29">
        <v>20</v>
      </c>
      <c r="C9" s="29">
        <v>20</v>
      </c>
      <c r="D9" s="29">
        <v>20</v>
      </c>
      <c r="E9" s="29"/>
      <c r="F9" s="29"/>
      <c r="G9" s="29"/>
      <c r="H9" s="29"/>
      <c r="I9" s="29"/>
      <c r="J9" s="30"/>
      <c r="L9" s="76">
        <f>+B49</f>
        <v>13333.333333333334</v>
      </c>
      <c r="M9">
        <v>0.03</v>
      </c>
      <c r="N9">
        <f t="shared" si="0"/>
        <v>33.333333333333336</v>
      </c>
      <c r="O9">
        <v>11.42</v>
      </c>
      <c r="P9">
        <v>11.8</v>
      </c>
      <c r="Q9" s="70">
        <f t="shared" si="1"/>
        <v>11.409181056247974</v>
      </c>
      <c r="R9" s="75">
        <f t="shared" si="2"/>
        <v>0.56459330143540676</v>
      </c>
      <c r="S9">
        <f t="shared" si="3"/>
        <v>2184.7974510696404</v>
      </c>
    </row>
    <row r="10" spans="1:19" x14ac:dyDescent="0.25">
      <c r="A10" s="12" t="s">
        <v>50</v>
      </c>
      <c r="B10" s="31">
        <f t="shared" ref="B10" si="4">+B9*B8^3/12</f>
        <v>13333.333333333334</v>
      </c>
      <c r="C10" s="31">
        <f>+C9*C8^3/12</f>
        <v>71458.333333333328</v>
      </c>
      <c r="D10" s="31">
        <f t="shared" ref="D10" si="5">+D9*D8^3/12</f>
        <v>13333.333333333334</v>
      </c>
      <c r="E10" s="31"/>
      <c r="F10" s="31"/>
      <c r="G10" s="31"/>
      <c r="H10" s="31"/>
      <c r="I10" s="31"/>
      <c r="J10" s="32"/>
      <c r="L10" s="76">
        <f>+B75</f>
        <v>13333.333333333334</v>
      </c>
      <c r="M10">
        <v>0.11</v>
      </c>
      <c r="N10">
        <f t="shared" si="0"/>
        <v>9.0909090909090917</v>
      </c>
      <c r="O10">
        <v>10.61</v>
      </c>
      <c r="P10">
        <f t="shared" ref="P10:P15" si="6">+O10</f>
        <v>10.61</v>
      </c>
      <c r="Q10" s="70">
        <f t="shared" si="1"/>
        <v>9.5901848784656085</v>
      </c>
      <c r="R10" s="75">
        <f t="shared" si="2"/>
        <v>0.71244635193133055</v>
      </c>
      <c r="S10">
        <f t="shared" si="3"/>
        <v>2184.7974510696404</v>
      </c>
    </row>
    <row r="11" spans="1:19" x14ac:dyDescent="0.25">
      <c r="A11" s="12" t="s">
        <v>51</v>
      </c>
      <c r="B11" s="37">
        <f>+B10/B7</f>
        <v>51.282051282051285</v>
      </c>
      <c r="C11" s="37">
        <f>+C10/C7</f>
        <v>230.51075268817203</v>
      </c>
      <c r="D11" s="37">
        <f>+D10/D7</f>
        <v>51.282051282051285</v>
      </c>
      <c r="E11" s="31"/>
      <c r="F11" s="31"/>
      <c r="G11" s="31"/>
      <c r="H11" s="31"/>
      <c r="I11" s="31"/>
      <c r="J11" s="32"/>
      <c r="L11" s="76">
        <f>+B88</f>
        <v>71458.333333333328</v>
      </c>
      <c r="M11">
        <v>0.6</v>
      </c>
      <c r="N11">
        <f t="shared" si="0"/>
        <v>1.6666666666666667</v>
      </c>
      <c r="O11">
        <v>7.62</v>
      </c>
      <c r="P11">
        <f t="shared" si="6"/>
        <v>7.62</v>
      </c>
      <c r="Q11" s="70">
        <f t="shared" si="1"/>
        <v>7.2151558732723871</v>
      </c>
      <c r="R11" s="75">
        <f t="shared" si="2"/>
        <v>1.2105263157894737</v>
      </c>
      <c r="S11">
        <f t="shared" si="3"/>
        <v>11709.148839326353</v>
      </c>
    </row>
    <row r="12" spans="1:19" ht="15.75" thickBot="1" x14ac:dyDescent="0.3">
      <c r="A12" s="41" t="s">
        <v>49</v>
      </c>
      <c r="B12" s="37">
        <f>+B11/C11</f>
        <v>0.22247140614487557</v>
      </c>
      <c r="C12" s="42"/>
      <c r="D12" s="37">
        <f>+D11/C11</f>
        <v>0.22247140614487557</v>
      </c>
      <c r="E12" s="31"/>
      <c r="F12" s="31"/>
      <c r="G12" s="31"/>
      <c r="H12" s="31"/>
      <c r="I12" s="31"/>
      <c r="J12" s="32"/>
      <c r="L12" s="76">
        <f>+B101</f>
        <v>151875</v>
      </c>
      <c r="M12">
        <v>1.27</v>
      </c>
      <c r="N12">
        <f t="shared" si="0"/>
        <v>0.78740157480314954</v>
      </c>
      <c r="O12">
        <v>6.02</v>
      </c>
      <c r="P12">
        <f t="shared" si="6"/>
        <v>6.02</v>
      </c>
      <c r="Q12" s="70">
        <f t="shared" si="1"/>
        <v>6.1653763393413001</v>
      </c>
      <c r="R12" s="75">
        <f t="shared" si="2"/>
        <v>1.4836488812392428</v>
      </c>
      <c r="S12">
        <f t="shared" si="3"/>
        <v>24886.208466090124</v>
      </c>
    </row>
    <row r="13" spans="1:19" ht="15.75" thickBot="1" x14ac:dyDescent="0.3">
      <c r="A13" s="23" t="s">
        <v>60</v>
      </c>
      <c r="B13" s="40">
        <f>+(0.5*B12+1)/(2*B12+1)</f>
        <v>0.7690516839981375</v>
      </c>
      <c r="C13" s="40"/>
      <c r="D13" s="40">
        <f>+(0.5*D12+1)/(2*D12+1)</f>
        <v>0.7690516839981375</v>
      </c>
      <c r="E13" s="34" t="s">
        <v>46</v>
      </c>
      <c r="F13" s="34" t="s">
        <v>8</v>
      </c>
      <c r="G13" s="34">
        <f>+C11/B11</f>
        <v>4.4949596774193541</v>
      </c>
      <c r="H13" s="34"/>
      <c r="I13" s="34"/>
      <c r="J13" s="35"/>
      <c r="L13" s="76">
        <f>+B152</f>
        <v>71458.333333333328</v>
      </c>
      <c r="M13">
        <v>0.6</v>
      </c>
      <c r="N13">
        <f t="shared" si="0"/>
        <v>1.6666666666666667</v>
      </c>
      <c r="O13">
        <v>8.1300000000000008</v>
      </c>
      <c r="P13">
        <f t="shared" si="6"/>
        <v>8.1300000000000008</v>
      </c>
      <c r="Q13" s="70">
        <f t="shared" si="1"/>
        <v>7.2151558732723871</v>
      </c>
      <c r="R13" s="75">
        <f t="shared" si="2"/>
        <v>1.2105263157894737</v>
      </c>
      <c r="S13">
        <f t="shared" si="3"/>
        <v>11709.148839326353</v>
      </c>
    </row>
    <row r="14" spans="1:19" ht="15.75" thickBot="1" x14ac:dyDescent="0.3">
      <c r="A14" s="67" t="s">
        <v>69</v>
      </c>
      <c r="B14" s="68">
        <f>+(12*B3/B7^3)*(B13*B10+D13*D10)</f>
        <v>3360.4443178798906</v>
      </c>
      <c r="C14" s="69" t="s">
        <v>61</v>
      </c>
      <c r="E14" s="34" t="s">
        <v>62</v>
      </c>
      <c r="H14" s="34">
        <f>2*B3*B10/B7^3</f>
        <v>364.13290851160673</v>
      </c>
      <c r="I14" s="34" t="s">
        <v>63</v>
      </c>
      <c r="J14" s="35"/>
      <c r="K14" s="40">
        <f>+B14/H14</f>
        <v>9.2286202079776505</v>
      </c>
      <c r="L14" s="76">
        <f>+B176</f>
        <v>13333.333333333334</v>
      </c>
      <c r="M14">
        <v>0.02</v>
      </c>
      <c r="N14">
        <f t="shared" si="0"/>
        <v>50</v>
      </c>
      <c r="O14">
        <v>11.75</v>
      </c>
      <c r="P14">
        <f t="shared" si="6"/>
        <v>11.75</v>
      </c>
      <c r="Q14" s="70">
        <f t="shared" si="1"/>
        <v>11.976832207599404</v>
      </c>
      <c r="R14" s="75">
        <f t="shared" si="2"/>
        <v>0.54368932038834961</v>
      </c>
      <c r="S14">
        <f t="shared" si="3"/>
        <v>2184.7974510696404</v>
      </c>
    </row>
    <row r="15" spans="1:19" x14ac:dyDescent="0.25">
      <c r="A15" s="67"/>
      <c r="B15" s="34"/>
      <c r="C15" s="69"/>
      <c r="D15" s="34"/>
      <c r="E15" s="34"/>
      <c r="H15" s="34"/>
      <c r="I15" s="34"/>
      <c r="J15" s="35"/>
      <c r="K15" s="34"/>
      <c r="L15" s="76">
        <f>+B164</f>
        <v>71458.333333333328</v>
      </c>
      <c r="M15">
        <v>0.28000000000000003</v>
      </c>
      <c r="N15">
        <f>1/M15</f>
        <v>3.5714285714285712</v>
      </c>
      <c r="O15">
        <v>9.61</v>
      </c>
      <c r="P15">
        <f t="shared" si="6"/>
        <v>9.61</v>
      </c>
      <c r="Q15" s="70">
        <f>6.5-1.4*LN(M15)</f>
        <v>8.2821519461380415</v>
      </c>
      <c r="R15" s="75">
        <f>+(1+6*M15)/(2+3*M15)</f>
        <v>0.94366197183098599</v>
      </c>
      <c r="S15">
        <f>12*$B$3*L15/260^3</f>
        <v>11709.148839326353</v>
      </c>
    </row>
    <row r="16" spans="1:19" x14ac:dyDescent="0.25">
      <c r="A16" s="23" t="s">
        <v>29</v>
      </c>
      <c r="B16" s="24">
        <v>240000</v>
      </c>
      <c r="C16" s="25" t="s">
        <v>30</v>
      </c>
      <c r="D16" s="25" t="s">
        <v>31</v>
      </c>
      <c r="E16" s="34"/>
      <c r="F16" s="34"/>
      <c r="G16" s="34"/>
      <c r="H16" s="34"/>
      <c r="I16" s="34" t="s">
        <v>65</v>
      </c>
      <c r="J16" s="35"/>
    </row>
    <row r="17" spans="1:11" ht="15.75" thickBot="1" x14ac:dyDescent="0.3">
      <c r="A17" s="81"/>
      <c r="B17" s="82"/>
      <c r="C17" s="82"/>
      <c r="D17" s="82"/>
      <c r="E17" s="34"/>
      <c r="F17" s="34"/>
      <c r="G17" s="34"/>
      <c r="H17" s="34"/>
      <c r="I17" s="34"/>
      <c r="J17" s="35"/>
    </row>
    <row r="18" spans="1:11" x14ac:dyDescent="0.25">
      <c r="A18" s="26"/>
      <c r="B18" s="27" t="s">
        <v>32</v>
      </c>
      <c r="C18" s="27" t="s">
        <v>33</v>
      </c>
      <c r="D18" s="27" t="s">
        <v>34</v>
      </c>
      <c r="E18" s="27" t="s">
        <v>35</v>
      </c>
      <c r="F18" s="27" t="s">
        <v>36</v>
      </c>
      <c r="G18" s="27" t="s">
        <v>37</v>
      </c>
      <c r="H18" s="27" t="s">
        <v>38</v>
      </c>
      <c r="I18" s="27" t="s">
        <v>39</v>
      </c>
      <c r="J18" s="28" t="s">
        <v>40</v>
      </c>
    </row>
    <row r="19" spans="1:11" x14ac:dyDescent="0.25">
      <c r="A19" s="23" t="s">
        <v>48</v>
      </c>
      <c r="B19" s="38">
        <v>2</v>
      </c>
      <c r="C19" s="38"/>
      <c r="D19" s="38"/>
      <c r="E19" s="38"/>
      <c r="F19" s="38"/>
      <c r="G19" s="38"/>
      <c r="H19" s="38"/>
      <c r="I19" s="38"/>
      <c r="J19" s="39"/>
    </row>
    <row r="20" spans="1:11" x14ac:dyDescent="0.25">
      <c r="A20" s="12" t="s">
        <v>41</v>
      </c>
      <c r="B20" s="29">
        <v>260</v>
      </c>
      <c r="C20" s="29">
        <v>310</v>
      </c>
      <c r="D20" s="29">
        <v>260</v>
      </c>
      <c r="E20" s="29"/>
      <c r="F20" s="29"/>
      <c r="G20" s="29"/>
      <c r="H20" s="29"/>
      <c r="I20" s="29"/>
      <c r="J20" s="30"/>
    </row>
    <row r="21" spans="1:11" x14ac:dyDescent="0.25">
      <c r="A21" s="12" t="s">
        <v>42</v>
      </c>
      <c r="B21" s="29">
        <v>35</v>
      </c>
      <c r="C21" s="29">
        <v>35</v>
      </c>
      <c r="D21" s="29">
        <v>35</v>
      </c>
      <c r="E21" s="29"/>
      <c r="F21" s="29"/>
      <c r="G21" s="29"/>
      <c r="H21" s="29"/>
      <c r="I21" s="29"/>
      <c r="J21" s="30"/>
    </row>
    <row r="22" spans="1:11" x14ac:dyDescent="0.25">
      <c r="A22" s="12" t="s">
        <v>43</v>
      </c>
      <c r="B22" s="29">
        <v>20</v>
      </c>
      <c r="C22" s="29">
        <v>200000</v>
      </c>
      <c r="D22" s="29">
        <v>20</v>
      </c>
      <c r="E22" s="29"/>
      <c r="F22" s="29"/>
      <c r="G22" s="29"/>
      <c r="H22" s="29"/>
      <c r="I22" s="29"/>
      <c r="J22" s="30"/>
    </row>
    <row r="23" spans="1:11" x14ac:dyDescent="0.25">
      <c r="A23" s="12" t="s">
        <v>50</v>
      </c>
      <c r="B23" s="31">
        <f t="shared" ref="B23:D23" si="7">+B22*B21^3/12</f>
        <v>71458.333333333328</v>
      </c>
      <c r="C23" s="31">
        <f t="shared" si="7"/>
        <v>714583333.33333337</v>
      </c>
      <c r="D23" s="31">
        <f t="shared" si="7"/>
        <v>71458.333333333328</v>
      </c>
      <c r="E23" s="31"/>
      <c r="F23" s="31"/>
      <c r="G23" s="31"/>
      <c r="H23" s="31"/>
      <c r="I23" s="31"/>
      <c r="J23" s="32"/>
    </row>
    <row r="24" spans="1:11" x14ac:dyDescent="0.25">
      <c r="A24" s="12" t="s">
        <v>51</v>
      </c>
      <c r="B24" s="37">
        <f>+B23/B20</f>
        <v>274.83974358974359</v>
      </c>
      <c r="C24" s="37">
        <f>+C23/C20</f>
        <v>2305107.5268817204</v>
      </c>
      <c r="D24" s="37">
        <f>+D23/D20</f>
        <v>274.83974358974359</v>
      </c>
      <c r="E24" s="31"/>
      <c r="F24" s="31"/>
      <c r="G24" s="31"/>
      <c r="H24" s="31"/>
      <c r="I24" s="31"/>
      <c r="J24" s="32"/>
    </row>
    <row r="25" spans="1:11" ht="15.75" thickBot="1" x14ac:dyDescent="0.3">
      <c r="A25" s="41" t="s">
        <v>49</v>
      </c>
      <c r="B25" s="37">
        <f>+B24/C24</f>
        <v>1.1923076923076923E-4</v>
      </c>
      <c r="C25" s="42"/>
      <c r="D25" s="37">
        <f>+D24/C24</f>
        <v>1.1923076923076923E-4</v>
      </c>
      <c r="E25" s="31"/>
      <c r="F25" s="31"/>
      <c r="G25" s="31"/>
      <c r="H25" s="31"/>
      <c r="I25" s="31"/>
      <c r="J25" s="32"/>
    </row>
    <row r="26" spans="1:11" ht="15.75" thickBot="1" x14ac:dyDescent="0.3">
      <c r="A26" s="23" t="s">
        <v>60</v>
      </c>
      <c r="B26" s="40">
        <f>+(0.5*B25+1)/(2*B25+1)</f>
        <v>0.99982119648391521</v>
      </c>
      <c r="C26" s="40"/>
      <c r="D26" s="40">
        <f>+(0.5*D25+1)/(2*D25+1)</f>
        <v>0.99982119648391521</v>
      </c>
      <c r="E26" s="34" t="s">
        <v>47</v>
      </c>
      <c r="F26" s="34" t="s">
        <v>9</v>
      </c>
      <c r="G26" s="34"/>
      <c r="H26" s="34"/>
      <c r="I26" s="34"/>
      <c r="J26" s="35"/>
    </row>
    <row r="27" spans="1:11" ht="15.75" thickBot="1" x14ac:dyDescent="0.3">
      <c r="A27" s="67" t="s">
        <v>69</v>
      </c>
      <c r="B27" s="68">
        <f>+(12*B16/B20^3)*(B26*B23+D26*D23)</f>
        <v>23414.110404687042</v>
      </c>
      <c r="C27" s="69" t="s">
        <v>61</v>
      </c>
      <c r="D27" s="34"/>
      <c r="E27" s="34" t="s">
        <v>62</v>
      </c>
      <c r="H27" s="34">
        <f>2*B16*B23/B20^3</f>
        <v>1951.5248065543922</v>
      </c>
      <c r="I27" s="34" t="s">
        <v>63</v>
      </c>
      <c r="J27" s="35"/>
      <c r="K27" s="40">
        <f>+B27/H27</f>
        <v>11.997854357806983</v>
      </c>
    </row>
    <row r="28" spans="1:11" x14ac:dyDescent="0.25">
      <c r="A28" s="67"/>
      <c r="B28" s="34"/>
      <c r="C28" s="69"/>
      <c r="D28" s="34"/>
      <c r="E28" s="34"/>
      <c r="H28" s="34"/>
      <c r="I28" s="34"/>
      <c r="J28" s="35"/>
      <c r="K28" s="34"/>
    </row>
    <row r="29" spans="1:11" x14ac:dyDescent="0.25">
      <c r="A29" s="23" t="s">
        <v>29</v>
      </c>
      <c r="B29" s="24">
        <v>210000</v>
      </c>
      <c r="C29" s="25" t="s">
        <v>30</v>
      </c>
      <c r="D29" s="25" t="s">
        <v>31</v>
      </c>
      <c r="E29" s="34"/>
      <c r="F29" s="34"/>
      <c r="G29" s="34"/>
      <c r="H29" s="34"/>
      <c r="I29" s="34"/>
      <c r="J29" s="35"/>
    </row>
    <row r="30" spans="1:11" ht="15.75" thickBot="1" x14ac:dyDescent="0.3">
      <c r="A30" s="81"/>
      <c r="B30" s="82"/>
      <c r="C30" s="82"/>
      <c r="D30" s="82"/>
      <c r="E30" s="34"/>
      <c r="F30" s="34"/>
      <c r="G30" s="34"/>
      <c r="H30" s="34"/>
      <c r="I30" s="34"/>
      <c r="J30" s="35"/>
    </row>
    <row r="31" spans="1:11" x14ac:dyDescent="0.25">
      <c r="A31" s="26"/>
      <c r="B31" s="27" t="s">
        <v>32</v>
      </c>
      <c r="C31" s="27" t="s">
        <v>33</v>
      </c>
      <c r="D31" s="27" t="s">
        <v>34</v>
      </c>
      <c r="E31" s="27" t="s">
        <v>35</v>
      </c>
      <c r="F31" s="27" t="s">
        <v>36</v>
      </c>
      <c r="G31" s="27" t="s">
        <v>37</v>
      </c>
      <c r="H31" s="27" t="s">
        <v>38</v>
      </c>
      <c r="I31" s="27" t="s">
        <v>39</v>
      </c>
      <c r="J31" s="28" t="s">
        <v>40</v>
      </c>
    </row>
    <row r="32" spans="1:11" x14ac:dyDescent="0.25">
      <c r="A32" s="23" t="s">
        <v>48</v>
      </c>
      <c r="B32" s="38">
        <v>2</v>
      </c>
      <c r="C32" s="38"/>
      <c r="D32" s="38"/>
      <c r="E32" s="38"/>
      <c r="F32" s="38"/>
      <c r="G32" s="38"/>
      <c r="H32" s="38"/>
      <c r="I32" s="38"/>
      <c r="J32" s="39"/>
    </row>
    <row r="33" spans="1:11" x14ac:dyDescent="0.25">
      <c r="A33" s="12" t="s">
        <v>41</v>
      </c>
      <c r="B33" s="29">
        <v>260</v>
      </c>
      <c r="C33" s="29">
        <v>310</v>
      </c>
      <c r="D33" s="29">
        <v>260</v>
      </c>
      <c r="E33" s="29"/>
      <c r="F33" s="29"/>
      <c r="G33" s="29"/>
      <c r="H33" s="29"/>
      <c r="I33" s="29"/>
      <c r="J33" s="30"/>
    </row>
    <row r="34" spans="1:11" x14ac:dyDescent="0.25">
      <c r="A34" s="12" t="s">
        <v>42</v>
      </c>
      <c r="B34" s="29">
        <v>45</v>
      </c>
      <c r="C34" s="29">
        <v>35</v>
      </c>
      <c r="D34" s="29">
        <v>45</v>
      </c>
      <c r="E34" s="29"/>
      <c r="F34" s="29"/>
      <c r="G34" s="29"/>
      <c r="H34" s="29"/>
      <c r="I34" s="29"/>
      <c r="J34" s="30"/>
    </row>
    <row r="35" spans="1:11" x14ac:dyDescent="0.25">
      <c r="A35" s="12" t="s">
        <v>43</v>
      </c>
      <c r="B35" s="29">
        <v>20</v>
      </c>
      <c r="C35" s="29">
        <v>20</v>
      </c>
      <c r="D35" s="29">
        <v>20</v>
      </c>
      <c r="E35" s="29"/>
      <c r="F35" s="29"/>
      <c r="G35" s="29"/>
      <c r="H35" s="29"/>
      <c r="I35" s="29"/>
      <c r="J35" s="30"/>
    </row>
    <row r="36" spans="1:11" x14ac:dyDescent="0.25">
      <c r="A36" s="12" t="s">
        <v>50</v>
      </c>
      <c r="B36" s="31">
        <f t="shared" ref="B36:D36" si="8">+B35*B34^3/12</f>
        <v>151875</v>
      </c>
      <c r="C36" s="31">
        <f t="shared" si="8"/>
        <v>71458.333333333328</v>
      </c>
      <c r="D36" s="31">
        <f t="shared" si="8"/>
        <v>151875</v>
      </c>
      <c r="E36" s="31"/>
      <c r="F36" s="31"/>
      <c r="G36" s="31"/>
      <c r="H36" s="31"/>
      <c r="I36" s="31"/>
      <c r="J36" s="32"/>
    </row>
    <row r="37" spans="1:11" x14ac:dyDescent="0.25">
      <c r="A37" s="12" t="s">
        <v>51</v>
      </c>
      <c r="B37" s="37">
        <f>+B36/B33</f>
        <v>584.13461538461536</v>
      </c>
      <c r="C37" s="37">
        <f>+C36/C33</f>
        <v>230.51075268817203</v>
      </c>
      <c r="D37" s="37">
        <f>+D36/D33</f>
        <v>584.13461538461536</v>
      </c>
      <c r="E37" s="31"/>
      <c r="F37" s="31"/>
      <c r="G37" s="31"/>
      <c r="H37" s="31"/>
      <c r="I37" s="31"/>
      <c r="J37" s="32"/>
    </row>
    <row r="38" spans="1:11" ht="15.75" thickBot="1" x14ac:dyDescent="0.3">
      <c r="A38" s="41" t="s">
        <v>49</v>
      </c>
      <c r="B38" s="37">
        <f>+B37/C37</f>
        <v>2.534088360618973</v>
      </c>
      <c r="C38" s="42"/>
      <c r="D38" s="37">
        <f>+D37/C37</f>
        <v>2.534088360618973</v>
      </c>
      <c r="E38" s="31"/>
      <c r="F38" s="31"/>
      <c r="G38" s="31"/>
      <c r="H38" s="31"/>
      <c r="I38" s="31"/>
      <c r="J38" s="32"/>
    </row>
    <row r="39" spans="1:11" ht="15.75" thickBot="1" x14ac:dyDescent="0.3">
      <c r="A39" s="23" t="s">
        <v>60</v>
      </c>
      <c r="B39" s="40">
        <f>+(0.5*B38+1)/(2*B38+1)</f>
        <v>0.37359560943159142</v>
      </c>
      <c r="C39" s="40"/>
      <c r="D39" s="40">
        <f>+(0.5*D38+1)/(2*D38+1)</f>
        <v>0.37359560943159142</v>
      </c>
      <c r="E39" s="34" t="s">
        <v>47</v>
      </c>
      <c r="F39" s="34" t="s">
        <v>9</v>
      </c>
      <c r="G39" s="34"/>
      <c r="H39" s="34"/>
      <c r="I39" s="34"/>
      <c r="J39" s="35"/>
    </row>
    <row r="40" spans="1:11" ht="15.75" thickBot="1" x14ac:dyDescent="0.3">
      <c r="A40" s="67" t="s">
        <v>69</v>
      </c>
      <c r="B40" s="68">
        <f>+(12*B29/B33^3)*(B39*B36+D39*D36)</f>
        <v>16270.411882078495</v>
      </c>
      <c r="C40" s="69" t="s">
        <v>61</v>
      </c>
      <c r="D40" s="34"/>
      <c r="E40" s="34" t="s">
        <v>62</v>
      </c>
      <c r="H40" s="34">
        <f>2*B29*B36/B33^3</f>
        <v>3629.2387346381429</v>
      </c>
      <c r="I40" s="34" t="s">
        <v>63</v>
      </c>
      <c r="J40" s="35"/>
      <c r="K40" s="40">
        <f>+B40/H40</f>
        <v>4.4831473131790966</v>
      </c>
    </row>
    <row r="41" spans="1:11" x14ac:dyDescent="0.25">
      <c r="A41" s="67"/>
      <c r="B41" s="34"/>
      <c r="C41" s="69"/>
      <c r="D41" s="34"/>
      <c r="E41" s="34"/>
      <c r="H41" s="34"/>
      <c r="I41" s="34"/>
      <c r="J41" s="35"/>
      <c r="K41" s="34"/>
    </row>
    <row r="42" spans="1:11" x14ac:dyDescent="0.25">
      <c r="A42" s="23" t="s">
        <v>29</v>
      </c>
      <c r="B42" s="24">
        <v>250000</v>
      </c>
      <c r="C42" s="25" t="s">
        <v>30</v>
      </c>
      <c r="D42" s="25" t="s">
        <v>31</v>
      </c>
      <c r="E42" s="34"/>
      <c r="F42" s="34"/>
      <c r="G42" s="34"/>
      <c r="H42" s="34"/>
      <c r="I42" s="34"/>
      <c r="J42" s="35"/>
    </row>
    <row r="43" spans="1:11" ht="15.75" thickBot="1" x14ac:dyDescent="0.3">
      <c r="A43" s="81"/>
      <c r="B43" s="82"/>
      <c r="C43" s="82"/>
      <c r="D43" s="82"/>
      <c r="E43" s="34"/>
      <c r="F43" s="34"/>
      <c r="G43" s="34"/>
      <c r="H43" s="34"/>
      <c r="I43" s="34"/>
      <c r="J43" s="35"/>
    </row>
    <row r="44" spans="1:11" x14ac:dyDescent="0.25">
      <c r="A44" s="26"/>
      <c r="B44" s="27" t="s">
        <v>32</v>
      </c>
      <c r="C44" s="27" t="s">
        <v>33</v>
      </c>
      <c r="D44" s="27" t="s">
        <v>34</v>
      </c>
      <c r="E44" s="27" t="s">
        <v>35</v>
      </c>
      <c r="F44" s="27" t="s">
        <v>36</v>
      </c>
      <c r="G44" s="27" t="s">
        <v>37</v>
      </c>
      <c r="H44" s="27" t="s">
        <v>38</v>
      </c>
      <c r="I44" s="27" t="s">
        <v>39</v>
      </c>
      <c r="J44" s="28" t="s">
        <v>40</v>
      </c>
    </row>
    <row r="45" spans="1:11" x14ac:dyDescent="0.25">
      <c r="A45" s="23" t="s">
        <v>48</v>
      </c>
      <c r="B45" s="38">
        <v>2</v>
      </c>
      <c r="C45" s="38"/>
      <c r="D45" s="38"/>
      <c r="E45" s="38"/>
      <c r="F45" s="38"/>
      <c r="G45" s="38"/>
      <c r="H45" s="38"/>
      <c r="I45" s="38"/>
      <c r="J45" s="39"/>
    </row>
    <row r="46" spans="1:11" x14ac:dyDescent="0.25">
      <c r="A46" s="12" t="s">
        <v>41</v>
      </c>
      <c r="B46" s="29">
        <v>260</v>
      </c>
      <c r="C46" s="29">
        <v>310</v>
      </c>
      <c r="D46" s="29">
        <v>260</v>
      </c>
      <c r="E46" s="29"/>
      <c r="F46" s="29"/>
      <c r="G46" s="29"/>
      <c r="H46" s="29"/>
      <c r="I46" s="29"/>
      <c r="J46" s="30"/>
    </row>
    <row r="47" spans="1:11" x14ac:dyDescent="0.25">
      <c r="A47" s="12" t="s">
        <v>42</v>
      </c>
      <c r="B47" s="29">
        <v>20</v>
      </c>
      <c r="C47" s="29">
        <v>65</v>
      </c>
      <c r="D47" s="29">
        <v>20</v>
      </c>
      <c r="E47" s="29"/>
      <c r="F47" s="29"/>
      <c r="G47" s="29"/>
      <c r="H47" s="29"/>
      <c r="I47" s="29"/>
      <c r="J47" s="30"/>
    </row>
    <row r="48" spans="1:11" x14ac:dyDescent="0.25">
      <c r="A48" s="12" t="s">
        <v>43</v>
      </c>
      <c r="B48" s="29">
        <v>20</v>
      </c>
      <c r="C48" s="29">
        <v>20</v>
      </c>
      <c r="D48" s="29">
        <v>20</v>
      </c>
      <c r="E48" s="29"/>
      <c r="F48" s="29"/>
      <c r="G48" s="29"/>
      <c r="H48" s="29"/>
      <c r="I48" s="29"/>
      <c r="J48" s="30"/>
    </row>
    <row r="49" spans="1:11" x14ac:dyDescent="0.25">
      <c r="A49" s="12" t="s">
        <v>50</v>
      </c>
      <c r="B49" s="31">
        <f t="shared" ref="B49:D49" si="9">+B48*B47^3/12</f>
        <v>13333.333333333334</v>
      </c>
      <c r="C49" s="31">
        <f t="shared" si="9"/>
        <v>457708.33333333331</v>
      </c>
      <c r="D49" s="31">
        <f t="shared" si="9"/>
        <v>13333.333333333334</v>
      </c>
      <c r="E49" s="31"/>
      <c r="F49" s="31"/>
      <c r="G49" s="31"/>
      <c r="H49" s="31"/>
      <c r="I49" s="31"/>
      <c r="J49" s="32"/>
    </row>
    <row r="50" spans="1:11" x14ac:dyDescent="0.25">
      <c r="A50" s="12" t="s">
        <v>51</v>
      </c>
      <c r="B50" s="37">
        <f>+B49/B46</f>
        <v>51.282051282051285</v>
      </c>
      <c r="C50" s="37">
        <f>+C49/C46</f>
        <v>1476.4784946236559</v>
      </c>
      <c r="D50" s="37">
        <f>+D49/D46</f>
        <v>51.282051282051285</v>
      </c>
      <c r="E50" s="31"/>
      <c r="F50" s="31"/>
      <c r="G50" s="31"/>
      <c r="H50" s="31"/>
      <c r="I50" s="31"/>
      <c r="J50" s="32"/>
    </row>
    <row r="51" spans="1:11" ht="15.75" thickBot="1" x14ac:dyDescent="0.3">
      <c r="A51" s="41" t="s">
        <v>49</v>
      </c>
      <c r="B51" s="37">
        <f>+B50/C50</f>
        <v>3.4732677427260952E-2</v>
      </c>
      <c r="C51" s="42"/>
      <c r="D51" s="37">
        <f>+D50/C50</f>
        <v>3.4732677427260952E-2</v>
      </c>
      <c r="E51" s="31"/>
      <c r="F51" s="31"/>
      <c r="G51" s="31"/>
      <c r="H51" s="31"/>
      <c r="I51" s="31"/>
      <c r="J51" s="32"/>
    </row>
    <row r="52" spans="1:11" ht="15.75" thickBot="1" x14ac:dyDescent="0.3">
      <c r="A52" s="23" t="s">
        <v>60</v>
      </c>
      <c r="B52" s="40">
        <f>+(0.5*B51+1)/(2*B51+1)</f>
        <v>0.95128498935996075</v>
      </c>
      <c r="C52" s="40"/>
      <c r="D52" s="40">
        <f>+(0.5*D51+1)/(2*D51+1)</f>
        <v>0.95128498935996075</v>
      </c>
      <c r="E52" s="34" t="s">
        <v>47</v>
      </c>
      <c r="F52" s="34" t="s">
        <v>9</v>
      </c>
      <c r="G52" s="34"/>
      <c r="H52" s="34"/>
      <c r="I52" s="34"/>
      <c r="J52" s="35"/>
    </row>
    <row r="53" spans="1:11" ht="15.75" thickBot="1" x14ac:dyDescent="0.3">
      <c r="A53" s="67" t="s">
        <v>69</v>
      </c>
      <c r="B53" s="68">
        <f>+(12*B42/B46^3)*(B52*B49+D52*D49)</f>
        <v>4329.9271249884423</v>
      </c>
      <c r="C53" s="69" t="s">
        <v>61</v>
      </c>
      <c r="D53" s="34"/>
      <c r="E53" s="34" t="s">
        <v>62</v>
      </c>
      <c r="H53" s="34">
        <f>2*B42*B49/B46^3</f>
        <v>379.30511303292371</v>
      </c>
      <c r="I53" s="34" t="s">
        <v>63</v>
      </c>
      <c r="J53" s="35"/>
      <c r="K53" s="40">
        <f>+B53/H53</f>
        <v>11.415419872319529</v>
      </c>
    </row>
    <row r="54" spans="1:11" x14ac:dyDescent="0.25">
      <c r="A54" s="67"/>
      <c r="B54" s="34"/>
      <c r="C54" s="69"/>
      <c r="D54" s="34"/>
      <c r="E54" s="34"/>
      <c r="H54" s="34"/>
      <c r="I54" s="34"/>
      <c r="J54" s="35"/>
      <c r="K54" s="34"/>
    </row>
    <row r="55" spans="1:11" x14ac:dyDescent="0.25">
      <c r="A55" s="23" t="s">
        <v>29</v>
      </c>
      <c r="B55" s="24">
        <v>250000</v>
      </c>
      <c r="C55" s="25" t="s">
        <v>30</v>
      </c>
      <c r="D55" s="25" t="s">
        <v>31</v>
      </c>
      <c r="E55" s="34"/>
      <c r="F55" s="34"/>
      <c r="G55" s="34"/>
      <c r="H55" s="34"/>
      <c r="I55" s="34"/>
      <c r="J55" s="35"/>
    </row>
    <row r="56" spans="1:11" ht="15.75" thickBot="1" x14ac:dyDescent="0.3">
      <c r="A56" s="81" t="s">
        <v>53</v>
      </c>
      <c r="B56" s="82"/>
      <c r="C56" s="82"/>
      <c r="D56" s="82"/>
      <c r="E56" s="34"/>
      <c r="F56" s="34"/>
      <c r="G56" s="34"/>
      <c r="H56" s="34"/>
      <c r="I56" s="34"/>
      <c r="J56" s="35"/>
    </row>
    <row r="57" spans="1:11" x14ac:dyDescent="0.25">
      <c r="A57" s="26"/>
      <c r="B57" s="27" t="s">
        <v>32</v>
      </c>
      <c r="C57" s="27" t="s">
        <v>33</v>
      </c>
      <c r="D57" s="27" t="s">
        <v>34</v>
      </c>
      <c r="E57" s="27" t="s">
        <v>35</v>
      </c>
      <c r="F57" s="27" t="s">
        <v>36</v>
      </c>
      <c r="G57" s="27" t="s">
        <v>37</v>
      </c>
      <c r="H57" s="27" t="s">
        <v>38</v>
      </c>
      <c r="I57" s="27" t="s">
        <v>39</v>
      </c>
      <c r="J57" s="28" t="s">
        <v>40</v>
      </c>
    </row>
    <row r="58" spans="1:11" x14ac:dyDescent="0.25">
      <c r="A58" s="23" t="s">
        <v>48</v>
      </c>
      <c r="B58" s="38">
        <v>2</v>
      </c>
      <c r="C58" s="38"/>
      <c r="D58" s="38"/>
      <c r="E58" s="38"/>
      <c r="F58" s="38"/>
      <c r="G58" s="38"/>
      <c r="H58" s="38"/>
      <c r="I58" s="38"/>
      <c r="J58" s="39"/>
    </row>
    <row r="59" spans="1:11" x14ac:dyDescent="0.25">
      <c r="A59" s="12" t="s">
        <v>41</v>
      </c>
      <c r="B59" s="29">
        <v>260</v>
      </c>
      <c r="C59" s="29">
        <v>310</v>
      </c>
      <c r="D59" s="29">
        <v>260</v>
      </c>
      <c r="E59" s="29"/>
      <c r="F59" s="29"/>
      <c r="G59" s="29"/>
      <c r="H59" s="29"/>
      <c r="I59" s="29"/>
      <c r="J59" s="30"/>
    </row>
    <row r="60" spans="1:11" x14ac:dyDescent="0.25">
      <c r="A60" s="12" t="s">
        <v>42</v>
      </c>
      <c r="B60" s="29">
        <v>65</v>
      </c>
      <c r="C60" s="29">
        <v>65</v>
      </c>
      <c r="D60" s="29">
        <v>65</v>
      </c>
      <c r="E60" s="29"/>
      <c r="F60" s="29"/>
      <c r="G60" s="29"/>
      <c r="H60" s="29"/>
      <c r="I60" s="29"/>
      <c r="J60" s="30"/>
    </row>
    <row r="61" spans="1:11" x14ac:dyDescent="0.25">
      <c r="A61" s="12" t="s">
        <v>43</v>
      </c>
      <c r="B61" s="29">
        <v>20</v>
      </c>
      <c r="C61" s="29">
        <v>20</v>
      </c>
      <c r="D61" s="29">
        <v>20</v>
      </c>
      <c r="E61" s="29"/>
      <c r="F61" s="29"/>
      <c r="G61" s="29"/>
      <c r="H61" s="29"/>
      <c r="I61" s="29"/>
      <c r="J61" s="30"/>
    </row>
    <row r="62" spans="1:11" x14ac:dyDescent="0.25">
      <c r="A62" s="12" t="s">
        <v>50</v>
      </c>
      <c r="B62" s="31">
        <f t="shared" ref="B62:D62" si="10">+B61*B60^3/12</f>
        <v>457708.33333333331</v>
      </c>
      <c r="C62" s="31">
        <f t="shared" si="10"/>
        <v>457708.33333333331</v>
      </c>
      <c r="D62" s="31">
        <f t="shared" si="10"/>
        <v>457708.33333333331</v>
      </c>
      <c r="E62" s="31"/>
      <c r="F62" s="31"/>
      <c r="G62" s="31"/>
      <c r="H62" s="31"/>
      <c r="I62" s="31"/>
      <c r="J62" s="32"/>
    </row>
    <row r="63" spans="1:11" x14ac:dyDescent="0.25">
      <c r="A63" s="12" t="s">
        <v>51</v>
      </c>
      <c r="B63" s="37">
        <f>+B62/B59</f>
        <v>1760.4166666666665</v>
      </c>
      <c r="C63" s="37">
        <f>+C62/C59</f>
        <v>1476.4784946236559</v>
      </c>
      <c r="D63" s="37">
        <f>+D62/D59</f>
        <v>1760.4166666666665</v>
      </c>
      <c r="E63" s="31"/>
      <c r="F63" s="31"/>
      <c r="G63" s="31"/>
      <c r="H63" s="31"/>
      <c r="I63" s="31"/>
      <c r="J63" s="32"/>
    </row>
    <row r="64" spans="1:11" ht="15.75" thickBot="1" x14ac:dyDescent="0.3">
      <c r="A64" s="41" t="s">
        <v>49</v>
      </c>
      <c r="B64" s="37">
        <f>+B63/C63</f>
        <v>1.1923076923076923</v>
      </c>
      <c r="C64" s="42"/>
      <c r="D64" s="37">
        <f>+D63/C63</f>
        <v>1.1923076923076923</v>
      </c>
      <c r="E64" s="31"/>
      <c r="F64" s="31"/>
      <c r="G64" s="31"/>
      <c r="H64" s="31"/>
      <c r="I64" s="31"/>
      <c r="J64" s="32"/>
    </row>
    <row r="65" spans="1:11" ht="15.75" thickBot="1" x14ac:dyDescent="0.3">
      <c r="A65" s="23" t="s">
        <v>60</v>
      </c>
      <c r="B65" s="40">
        <f>+(0.5*B64+1)/(2*B64+1)</f>
        <v>0.47159090909090912</v>
      </c>
      <c r="C65" s="40"/>
      <c r="D65" s="40">
        <f>+(0.5*D64+1)/(2*D64+1)</f>
        <v>0.47159090909090912</v>
      </c>
      <c r="E65" s="34" t="s">
        <v>47</v>
      </c>
      <c r="F65" s="34" t="s">
        <v>9</v>
      </c>
      <c r="G65" s="34"/>
      <c r="H65" s="34"/>
      <c r="I65" s="34"/>
      <c r="J65" s="35"/>
    </row>
    <row r="66" spans="1:11" ht="15.75" thickBot="1" x14ac:dyDescent="0.3">
      <c r="A66" s="67" t="s">
        <v>69</v>
      </c>
      <c r="B66" s="68">
        <f>+(12*B55/B59^3)*(B65*B62+D65*D62)</f>
        <v>73686.079545454544</v>
      </c>
      <c r="C66" s="69" t="s">
        <v>61</v>
      </c>
      <c r="D66" s="34"/>
      <c r="E66" s="34" t="s">
        <v>62</v>
      </c>
      <c r="H66" s="34">
        <f>2*B55*B62/B59^3</f>
        <v>13020.833333333332</v>
      </c>
      <c r="I66" s="34" t="s">
        <v>63</v>
      </c>
      <c r="J66" s="35"/>
      <c r="K66" s="70">
        <f>+B66/H66</f>
        <v>5.6590909090909092</v>
      </c>
    </row>
    <row r="67" spans="1:11" ht="15.75" thickBot="1" x14ac:dyDescent="0.3">
      <c r="A67" s="67"/>
      <c r="B67" s="34"/>
      <c r="C67" s="69"/>
      <c r="D67" s="34"/>
      <c r="E67" s="34"/>
      <c r="H67" s="34"/>
      <c r="I67" s="34"/>
      <c r="J67" s="35"/>
      <c r="K67" s="34"/>
    </row>
    <row r="68" spans="1:11" x14ac:dyDescent="0.25">
      <c r="A68" s="26" t="s">
        <v>29</v>
      </c>
      <c r="B68" s="46">
        <v>210000</v>
      </c>
      <c r="C68" s="47" t="s">
        <v>30</v>
      </c>
      <c r="D68" s="47" t="s">
        <v>31</v>
      </c>
      <c r="E68" s="48"/>
      <c r="F68" s="48"/>
      <c r="G68" s="48"/>
      <c r="H68" s="48"/>
      <c r="I68" s="48"/>
      <c r="J68" s="49"/>
    </row>
    <row r="69" spans="1:11" ht="15.75" thickBot="1" x14ac:dyDescent="0.3">
      <c r="A69" s="81"/>
      <c r="B69" s="82"/>
      <c r="C69" s="82"/>
      <c r="D69" s="82"/>
      <c r="E69" s="34"/>
      <c r="F69" s="34"/>
      <c r="G69" s="34"/>
      <c r="H69" s="34"/>
      <c r="I69" s="34"/>
      <c r="J69" s="35"/>
    </row>
    <row r="70" spans="1:11" x14ac:dyDescent="0.25">
      <c r="A70" s="26"/>
      <c r="B70" s="27" t="s">
        <v>32</v>
      </c>
      <c r="C70" s="27" t="s">
        <v>33</v>
      </c>
      <c r="D70" s="27" t="s">
        <v>34</v>
      </c>
      <c r="E70" s="27" t="s">
        <v>35</v>
      </c>
      <c r="F70" s="27" t="s">
        <v>36</v>
      </c>
      <c r="G70" s="27" t="s">
        <v>37</v>
      </c>
      <c r="H70" s="27" t="s">
        <v>38</v>
      </c>
      <c r="I70" s="27" t="s">
        <v>39</v>
      </c>
      <c r="J70" s="28" t="s">
        <v>40</v>
      </c>
    </row>
    <row r="71" spans="1:11" x14ac:dyDescent="0.25">
      <c r="A71" s="23" t="s">
        <v>48</v>
      </c>
      <c r="B71" s="38">
        <v>3</v>
      </c>
      <c r="C71" s="38"/>
      <c r="D71" s="38"/>
      <c r="E71" s="38"/>
      <c r="F71" s="38"/>
      <c r="G71" s="38"/>
      <c r="H71" s="38"/>
      <c r="I71" s="38"/>
      <c r="J71" s="39"/>
    </row>
    <row r="72" spans="1:11" x14ac:dyDescent="0.25">
      <c r="A72" s="12" t="s">
        <v>41</v>
      </c>
      <c r="B72" s="29">
        <v>260</v>
      </c>
      <c r="C72" s="29">
        <v>155</v>
      </c>
      <c r="D72" s="29">
        <v>260</v>
      </c>
      <c r="E72" s="29">
        <v>155</v>
      </c>
      <c r="F72" s="29">
        <v>260</v>
      </c>
      <c r="G72" s="29"/>
      <c r="H72" s="29"/>
      <c r="I72" s="29"/>
      <c r="J72" s="30"/>
    </row>
    <row r="73" spans="1:11" x14ac:dyDescent="0.25">
      <c r="A73" s="12" t="s">
        <v>42</v>
      </c>
      <c r="B73" s="29">
        <v>20</v>
      </c>
      <c r="C73" s="29">
        <v>35</v>
      </c>
      <c r="D73" s="29">
        <v>20</v>
      </c>
      <c r="E73" s="29">
        <v>35</v>
      </c>
      <c r="F73" s="29">
        <v>20</v>
      </c>
      <c r="G73" s="29"/>
      <c r="H73" s="29"/>
      <c r="I73" s="29"/>
      <c r="J73" s="30"/>
    </row>
    <row r="74" spans="1:11" x14ac:dyDescent="0.25">
      <c r="A74" s="12" t="s">
        <v>43</v>
      </c>
      <c r="B74" s="29">
        <v>20</v>
      </c>
      <c r="C74" s="29">
        <v>20</v>
      </c>
      <c r="D74" s="29">
        <v>20</v>
      </c>
      <c r="E74" s="29">
        <v>20</v>
      </c>
      <c r="F74" s="29">
        <v>20</v>
      </c>
      <c r="G74" s="29"/>
      <c r="H74" s="29"/>
      <c r="I74" s="29"/>
      <c r="J74" s="30"/>
    </row>
    <row r="75" spans="1:11" x14ac:dyDescent="0.25">
      <c r="A75" s="12" t="s">
        <v>50</v>
      </c>
      <c r="B75" s="31">
        <f t="shared" ref="B75:F75" si="11">+B74*B73^3/12</f>
        <v>13333.333333333334</v>
      </c>
      <c r="C75" s="31">
        <f t="shared" si="11"/>
        <v>71458.333333333328</v>
      </c>
      <c r="D75" s="31">
        <f t="shared" si="11"/>
        <v>13333.333333333334</v>
      </c>
      <c r="E75" s="31">
        <f t="shared" si="11"/>
        <v>71458.333333333328</v>
      </c>
      <c r="F75" s="31">
        <f t="shared" si="11"/>
        <v>13333.333333333334</v>
      </c>
      <c r="G75" s="31"/>
      <c r="H75" s="31"/>
      <c r="I75" s="31"/>
      <c r="J75" s="32"/>
    </row>
    <row r="76" spans="1:11" x14ac:dyDescent="0.25">
      <c r="A76" s="12" t="s">
        <v>51</v>
      </c>
      <c r="B76" s="37">
        <f>+B75/B72</f>
        <v>51.282051282051285</v>
      </c>
      <c r="C76" s="37">
        <f>+C75/C72</f>
        <v>461.02150537634407</v>
      </c>
      <c r="D76" s="37">
        <f>+D75/D72</f>
        <v>51.282051282051285</v>
      </c>
      <c r="E76" s="37">
        <f>+E75/E72</f>
        <v>461.02150537634407</v>
      </c>
      <c r="F76" s="37">
        <f>+F75/F72</f>
        <v>51.282051282051285</v>
      </c>
      <c r="G76" s="31"/>
      <c r="H76" s="31"/>
      <c r="I76" s="31"/>
      <c r="J76" s="32"/>
    </row>
    <row r="77" spans="1:11" x14ac:dyDescent="0.25">
      <c r="A77" s="41" t="s">
        <v>49</v>
      </c>
      <c r="B77" s="37">
        <f>+B76/C76</f>
        <v>0.11123570307243778</v>
      </c>
      <c r="C77" s="37"/>
      <c r="D77" s="37">
        <f>+D76/(C76+E76)</f>
        <v>5.5617851536218892E-2</v>
      </c>
      <c r="E77" s="37"/>
      <c r="F77" s="37">
        <f>+F76/E76</f>
        <v>0.11123570307243778</v>
      </c>
      <c r="G77" s="31"/>
      <c r="H77" s="31"/>
      <c r="I77" s="31"/>
      <c r="J77" s="32"/>
    </row>
    <row r="78" spans="1:11" ht="15.75" thickBot="1" x14ac:dyDescent="0.3">
      <c r="A78" s="43" t="s">
        <v>52</v>
      </c>
      <c r="B78" s="34">
        <f>(0.5*B77+1)/(2*B77+1)</f>
        <v>0.86351128233351671</v>
      </c>
      <c r="C78" s="34"/>
      <c r="D78" s="34">
        <f>(0.5*D77+1)/(2*D77+1)</f>
        <v>0.92492431886982829</v>
      </c>
      <c r="E78" s="34"/>
      <c r="F78" s="34">
        <f>(0.5*F77+1)/(2*F77+1)</f>
        <v>0.86351128233351671</v>
      </c>
      <c r="G78" s="44"/>
      <c r="H78" s="44"/>
      <c r="I78" s="44"/>
      <c r="J78" s="45"/>
    </row>
    <row r="79" spans="1:11" ht="15.75" thickBot="1" x14ac:dyDescent="0.3">
      <c r="A79" s="67" t="s">
        <v>0</v>
      </c>
      <c r="B79" s="68">
        <f>+(12*B68/B72^3)*(B78*B75+D78*D75+F78*F75)</f>
        <v>5069.720942582986</v>
      </c>
      <c r="C79" s="69" t="s">
        <v>61</v>
      </c>
      <c r="D79" s="34"/>
      <c r="E79" s="34" t="s">
        <v>64</v>
      </c>
      <c r="H79" s="34">
        <f>3*B68*B75/B72^3</f>
        <v>477.92444242148383</v>
      </c>
      <c r="I79" s="34" t="s">
        <v>63</v>
      </c>
      <c r="J79" s="35"/>
      <c r="K79" s="70">
        <f>+B79/H79</f>
        <v>10.607787534147448</v>
      </c>
    </row>
    <row r="80" spans="1:11" ht="15.75" thickBot="1" x14ac:dyDescent="0.3"/>
    <row r="81" spans="1:11" x14ac:dyDescent="0.25">
      <c r="A81" s="26" t="s">
        <v>29</v>
      </c>
      <c r="B81" s="46">
        <v>250000</v>
      </c>
      <c r="C81" s="47" t="s">
        <v>30</v>
      </c>
      <c r="D81" s="47" t="s">
        <v>31</v>
      </c>
      <c r="E81" s="48"/>
      <c r="F81" s="48"/>
      <c r="G81" s="48"/>
      <c r="H81" s="48"/>
      <c r="I81" s="48"/>
      <c r="J81" s="49"/>
    </row>
    <row r="82" spans="1:11" ht="15.75" thickBot="1" x14ac:dyDescent="0.3">
      <c r="A82" s="81"/>
      <c r="B82" s="82"/>
      <c r="C82" s="82"/>
      <c r="D82" s="82"/>
      <c r="E82" s="34"/>
      <c r="F82" s="34"/>
      <c r="G82" s="34"/>
      <c r="H82" s="34"/>
      <c r="I82" s="34"/>
      <c r="J82" s="35"/>
    </row>
    <row r="83" spans="1:11" x14ac:dyDescent="0.25">
      <c r="A83" s="26"/>
      <c r="B83" s="27" t="s">
        <v>32</v>
      </c>
      <c r="C83" s="27" t="s">
        <v>33</v>
      </c>
      <c r="D83" s="27" t="s">
        <v>34</v>
      </c>
      <c r="E83" s="27" t="s">
        <v>35</v>
      </c>
      <c r="F83" s="27" t="s">
        <v>36</v>
      </c>
      <c r="G83" s="27" t="s">
        <v>37</v>
      </c>
      <c r="H83" s="27" t="s">
        <v>38</v>
      </c>
      <c r="I83" s="27" t="s">
        <v>39</v>
      </c>
      <c r="J83" s="28" t="s">
        <v>40</v>
      </c>
    </row>
    <row r="84" spans="1:11" x14ac:dyDescent="0.25">
      <c r="A84" s="23" t="s">
        <v>48</v>
      </c>
      <c r="B84" s="38">
        <v>3</v>
      </c>
      <c r="C84" s="38"/>
      <c r="D84" s="38"/>
      <c r="E84" s="38"/>
      <c r="F84" s="38"/>
      <c r="G84" s="38"/>
      <c r="H84" s="38"/>
      <c r="I84" s="38"/>
      <c r="J84" s="39"/>
    </row>
    <row r="85" spans="1:11" x14ac:dyDescent="0.25">
      <c r="A85" s="12" t="s">
        <v>41</v>
      </c>
      <c r="B85" s="29">
        <v>260</v>
      </c>
      <c r="C85" s="29">
        <v>155</v>
      </c>
      <c r="D85" s="29">
        <v>260</v>
      </c>
      <c r="E85" s="29">
        <v>155</v>
      </c>
      <c r="F85" s="29">
        <v>260</v>
      </c>
      <c r="G85" s="29"/>
      <c r="H85" s="29"/>
      <c r="I85" s="29"/>
      <c r="J85" s="30"/>
    </row>
    <row r="86" spans="1:11" x14ac:dyDescent="0.25">
      <c r="A86" s="12" t="s">
        <v>42</v>
      </c>
      <c r="B86" s="29">
        <v>35</v>
      </c>
      <c r="C86" s="29">
        <v>35</v>
      </c>
      <c r="D86" s="29">
        <v>35</v>
      </c>
      <c r="E86" s="29">
        <v>35</v>
      </c>
      <c r="F86" s="29">
        <v>35</v>
      </c>
      <c r="G86" s="29"/>
      <c r="H86" s="29"/>
      <c r="I86" s="29"/>
      <c r="J86" s="30"/>
    </row>
    <row r="87" spans="1:11" x14ac:dyDescent="0.25">
      <c r="A87" s="12" t="s">
        <v>43</v>
      </c>
      <c r="B87" s="29">
        <v>20</v>
      </c>
      <c r="C87" s="29">
        <v>20</v>
      </c>
      <c r="D87" s="29">
        <v>20</v>
      </c>
      <c r="E87" s="29">
        <v>20</v>
      </c>
      <c r="F87" s="29">
        <v>20</v>
      </c>
      <c r="G87" s="29"/>
      <c r="H87" s="29"/>
      <c r="I87" s="29"/>
      <c r="J87" s="30"/>
    </row>
    <row r="88" spans="1:11" x14ac:dyDescent="0.25">
      <c r="A88" s="12" t="s">
        <v>50</v>
      </c>
      <c r="B88" s="31">
        <f t="shared" ref="B88:F88" si="12">+B87*B86^3/12</f>
        <v>71458.333333333328</v>
      </c>
      <c r="C88" s="31">
        <f t="shared" si="12"/>
        <v>71458.333333333328</v>
      </c>
      <c r="D88" s="31">
        <f t="shared" si="12"/>
        <v>71458.333333333328</v>
      </c>
      <c r="E88" s="31">
        <f t="shared" si="12"/>
        <v>71458.333333333328</v>
      </c>
      <c r="F88" s="31">
        <f t="shared" si="12"/>
        <v>71458.333333333328</v>
      </c>
      <c r="G88" s="31"/>
      <c r="H88" s="31"/>
      <c r="I88" s="31"/>
      <c r="J88" s="32"/>
    </row>
    <row r="89" spans="1:11" x14ac:dyDescent="0.25">
      <c r="A89" s="12" t="s">
        <v>51</v>
      </c>
      <c r="B89" s="37">
        <f>+B88/B85</f>
        <v>274.83974358974359</v>
      </c>
      <c r="C89" s="37">
        <f>+C88/C85</f>
        <v>461.02150537634407</v>
      </c>
      <c r="D89" s="37">
        <f>+D88/D85</f>
        <v>274.83974358974359</v>
      </c>
      <c r="E89" s="37">
        <f>+E88/E85</f>
        <v>461.02150537634407</v>
      </c>
      <c r="F89" s="37">
        <f>+F88/F85</f>
        <v>274.83974358974359</v>
      </c>
      <c r="G89" s="31"/>
      <c r="H89" s="31"/>
      <c r="I89" s="31"/>
      <c r="J89" s="32"/>
    </row>
    <row r="90" spans="1:11" x14ac:dyDescent="0.25">
      <c r="A90" s="41" t="s">
        <v>49</v>
      </c>
      <c r="B90" s="37">
        <f>+B89/C89</f>
        <v>0.59615384615384615</v>
      </c>
      <c r="C90" s="37"/>
      <c r="D90" s="37">
        <f>+D89/(C89+E89)</f>
        <v>0.29807692307692307</v>
      </c>
      <c r="E90" s="37"/>
      <c r="F90" s="37">
        <f>+F89/E89</f>
        <v>0.59615384615384615</v>
      </c>
      <c r="G90" s="31"/>
      <c r="H90" s="31"/>
      <c r="I90" s="31"/>
      <c r="J90" s="32"/>
    </row>
    <row r="91" spans="1:11" ht="15.75" thickBot="1" x14ac:dyDescent="0.3">
      <c r="A91" s="52" t="s">
        <v>52</v>
      </c>
      <c r="B91" s="33">
        <f>(0.5*B90+1)/(2*B90+1)</f>
        <v>0.59210526315789469</v>
      </c>
      <c r="C91" s="33"/>
      <c r="D91" s="33">
        <f>(0.5*D90+1)/(2*D90+1)</f>
        <v>0.719879518072289</v>
      </c>
      <c r="E91" s="33"/>
      <c r="F91" s="33">
        <f>(0.5*F90+1)/(2*F90+1)</f>
        <v>0.59210526315789469</v>
      </c>
      <c r="G91" s="53"/>
      <c r="H91" s="53"/>
      <c r="I91" s="53"/>
      <c r="J91" s="54"/>
    </row>
    <row r="92" spans="1:11" ht="15.75" thickBot="1" x14ac:dyDescent="0.3">
      <c r="A92" s="67" t="s">
        <v>0</v>
      </c>
      <c r="B92" s="68">
        <f>+(12*B81/B85^3)*(B91*B88+D91*D88+F91*F88)</f>
        <v>23224.243472103677</v>
      </c>
      <c r="C92" s="69" t="s">
        <v>61</v>
      </c>
      <c r="D92" s="34"/>
      <c r="E92" s="34" t="s">
        <v>64</v>
      </c>
      <c r="H92" s="34">
        <f>3*B81*B88/B85^3</f>
        <v>3049.2575102412379</v>
      </c>
      <c r="I92" s="34" t="s">
        <v>63</v>
      </c>
      <c r="J92" s="35"/>
      <c r="K92" s="70">
        <f>+B92/H92</f>
        <v>7.6163601775523126</v>
      </c>
    </row>
    <row r="93" spans="1:11" ht="15.75" thickBot="1" x14ac:dyDescent="0.3">
      <c r="A93" s="36"/>
      <c r="B93" s="51"/>
      <c r="C93" s="51"/>
      <c r="D93" s="33"/>
      <c r="E93" s="33"/>
      <c r="F93" s="33"/>
      <c r="G93" s="33"/>
      <c r="H93" s="33"/>
      <c r="I93" s="33"/>
      <c r="J93" s="50"/>
    </row>
    <row r="94" spans="1:11" x14ac:dyDescent="0.25">
      <c r="A94" s="26" t="s">
        <v>29</v>
      </c>
      <c r="B94" s="46">
        <v>250000</v>
      </c>
      <c r="C94" s="47" t="s">
        <v>30</v>
      </c>
      <c r="D94" s="47" t="s">
        <v>31</v>
      </c>
      <c r="E94" s="48"/>
      <c r="F94" s="48"/>
      <c r="G94" s="48"/>
      <c r="H94" s="48"/>
      <c r="I94" s="48"/>
      <c r="J94" s="49"/>
    </row>
    <row r="95" spans="1:11" ht="15.75" thickBot="1" x14ac:dyDescent="0.3">
      <c r="A95" s="81"/>
      <c r="B95" s="82"/>
      <c r="C95" s="82"/>
      <c r="D95" s="82"/>
      <c r="E95" s="34"/>
      <c r="F95" s="34"/>
      <c r="G95" s="34"/>
      <c r="H95" s="34"/>
      <c r="I95" s="34"/>
      <c r="J95" s="35"/>
    </row>
    <row r="96" spans="1:11" x14ac:dyDescent="0.25">
      <c r="A96" s="26"/>
      <c r="B96" s="27" t="s">
        <v>32</v>
      </c>
      <c r="C96" s="27" t="s">
        <v>33</v>
      </c>
      <c r="D96" s="27" t="s">
        <v>34</v>
      </c>
      <c r="E96" s="27" t="s">
        <v>35</v>
      </c>
      <c r="F96" s="27" t="s">
        <v>36</v>
      </c>
      <c r="G96" s="27" t="s">
        <v>37</v>
      </c>
      <c r="H96" s="27" t="s">
        <v>38</v>
      </c>
      <c r="I96" s="27" t="s">
        <v>39</v>
      </c>
      <c r="J96" s="28" t="s">
        <v>40</v>
      </c>
    </row>
    <row r="97" spans="1:11" x14ac:dyDescent="0.25">
      <c r="A97" s="23" t="s">
        <v>48</v>
      </c>
      <c r="B97" s="38">
        <v>3</v>
      </c>
      <c r="C97" s="38"/>
      <c r="D97" s="38"/>
      <c r="E97" s="38"/>
      <c r="F97" s="38"/>
      <c r="G97" s="38"/>
      <c r="H97" s="38"/>
      <c r="I97" s="38"/>
      <c r="J97" s="39"/>
    </row>
    <row r="98" spans="1:11" x14ac:dyDescent="0.25">
      <c r="A98" s="12" t="s">
        <v>41</v>
      </c>
      <c r="B98" s="29">
        <v>260</v>
      </c>
      <c r="C98" s="29">
        <v>155</v>
      </c>
      <c r="D98" s="29">
        <v>260</v>
      </c>
      <c r="E98" s="29">
        <v>155</v>
      </c>
      <c r="F98" s="29">
        <v>260</v>
      </c>
      <c r="G98" s="29"/>
      <c r="H98" s="29"/>
      <c r="I98" s="29"/>
      <c r="J98" s="30"/>
    </row>
    <row r="99" spans="1:11" x14ac:dyDescent="0.25">
      <c r="A99" s="12" t="s">
        <v>42</v>
      </c>
      <c r="B99" s="29">
        <v>45</v>
      </c>
      <c r="C99" s="29">
        <v>35</v>
      </c>
      <c r="D99" s="29">
        <v>45</v>
      </c>
      <c r="E99" s="29">
        <v>35</v>
      </c>
      <c r="F99" s="29">
        <v>45</v>
      </c>
      <c r="G99" s="29"/>
      <c r="H99" s="29"/>
      <c r="I99" s="29"/>
      <c r="J99" s="30"/>
    </row>
    <row r="100" spans="1:11" x14ac:dyDescent="0.25">
      <c r="A100" s="12" t="s">
        <v>43</v>
      </c>
      <c r="B100" s="29">
        <v>20</v>
      </c>
      <c r="C100" s="29">
        <v>20</v>
      </c>
      <c r="D100" s="29">
        <v>20</v>
      </c>
      <c r="E100" s="29">
        <v>20</v>
      </c>
      <c r="F100" s="29">
        <v>20</v>
      </c>
      <c r="G100" s="29"/>
      <c r="H100" s="29"/>
      <c r="I100" s="29"/>
      <c r="J100" s="30"/>
    </row>
    <row r="101" spans="1:11" x14ac:dyDescent="0.25">
      <c r="A101" s="12" t="s">
        <v>50</v>
      </c>
      <c r="B101" s="31">
        <f t="shared" ref="B101:F101" si="13">+B100*B99^3/12</f>
        <v>151875</v>
      </c>
      <c r="C101" s="31">
        <f t="shared" si="13"/>
        <v>71458.333333333328</v>
      </c>
      <c r="D101" s="31">
        <f t="shared" si="13"/>
        <v>151875</v>
      </c>
      <c r="E101" s="31">
        <f t="shared" si="13"/>
        <v>71458.333333333328</v>
      </c>
      <c r="F101" s="31">
        <f t="shared" si="13"/>
        <v>151875</v>
      </c>
      <c r="G101" s="31"/>
      <c r="H101" s="31"/>
      <c r="I101" s="31"/>
      <c r="J101" s="32"/>
    </row>
    <row r="102" spans="1:11" x14ac:dyDescent="0.25">
      <c r="A102" s="12" t="s">
        <v>51</v>
      </c>
      <c r="B102" s="37">
        <f>+B101/B98</f>
        <v>584.13461538461536</v>
      </c>
      <c r="C102" s="37">
        <f>+C101/C98</f>
        <v>461.02150537634407</v>
      </c>
      <c r="D102" s="37">
        <f>+D101/D98</f>
        <v>584.13461538461536</v>
      </c>
      <c r="E102" s="37">
        <f>+E101/E98</f>
        <v>461.02150537634407</v>
      </c>
      <c r="F102" s="37">
        <f>+F101/F98</f>
        <v>584.13461538461536</v>
      </c>
      <c r="G102" s="31"/>
      <c r="H102" s="31"/>
      <c r="I102" s="31"/>
      <c r="J102" s="32"/>
    </row>
    <row r="103" spans="1:11" x14ac:dyDescent="0.25">
      <c r="A103" s="41" t="s">
        <v>49</v>
      </c>
      <c r="B103" s="37">
        <f>+B102/C102</f>
        <v>1.2670441803094865</v>
      </c>
      <c r="C103" s="37"/>
      <c r="D103" s="37">
        <f>+D102/(C102+E102)</f>
        <v>0.63352209015474326</v>
      </c>
      <c r="E103" s="37"/>
      <c r="F103" s="37">
        <f>+F102/E102</f>
        <v>1.2670441803094865</v>
      </c>
      <c r="G103" s="31"/>
      <c r="H103" s="31"/>
      <c r="I103" s="31"/>
      <c r="J103" s="32"/>
    </row>
    <row r="104" spans="1:11" ht="15.75" thickBot="1" x14ac:dyDescent="0.3">
      <c r="A104" s="52" t="s">
        <v>52</v>
      </c>
      <c r="B104" s="33">
        <f>(0.5*B103+1)/(2*B103+1)</f>
        <v>0.46221880255100423</v>
      </c>
      <c r="C104" s="33"/>
      <c r="D104" s="33">
        <f>(0.5*D103+1)/(2*D103+1)</f>
        <v>0.58082725361691601</v>
      </c>
      <c r="E104" s="33"/>
      <c r="F104" s="33">
        <f>(0.5*F103+1)/(2*F103+1)</f>
        <v>0.46221880255100423</v>
      </c>
      <c r="G104" s="53"/>
      <c r="H104" s="53"/>
      <c r="I104" s="53"/>
      <c r="J104" s="54"/>
    </row>
    <row r="105" spans="1:11" ht="15.75" thickBot="1" x14ac:dyDescent="0.3">
      <c r="A105" s="67" t="s">
        <v>0</v>
      </c>
      <c r="B105" s="68">
        <f>+(12*B94/B98^3)*(B104*B101+D104*D101+F104*F101)</f>
        <v>39021.182365373796</v>
      </c>
      <c r="C105" s="69" t="s">
        <v>61</v>
      </c>
      <c r="D105" s="34"/>
      <c r="E105" s="34" t="s">
        <v>64</v>
      </c>
      <c r="H105" s="34">
        <f>3*B94*B101/B98^3</f>
        <v>6480.7834547109696</v>
      </c>
      <c r="I105" s="34" t="s">
        <v>63</v>
      </c>
      <c r="J105" s="35"/>
      <c r="K105" s="70">
        <f>+B105/H105</f>
        <v>6.0210594348756965</v>
      </c>
    </row>
    <row r="106" spans="1:11" ht="15.75" thickBot="1" x14ac:dyDescent="0.3">
      <c r="A106" s="36"/>
      <c r="B106" s="51"/>
      <c r="C106" s="51"/>
      <c r="D106" s="33"/>
      <c r="E106" s="33"/>
      <c r="F106" s="33"/>
      <c r="G106" s="33"/>
      <c r="H106" s="33"/>
      <c r="I106" s="33"/>
      <c r="J106" s="50"/>
    </row>
    <row r="107" spans="1:11" x14ac:dyDescent="0.25">
      <c r="A107" s="26" t="s">
        <v>29</v>
      </c>
      <c r="B107" s="46">
        <v>250000</v>
      </c>
      <c r="C107" s="47" t="s">
        <v>30</v>
      </c>
      <c r="D107" s="47" t="s">
        <v>31</v>
      </c>
      <c r="E107" s="48"/>
      <c r="F107" s="48"/>
      <c r="G107" s="48"/>
      <c r="H107" s="48"/>
      <c r="I107" s="48"/>
      <c r="J107" s="49"/>
    </row>
    <row r="108" spans="1:11" ht="15.75" thickBot="1" x14ac:dyDescent="0.3">
      <c r="A108" s="81"/>
      <c r="B108" s="82"/>
      <c r="C108" s="82"/>
      <c r="D108" s="82"/>
      <c r="E108" s="34"/>
      <c r="F108" s="34"/>
      <c r="G108" s="34"/>
      <c r="H108" s="34"/>
      <c r="I108" s="34"/>
      <c r="J108" s="35"/>
    </row>
    <row r="109" spans="1:11" x14ac:dyDescent="0.25">
      <c r="A109" s="26"/>
      <c r="B109" s="27" t="s">
        <v>32</v>
      </c>
      <c r="C109" s="27" t="s">
        <v>33</v>
      </c>
      <c r="D109" s="27" t="s">
        <v>34</v>
      </c>
      <c r="E109" s="27" t="s">
        <v>35</v>
      </c>
      <c r="F109" s="27" t="s">
        <v>36</v>
      </c>
      <c r="G109" s="27" t="s">
        <v>37</v>
      </c>
      <c r="H109" s="27" t="s">
        <v>38</v>
      </c>
      <c r="I109" s="27" t="s">
        <v>39</v>
      </c>
      <c r="J109" s="28" t="s">
        <v>40</v>
      </c>
    </row>
    <row r="110" spans="1:11" x14ac:dyDescent="0.25">
      <c r="A110" s="23" t="s">
        <v>48</v>
      </c>
      <c r="B110" s="38">
        <v>3</v>
      </c>
      <c r="C110" s="38"/>
      <c r="D110" s="38"/>
      <c r="E110" s="38"/>
      <c r="F110" s="38"/>
      <c r="G110" s="38"/>
      <c r="H110" s="38"/>
      <c r="I110" s="38"/>
      <c r="J110" s="39"/>
    </row>
    <row r="111" spans="1:11" x14ac:dyDescent="0.25">
      <c r="A111" s="12" t="s">
        <v>41</v>
      </c>
      <c r="B111" s="29">
        <v>260</v>
      </c>
      <c r="C111" s="29">
        <v>155</v>
      </c>
      <c r="D111" s="29">
        <v>260</v>
      </c>
      <c r="E111" s="29">
        <v>155</v>
      </c>
      <c r="F111" s="29">
        <v>260</v>
      </c>
      <c r="G111" s="29"/>
      <c r="H111" s="29"/>
      <c r="I111" s="29"/>
      <c r="J111" s="30"/>
    </row>
    <row r="112" spans="1:11" x14ac:dyDescent="0.25">
      <c r="A112" s="12" t="s">
        <v>42</v>
      </c>
      <c r="B112" s="29">
        <v>20</v>
      </c>
      <c r="C112" s="29">
        <v>65</v>
      </c>
      <c r="D112" s="29">
        <v>20</v>
      </c>
      <c r="E112" s="29">
        <v>65</v>
      </c>
      <c r="F112" s="29">
        <v>20</v>
      </c>
      <c r="G112" s="29"/>
      <c r="H112" s="29"/>
      <c r="I112" s="29"/>
      <c r="J112" s="30"/>
    </row>
    <row r="113" spans="1:11" x14ac:dyDescent="0.25">
      <c r="A113" s="12" t="s">
        <v>43</v>
      </c>
      <c r="B113" s="29">
        <v>20</v>
      </c>
      <c r="C113" s="29">
        <v>20</v>
      </c>
      <c r="D113" s="29">
        <v>20</v>
      </c>
      <c r="E113" s="29">
        <v>20</v>
      </c>
      <c r="F113" s="29">
        <v>20</v>
      </c>
      <c r="G113" s="29"/>
      <c r="H113" s="29"/>
      <c r="I113" s="29"/>
      <c r="J113" s="30"/>
    </row>
    <row r="114" spans="1:11" x14ac:dyDescent="0.25">
      <c r="A114" s="12" t="s">
        <v>50</v>
      </c>
      <c r="B114" s="31">
        <f t="shared" ref="B114:F114" si="14">+B113*B112^3/12</f>
        <v>13333.333333333334</v>
      </c>
      <c r="C114" s="31">
        <f t="shared" si="14"/>
        <v>457708.33333333331</v>
      </c>
      <c r="D114" s="31">
        <f t="shared" si="14"/>
        <v>13333.333333333334</v>
      </c>
      <c r="E114" s="31">
        <f t="shared" si="14"/>
        <v>457708.33333333331</v>
      </c>
      <c r="F114" s="31">
        <f t="shared" si="14"/>
        <v>13333.333333333334</v>
      </c>
      <c r="G114" s="31"/>
      <c r="H114" s="31"/>
      <c r="I114" s="31"/>
      <c r="J114" s="32"/>
    </row>
    <row r="115" spans="1:11" x14ac:dyDescent="0.25">
      <c r="A115" s="12" t="s">
        <v>51</v>
      </c>
      <c r="B115" s="37">
        <f>+B114/B111</f>
        <v>51.282051282051285</v>
      </c>
      <c r="C115" s="37">
        <f>+C114/C111</f>
        <v>2952.9569892473119</v>
      </c>
      <c r="D115" s="37">
        <f>+D114/D111</f>
        <v>51.282051282051285</v>
      </c>
      <c r="E115" s="37">
        <f>+E114/E111</f>
        <v>2952.9569892473119</v>
      </c>
      <c r="F115" s="37">
        <f>+F114/F111</f>
        <v>51.282051282051285</v>
      </c>
      <c r="G115" s="31"/>
      <c r="H115" s="31"/>
      <c r="I115" s="31"/>
      <c r="J115" s="32"/>
    </row>
    <row r="116" spans="1:11" x14ac:dyDescent="0.25">
      <c r="A116" s="41" t="s">
        <v>49</v>
      </c>
      <c r="B116" s="37">
        <f>+B115/C115</f>
        <v>1.7366338713630476E-2</v>
      </c>
      <c r="C116" s="37"/>
      <c r="D116" s="37">
        <f>+D115/(C115+E115)</f>
        <v>8.6831693568152381E-3</v>
      </c>
      <c r="E116" s="37"/>
      <c r="F116" s="37">
        <f>+F115/E115</f>
        <v>1.7366338713630476E-2</v>
      </c>
      <c r="G116" s="31"/>
      <c r="H116" s="31"/>
      <c r="I116" s="31"/>
      <c r="J116" s="32"/>
    </row>
    <row r="117" spans="1:11" ht="15.75" thickBot="1" x14ac:dyDescent="0.3">
      <c r="A117" s="52" t="s">
        <v>52</v>
      </c>
      <c r="B117" s="33">
        <f>(0.5*B116+1)/(2*B116+1)</f>
        <v>0.97482489087402291</v>
      </c>
      <c r="C117" s="33"/>
      <c r="D117" s="33">
        <f>(0.5*D116+1)/(2*D116+1)</f>
        <v>0.98719757717589562</v>
      </c>
      <c r="E117" s="33"/>
      <c r="F117" s="33">
        <f>(0.5*F116+1)/(2*F116+1)</f>
        <v>0.97482489087402291</v>
      </c>
      <c r="G117" s="53"/>
      <c r="H117" s="53"/>
      <c r="I117" s="53"/>
      <c r="J117" s="54"/>
    </row>
    <row r="118" spans="1:11" ht="15.75" thickBot="1" x14ac:dyDescent="0.3">
      <c r="A118" s="67" t="s">
        <v>0</v>
      </c>
      <c r="B118" s="68">
        <f>+(12*B107/B111^3)*(B117*B114+D117*D114+F117*F114)</f>
        <v>6683.7673166225341</v>
      </c>
      <c r="C118" s="69" t="s">
        <v>61</v>
      </c>
      <c r="D118" s="34"/>
      <c r="E118" s="34" t="s">
        <v>64</v>
      </c>
      <c r="H118" s="34">
        <f>3*B107*B114/B111^3</f>
        <v>568.95766954938551</v>
      </c>
      <c r="I118" s="34" t="s">
        <v>63</v>
      </c>
      <c r="J118" s="35"/>
      <c r="K118" s="70">
        <f>+B118/H118</f>
        <v>11.747389435695766</v>
      </c>
    </row>
    <row r="119" spans="1:11" ht="15.75" thickBot="1" x14ac:dyDescent="0.3">
      <c r="A119" s="83"/>
      <c r="B119" s="84"/>
      <c r="C119" s="84"/>
      <c r="D119" s="84"/>
      <c r="E119" s="84"/>
      <c r="F119" s="84"/>
      <c r="G119" s="84"/>
      <c r="H119" s="84"/>
      <c r="I119" s="84"/>
      <c r="J119" s="85"/>
    </row>
    <row r="120" spans="1:11" x14ac:dyDescent="0.25">
      <c r="A120" s="26" t="s">
        <v>29</v>
      </c>
      <c r="B120" s="46">
        <v>210000</v>
      </c>
      <c r="C120" s="47" t="s">
        <v>30</v>
      </c>
      <c r="D120" s="47" t="s">
        <v>31</v>
      </c>
      <c r="E120" s="48"/>
      <c r="F120" s="48"/>
      <c r="G120" s="48"/>
      <c r="H120" s="48"/>
      <c r="I120" s="48"/>
      <c r="J120" s="49"/>
    </row>
    <row r="121" spans="1:11" ht="15.75" thickBot="1" x14ac:dyDescent="0.3">
      <c r="A121" s="81"/>
      <c r="B121" s="82"/>
      <c r="C121" s="82"/>
      <c r="D121" s="82"/>
      <c r="E121" s="34"/>
      <c r="F121" s="34"/>
      <c r="G121" s="34"/>
      <c r="H121" s="34"/>
      <c r="I121" s="34"/>
      <c r="J121" s="35"/>
    </row>
    <row r="122" spans="1:11" x14ac:dyDescent="0.25">
      <c r="A122" s="26"/>
      <c r="B122" s="27" t="s">
        <v>32</v>
      </c>
      <c r="C122" s="27" t="s">
        <v>33</v>
      </c>
      <c r="D122" s="27" t="s">
        <v>34</v>
      </c>
      <c r="E122" s="27" t="s">
        <v>35</v>
      </c>
      <c r="F122" s="27" t="s">
        <v>36</v>
      </c>
      <c r="G122" s="27" t="s">
        <v>37</v>
      </c>
      <c r="H122" s="27" t="s">
        <v>38</v>
      </c>
      <c r="I122" s="27" t="s">
        <v>39</v>
      </c>
      <c r="J122" s="28" t="s">
        <v>40</v>
      </c>
    </row>
    <row r="123" spans="1:11" x14ac:dyDescent="0.25">
      <c r="A123" s="23" t="s">
        <v>48</v>
      </c>
      <c r="B123" s="38">
        <v>3</v>
      </c>
      <c r="C123" s="38"/>
      <c r="D123" s="38"/>
      <c r="E123" s="38"/>
      <c r="F123" s="38"/>
      <c r="G123" s="38"/>
      <c r="H123" s="38"/>
      <c r="I123" s="38"/>
      <c r="J123" s="39"/>
    </row>
    <row r="124" spans="1:11" x14ac:dyDescent="0.25">
      <c r="A124" s="12" t="s">
        <v>41</v>
      </c>
      <c r="B124" s="29">
        <v>260</v>
      </c>
      <c r="C124" s="29">
        <v>155</v>
      </c>
      <c r="D124" s="29">
        <v>260</v>
      </c>
      <c r="E124" s="29">
        <v>155</v>
      </c>
      <c r="F124" s="29">
        <v>260</v>
      </c>
      <c r="G124" s="29"/>
      <c r="H124" s="29"/>
      <c r="I124" s="29"/>
      <c r="J124" s="30"/>
    </row>
    <row r="125" spans="1:11" x14ac:dyDescent="0.25">
      <c r="A125" s="12" t="s">
        <v>42</v>
      </c>
      <c r="B125" s="29">
        <v>65</v>
      </c>
      <c r="C125" s="29">
        <v>65</v>
      </c>
      <c r="D125" s="29">
        <v>65</v>
      </c>
      <c r="E125" s="29">
        <v>65</v>
      </c>
      <c r="F125" s="29">
        <v>65</v>
      </c>
      <c r="G125" s="29"/>
      <c r="H125" s="29"/>
      <c r="I125" s="29"/>
      <c r="J125" s="30"/>
    </row>
    <row r="126" spans="1:11" x14ac:dyDescent="0.25">
      <c r="A126" s="12" t="s">
        <v>43</v>
      </c>
      <c r="B126" s="29">
        <v>20</v>
      </c>
      <c r="C126" s="29">
        <v>20</v>
      </c>
      <c r="D126" s="29">
        <v>20</v>
      </c>
      <c r="E126" s="29">
        <v>20</v>
      </c>
      <c r="F126" s="29">
        <v>20</v>
      </c>
      <c r="G126" s="29"/>
      <c r="H126" s="29"/>
      <c r="I126" s="29"/>
      <c r="J126" s="30"/>
    </row>
    <row r="127" spans="1:11" x14ac:dyDescent="0.25">
      <c r="A127" s="12" t="s">
        <v>50</v>
      </c>
      <c r="B127" s="31">
        <f t="shared" ref="B127:F127" si="15">+B126*B125^3/12</f>
        <v>457708.33333333331</v>
      </c>
      <c r="C127" s="31">
        <f t="shared" si="15"/>
        <v>457708.33333333331</v>
      </c>
      <c r="D127" s="31">
        <f t="shared" si="15"/>
        <v>457708.33333333331</v>
      </c>
      <c r="E127" s="31">
        <f t="shared" si="15"/>
        <v>457708.33333333331</v>
      </c>
      <c r="F127" s="31">
        <f t="shared" si="15"/>
        <v>457708.33333333331</v>
      </c>
      <c r="G127" s="31"/>
      <c r="H127" s="31"/>
      <c r="I127" s="31"/>
      <c r="J127" s="32"/>
    </row>
    <row r="128" spans="1:11" x14ac:dyDescent="0.25">
      <c r="A128" s="12" t="s">
        <v>51</v>
      </c>
      <c r="B128" s="37">
        <f>+B127/B124</f>
        <v>1760.4166666666665</v>
      </c>
      <c r="C128" s="37">
        <f>+C127/C124</f>
        <v>2952.9569892473119</v>
      </c>
      <c r="D128" s="37">
        <f>+D127/D124</f>
        <v>1760.4166666666665</v>
      </c>
      <c r="E128" s="37">
        <f>+E127/E124</f>
        <v>2952.9569892473119</v>
      </c>
      <c r="F128" s="37">
        <f>+F127/F124</f>
        <v>1760.4166666666665</v>
      </c>
      <c r="G128" s="31"/>
      <c r="H128" s="31"/>
      <c r="I128" s="31"/>
      <c r="J128" s="32"/>
    </row>
    <row r="129" spans="1:11" x14ac:dyDescent="0.25">
      <c r="A129" s="41" t="s">
        <v>49</v>
      </c>
      <c r="B129" s="37">
        <f>+B128/C128</f>
        <v>0.59615384615384615</v>
      </c>
      <c r="C129" s="37"/>
      <c r="D129" s="37">
        <f>+D128/(C128+E128)</f>
        <v>0.29807692307692307</v>
      </c>
      <c r="E129" s="37"/>
      <c r="F129" s="37">
        <f>+F128/E128</f>
        <v>0.59615384615384615</v>
      </c>
      <c r="G129" s="31"/>
      <c r="H129" s="31"/>
      <c r="I129" s="31"/>
      <c r="J129" s="32"/>
    </row>
    <row r="130" spans="1:11" ht="15.75" thickBot="1" x14ac:dyDescent="0.3">
      <c r="A130" s="52" t="s">
        <v>52</v>
      </c>
      <c r="B130" s="33">
        <f>(0.5*B129+1)/(2*B129+1)</f>
        <v>0.59210526315789469</v>
      </c>
      <c r="C130" s="33"/>
      <c r="D130" s="33">
        <f>(0.5*D129+1)/(2*D129+1)</f>
        <v>0.719879518072289</v>
      </c>
      <c r="E130" s="33"/>
      <c r="F130" s="33">
        <f>(0.5*F129+1)/(2*F129+1)</f>
        <v>0.59210526315789469</v>
      </c>
      <c r="G130" s="53"/>
      <c r="H130" s="53"/>
      <c r="I130" s="53"/>
      <c r="J130" s="54"/>
    </row>
    <row r="131" spans="1:11" ht="15.75" thickBot="1" x14ac:dyDescent="0.3">
      <c r="A131" s="67" t="s">
        <v>0</v>
      </c>
      <c r="B131" s="68">
        <f>+(12*B120/B124^3)*(B130*B127+D130*D127+F130*F127)</f>
        <v>124955.90916296764</v>
      </c>
      <c r="C131" s="69" t="s">
        <v>61</v>
      </c>
      <c r="D131" s="34"/>
      <c r="E131" s="34" t="s">
        <v>64</v>
      </c>
      <c r="H131" s="34">
        <f>3*B120*B127/B124^3</f>
        <v>16406.25</v>
      </c>
      <c r="I131" s="34" t="s">
        <v>63</v>
      </c>
      <c r="J131" s="35"/>
      <c r="K131" s="70">
        <f>+B131/H131</f>
        <v>7.6163601775523135</v>
      </c>
    </row>
    <row r="132" spans="1:11" ht="15.75" thickBot="1" x14ac:dyDescent="0.3"/>
    <row r="133" spans="1:11" x14ac:dyDescent="0.25">
      <c r="A133" s="26" t="s">
        <v>29</v>
      </c>
      <c r="B133" s="46">
        <v>270000</v>
      </c>
      <c r="C133" s="47" t="s">
        <v>30</v>
      </c>
      <c r="D133" s="47" t="s">
        <v>31</v>
      </c>
      <c r="E133" s="48"/>
      <c r="F133" s="48"/>
      <c r="G133" s="48"/>
      <c r="H133" s="48"/>
      <c r="I133" s="48"/>
      <c r="J133" s="49"/>
    </row>
    <row r="134" spans="1:11" ht="15.75" thickBot="1" x14ac:dyDescent="0.3">
      <c r="A134" s="81"/>
      <c r="B134" s="82"/>
      <c r="C134" s="82"/>
      <c r="D134" s="82"/>
      <c r="E134" s="34"/>
      <c r="F134" s="34"/>
      <c r="G134" s="34"/>
      <c r="H134" s="34"/>
      <c r="I134" s="34"/>
      <c r="J134" s="35"/>
    </row>
    <row r="135" spans="1:11" x14ac:dyDescent="0.25">
      <c r="A135" s="26"/>
      <c r="B135" s="27" t="s">
        <v>32</v>
      </c>
      <c r="C135" s="27" t="s">
        <v>33</v>
      </c>
      <c r="D135" s="27" t="s">
        <v>34</v>
      </c>
      <c r="E135" s="27" t="s">
        <v>35</v>
      </c>
      <c r="F135" s="27" t="s">
        <v>36</v>
      </c>
      <c r="G135" s="27" t="s">
        <v>37</v>
      </c>
      <c r="H135" s="27" t="s">
        <v>38</v>
      </c>
      <c r="I135" s="27" t="s">
        <v>39</v>
      </c>
      <c r="J135" s="28" t="s">
        <v>40</v>
      </c>
    </row>
    <row r="136" spans="1:11" x14ac:dyDescent="0.25">
      <c r="A136" s="23" t="s">
        <v>48</v>
      </c>
      <c r="B136" s="38">
        <v>3</v>
      </c>
      <c r="C136" s="38"/>
      <c r="D136" s="38"/>
      <c r="E136" s="38"/>
      <c r="F136" s="38"/>
      <c r="G136" s="38"/>
      <c r="H136" s="38"/>
      <c r="I136" s="38"/>
      <c r="J136" s="39"/>
    </row>
    <row r="137" spans="1:11" x14ac:dyDescent="0.25">
      <c r="A137" s="12" t="s">
        <v>41</v>
      </c>
      <c r="B137" s="29">
        <v>260</v>
      </c>
      <c r="C137" s="29">
        <v>155</v>
      </c>
      <c r="D137" s="29">
        <v>260</v>
      </c>
      <c r="E137" s="29">
        <v>155</v>
      </c>
      <c r="F137" s="29">
        <v>260</v>
      </c>
      <c r="G137" s="29">
        <v>155</v>
      </c>
      <c r="H137" s="29">
        <v>260</v>
      </c>
      <c r="I137" s="29"/>
      <c r="J137" s="30"/>
    </row>
    <row r="138" spans="1:11" x14ac:dyDescent="0.25">
      <c r="A138" s="12" t="s">
        <v>42</v>
      </c>
      <c r="B138" s="29">
        <v>20</v>
      </c>
      <c r="C138" s="29">
        <v>35</v>
      </c>
      <c r="D138" s="29">
        <v>20</v>
      </c>
      <c r="E138" s="29">
        <v>35</v>
      </c>
      <c r="F138" s="29">
        <v>20</v>
      </c>
      <c r="G138" s="29">
        <v>35</v>
      </c>
      <c r="H138" s="29">
        <v>20</v>
      </c>
      <c r="I138" s="29"/>
      <c r="J138" s="30"/>
    </row>
    <row r="139" spans="1:11" x14ac:dyDescent="0.25">
      <c r="A139" s="12" t="s">
        <v>43</v>
      </c>
      <c r="B139" s="29">
        <v>20</v>
      </c>
      <c r="C139" s="29">
        <v>20</v>
      </c>
      <c r="D139" s="29">
        <v>20</v>
      </c>
      <c r="E139" s="29">
        <v>20</v>
      </c>
      <c r="F139" s="29">
        <v>20</v>
      </c>
      <c r="G139" s="29">
        <v>20</v>
      </c>
      <c r="H139" s="29">
        <v>20</v>
      </c>
      <c r="I139" s="29"/>
      <c r="J139" s="30"/>
    </row>
    <row r="140" spans="1:11" x14ac:dyDescent="0.25">
      <c r="A140" s="12" t="s">
        <v>50</v>
      </c>
      <c r="B140" s="31">
        <f t="shared" ref="B140:H140" si="16">+B139*B138^3/12</f>
        <v>13333.333333333334</v>
      </c>
      <c r="C140" s="31">
        <f t="shared" si="16"/>
        <v>71458.333333333328</v>
      </c>
      <c r="D140" s="31">
        <f t="shared" si="16"/>
        <v>13333.333333333334</v>
      </c>
      <c r="E140" s="31">
        <f t="shared" si="16"/>
        <v>71458.333333333328</v>
      </c>
      <c r="F140" s="31">
        <f t="shared" si="16"/>
        <v>13333.333333333334</v>
      </c>
      <c r="G140" s="31">
        <f t="shared" si="16"/>
        <v>71458.333333333328</v>
      </c>
      <c r="H140" s="31">
        <f t="shared" si="16"/>
        <v>13333.333333333334</v>
      </c>
      <c r="I140" s="31"/>
      <c r="J140" s="32"/>
    </row>
    <row r="141" spans="1:11" x14ac:dyDescent="0.25">
      <c r="A141" s="12" t="s">
        <v>51</v>
      </c>
      <c r="B141" s="37">
        <f t="shared" ref="B141:H141" si="17">+B140/B137</f>
        <v>51.282051282051285</v>
      </c>
      <c r="C141" s="37">
        <f t="shared" si="17"/>
        <v>461.02150537634407</v>
      </c>
      <c r="D141" s="37">
        <f t="shared" si="17"/>
        <v>51.282051282051285</v>
      </c>
      <c r="E141" s="37">
        <f t="shared" si="17"/>
        <v>461.02150537634407</v>
      </c>
      <c r="F141" s="37">
        <f t="shared" si="17"/>
        <v>51.282051282051285</v>
      </c>
      <c r="G141" s="37">
        <f t="shared" si="17"/>
        <v>461.02150537634407</v>
      </c>
      <c r="H141" s="37">
        <f t="shared" si="17"/>
        <v>51.282051282051285</v>
      </c>
      <c r="I141" s="31"/>
      <c r="J141" s="32"/>
    </row>
    <row r="142" spans="1:11" x14ac:dyDescent="0.25">
      <c r="A142" s="41" t="s">
        <v>49</v>
      </c>
      <c r="B142" s="37">
        <f>+B141/C141</f>
        <v>0.11123570307243778</v>
      </c>
      <c r="C142" s="37"/>
      <c r="D142" s="37">
        <f>+D141/(C141+E141)</f>
        <v>5.5617851536218892E-2</v>
      </c>
      <c r="E142" s="37"/>
      <c r="F142" s="37">
        <f>+F141/(E141+G141)</f>
        <v>5.5617851536218892E-2</v>
      </c>
      <c r="G142" s="37"/>
      <c r="H142" s="37">
        <f>+H141/G141</f>
        <v>0.11123570307243778</v>
      </c>
      <c r="I142" s="31"/>
      <c r="J142" s="32"/>
    </row>
    <row r="143" spans="1:11" ht="15.75" thickBot="1" x14ac:dyDescent="0.3">
      <c r="A143" s="52" t="s">
        <v>52</v>
      </c>
      <c r="B143" s="33">
        <f>(0.5*B142+1)/(2*B142+1)</f>
        <v>0.86351128233351671</v>
      </c>
      <c r="C143" s="33"/>
      <c r="D143" s="33">
        <f>(0.5*D142+1)/(2*D142+1)</f>
        <v>0.92492431886982829</v>
      </c>
      <c r="E143" s="33"/>
      <c r="F143" s="33">
        <f>(0.5*F142+1)/(2*F142+1)</f>
        <v>0.92492431886982829</v>
      </c>
      <c r="G143" s="33"/>
      <c r="H143" s="33">
        <f>(0.5*H142+1)/(2*H142+1)</f>
        <v>0.86351128233351671</v>
      </c>
      <c r="I143" s="53"/>
      <c r="J143" s="54"/>
    </row>
    <row r="144" spans="1:11" ht="15.75" thickBot="1" x14ac:dyDescent="0.3">
      <c r="A144" s="67" t="s">
        <v>0</v>
      </c>
      <c r="B144" s="68">
        <f>+(12*B133/B137^3)*(B143*B140+D143*D140+F143*F140)</f>
        <v>6669.1595668616919</v>
      </c>
      <c r="C144" s="69" t="s">
        <v>61</v>
      </c>
      <c r="D144" s="34"/>
      <c r="E144" s="34" t="s">
        <v>64</v>
      </c>
      <c r="H144" s="34">
        <f>3*B133*B140/B137^3</f>
        <v>614.47428311333636</v>
      </c>
      <c r="I144" s="34" t="s">
        <v>63</v>
      </c>
      <c r="J144" s="35"/>
      <c r="K144" s="70">
        <f>+B144/H144</f>
        <v>10.853439680292695</v>
      </c>
    </row>
    <row r="145" spans="1:11" x14ac:dyDescent="0.25">
      <c r="A145" s="26" t="s">
        <v>29</v>
      </c>
      <c r="B145" s="46">
        <v>250000</v>
      </c>
      <c r="C145" s="47" t="s">
        <v>30</v>
      </c>
      <c r="D145" s="47" t="s">
        <v>31</v>
      </c>
      <c r="E145" s="48"/>
      <c r="F145" s="48"/>
      <c r="G145" s="48"/>
      <c r="H145" s="48"/>
      <c r="I145" s="48"/>
      <c r="J145" s="49"/>
    </row>
    <row r="146" spans="1:11" ht="15.75" thickBot="1" x14ac:dyDescent="0.3">
      <c r="A146" s="81"/>
      <c r="B146" s="82"/>
      <c r="C146" s="82"/>
      <c r="D146" s="82"/>
      <c r="E146" s="34"/>
      <c r="F146" s="34"/>
      <c r="G146" s="34"/>
      <c r="H146" s="34"/>
      <c r="I146" s="34"/>
      <c r="J146" s="35"/>
    </row>
    <row r="147" spans="1:11" x14ac:dyDescent="0.25">
      <c r="A147" s="26"/>
      <c r="B147" s="27" t="s">
        <v>32</v>
      </c>
      <c r="C147" s="27" t="s">
        <v>33</v>
      </c>
      <c r="D147" s="27" t="s">
        <v>34</v>
      </c>
      <c r="E147" s="27" t="s">
        <v>35</v>
      </c>
      <c r="F147" s="27" t="s">
        <v>36</v>
      </c>
      <c r="G147" s="27" t="s">
        <v>37</v>
      </c>
      <c r="H147" s="27" t="s">
        <v>38</v>
      </c>
      <c r="I147" s="27" t="s">
        <v>39</v>
      </c>
      <c r="J147" s="28" t="s">
        <v>40</v>
      </c>
    </row>
    <row r="148" spans="1:11" x14ac:dyDescent="0.25">
      <c r="A148" s="23" t="s">
        <v>48</v>
      </c>
      <c r="B148" s="38">
        <v>3</v>
      </c>
      <c r="C148" s="38"/>
      <c r="D148" s="38"/>
      <c r="E148" s="38"/>
      <c r="F148" s="38"/>
      <c r="G148" s="38"/>
      <c r="H148" s="38"/>
      <c r="I148" s="38"/>
      <c r="J148" s="39"/>
    </row>
    <row r="149" spans="1:11" x14ac:dyDescent="0.25">
      <c r="A149" s="12" t="s">
        <v>41</v>
      </c>
      <c r="B149" s="29">
        <v>260</v>
      </c>
      <c r="C149" s="29">
        <v>155</v>
      </c>
      <c r="D149" s="29">
        <v>260</v>
      </c>
      <c r="E149" s="29">
        <v>155</v>
      </c>
      <c r="F149" s="29">
        <v>260</v>
      </c>
      <c r="G149" s="29">
        <v>155</v>
      </c>
      <c r="H149" s="29">
        <v>260</v>
      </c>
      <c r="I149" s="29"/>
      <c r="J149" s="30"/>
    </row>
    <row r="150" spans="1:11" x14ac:dyDescent="0.25">
      <c r="A150" s="12" t="s">
        <v>42</v>
      </c>
      <c r="B150" s="29">
        <v>35</v>
      </c>
      <c r="C150" s="29">
        <v>35</v>
      </c>
      <c r="D150" s="29">
        <v>35</v>
      </c>
      <c r="E150" s="29">
        <v>35</v>
      </c>
      <c r="F150" s="29">
        <v>35</v>
      </c>
      <c r="G150" s="29">
        <v>35</v>
      </c>
      <c r="H150" s="29">
        <v>35</v>
      </c>
      <c r="I150" s="29"/>
      <c r="J150" s="30"/>
    </row>
    <row r="151" spans="1:11" x14ac:dyDescent="0.25">
      <c r="A151" s="12" t="s">
        <v>43</v>
      </c>
      <c r="B151" s="29">
        <v>20</v>
      </c>
      <c r="C151" s="29">
        <v>20</v>
      </c>
      <c r="D151" s="29">
        <v>20</v>
      </c>
      <c r="E151" s="29">
        <v>20</v>
      </c>
      <c r="F151" s="29">
        <v>20</v>
      </c>
      <c r="G151" s="29">
        <v>20</v>
      </c>
      <c r="H151" s="29">
        <v>20</v>
      </c>
      <c r="I151" s="29"/>
      <c r="J151" s="30"/>
    </row>
    <row r="152" spans="1:11" x14ac:dyDescent="0.25">
      <c r="A152" s="12" t="s">
        <v>50</v>
      </c>
      <c r="B152" s="31">
        <f t="shared" ref="B152:H152" si="18">+B151*B150^3/12</f>
        <v>71458.333333333328</v>
      </c>
      <c r="C152" s="31">
        <f t="shared" si="18"/>
        <v>71458.333333333328</v>
      </c>
      <c r="D152" s="31">
        <f t="shared" si="18"/>
        <v>71458.333333333328</v>
      </c>
      <c r="E152" s="31">
        <f t="shared" si="18"/>
        <v>71458.333333333328</v>
      </c>
      <c r="F152" s="31">
        <f t="shared" si="18"/>
        <v>71458.333333333328</v>
      </c>
      <c r="G152" s="31">
        <f t="shared" si="18"/>
        <v>71458.333333333328</v>
      </c>
      <c r="H152" s="31">
        <f t="shared" si="18"/>
        <v>71458.333333333328</v>
      </c>
      <c r="I152" s="31"/>
      <c r="J152" s="32"/>
    </row>
    <row r="153" spans="1:11" x14ac:dyDescent="0.25">
      <c r="A153" s="12" t="s">
        <v>51</v>
      </c>
      <c r="B153" s="37">
        <f t="shared" ref="B153:H153" si="19">+B152/B149</f>
        <v>274.83974358974359</v>
      </c>
      <c r="C153" s="37">
        <f t="shared" si="19"/>
        <v>461.02150537634407</v>
      </c>
      <c r="D153" s="37">
        <f t="shared" si="19"/>
        <v>274.83974358974359</v>
      </c>
      <c r="E153" s="37">
        <f t="shared" si="19"/>
        <v>461.02150537634407</v>
      </c>
      <c r="F153" s="37">
        <f t="shared" si="19"/>
        <v>274.83974358974359</v>
      </c>
      <c r="G153" s="37">
        <f t="shared" si="19"/>
        <v>461.02150537634407</v>
      </c>
      <c r="H153" s="37">
        <f t="shared" si="19"/>
        <v>274.83974358974359</v>
      </c>
      <c r="I153" s="31"/>
      <c r="J153" s="32"/>
    </row>
    <row r="154" spans="1:11" x14ac:dyDescent="0.25">
      <c r="A154" s="41" t="s">
        <v>49</v>
      </c>
      <c r="B154" s="37">
        <f>+B153/C153</f>
        <v>0.59615384615384615</v>
      </c>
      <c r="C154" s="37"/>
      <c r="D154" s="37">
        <f>+D153/(C153+E153)</f>
        <v>0.29807692307692307</v>
      </c>
      <c r="E154" s="37"/>
      <c r="F154" s="37">
        <f>+F153/(E153+G153)</f>
        <v>0.29807692307692307</v>
      </c>
      <c r="G154" s="37"/>
      <c r="H154" s="37">
        <f>+H153/G153</f>
        <v>0.59615384615384615</v>
      </c>
      <c r="I154" s="31"/>
      <c r="J154" s="32"/>
    </row>
    <row r="155" spans="1:11" ht="15.75" thickBot="1" x14ac:dyDescent="0.3">
      <c r="A155" s="52" t="s">
        <v>52</v>
      </c>
      <c r="B155" s="33">
        <f>(0.5*B154+1)/(2*B154+1)</f>
        <v>0.59210526315789469</v>
      </c>
      <c r="C155" s="33"/>
      <c r="D155" s="33">
        <f>(0.5*D154+1)/(2*D154+1)</f>
        <v>0.719879518072289</v>
      </c>
      <c r="E155" s="33"/>
      <c r="F155" s="33">
        <f>(0.5*F154+1)/(2*F154+1)</f>
        <v>0.719879518072289</v>
      </c>
      <c r="G155" s="33"/>
      <c r="H155" s="33">
        <f>(0.5*H154+1)/(2*H154+1)</f>
        <v>0.59210526315789469</v>
      </c>
      <c r="I155" s="53"/>
      <c r="J155" s="54"/>
    </row>
    <row r="156" spans="1:11" ht="15.75" thickBot="1" x14ac:dyDescent="0.3">
      <c r="A156" s="67" t="s">
        <v>0</v>
      </c>
      <c r="B156" s="68">
        <f>+(12*B145/B149^3)*(B155*B152+D155*D152+F155*F152)</f>
        <v>24782.70989775646</v>
      </c>
      <c r="C156" s="69" t="s">
        <v>61</v>
      </c>
      <c r="D156" s="34"/>
      <c r="E156" s="34" t="s">
        <v>64</v>
      </c>
      <c r="H156" s="34">
        <f>3*B145*B152/B149^3</f>
        <v>3049.2575102412379</v>
      </c>
      <c r="I156" s="34" t="s">
        <v>63</v>
      </c>
      <c r="J156" s="35"/>
      <c r="K156" s="70">
        <f>+B156/H156</f>
        <v>8.1274571972098908</v>
      </c>
    </row>
    <row r="157" spans="1:11" x14ac:dyDescent="0.25">
      <c r="A157" s="26" t="s">
        <v>29</v>
      </c>
      <c r="B157" s="46">
        <v>250000</v>
      </c>
      <c r="C157" s="47" t="s">
        <v>30</v>
      </c>
      <c r="D157" s="47" t="s">
        <v>31</v>
      </c>
      <c r="E157" s="48"/>
      <c r="F157" s="48"/>
      <c r="G157" s="48"/>
      <c r="H157" s="48"/>
      <c r="I157" s="48"/>
      <c r="J157" s="49"/>
    </row>
    <row r="158" spans="1:11" ht="15.75" thickBot="1" x14ac:dyDescent="0.3">
      <c r="A158" s="81"/>
      <c r="B158" s="82"/>
      <c r="C158" s="82"/>
      <c r="D158" s="82"/>
      <c r="E158" s="34"/>
      <c r="F158" s="34"/>
      <c r="G158" s="34"/>
      <c r="H158" s="34"/>
      <c r="I158" s="34"/>
      <c r="J158" s="35"/>
    </row>
    <row r="159" spans="1:11" x14ac:dyDescent="0.25">
      <c r="A159" s="26"/>
      <c r="B159" s="27" t="s">
        <v>32</v>
      </c>
      <c r="C159" s="27" t="s">
        <v>33</v>
      </c>
      <c r="D159" s="27" t="s">
        <v>34</v>
      </c>
      <c r="E159" s="27" t="s">
        <v>35</v>
      </c>
      <c r="F159" s="27" t="s">
        <v>36</v>
      </c>
      <c r="G159" s="27" t="s">
        <v>37</v>
      </c>
      <c r="H159" s="27" t="s">
        <v>38</v>
      </c>
      <c r="I159" s="27" t="s">
        <v>39</v>
      </c>
      <c r="J159" s="28" t="s">
        <v>40</v>
      </c>
    </row>
    <row r="160" spans="1:11" x14ac:dyDescent="0.25">
      <c r="A160" s="23" t="s">
        <v>48</v>
      </c>
      <c r="B160" s="38">
        <v>3</v>
      </c>
      <c r="C160" s="38"/>
      <c r="D160" s="38"/>
      <c r="E160" s="38"/>
      <c r="F160" s="38"/>
      <c r="G160" s="38"/>
      <c r="H160" s="38"/>
      <c r="I160" s="38"/>
      <c r="J160" s="39"/>
    </row>
    <row r="161" spans="1:11" x14ac:dyDescent="0.25">
      <c r="A161" s="12" t="s">
        <v>41</v>
      </c>
      <c r="B161" s="29">
        <v>260</v>
      </c>
      <c r="C161" s="29">
        <v>155</v>
      </c>
      <c r="D161" s="29">
        <v>260</v>
      </c>
      <c r="E161" s="29">
        <v>155</v>
      </c>
      <c r="F161" s="29">
        <v>260</v>
      </c>
      <c r="G161" s="29">
        <v>155</v>
      </c>
      <c r="H161" s="29">
        <v>260</v>
      </c>
      <c r="I161" s="29"/>
      <c r="J161" s="30"/>
    </row>
    <row r="162" spans="1:11" x14ac:dyDescent="0.25">
      <c r="A162" s="12" t="s">
        <v>42</v>
      </c>
      <c r="B162" s="29">
        <v>35</v>
      </c>
      <c r="C162" s="29">
        <v>45</v>
      </c>
      <c r="D162" s="29">
        <v>35</v>
      </c>
      <c r="E162" s="29">
        <v>45</v>
      </c>
      <c r="F162" s="29">
        <v>35</v>
      </c>
      <c r="G162" s="29">
        <v>45</v>
      </c>
      <c r="H162" s="29">
        <v>35</v>
      </c>
      <c r="I162" s="29"/>
      <c r="J162" s="30"/>
    </row>
    <row r="163" spans="1:11" x14ac:dyDescent="0.25">
      <c r="A163" s="12" t="s">
        <v>43</v>
      </c>
      <c r="B163" s="29">
        <v>20</v>
      </c>
      <c r="C163" s="29">
        <v>20</v>
      </c>
      <c r="D163" s="29">
        <v>20</v>
      </c>
      <c r="E163" s="29">
        <v>20</v>
      </c>
      <c r="F163" s="29">
        <v>20</v>
      </c>
      <c r="G163" s="29">
        <v>20</v>
      </c>
      <c r="H163" s="29">
        <v>20</v>
      </c>
      <c r="I163" s="29"/>
      <c r="J163" s="30"/>
    </row>
    <row r="164" spans="1:11" x14ac:dyDescent="0.25">
      <c r="A164" s="12" t="s">
        <v>50</v>
      </c>
      <c r="B164" s="31">
        <f t="shared" ref="B164:H164" si="20">+B163*B162^3/12</f>
        <v>71458.333333333328</v>
      </c>
      <c r="C164" s="31">
        <f t="shared" si="20"/>
        <v>151875</v>
      </c>
      <c r="D164" s="31">
        <f t="shared" si="20"/>
        <v>71458.333333333328</v>
      </c>
      <c r="E164" s="31">
        <f t="shared" si="20"/>
        <v>151875</v>
      </c>
      <c r="F164" s="31">
        <f t="shared" si="20"/>
        <v>71458.333333333328</v>
      </c>
      <c r="G164" s="31">
        <f t="shared" si="20"/>
        <v>151875</v>
      </c>
      <c r="H164" s="31">
        <f t="shared" si="20"/>
        <v>71458.333333333328</v>
      </c>
      <c r="I164" s="31"/>
      <c r="J164" s="32"/>
    </row>
    <row r="165" spans="1:11" x14ac:dyDescent="0.25">
      <c r="A165" s="12" t="s">
        <v>51</v>
      </c>
      <c r="B165" s="37">
        <f t="shared" ref="B165:H165" si="21">+B164/B161</f>
        <v>274.83974358974359</v>
      </c>
      <c r="C165" s="37">
        <f t="shared" si="21"/>
        <v>979.83870967741939</v>
      </c>
      <c r="D165" s="37">
        <f t="shared" si="21"/>
        <v>274.83974358974359</v>
      </c>
      <c r="E165" s="37">
        <f t="shared" si="21"/>
        <v>979.83870967741939</v>
      </c>
      <c r="F165" s="37">
        <f t="shared" si="21"/>
        <v>274.83974358974359</v>
      </c>
      <c r="G165" s="37">
        <f t="shared" si="21"/>
        <v>979.83870967741939</v>
      </c>
      <c r="H165" s="37">
        <f t="shared" si="21"/>
        <v>274.83974358974359</v>
      </c>
      <c r="I165" s="31"/>
      <c r="J165" s="32"/>
    </row>
    <row r="166" spans="1:11" x14ac:dyDescent="0.25">
      <c r="A166" s="41" t="s">
        <v>49</v>
      </c>
      <c r="B166" s="37">
        <f>+B165/C165</f>
        <v>0.2804948823467342</v>
      </c>
      <c r="C166" s="37"/>
      <c r="D166" s="37">
        <f>+D165/(C165+E165)</f>
        <v>0.1402474411733671</v>
      </c>
      <c r="E166" s="37"/>
      <c r="F166" s="37">
        <f>+F165/(E165+G165)</f>
        <v>0.1402474411733671</v>
      </c>
      <c r="G166" s="37"/>
      <c r="H166" s="37">
        <f>+H165/G165</f>
        <v>0.2804948823467342</v>
      </c>
      <c r="I166" s="31"/>
      <c r="J166" s="32"/>
    </row>
    <row r="167" spans="1:11" ht="15.75" thickBot="1" x14ac:dyDescent="0.3">
      <c r="A167" s="52" t="s">
        <v>52</v>
      </c>
      <c r="B167" s="33">
        <f>(0.5*B166+1)/(2*B166+1)</f>
        <v>0.73046439314563838</v>
      </c>
      <c r="C167" s="33"/>
      <c r="D167" s="33">
        <f>(0.5*D166+1)/(2*D166+1)</f>
        <v>0.83571104839208099</v>
      </c>
      <c r="E167" s="33"/>
      <c r="F167" s="33">
        <f>(0.5*F166+1)/(2*F166+1)</f>
        <v>0.83571104839208099</v>
      </c>
      <c r="G167" s="33"/>
      <c r="H167" s="33">
        <f>(0.5*H166+1)/(2*H166+1)</f>
        <v>0.73046439314563838</v>
      </c>
      <c r="I167" s="53"/>
      <c r="J167" s="54"/>
    </row>
    <row r="168" spans="1:11" ht="15.75" thickBot="1" x14ac:dyDescent="0.3">
      <c r="A168" s="67" t="s">
        <v>0</v>
      </c>
      <c r="B168" s="68">
        <f>+(12*B157/B161^3)*(B167*B164+D167*D164+F167*F164)</f>
        <v>29295.881672661639</v>
      </c>
      <c r="C168" s="69" t="s">
        <v>61</v>
      </c>
      <c r="D168" s="34"/>
      <c r="E168" s="34" t="s">
        <v>64</v>
      </c>
      <c r="H168" s="34">
        <f>3*B157*B164/B161^3</f>
        <v>3049.2575102412379</v>
      </c>
      <c r="I168" s="34" t="s">
        <v>63</v>
      </c>
      <c r="J168" s="35"/>
      <c r="K168" s="70">
        <f>+B168/H168</f>
        <v>9.6075459597192019</v>
      </c>
    </row>
    <row r="169" spans="1:11" x14ac:dyDescent="0.25">
      <c r="A169" s="26" t="s">
        <v>29</v>
      </c>
      <c r="B169" s="46">
        <v>250000</v>
      </c>
      <c r="C169" s="47" t="s">
        <v>30</v>
      </c>
      <c r="D169" s="47" t="s">
        <v>31</v>
      </c>
      <c r="E169" s="48"/>
      <c r="F169" s="48"/>
      <c r="G169" s="48"/>
      <c r="H169" s="48"/>
      <c r="I169" s="48"/>
      <c r="J169" s="49"/>
    </row>
    <row r="170" spans="1:11" ht="15.75" thickBot="1" x14ac:dyDescent="0.3">
      <c r="A170" s="81"/>
      <c r="B170" s="82"/>
      <c r="C170" s="82"/>
      <c r="D170" s="82"/>
      <c r="E170" s="34"/>
      <c r="F170" s="34"/>
      <c r="G170" s="34"/>
      <c r="H170" s="34"/>
      <c r="I170" s="34"/>
      <c r="J170" s="35"/>
    </row>
    <row r="171" spans="1:11" x14ac:dyDescent="0.25">
      <c r="A171" s="26"/>
      <c r="B171" s="27" t="s">
        <v>32</v>
      </c>
      <c r="C171" s="27" t="s">
        <v>33</v>
      </c>
      <c r="D171" s="27" t="s">
        <v>34</v>
      </c>
      <c r="E171" s="27" t="s">
        <v>35</v>
      </c>
      <c r="F171" s="27" t="s">
        <v>36</v>
      </c>
      <c r="G171" s="27" t="s">
        <v>37</v>
      </c>
      <c r="H171" s="27" t="s">
        <v>38</v>
      </c>
      <c r="I171" s="27" t="s">
        <v>39</v>
      </c>
      <c r="J171" s="28" t="s">
        <v>40</v>
      </c>
    </row>
    <row r="172" spans="1:11" x14ac:dyDescent="0.25">
      <c r="A172" s="23" t="s">
        <v>48</v>
      </c>
      <c r="B172" s="38">
        <v>3</v>
      </c>
      <c r="C172" s="38"/>
      <c r="D172" s="38"/>
      <c r="E172" s="38"/>
      <c r="F172" s="38"/>
      <c r="G172" s="38"/>
      <c r="H172" s="38"/>
      <c r="I172" s="38"/>
      <c r="J172" s="39"/>
    </row>
    <row r="173" spans="1:11" x14ac:dyDescent="0.25">
      <c r="A173" s="12" t="s">
        <v>41</v>
      </c>
      <c r="B173" s="29">
        <v>260</v>
      </c>
      <c r="C173" s="29">
        <v>155</v>
      </c>
      <c r="D173" s="29">
        <v>260</v>
      </c>
      <c r="E173" s="29">
        <v>155</v>
      </c>
      <c r="F173" s="29">
        <v>260</v>
      </c>
      <c r="G173" s="29">
        <v>155</v>
      </c>
      <c r="H173" s="29">
        <v>260</v>
      </c>
      <c r="I173" s="29"/>
      <c r="J173" s="30"/>
    </row>
    <row r="174" spans="1:11" x14ac:dyDescent="0.25">
      <c r="A174" s="12" t="s">
        <v>42</v>
      </c>
      <c r="B174" s="29">
        <v>20</v>
      </c>
      <c r="C174" s="29">
        <v>65</v>
      </c>
      <c r="D174" s="29">
        <v>20</v>
      </c>
      <c r="E174" s="29">
        <v>65</v>
      </c>
      <c r="F174" s="29">
        <v>20</v>
      </c>
      <c r="G174" s="29">
        <v>65</v>
      </c>
      <c r="H174" s="29">
        <v>20</v>
      </c>
      <c r="I174" s="29"/>
      <c r="J174" s="30"/>
    </row>
    <row r="175" spans="1:11" x14ac:dyDescent="0.25">
      <c r="A175" s="12" t="s">
        <v>43</v>
      </c>
      <c r="B175" s="29">
        <v>20</v>
      </c>
      <c r="C175" s="29">
        <v>20</v>
      </c>
      <c r="D175" s="29">
        <v>20</v>
      </c>
      <c r="E175" s="29">
        <v>20</v>
      </c>
      <c r="F175" s="29">
        <v>20</v>
      </c>
      <c r="G175" s="29">
        <v>20</v>
      </c>
      <c r="H175" s="29">
        <v>20</v>
      </c>
      <c r="I175" s="29"/>
      <c r="J175" s="30"/>
    </row>
    <row r="176" spans="1:11" x14ac:dyDescent="0.25">
      <c r="A176" s="12" t="s">
        <v>50</v>
      </c>
      <c r="B176" s="31">
        <f t="shared" ref="B176:H176" si="22">+B175*B174^3/12</f>
        <v>13333.333333333334</v>
      </c>
      <c r="C176" s="31">
        <f t="shared" si="22"/>
        <v>457708.33333333331</v>
      </c>
      <c r="D176" s="31">
        <f t="shared" si="22"/>
        <v>13333.333333333334</v>
      </c>
      <c r="E176" s="31">
        <f t="shared" si="22"/>
        <v>457708.33333333331</v>
      </c>
      <c r="F176" s="31">
        <f t="shared" si="22"/>
        <v>13333.333333333334</v>
      </c>
      <c r="G176" s="31">
        <f t="shared" si="22"/>
        <v>457708.33333333331</v>
      </c>
      <c r="H176" s="31">
        <f t="shared" si="22"/>
        <v>13333.333333333334</v>
      </c>
      <c r="I176" s="31"/>
      <c r="J176" s="32"/>
    </row>
    <row r="177" spans="1:11" x14ac:dyDescent="0.25">
      <c r="A177" s="12" t="s">
        <v>51</v>
      </c>
      <c r="B177" s="37">
        <f t="shared" ref="B177:H177" si="23">+B176/B173</f>
        <v>51.282051282051285</v>
      </c>
      <c r="C177" s="37">
        <f t="shared" si="23"/>
        <v>2952.9569892473119</v>
      </c>
      <c r="D177" s="37">
        <f t="shared" si="23"/>
        <v>51.282051282051285</v>
      </c>
      <c r="E177" s="37">
        <f t="shared" si="23"/>
        <v>2952.9569892473119</v>
      </c>
      <c r="F177" s="37">
        <f t="shared" si="23"/>
        <v>51.282051282051285</v>
      </c>
      <c r="G177" s="37">
        <f t="shared" si="23"/>
        <v>2952.9569892473119</v>
      </c>
      <c r="H177" s="37">
        <f t="shared" si="23"/>
        <v>51.282051282051285</v>
      </c>
      <c r="I177" s="31"/>
      <c r="J177" s="32"/>
    </row>
    <row r="178" spans="1:11" x14ac:dyDescent="0.25">
      <c r="A178" s="41" t="s">
        <v>49</v>
      </c>
      <c r="B178" s="37">
        <f>+B177/C177</f>
        <v>1.7366338713630476E-2</v>
      </c>
      <c r="C178" s="37"/>
      <c r="D178" s="37">
        <f>+D177/(C177+E177)</f>
        <v>8.6831693568152381E-3</v>
      </c>
      <c r="E178" s="37"/>
      <c r="F178" s="37">
        <f>+F177/(E177+G177)</f>
        <v>8.6831693568152381E-3</v>
      </c>
      <c r="G178" s="37"/>
      <c r="H178" s="37">
        <f>+H177/G177</f>
        <v>1.7366338713630476E-2</v>
      </c>
      <c r="I178" s="31"/>
      <c r="J178" s="32"/>
    </row>
    <row r="179" spans="1:11" ht="15.75" thickBot="1" x14ac:dyDescent="0.3">
      <c r="A179" s="52" t="s">
        <v>52</v>
      </c>
      <c r="B179" s="33">
        <f>(0.5*B178+1)/(2*B178+1)</f>
        <v>0.97482489087402291</v>
      </c>
      <c r="C179" s="33"/>
      <c r="D179" s="33">
        <f>(0.5*D178+1)/(2*D178+1)</f>
        <v>0.98719757717589562</v>
      </c>
      <c r="E179" s="33"/>
      <c r="F179" s="33">
        <f>(0.5*F178+1)/(2*F178+1)</f>
        <v>0.98719757717589562</v>
      </c>
      <c r="G179" s="33"/>
      <c r="H179" s="33">
        <f>(0.5*H178+1)/(2*H178+1)</f>
        <v>0.97482489087402291</v>
      </c>
      <c r="I179" s="53"/>
      <c r="J179" s="54"/>
    </row>
    <row r="180" spans="1:11" ht="15.75" thickBot="1" x14ac:dyDescent="0.3">
      <c r="A180" s="67" t="s">
        <v>0</v>
      </c>
      <c r="B180" s="68">
        <f>+(12*B169/B173^3)*(B179*B176+D179*D176+F179*F176)</f>
        <v>6711.9254556800506</v>
      </c>
      <c r="C180" s="69" t="s">
        <v>61</v>
      </c>
      <c r="D180" s="34"/>
      <c r="E180" s="34" t="s">
        <v>64</v>
      </c>
      <c r="H180" s="34">
        <f>3*B169*B176/B173^3</f>
        <v>568.95766954938551</v>
      </c>
      <c r="I180" s="34" t="s">
        <v>63</v>
      </c>
      <c r="J180" s="35"/>
      <c r="K180" s="70">
        <f>+B180/H180</f>
        <v>11.796880180903257</v>
      </c>
    </row>
    <row r="181" spans="1:11" x14ac:dyDescent="0.25">
      <c r="A181" s="26" t="s">
        <v>29</v>
      </c>
      <c r="B181" s="46">
        <v>270000</v>
      </c>
      <c r="C181" s="47" t="s">
        <v>30</v>
      </c>
      <c r="D181" s="47" t="s">
        <v>31</v>
      </c>
      <c r="E181" s="48"/>
      <c r="F181" s="48"/>
      <c r="G181" s="48"/>
      <c r="H181" s="48"/>
      <c r="I181" s="48"/>
      <c r="J181" s="49"/>
    </row>
    <row r="182" spans="1:11" ht="15.75" thickBot="1" x14ac:dyDescent="0.3">
      <c r="A182" s="81"/>
      <c r="B182" s="82"/>
      <c r="C182" s="82"/>
      <c r="D182" s="82"/>
      <c r="E182" s="34"/>
      <c r="F182" s="34"/>
      <c r="G182" s="34"/>
      <c r="H182" s="34"/>
      <c r="I182" s="34"/>
      <c r="J182" s="35"/>
    </row>
    <row r="183" spans="1:11" x14ac:dyDescent="0.25">
      <c r="A183" s="26"/>
      <c r="B183" s="27" t="s">
        <v>32</v>
      </c>
      <c r="C183" s="27" t="s">
        <v>33</v>
      </c>
      <c r="D183" s="27" t="s">
        <v>34</v>
      </c>
      <c r="E183" s="27" t="s">
        <v>35</v>
      </c>
      <c r="F183" s="27" t="s">
        <v>36</v>
      </c>
      <c r="G183" s="27" t="s">
        <v>37</v>
      </c>
      <c r="H183" s="27" t="s">
        <v>38</v>
      </c>
      <c r="I183" s="27" t="s">
        <v>39</v>
      </c>
      <c r="J183" s="28" t="s">
        <v>40</v>
      </c>
    </row>
    <row r="184" spans="1:11" x14ac:dyDescent="0.25">
      <c r="A184" s="23" t="s">
        <v>48</v>
      </c>
      <c r="B184" s="38">
        <v>3</v>
      </c>
      <c r="C184" s="38"/>
      <c r="D184" s="38"/>
      <c r="E184" s="38"/>
      <c r="F184" s="38"/>
      <c r="G184" s="38"/>
      <c r="H184" s="38"/>
      <c r="I184" s="38"/>
      <c r="J184" s="39"/>
    </row>
    <row r="185" spans="1:11" x14ac:dyDescent="0.25">
      <c r="A185" s="12" t="s">
        <v>41</v>
      </c>
      <c r="B185" s="29">
        <v>260</v>
      </c>
      <c r="C185" s="29">
        <v>155</v>
      </c>
      <c r="D185" s="29">
        <v>260</v>
      </c>
      <c r="E185" s="29">
        <v>155</v>
      </c>
      <c r="F185" s="29">
        <v>260</v>
      </c>
      <c r="G185" s="29">
        <v>155</v>
      </c>
      <c r="H185" s="29">
        <v>260</v>
      </c>
      <c r="I185" s="29"/>
      <c r="J185" s="30"/>
    </row>
    <row r="186" spans="1:11" x14ac:dyDescent="0.25">
      <c r="A186" s="12" t="s">
        <v>42</v>
      </c>
      <c r="B186" s="29">
        <v>65</v>
      </c>
      <c r="C186" s="29">
        <v>65</v>
      </c>
      <c r="D186" s="29">
        <v>65</v>
      </c>
      <c r="E186" s="29">
        <v>65</v>
      </c>
      <c r="F186" s="29">
        <v>65</v>
      </c>
      <c r="G186" s="29">
        <v>65</v>
      </c>
      <c r="H186" s="29">
        <v>65</v>
      </c>
      <c r="I186" s="29"/>
      <c r="J186" s="30"/>
    </row>
    <row r="187" spans="1:11" x14ac:dyDescent="0.25">
      <c r="A187" s="12" t="s">
        <v>43</v>
      </c>
      <c r="B187" s="29">
        <v>20</v>
      </c>
      <c r="C187" s="29">
        <v>20</v>
      </c>
      <c r="D187" s="29">
        <v>20</v>
      </c>
      <c r="E187" s="29">
        <v>20</v>
      </c>
      <c r="F187" s="29">
        <v>20</v>
      </c>
      <c r="G187" s="29">
        <v>20</v>
      </c>
      <c r="H187" s="29">
        <v>20</v>
      </c>
      <c r="I187" s="29"/>
      <c r="J187" s="30"/>
    </row>
    <row r="188" spans="1:11" x14ac:dyDescent="0.25">
      <c r="A188" s="12" t="s">
        <v>50</v>
      </c>
      <c r="B188" s="31">
        <f t="shared" ref="B188:H188" si="24">+B187*B186^3/12</f>
        <v>457708.33333333331</v>
      </c>
      <c r="C188" s="31">
        <f t="shared" si="24"/>
        <v>457708.33333333331</v>
      </c>
      <c r="D188" s="31">
        <f t="shared" si="24"/>
        <v>457708.33333333331</v>
      </c>
      <c r="E188" s="31">
        <f t="shared" si="24"/>
        <v>457708.33333333331</v>
      </c>
      <c r="F188" s="31">
        <f t="shared" si="24"/>
        <v>457708.33333333331</v>
      </c>
      <c r="G188" s="31">
        <f t="shared" si="24"/>
        <v>457708.33333333331</v>
      </c>
      <c r="H188" s="31">
        <f t="shared" si="24"/>
        <v>457708.33333333331</v>
      </c>
      <c r="I188" s="31"/>
      <c r="J188" s="32"/>
    </row>
    <row r="189" spans="1:11" x14ac:dyDescent="0.25">
      <c r="A189" s="12" t="s">
        <v>51</v>
      </c>
      <c r="B189" s="37">
        <f t="shared" ref="B189:H189" si="25">+B188/B185</f>
        <v>1760.4166666666665</v>
      </c>
      <c r="C189" s="37">
        <f t="shared" si="25"/>
        <v>2952.9569892473119</v>
      </c>
      <c r="D189" s="37">
        <f t="shared" si="25"/>
        <v>1760.4166666666665</v>
      </c>
      <c r="E189" s="37">
        <f t="shared" si="25"/>
        <v>2952.9569892473119</v>
      </c>
      <c r="F189" s="37">
        <f t="shared" si="25"/>
        <v>1760.4166666666665</v>
      </c>
      <c r="G189" s="37">
        <f t="shared" si="25"/>
        <v>2952.9569892473119</v>
      </c>
      <c r="H189" s="37">
        <f t="shared" si="25"/>
        <v>1760.4166666666665</v>
      </c>
      <c r="I189" s="31"/>
      <c r="J189" s="32"/>
    </row>
    <row r="190" spans="1:11" x14ac:dyDescent="0.25">
      <c r="A190" s="41" t="s">
        <v>49</v>
      </c>
      <c r="B190" s="37">
        <f>+B189/C189</f>
        <v>0.59615384615384615</v>
      </c>
      <c r="C190" s="37"/>
      <c r="D190" s="37">
        <f>+D189/(C189+E189)</f>
        <v>0.29807692307692307</v>
      </c>
      <c r="E190" s="37"/>
      <c r="F190" s="37">
        <f>+F189/(E189+G189)</f>
        <v>0.29807692307692307</v>
      </c>
      <c r="G190" s="37"/>
      <c r="H190" s="37">
        <f>+H189/G189</f>
        <v>0.59615384615384615</v>
      </c>
      <c r="I190" s="31"/>
      <c r="J190" s="32"/>
    </row>
    <row r="191" spans="1:11" ht="15.75" thickBot="1" x14ac:dyDescent="0.3">
      <c r="A191" s="52" t="s">
        <v>52</v>
      </c>
      <c r="B191" s="33">
        <f>(0.5*B190+1)/(2*B190+1)</f>
        <v>0.59210526315789469</v>
      </c>
      <c r="C191" s="33"/>
      <c r="D191" s="33">
        <f>(0.5*D190+1)/(2*D190+1)</f>
        <v>0.719879518072289</v>
      </c>
      <c r="E191" s="33"/>
      <c r="F191" s="33">
        <f>(0.5*F190+1)/(2*F190+1)</f>
        <v>0.719879518072289</v>
      </c>
      <c r="G191" s="33"/>
      <c r="H191" s="33">
        <f>(0.5*H190+1)/(2*H190+1)</f>
        <v>0.59210526315789469</v>
      </c>
      <c r="I191" s="53"/>
      <c r="J191" s="54"/>
    </row>
    <row r="192" spans="1:11" ht="15.75" thickBot="1" x14ac:dyDescent="0.3">
      <c r="A192" s="67" t="s">
        <v>0</v>
      </c>
      <c r="B192" s="68">
        <f>+(12*B181/B185^3)*(B191*B188+D191*D188+F191*F188)</f>
        <v>171438.5502536461</v>
      </c>
      <c r="C192" s="69" t="s">
        <v>61</v>
      </c>
      <c r="D192" s="34"/>
      <c r="E192" s="34" t="s">
        <v>64</v>
      </c>
      <c r="H192" s="34">
        <f>3*B181*B188/B185^3</f>
        <v>21093.75</v>
      </c>
      <c r="I192" s="34" t="s">
        <v>63</v>
      </c>
      <c r="J192" s="35"/>
      <c r="K192" s="70">
        <f>+B192/H192</f>
        <v>8.127457197209889</v>
      </c>
    </row>
  </sheetData>
  <mergeCells count="20">
    <mergeCell ref="A170:D170"/>
    <mergeCell ref="A182:D182"/>
    <mergeCell ref="A119:D119"/>
    <mergeCell ref="E119:J119"/>
    <mergeCell ref="A121:D121"/>
    <mergeCell ref="A134:D134"/>
    <mergeCell ref="A146:D146"/>
    <mergeCell ref="A158:D158"/>
    <mergeCell ref="A108:D108"/>
    <mergeCell ref="A1:J1"/>
    <mergeCell ref="A2:D2"/>
    <mergeCell ref="E2:J4"/>
    <mergeCell ref="A4:D4"/>
    <mergeCell ref="A17:D17"/>
    <mergeCell ref="A30:D30"/>
    <mergeCell ref="A43:D43"/>
    <mergeCell ref="A56:D56"/>
    <mergeCell ref="A69:D69"/>
    <mergeCell ref="A82:D82"/>
    <mergeCell ref="A95:D9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60" zoomScaleNormal="160" workbookViewId="0">
      <selection activeCell="L17" sqref="L17"/>
    </sheetView>
  </sheetViews>
  <sheetFormatPr baseColWidth="10" defaultRowHeight="15" x14ac:dyDescent="0.25"/>
  <cols>
    <col min="1" max="1" width="16.85546875" customWidth="1"/>
  </cols>
  <sheetData>
    <row r="1" spans="1:11" x14ac:dyDescent="0.25">
      <c r="A1" t="s">
        <v>71</v>
      </c>
      <c r="B1">
        <v>240000</v>
      </c>
      <c r="C1" t="s">
        <v>72</v>
      </c>
    </row>
    <row r="2" spans="1:11" ht="15.75" thickBot="1" x14ac:dyDescent="0.3"/>
    <row r="3" spans="1:11" x14ac:dyDescent="0.25">
      <c r="A3" s="26"/>
      <c r="B3" s="27" t="s">
        <v>32</v>
      </c>
      <c r="C3" s="27" t="s">
        <v>33</v>
      </c>
      <c r="D3" s="27" t="s">
        <v>34</v>
      </c>
      <c r="E3" s="27" t="s">
        <v>35</v>
      </c>
      <c r="F3" s="27" t="s">
        <v>36</v>
      </c>
      <c r="G3" s="27" t="s">
        <v>37</v>
      </c>
      <c r="H3" s="27" t="s">
        <v>38</v>
      </c>
      <c r="I3" s="27" t="s">
        <v>39</v>
      </c>
      <c r="J3" s="28" t="s">
        <v>40</v>
      </c>
    </row>
    <row r="4" spans="1:11" x14ac:dyDescent="0.25">
      <c r="A4" s="23" t="s">
        <v>48</v>
      </c>
      <c r="B4" s="38">
        <v>2</v>
      </c>
      <c r="C4" s="38"/>
      <c r="D4" s="38"/>
      <c r="E4" s="38"/>
      <c r="F4" s="38"/>
      <c r="G4" s="38"/>
      <c r="H4" s="38"/>
      <c r="I4" s="38"/>
      <c r="J4" s="39"/>
    </row>
    <row r="5" spans="1:11" x14ac:dyDescent="0.25">
      <c r="A5" s="12" t="s">
        <v>41</v>
      </c>
      <c r="B5" s="78">
        <v>350</v>
      </c>
      <c r="C5" s="78">
        <v>300</v>
      </c>
      <c r="D5" s="78">
        <f>+B5</f>
        <v>350</v>
      </c>
      <c r="E5" s="29"/>
      <c r="F5" s="29"/>
      <c r="G5" s="29"/>
      <c r="H5" s="29"/>
      <c r="I5" s="29"/>
      <c r="J5" s="30"/>
    </row>
    <row r="6" spans="1:11" x14ac:dyDescent="0.25">
      <c r="A6" s="12" t="s">
        <v>42</v>
      </c>
      <c r="B6" s="78">
        <v>25</v>
      </c>
      <c r="C6" s="79">
        <v>50</v>
      </c>
      <c r="D6" s="78">
        <f>+B6</f>
        <v>25</v>
      </c>
      <c r="E6" s="29"/>
      <c r="F6" s="29"/>
      <c r="G6" s="29"/>
      <c r="H6" s="29"/>
      <c r="I6" s="29"/>
      <c r="J6" s="30"/>
    </row>
    <row r="7" spans="1:11" x14ac:dyDescent="0.25">
      <c r="A7" s="12" t="s">
        <v>43</v>
      </c>
      <c r="B7" s="78">
        <v>20</v>
      </c>
      <c r="C7" s="78">
        <v>20</v>
      </c>
      <c r="D7" s="78">
        <v>20</v>
      </c>
      <c r="E7" s="29"/>
      <c r="F7" s="29"/>
      <c r="G7" s="29"/>
      <c r="H7" s="29"/>
      <c r="I7" s="29"/>
      <c r="J7" s="30"/>
    </row>
    <row r="8" spans="1:11" x14ac:dyDescent="0.25">
      <c r="A8" s="12" t="s">
        <v>50</v>
      </c>
      <c r="B8" s="31">
        <f>+B7*B6^3/12</f>
        <v>26041.666666666668</v>
      </c>
      <c r="C8" s="31">
        <f>+C7*C6^3/12</f>
        <v>208333.33333333334</v>
      </c>
      <c r="D8" s="31">
        <f t="shared" ref="D8" si="0">+D7*D6^3/12</f>
        <v>26041.666666666668</v>
      </c>
      <c r="E8" s="31"/>
      <c r="F8" s="31"/>
      <c r="G8" s="31"/>
      <c r="H8" s="31"/>
      <c r="I8" s="31"/>
      <c r="J8" s="32"/>
    </row>
    <row r="9" spans="1:11" x14ac:dyDescent="0.25">
      <c r="A9" s="12" t="s">
        <v>51</v>
      </c>
      <c r="B9" s="37">
        <f>+B8/B5</f>
        <v>74.404761904761912</v>
      </c>
      <c r="C9" s="37">
        <f>+C8/C5</f>
        <v>694.44444444444446</v>
      </c>
      <c r="D9" s="37">
        <f>+D8/D5</f>
        <v>74.404761904761912</v>
      </c>
      <c r="E9" s="31"/>
      <c r="F9" s="31"/>
      <c r="G9" s="31"/>
      <c r="H9" s="31"/>
      <c r="I9" s="31"/>
      <c r="J9" s="32"/>
    </row>
    <row r="10" spans="1:11" ht="15.75" thickBot="1" x14ac:dyDescent="0.3">
      <c r="A10" s="41" t="s">
        <v>49</v>
      </c>
      <c r="B10" s="37">
        <f>+B9/C9</f>
        <v>0.10714285714285715</v>
      </c>
      <c r="C10" s="42"/>
      <c r="D10" s="37">
        <f>+D9/C9</f>
        <v>0.10714285714285715</v>
      </c>
      <c r="E10" s="31"/>
      <c r="F10" s="31"/>
      <c r="G10" s="31"/>
      <c r="H10" s="31"/>
      <c r="I10" s="31"/>
      <c r="J10" s="32"/>
    </row>
    <row r="11" spans="1:11" ht="15.75" thickBot="1" x14ac:dyDescent="0.3">
      <c r="A11" s="23" t="s">
        <v>60</v>
      </c>
      <c r="B11" s="40">
        <f>+(0.5*B10+1)/(2*B10+1)</f>
        <v>0.86764705882352933</v>
      </c>
      <c r="C11" s="40"/>
      <c r="D11" s="40">
        <f>+(0.5*D10+1)/(2*D10+1)</f>
        <v>0.86764705882352933</v>
      </c>
      <c r="E11" s="34"/>
      <c r="F11" s="34"/>
      <c r="G11" s="34"/>
      <c r="H11" s="34"/>
      <c r="I11" s="34"/>
      <c r="J11" s="35"/>
    </row>
    <row r="12" spans="1:11" ht="15.75" thickBot="1" x14ac:dyDescent="0.3">
      <c r="A12" s="67" t="s">
        <v>69</v>
      </c>
      <c r="B12" s="68">
        <f>+(12*B1/B5^3)*(B11*B8+D11*D8)</f>
        <v>3035.4999142514148</v>
      </c>
      <c r="C12" s="69" t="s">
        <v>61</v>
      </c>
      <c r="D12" s="34"/>
    </row>
    <row r="13" spans="1:11" ht="15.75" thickBot="1" x14ac:dyDescent="0.3">
      <c r="A13" s="92" t="s">
        <v>81</v>
      </c>
      <c r="B13" s="92"/>
      <c r="C13" s="92"/>
      <c r="D13" s="34">
        <f>2*B1*B8/B5^3</f>
        <v>291.54518950437318</v>
      </c>
      <c r="E13" s="34"/>
      <c r="H13" s="34" t="s">
        <v>82</v>
      </c>
      <c r="I13" s="34" t="s">
        <v>60</v>
      </c>
      <c r="J13" s="34" t="s">
        <v>83</v>
      </c>
      <c r="K13" s="34"/>
    </row>
    <row r="14" spans="1:11" ht="15.75" thickBot="1" x14ac:dyDescent="0.3">
      <c r="A14" s="92" t="s">
        <v>63</v>
      </c>
      <c r="B14" s="93"/>
      <c r="C14" s="80">
        <f>+B12/D13</f>
        <v>10.411764705882353</v>
      </c>
      <c r="H14">
        <v>1</v>
      </c>
      <c r="I14">
        <v>0.5</v>
      </c>
      <c r="J14">
        <v>6</v>
      </c>
    </row>
    <row r="15" spans="1:11" x14ac:dyDescent="0.25">
      <c r="H15">
        <v>0.2</v>
      </c>
      <c r="I15">
        <v>0.79</v>
      </c>
      <c r="J15">
        <v>9.4</v>
      </c>
    </row>
    <row r="16" spans="1:11" x14ac:dyDescent="0.25">
      <c r="A16" s="77" t="s">
        <v>74</v>
      </c>
      <c r="B16" t="s">
        <v>78</v>
      </c>
      <c r="C16" t="s">
        <v>73</v>
      </c>
      <c r="D16" t="s">
        <v>79</v>
      </c>
      <c r="H16">
        <v>8</v>
      </c>
      <c r="I16">
        <v>0.28999999999999998</v>
      </c>
      <c r="J16">
        <v>3.5</v>
      </c>
    </row>
    <row r="17" spans="1:10" x14ac:dyDescent="0.25">
      <c r="A17" s="77" t="s">
        <v>76</v>
      </c>
      <c r="B17" t="s">
        <v>77</v>
      </c>
      <c r="C17" t="s">
        <v>75</v>
      </c>
      <c r="D17" t="s">
        <v>80</v>
      </c>
      <c r="H17">
        <v>14.81</v>
      </c>
      <c r="I17">
        <v>0.27</v>
      </c>
      <c r="J17">
        <v>3.3</v>
      </c>
    </row>
    <row r="18" spans="1:10" x14ac:dyDescent="0.25">
      <c r="H18">
        <v>0.11</v>
      </c>
      <c r="I18">
        <v>0.87</v>
      </c>
      <c r="J18">
        <v>10.4</v>
      </c>
    </row>
  </sheetData>
  <mergeCells count="2">
    <mergeCell ref="A13:C13"/>
    <mergeCell ref="A14:B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Ejercicio 1</vt:lpstr>
      <vt:lpstr>Ejercicio 2</vt:lpstr>
      <vt:lpstr>Ejercio 3</vt:lpstr>
      <vt:lpstr>Hoja1</vt:lpstr>
      <vt:lpstr>PLANILLA PORTICO RIGIDEZ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PC</cp:lastModifiedBy>
  <dcterms:created xsi:type="dcterms:W3CDTF">2016-04-24T14:10:03Z</dcterms:created>
  <dcterms:modified xsi:type="dcterms:W3CDTF">2021-05-21T14:31:19Z</dcterms:modified>
</cp:coreProperties>
</file>