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3075" activeTab="1"/>
  </bookViews>
  <sheets>
    <sheet name="IPR" sheetId="1" r:id="rId1"/>
    <sheet name="Standing" sheetId="2" r:id="rId2"/>
    <sheet name="Seleccion" sheetId="3" r:id="rId3"/>
    <sheet name="Goodman" sheetId="4" r:id="rId4"/>
    <sheet name="tubing" sheetId="5" r:id="rId5"/>
    <sheet name="varillas" sheetId="6" r:id="rId6"/>
    <sheet name="ancla" sheetId="7" r:id="rId7"/>
    <sheet name="formulas" sheetId="8" r:id="rId8"/>
  </sheets>
  <externalReferences>
    <externalReference r:id="rId11"/>
  </externalReferences>
  <definedNames>
    <definedName name="_xlnm.Print_Area" localSheetId="7">'formulas'!$A$1:$B$52</definedName>
    <definedName name="_xlnm.Print_Area" localSheetId="0">'IPR'!$A$1:$G$34</definedName>
    <definedName name="_xlnm.Print_Area" localSheetId="2">'Seleccion'!$G$2:$L$53</definedName>
    <definedName name="_xlnm.Print_Area" localSheetId="1">'Standing'!$A$1:$E$39</definedName>
  </definedNames>
  <calcPr fullCalcOnLoad="1"/>
</workbook>
</file>

<file path=xl/sharedStrings.xml><?xml version="1.0" encoding="utf-8"?>
<sst xmlns="http://schemas.openxmlformats.org/spreadsheetml/2006/main" count="4268" uniqueCount="466">
  <si>
    <t>Profundidad de punzados</t>
  </si>
  <si>
    <t>m</t>
  </si>
  <si>
    <t>Datos de ensayo</t>
  </si>
  <si>
    <t>Porcentaje de agua</t>
  </si>
  <si>
    <t>%</t>
  </si>
  <si>
    <t>Presion de burbuja</t>
  </si>
  <si>
    <t>kg/cm2</t>
  </si>
  <si>
    <t>Caudal</t>
  </si>
  <si>
    <t>Nivel Dinam.</t>
  </si>
  <si>
    <t>Pwf</t>
  </si>
  <si>
    <t>mcd</t>
  </si>
  <si>
    <t>Indice de productividad</t>
  </si>
  <si>
    <t>mcd/kg/cm2</t>
  </si>
  <si>
    <t xml:space="preserve"> </t>
  </si>
  <si>
    <t>Presion estática</t>
  </si>
  <si>
    <t>Caudal a presion de saturacion</t>
  </si>
  <si>
    <t>m3/d</t>
  </si>
  <si>
    <t>Caudal maximo</t>
  </si>
  <si>
    <t>Intervalo</t>
  </si>
  <si>
    <t>Q</t>
  </si>
  <si>
    <t>pwf</t>
  </si>
  <si>
    <t>pb</t>
  </si>
  <si>
    <t>Correlacion de Standing</t>
  </si>
  <si>
    <t>Produccion bruta</t>
  </si>
  <si>
    <t>bbld</t>
  </si>
  <si>
    <t>Densidad relativa del gas</t>
  </si>
  <si>
    <t>adim</t>
  </si>
  <si>
    <t>Factor de compresibilidad del gas</t>
  </si>
  <si>
    <t>Densidad relativa del petroleo</t>
  </si>
  <si>
    <t>Presion de saturacion</t>
  </si>
  <si>
    <t>psi</t>
  </si>
  <si>
    <t>Temperatura de fondo</t>
  </si>
  <si>
    <t>ºC</t>
  </si>
  <si>
    <t>ºF</t>
  </si>
  <si>
    <t>Temperatura de boca</t>
  </si>
  <si>
    <t>Nivel dinámico</t>
  </si>
  <si>
    <t>ft</t>
  </si>
  <si>
    <t>Profundidad de instalacion de la bomba</t>
  </si>
  <si>
    <t>Profundidad media de punzados</t>
  </si>
  <si>
    <t>Presion dinamica s/punzados</t>
  </si>
  <si>
    <t>Presion dinámica a prof  bba.</t>
  </si>
  <si>
    <t>Produccion de petroleo (tk)</t>
  </si>
  <si>
    <t>Produccion deagua</t>
  </si>
  <si>
    <t>Produccion de petroleo (bba)</t>
  </si>
  <si>
    <t>Eficiencia volumetrica p/calculo</t>
  </si>
  <si>
    <t>º API</t>
  </si>
  <si>
    <t>Temperatura  a  prof. de bba.</t>
  </si>
  <si>
    <t>Relacion gas/petroleo (G.O.R.)</t>
  </si>
  <si>
    <t>m3/m3</t>
  </si>
  <si>
    <t>cf/bbl</t>
  </si>
  <si>
    <t>Relacion gas en solucion/petroleo</t>
  </si>
  <si>
    <t>Factor volumetrico del gas</t>
  </si>
  <si>
    <t>cfR/cfT</t>
  </si>
  <si>
    <t>Factor volumetrico del petroleo</t>
  </si>
  <si>
    <t>Gas total (tk)</t>
  </si>
  <si>
    <t>cfd</t>
  </si>
  <si>
    <t>Gas en solucion (tk)</t>
  </si>
  <si>
    <t>Gas libre (tk)</t>
  </si>
  <si>
    <t>Produccion esperada</t>
  </si>
  <si>
    <t xml:space="preserve">Varillas de bombeo </t>
  </si>
  <si>
    <t>Diametro</t>
  </si>
  <si>
    <t>1 1/8"</t>
  </si>
  <si>
    <t>1"</t>
  </si>
  <si>
    <t>7/8"</t>
  </si>
  <si>
    <t>3/4"</t>
  </si>
  <si>
    <t>5/8"</t>
  </si>
  <si>
    <t>Presión de saturacion</t>
  </si>
  <si>
    <t>Seccion en plg2</t>
  </si>
  <si>
    <t>Peso unitario en lbs</t>
  </si>
  <si>
    <t>Porcentaje</t>
  </si>
  <si>
    <t>Numero de varillas</t>
  </si>
  <si>
    <t>Fondo de pozo</t>
  </si>
  <si>
    <t>Peso total en lbs</t>
  </si>
  <si>
    <t>plg.</t>
  </si>
  <si>
    <t>Estiramiento en plg</t>
  </si>
  <si>
    <t>lb/ft</t>
  </si>
  <si>
    <t>Seccion tranversal  tubing</t>
  </si>
  <si>
    <t>mm2</t>
  </si>
  <si>
    <t>Factor anclaje (anclado=0)</t>
  </si>
  <si>
    <t>Eficiencia volumetrica</t>
  </si>
  <si>
    <t>Caudal a desplazar</t>
  </si>
  <si>
    <t>Diametro del piston de la bomba</t>
  </si>
  <si>
    <t>Peso de fluido</t>
  </si>
  <si>
    <t>kg</t>
  </si>
  <si>
    <t>lbs</t>
  </si>
  <si>
    <t>Carrera del vastago pulido</t>
  </si>
  <si>
    <t>gpm</t>
  </si>
  <si>
    <t>Factor de aceleracion</t>
  </si>
  <si>
    <t>Sobrerrecorrido del piston</t>
  </si>
  <si>
    <t>Estiramiento de  la sarta</t>
  </si>
  <si>
    <t>Estiramiento de  Tubing</t>
  </si>
  <si>
    <t>Carrera neta del piston</t>
  </si>
  <si>
    <t>Calculo de cargas</t>
  </si>
  <si>
    <t>Efecto de flotacion</t>
  </si>
  <si>
    <t>Carga maxima</t>
  </si>
  <si>
    <t>Carga minima</t>
  </si>
  <si>
    <t>kg*m</t>
  </si>
  <si>
    <t>lbs*plg</t>
  </si>
  <si>
    <t>Potencia hidráulica</t>
  </si>
  <si>
    <t>Hp</t>
  </si>
  <si>
    <t>Potencia del motor (lento-alto desliz.)</t>
  </si>
  <si>
    <t>Potencia del motor (multicil.-normal)</t>
  </si>
  <si>
    <t>Potencia s/torque</t>
  </si>
  <si>
    <t>Velocidad maxima de bombeo</t>
  </si>
  <si>
    <t>AIB  convencional</t>
  </si>
  <si>
    <t>GPM</t>
  </si>
  <si>
    <t>AIB neumatico</t>
  </si>
  <si>
    <t>AIB Mark II</t>
  </si>
  <si>
    <t>1 1/2"</t>
  </si>
  <si>
    <t>1 3/4"</t>
  </si>
  <si>
    <t>2 "</t>
  </si>
  <si>
    <t>2 1/4"</t>
  </si>
  <si>
    <t>2 1/2"</t>
  </si>
  <si>
    <t>2 3/4"</t>
  </si>
  <si>
    <t>Dimensional Data and Minimun Performance of Tubing Properties Made To  API</t>
  </si>
  <si>
    <t>Peso Nominal</t>
  </si>
  <si>
    <t>Wall</t>
  </si>
  <si>
    <t>Threaded and Coupled</t>
  </si>
  <si>
    <t>Col-</t>
  </si>
  <si>
    <t>Internal</t>
  </si>
  <si>
    <t>Joint Yield Strenght</t>
  </si>
  <si>
    <t>T &amp; C</t>
  </si>
  <si>
    <t>Thik-</t>
  </si>
  <si>
    <t>Cross</t>
  </si>
  <si>
    <t>Ca</t>
  </si>
  <si>
    <t>Drift</t>
  </si>
  <si>
    <t>Coupling OD</t>
  </si>
  <si>
    <t>lapse</t>
  </si>
  <si>
    <t>Yield</t>
  </si>
  <si>
    <t>In-</t>
  </si>
  <si>
    <t>Make-</t>
  </si>
  <si>
    <t>OD</t>
  </si>
  <si>
    <t>Non-</t>
  </si>
  <si>
    <t>ness</t>
  </si>
  <si>
    <t>ID</t>
  </si>
  <si>
    <t>section</t>
  </si>
  <si>
    <t>pa</t>
  </si>
  <si>
    <t>Dia.</t>
  </si>
  <si>
    <t>Upset</t>
  </si>
  <si>
    <t>Resis-</t>
  </si>
  <si>
    <t>Pres-</t>
  </si>
  <si>
    <t>tegral</t>
  </si>
  <si>
    <t>up</t>
  </si>
  <si>
    <t>(in.)</t>
  </si>
  <si>
    <t>Up</t>
  </si>
  <si>
    <t>area</t>
  </si>
  <si>
    <t>city</t>
  </si>
  <si>
    <t>Reg.</t>
  </si>
  <si>
    <t>Spec.</t>
  </si>
  <si>
    <t>tance</t>
  </si>
  <si>
    <t>sure</t>
  </si>
  <si>
    <t>Non-Up</t>
  </si>
  <si>
    <t>Joint</t>
  </si>
  <si>
    <t>torque</t>
  </si>
  <si>
    <t>(mm)</t>
  </si>
  <si>
    <t>(lb/ft)</t>
  </si>
  <si>
    <t>(lb/pie)</t>
  </si>
  <si>
    <t>(mm²)</t>
  </si>
  <si>
    <t>(gal/pie)</t>
  </si>
  <si>
    <t>Grade</t>
  </si>
  <si>
    <t>(psi)</t>
  </si>
  <si>
    <t>(lb)</t>
  </si>
  <si>
    <t>(lb x pie)</t>
  </si>
  <si>
    <t>(lt/m)</t>
  </si>
  <si>
    <t>OPTIMO</t>
  </si>
  <si>
    <t>H-40</t>
  </si>
  <si>
    <t>0,170</t>
  </si>
  <si>
    <t>J-55</t>
  </si>
  <si>
    <t>2,111</t>
  </si>
  <si>
    <t>C-75</t>
  </si>
  <si>
    <t>2.3/8"</t>
  </si>
  <si>
    <t>N-80</t>
  </si>
  <si>
    <t>(2,375")</t>
  </si>
  <si>
    <t>60.3</t>
  </si>
  <si>
    <t>0,162</t>
  </si>
  <si>
    <t>2,012</t>
  </si>
  <si>
    <t>P-105</t>
  </si>
  <si>
    <t>0,142</t>
  </si>
  <si>
    <t>1,763</t>
  </si>
  <si>
    <t>0,243</t>
  </si>
  <si>
    <t>2.7/8"</t>
  </si>
  <si>
    <t>3,018</t>
  </si>
  <si>
    <t>(2,875")</t>
  </si>
  <si>
    <t>0,384</t>
  </si>
  <si>
    <t>4,769</t>
  </si>
  <si>
    <t>3.1/2"</t>
  </si>
  <si>
    <t>(3.50")</t>
  </si>
  <si>
    <t>0,365</t>
  </si>
  <si>
    <t>4,533</t>
  </si>
  <si>
    <t>0,348</t>
  </si>
  <si>
    <t>4,322</t>
  </si>
  <si>
    <t xml:space="preserve">Profundidad de punzados </t>
  </si>
  <si>
    <t>Peso unitario del casing</t>
  </si>
  <si>
    <t>Diametro  nominal del casing</t>
  </si>
  <si>
    <t>Presion de linea en boca de pozo</t>
  </si>
  <si>
    <t>Profundidad de colocacion de la bomba</t>
  </si>
  <si>
    <t>Densidad de fluido en tbg</t>
  </si>
  <si>
    <t>Peso de la sarta en el aire</t>
  </si>
  <si>
    <t>Grado API</t>
  </si>
  <si>
    <t>D</t>
  </si>
  <si>
    <t>Tension de fluencia(psi)</t>
  </si>
  <si>
    <t>Tension maxima</t>
  </si>
  <si>
    <t>Tension minima</t>
  </si>
  <si>
    <t>Area de la primera varilla</t>
  </si>
  <si>
    <t>DATOS DE ENTRADA</t>
  </si>
  <si>
    <t>TENSION MAXIMA</t>
  </si>
  <si>
    <t>TENSION DE FLUENCIA</t>
  </si>
  <si>
    <t>MAX. TENSION DE SERVICIO</t>
  </si>
  <si>
    <t>ALARGAMIENTO</t>
  </si>
  <si>
    <t>ESTRICCION</t>
  </si>
  <si>
    <t>DUREZA CUERPO</t>
  </si>
  <si>
    <t>DUREZA CAPA</t>
  </si>
  <si>
    <t>PESO UNITARIO</t>
  </si>
  <si>
    <t>DESPLAZ. CIRCUNF. VARILLAS NUEVAS</t>
  </si>
  <si>
    <t>DIAMETRO</t>
  </si>
  <si>
    <t>GRADO</t>
  </si>
  <si>
    <t>LARGO</t>
  </si>
  <si>
    <t>Kg/mm2</t>
  </si>
  <si>
    <t>KSI</t>
  </si>
  <si>
    <t>MIN</t>
  </si>
  <si>
    <t>MAX</t>
  </si>
  <si>
    <t>APLICACION</t>
  </si>
  <si>
    <t>MMD</t>
  </si>
  <si>
    <t>Barra de Peso 25</t>
  </si>
  <si>
    <t>80.5 / 98.4</t>
  </si>
  <si>
    <t>115 / 140.5</t>
  </si>
  <si>
    <t>66.5 / 80.5</t>
  </si>
  <si>
    <t>95 / 115</t>
  </si>
  <si>
    <t>56.5</t>
  </si>
  <si>
    <t>80.7</t>
  </si>
  <si>
    <t>240 BHN</t>
  </si>
  <si>
    <t>N/A</t>
  </si>
  <si>
    <t>Barra de peso para altas cargas en pozos no corrosivos o efectivamente inhibidos, fabricados a partir de acero aleado Cr-Mo, AISI 4142.</t>
  </si>
  <si>
    <t>PLUS</t>
  </si>
  <si>
    <t>Varilla 30</t>
  </si>
  <si>
    <t>80.5</t>
  </si>
  <si>
    <t>71.5</t>
  </si>
  <si>
    <t>54 HRC</t>
  </si>
  <si>
    <t>17.9</t>
  </si>
  <si>
    <t>20.7</t>
  </si>
  <si>
    <t>17.0</t>
  </si>
  <si>
    <t>19.9</t>
  </si>
  <si>
    <t>Varillas de bombeo de gran dureza superficial que mejora la resistencia a la fatiga en pozos no corrosivos.</t>
  </si>
  <si>
    <t>Varilla 25</t>
  </si>
  <si>
    <t>Trozo 8</t>
  </si>
  <si>
    <t>14.84</t>
  </si>
  <si>
    <t>Trozo 6</t>
  </si>
  <si>
    <t>11.77</t>
  </si>
  <si>
    <t>Trozo 4</t>
  </si>
  <si>
    <t>8.70</t>
  </si>
  <si>
    <t>Trozo 3</t>
  </si>
  <si>
    <t>7.17</t>
  </si>
  <si>
    <t>Trozo 2</t>
  </si>
  <si>
    <t>Trozo 12</t>
  </si>
  <si>
    <t>20.97</t>
  </si>
  <si>
    <t>Trozo 10</t>
  </si>
  <si>
    <t>17.90</t>
  </si>
  <si>
    <t>K</t>
  </si>
  <si>
    <t>63 / 81</t>
  </si>
  <si>
    <t>90 / 1115</t>
  </si>
  <si>
    <t>46 / 63</t>
  </si>
  <si>
    <t>65 / 90</t>
  </si>
  <si>
    <t>40.6</t>
  </si>
  <si>
    <t>57.9</t>
  </si>
  <si>
    <t>180 BHN</t>
  </si>
  <si>
    <t>12.7</t>
  </si>
  <si>
    <t>15.1</t>
  </si>
  <si>
    <t>Varillas de bombeo para cargas medias en pozos corrosivos, fabricadas  a partir de acero API 4261 modificado.</t>
  </si>
  <si>
    <t>47 / 63</t>
  </si>
  <si>
    <t>48 / 63</t>
  </si>
  <si>
    <t>49 / 63</t>
  </si>
  <si>
    <t>50 / 63</t>
  </si>
  <si>
    <t>51 / 63</t>
  </si>
  <si>
    <t>52 / 63</t>
  </si>
  <si>
    <t>53 / 63</t>
  </si>
  <si>
    <t>54 / 63</t>
  </si>
  <si>
    <t>D2</t>
  </si>
  <si>
    <t>81 / 98</t>
  </si>
  <si>
    <t>115 / 140</t>
  </si>
  <si>
    <t>90 / 115</t>
  </si>
  <si>
    <t>10</t>
  </si>
  <si>
    <t>14.3</t>
  </si>
  <si>
    <t>16.7</t>
  </si>
  <si>
    <t>Varillas de bombeo para altas cargas en pozos no corrosivos o efectivamente inhibidos, fabricadas a partir de acero AISI 4142 con posterior norm.y rev..</t>
  </si>
  <si>
    <t>67 / 81</t>
  </si>
  <si>
    <t>Varillas de bombeo para altas cargas en pozos no corrosivos o efectivamente inhibidos, fabricadas a partir de acero aleado al vanadio y posterior norm..</t>
  </si>
  <si>
    <t>C</t>
  </si>
  <si>
    <t>42 / 63</t>
  </si>
  <si>
    <t>60 / 90</t>
  </si>
  <si>
    <t>41.4</t>
  </si>
  <si>
    <t>59.1</t>
  </si>
  <si>
    <t>190 BHN</t>
  </si>
  <si>
    <t>Varillas de bombeo para cargas medias en pozos no corrosivos, fabricadas a partir de acero  AISI 1535.</t>
  </si>
  <si>
    <t>14.7</t>
  </si>
  <si>
    <t>15.9</t>
  </si>
  <si>
    <t>11.45</t>
  </si>
  <si>
    <t>9.02</t>
  </si>
  <si>
    <t>6.60</t>
  </si>
  <si>
    <t>5.37</t>
  </si>
  <si>
    <t>4.16</t>
  </si>
  <si>
    <t>16.30</t>
  </si>
  <si>
    <t>13.87</t>
  </si>
  <si>
    <t>9.5</t>
  </si>
  <si>
    <t>11.1</t>
  </si>
  <si>
    <t>11.5</t>
  </si>
  <si>
    <t>13.0</t>
  </si>
  <si>
    <t>11.2</t>
  </si>
  <si>
    <t>12.3</t>
  </si>
  <si>
    <t>8.33</t>
  </si>
  <si>
    <t>6.48</t>
  </si>
  <si>
    <t>4.62</t>
  </si>
  <si>
    <t>3.70</t>
  </si>
  <si>
    <t>2.77</t>
  </si>
  <si>
    <t>12.05</t>
  </si>
  <si>
    <t>10.19</t>
  </si>
  <si>
    <t>7.1</t>
  </si>
  <si>
    <t>9.1</t>
  </si>
  <si>
    <t>8.7</t>
  </si>
  <si>
    <t>10.4</t>
  </si>
  <si>
    <t>11.9</t>
  </si>
  <si>
    <t>9.2</t>
  </si>
  <si>
    <t>9.9</t>
  </si>
  <si>
    <t>6.26</t>
  </si>
  <si>
    <t>4.90</t>
  </si>
  <si>
    <t>3.53</t>
  </si>
  <si>
    <t>2.85</t>
  </si>
  <si>
    <t>2.17</t>
  </si>
  <si>
    <t>8.99</t>
  </si>
  <si>
    <t>7.62</t>
  </si>
  <si>
    <t>5.6</t>
  </si>
  <si>
    <t>6.7</t>
  </si>
  <si>
    <t>8.4</t>
  </si>
  <si>
    <t>8.0</t>
  </si>
  <si>
    <t>8.8</t>
  </si>
  <si>
    <t>4.25</t>
  </si>
  <si>
    <t>3.31</t>
  </si>
  <si>
    <t>2.36</t>
  </si>
  <si>
    <t>1.89</t>
  </si>
  <si>
    <t>1.41</t>
  </si>
  <si>
    <t>6.15</t>
  </si>
  <si>
    <t>5.20</t>
  </si>
  <si>
    <t>4.8</t>
  </si>
  <si>
    <t>6.3</t>
  </si>
  <si>
    <t>IP= Q / (Pws-Pwf)</t>
  </si>
  <si>
    <t>Inflow Perfomance Relationship    IPR</t>
  </si>
  <si>
    <t>Q/Qmax = 1- 0.2(Pwf/Pws) - 0.8(Pwf/Pws)^2</t>
  </si>
  <si>
    <t>Relacion gas en solucion/petroleo (Standing)</t>
  </si>
  <si>
    <t>Rs =0.1342 Dg (Pwf *10^.0125 °API / 10^.0091 T°F)^(1/.83)</t>
  </si>
  <si>
    <t>Bg = 0,00378 Z T/P</t>
  </si>
  <si>
    <t>Bo = 0.972 + 0,000147 (5.61 Rs (Dg/Do)^.5 + 1.25 T°F)^1.175</t>
  </si>
  <si>
    <t>TENSION SOLICITADA PARA ANCLAR TUBING</t>
  </si>
  <si>
    <t xml:space="preserve">ANCLA </t>
  </si>
  <si>
    <t>1).- DÍAMETRO DEL TUBING (PULG), ELEGIR COLUMNA</t>
  </si>
  <si>
    <t>3.5"</t>
  </si>
  <si>
    <t>CALCULO DE FUERZAS</t>
  </si>
  <si>
    <t>2).- PROFUNDIDAD DEL ANCLA (METROS)</t>
  </si>
  <si>
    <t>3).- NIVEL DINÁMICO DEL POZO (METROS)</t>
  </si>
  <si>
    <t>F1 = aO * b * x2 * [v * x2/L + (1 - 2v)]</t>
  </si>
  <si>
    <t>4).- NIVEL DEL POZO AL MOMENTO DE FIJAR EL ANCLA (METROS)</t>
  </si>
  <si>
    <t>5).- TEMPERATURA DEL FLUÍDO EN BOCA DE POZO (°C)</t>
  </si>
  <si>
    <t>a0 : Area de tubing = 2 7/8" , (6.49), 3.5" (9.62)</t>
  </si>
  <si>
    <t>pulg2</t>
  </si>
  <si>
    <t xml:space="preserve">6).- GRADIENTE DEL FLUÍDO ( PSI/PIE) </t>
  </si>
  <si>
    <t>b: Gradiente del fluido. Real 0,35 psi/pie</t>
  </si>
  <si>
    <t>Asumido</t>
  </si>
  <si>
    <t>psi/pie</t>
  </si>
  <si>
    <t>---OIL 30°API..........0.379</t>
  </si>
  <si>
    <t>x2: Nivel Dinámico</t>
  </si>
  <si>
    <t>pies</t>
  </si>
  <si>
    <t>---AGUA.................0.433</t>
  </si>
  <si>
    <t>v : Coeficiente de Poisson</t>
  </si>
  <si>
    <t>---AGUA (1.03)........0.447</t>
  </si>
  <si>
    <t>L : Profundidad de bomba</t>
  </si>
  <si>
    <t>RESULTADOS</t>
  </si>
  <si>
    <t>F1 =</t>
  </si>
  <si>
    <t>libras</t>
  </si>
  <si>
    <t>1).- TENSIÓN DE FIJACIÓN (LIBRAS)</t>
  </si>
  <si>
    <t>2).- LONGITUD DE ESTIRAMIENTO (PULG)</t>
  </si>
  <si>
    <t>F2= E * x * L/2 * as</t>
  </si>
  <si>
    <t>E : Modulo de Young</t>
  </si>
  <si>
    <t>x : Módulo de expansión térmica</t>
  </si>
  <si>
    <t>pulg/pulg*°F</t>
  </si>
  <si>
    <t xml:space="preserve">At : variación de temperatura (T2=139°F T1=90°F)=49°F </t>
  </si>
  <si>
    <t>At = Temperatura de fluido en superficie - Temperatura media anual</t>
  </si>
  <si>
    <t>°F</t>
  </si>
  <si>
    <t>as : Sección de las paredes del tubing</t>
  </si>
  <si>
    <t xml:space="preserve">      (2.7/8"=1.812pulg2, 3.5"=2.590pulg2)</t>
  </si>
  <si>
    <t>F2=</t>
  </si>
  <si>
    <t>F3 = a0 * b * (D2-d2)/D2 * x1 * [v * x1/L + (1- 2v)]</t>
  </si>
  <si>
    <t>a0 : Sección del tubing</t>
  </si>
  <si>
    <t>b : Gradiente del fluido (Agua salada)</t>
  </si>
  <si>
    <t>D : Diámetro exterior del tubing</t>
  </si>
  <si>
    <t>pulg</t>
  </si>
  <si>
    <t>d : Diámetro interior del tubing</t>
  </si>
  <si>
    <t>x1 : Nivel estático</t>
  </si>
  <si>
    <t>L : Profundidad de la bomba</t>
  </si>
  <si>
    <t>v : Módulo de Poisson</t>
  </si>
  <si>
    <t>F3=</t>
  </si>
  <si>
    <t>Ft = F1 + F2 - F3</t>
  </si>
  <si>
    <t>Ft : Fuerza total sobre el ancla</t>
  </si>
  <si>
    <t>Ft =</t>
  </si>
  <si>
    <t>ESTIRAMIENTO DEL TUBING</t>
  </si>
  <si>
    <t>e=</t>
  </si>
  <si>
    <t>Ft*L/E*A</t>
  </si>
  <si>
    <t>Selección de diámetro,carrera y regimen de bombeo</t>
  </si>
  <si>
    <t>GPM(aprox) = Qnec / ( Area Piston . Carrera)</t>
  </si>
  <si>
    <t>Regimen de bombeo aproximado</t>
  </si>
  <si>
    <t>Factor de aceleración (Mills)</t>
  </si>
  <si>
    <t>Sp = 1,55 . FA .( L /1000 )^2</t>
  </si>
  <si>
    <t>Et = Pf . Ltbg / (  E . Atbg )</t>
  </si>
  <si>
    <t>Sn = S + Sp - Ev - Et</t>
  </si>
  <si>
    <t>Ev = Pf . Lt1 / ( E.A1 ) + Pf . Lt2 / ( E.A2 ) + ...</t>
  </si>
  <si>
    <t>Desplazamiento real del piston</t>
  </si>
  <si>
    <t>Qreal = Ap . Sn . GPM</t>
  </si>
  <si>
    <t>Wr  = Nv1 . w1 + Nv2 .w2 + ...</t>
  </si>
  <si>
    <t>Efecto de Flotación</t>
  </si>
  <si>
    <t>Ef = Wr . (Ds/Df)</t>
  </si>
  <si>
    <t>Fuerzas dinámicas</t>
  </si>
  <si>
    <t>Fd = Wr . FA</t>
  </si>
  <si>
    <t>Tension maxima de fatiga (Goodman)</t>
  </si>
  <si>
    <t>Momento maximo del contrapeso</t>
  </si>
  <si>
    <t>Torque debido a la carga máxima</t>
  </si>
  <si>
    <t>Torque neto sobre el reductor</t>
  </si>
  <si>
    <t>Efecto de contrapeso teórico</t>
  </si>
  <si>
    <t>ECP = ( Fvmax + Fvmin ) / 2</t>
  </si>
  <si>
    <t>MCP = ECP . S / 2</t>
  </si>
  <si>
    <t>Torque producido por la carga maxima</t>
  </si>
  <si>
    <t>Tpmax =Fvmax . S / 2</t>
  </si>
  <si>
    <t>Tn = Tpmax - MCP</t>
  </si>
  <si>
    <t>Tension Min.</t>
  </si>
  <si>
    <t>Tension Max</t>
  </si>
  <si>
    <t>Tmax = (Tfl / 4 + .5625 Tmin) . FS</t>
  </si>
  <si>
    <t>FS</t>
  </si>
  <si>
    <t>Potencia necesaria (hidráulica)</t>
  </si>
  <si>
    <t>Potencia necesaria (mecánica)</t>
  </si>
  <si>
    <t>HP = Tn  . GPM / 716</t>
  </si>
  <si>
    <t>Por peso de fluido</t>
  </si>
  <si>
    <t>Por sobrerrecorrido</t>
  </si>
  <si>
    <t>Por dilatacion termica</t>
  </si>
  <si>
    <t>Temperatura inicial prom</t>
  </si>
  <si>
    <t>Temperatura final prom</t>
  </si>
  <si>
    <t>total</t>
  </si>
  <si>
    <t>Gas libre a profundidad de bomba</t>
  </si>
  <si>
    <t>Volumen total sin separador</t>
  </si>
  <si>
    <t>Eficiencia del separador  (%)</t>
  </si>
  <si>
    <t>Volumen total con separador</t>
  </si>
  <si>
    <t>Diametro bba</t>
  </si>
  <si>
    <t>Pozo xx</t>
  </si>
  <si>
    <t>Peso de la sarta sumergida</t>
  </si>
  <si>
    <t>Calculo del contrapeso</t>
  </si>
  <si>
    <t xml:space="preserve">Regimen  de bombeo </t>
  </si>
  <si>
    <t>Calculo de la potencia necesaria</t>
  </si>
  <si>
    <t xml:space="preserve">Datos de producción </t>
  </si>
  <si>
    <t>Caudal desplazado</t>
  </si>
  <si>
    <t>Porcentajes</t>
  </si>
  <si>
    <t>°C</t>
  </si>
  <si>
    <t>VERIFICACION DE LAS VARILLAS POR FATIGA (GOODMAN)</t>
  </si>
  <si>
    <t>Estiramiento total de las varillas (instalacion inicial)</t>
  </si>
  <si>
    <t>Combinaciones de varillas de bombeo para distintos diametros de bomba</t>
  </si>
  <si>
    <t>Wrf =Wr - Ef</t>
  </si>
  <si>
    <t>Pf =( ND .DF + THP*10).( Pi . DPB^2 / 4) - Ef</t>
  </si>
  <si>
    <t>FA = Acel. Sarta /  Acel. Grav. = S. GPM^2 / 70500</t>
  </si>
  <si>
    <t>Fvmax = Wr + Fd + Pf  = Wr.(1+FA) + Pf</t>
  </si>
  <si>
    <t>Fvmin = Wr - Ef - Fd = Wr . (1 -FA) - Ef</t>
  </si>
  <si>
    <t>HP = 1.36 . Qn  . TDH / ( 8810 . Rend )</t>
  </si>
  <si>
    <t>nivel</t>
  </si>
</sst>
</file>

<file path=xl/styles.xml><?xml version="1.0" encoding="utf-8"?>
<styleSheet xmlns="http://schemas.openxmlformats.org/spreadsheetml/2006/main">
  <numFmts count="5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0.0000"/>
    <numFmt numFmtId="197" formatCode="0.000"/>
    <numFmt numFmtId="198" formatCode="0.0"/>
    <numFmt numFmtId="199" formatCode="0.00000"/>
    <numFmt numFmtId="200" formatCode="0.000000"/>
    <numFmt numFmtId="201" formatCode="0.0000000"/>
    <numFmt numFmtId="202" formatCode="0.00000000"/>
    <numFmt numFmtId="203" formatCode="0.000E+00"/>
    <numFmt numFmtId="204" formatCode="0.0E+00"/>
    <numFmt numFmtId="205" formatCode="0E+00"/>
    <numFmt numFmtId="206" formatCode="0.0%"/>
  </numFmts>
  <fonts count="68">
    <font>
      <sz val="9"/>
      <name val="Arial"/>
      <family val="0"/>
    </font>
    <font>
      <sz val="9"/>
      <color indexed="10"/>
      <name val="Arial"/>
      <family val="2"/>
    </font>
    <font>
      <b/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color indexed="10"/>
      <name val="Arial"/>
      <family val="0"/>
    </font>
    <font>
      <b/>
      <sz val="10"/>
      <color indexed="10"/>
      <name val="Arial"/>
      <family val="2"/>
    </font>
    <font>
      <b/>
      <sz val="9"/>
      <color indexed="32"/>
      <name val="Arial"/>
      <family val="2"/>
    </font>
    <font>
      <b/>
      <sz val="9"/>
      <color indexed="12"/>
      <name val="Arial"/>
      <family val="2"/>
    </font>
    <font>
      <b/>
      <sz val="10"/>
      <name val="MS Sans Serif"/>
      <family val="0"/>
    </font>
    <font>
      <b/>
      <sz val="12"/>
      <color indexed="18"/>
      <name val="Arial"/>
      <family val="0"/>
    </font>
    <font>
      <sz val="10"/>
      <color indexed="18"/>
      <name val="Arial"/>
      <family val="0"/>
    </font>
    <font>
      <b/>
      <sz val="10"/>
      <color indexed="18"/>
      <name val="Arial"/>
      <family val="0"/>
    </font>
    <font>
      <b/>
      <sz val="11"/>
      <name val="Arial"/>
      <family val="2"/>
    </font>
    <font>
      <b/>
      <sz val="18"/>
      <color indexed="58"/>
      <name val="Arial"/>
      <family val="2"/>
    </font>
    <font>
      <b/>
      <u val="single"/>
      <sz val="18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4"/>
      <name val="Arial"/>
      <family val="2"/>
    </font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17"/>
      <name val="Arial"/>
      <family val="2"/>
    </font>
    <font>
      <b/>
      <sz val="11"/>
      <color indexed="12"/>
      <name val="Arial"/>
      <family val="2"/>
    </font>
    <font>
      <sz val="9"/>
      <color indexed="12"/>
      <name val="Arial"/>
      <family val="2"/>
    </font>
    <font>
      <b/>
      <sz val="9"/>
      <color indexed="53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sz val="8"/>
      <color indexed="8"/>
      <name val="Arial"/>
      <family val="0"/>
    </font>
    <font>
      <sz val="8"/>
      <color indexed="12"/>
      <name val="Arial"/>
      <family val="0"/>
    </font>
    <font>
      <sz val="8.25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8"/>
      <color indexed="10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9"/>
        <bgColor indexed="34"/>
      </patternFill>
    </fill>
    <fill>
      <patternFill patternType="lightDown">
        <fgColor indexed="9"/>
        <bgColor indexed="3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medium">
        <color indexed="10"/>
      </left>
      <right style="thin"/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/>
      <right style="thin"/>
      <top style="medium">
        <color indexed="10"/>
      </top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 style="medium"/>
      <right style="thin"/>
      <top style="medium">
        <color indexed="10"/>
      </top>
      <bottom>
        <color indexed="63"/>
      </bottom>
    </border>
    <border>
      <left style="thin"/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>
        <color indexed="10"/>
      </right>
      <top>
        <color indexed="63"/>
      </top>
      <bottom style="medium"/>
    </border>
    <border>
      <left style="medium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>
        <color indexed="10"/>
      </right>
      <top style="medium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>
        <color indexed="10"/>
      </right>
      <top style="thin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medium">
        <color indexed="10"/>
      </bottom>
    </border>
    <border>
      <left style="thin"/>
      <right style="medium">
        <color indexed="10"/>
      </right>
      <top>
        <color indexed="63"/>
      </top>
      <bottom style="medium">
        <color indexed="10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ck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58"/>
      </left>
      <right style="double">
        <color indexed="58"/>
      </right>
      <top style="double">
        <color indexed="58"/>
      </top>
      <bottom style="double">
        <color indexed="58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8" fillId="0" borderId="8" applyNumberFormat="0" applyFill="0" applyAlignment="0" applyProtection="0"/>
    <xf numFmtId="0" fontId="67" fillId="0" borderId="9" applyNumberFormat="0" applyFill="0" applyAlignment="0" applyProtection="0"/>
  </cellStyleXfs>
  <cellXfs count="264">
    <xf numFmtId="0" fontId="0" fillId="0" borderId="0" xfId="0" applyAlignment="1">
      <alignment/>
    </xf>
    <xf numFmtId="9" fontId="0" fillId="0" borderId="0" xfId="53" applyFont="1" applyAlignment="1">
      <alignment/>
    </xf>
    <xf numFmtId="2" fontId="0" fillId="0" borderId="0" xfId="0" applyNumberFormat="1" applyAlignment="1">
      <alignment/>
    </xf>
    <xf numFmtId="198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97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Continuous"/>
    </xf>
    <xf numFmtId="0" fontId="6" fillId="0" borderId="10" xfId="0" applyFont="1" applyBorder="1" applyAlignment="1">
      <alignment horizontal="centerContinuous"/>
    </xf>
    <xf numFmtId="1" fontId="0" fillId="0" borderId="10" xfId="0" applyNumberForma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Continuous"/>
    </xf>
    <xf numFmtId="1" fontId="5" fillId="0" borderId="10" xfId="0" applyNumberFormat="1" applyFont="1" applyBorder="1" applyAlignment="1">
      <alignment horizontal="centerContinuous"/>
    </xf>
    <xf numFmtId="198" fontId="5" fillId="0" borderId="10" xfId="0" applyNumberFormat="1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15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1" fontId="1" fillId="0" borderId="0" xfId="0" applyNumberFormat="1" applyFont="1" applyAlignment="1">
      <alignment/>
    </xf>
    <xf numFmtId="9" fontId="1" fillId="0" borderId="0" xfId="53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2" fillId="0" borderId="14" xfId="0" applyFont="1" applyBorder="1" applyAlignment="1">
      <alignment horizontal="centerContinuous"/>
    </xf>
    <xf numFmtId="0" fontId="2" fillId="0" borderId="15" xfId="0" applyFont="1" applyBorder="1" applyAlignment="1">
      <alignment horizontal="centerContinuous"/>
    </xf>
    <xf numFmtId="0" fontId="0" fillId="0" borderId="10" xfId="0" applyBorder="1" applyAlignment="1">
      <alignment horizontal="center"/>
    </xf>
    <xf numFmtId="197" fontId="0" fillId="0" borderId="10" xfId="0" applyNumberFormat="1" applyBorder="1" applyAlignment="1">
      <alignment horizontal="center"/>
    </xf>
    <xf numFmtId="198" fontId="0" fillId="0" borderId="10" xfId="0" applyNumberFormat="1" applyBorder="1" applyAlignment="1">
      <alignment horizontal="center"/>
    </xf>
    <xf numFmtId="206" fontId="0" fillId="0" borderId="10" xfId="53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06" fontId="0" fillId="0" borderId="10" xfId="0" applyNumberFormat="1" applyBorder="1" applyAlignment="1">
      <alignment horizontal="center"/>
    </xf>
    <xf numFmtId="0" fontId="9" fillId="0" borderId="0" xfId="0" applyFont="1" applyAlignment="1">
      <alignment/>
    </xf>
    <xf numFmtId="0" fontId="10" fillId="0" borderId="16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11" fillId="0" borderId="17" xfId="0" applyFont="1" applyBorder="1" applyAlignment="1">
      <alignment horizontal="centerContinuous"/>
    </xf>
    <xf numFmtId="0" fontId="10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Continuous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1" fontId="12" fillId="0" borderId="22" xfId="0" applyNumberFormat="1" applyFont="1" applyBorder="1" applyAlignment="1">
      <alignment horizontal="center"/>
    </xf>
    <xf numFmtId="0" fontId="12" fillId="0" borderId="23" xfId="0" applyFont="1" applyBorder="1" applyAlignment="1">
      <alignment/>
    </xf>
    <xf numFmtId="0" fontId="12" fillId="0" borderId="20" xfId="0" applyFont="1" applyBorder="1" applyAlignment="1">
      <alignment horizontal="center"/>
    </xf>
    <xf numFmtId="1" fontId="12" fillId="0" borderId="24" xfId="0" applyNumberFormat="1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1" fontId="12" fillId="0" borderId="28" xfId="0" applyNumberFormat="1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26" xfId="0" applyFont="1" applyBorder="1" applyAlignment="1">
      <alignment horizontal="centerContinuous"/>
    </xf>
    <xf numFmtId="0" fontId="12" fillId="0" borderId="30" xfId="0" applyFont="1" applyBorder="1" applyAlignment="1">
      <alignment/>
    </xf>
    <xf numFmtId="0" fontId="12" fillId="0" borderId="0" xfId="0" applyFont="1" applyBorder="1" applyAlignment="1">
      <alignment horizontal="center"/>
    </xf>
    <xf numFmtId="1" fontId="12" fillId="0" borderId="31" xfId="0" applyNumberFormat="1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1" fontId="12" fillId="0" borderId="35" xfId="0" applyNumberFormat="1" applyFont="1" applyBorder="1" applyAlignment="1">
      <alignment horizontal="center"/>
    </xf>
    <xf numFmtId="0" fontId="12" fillId="0" borderId="36" xfId="0" applyFont="1" applyBorder="1" applyAlignment="1">
      <alignment/>
    </xf>
    <xf numFmtId="1" fontId="12" fillId="0" borderId="37" xfId="0" applyNumberFormat="1" applyFont="1" applyBorder="1" applyAlignment="1">
      <alignment horizontal="center"/>
    </xf>
    <xf numFmtId="2" fontId="9" fillId="0" borderId="38" xfId="0" applyNumberFormat="1" applyFont="1" applyBorder="1" applyAlignment="1">
      <alignment horizontal="center"/>
    </xf>
    <xf numFmtId="2" fontId="9" fillId="0" borderId="39" xfId="0" applyNumberFormat="1" applyFont="1" applyBorder="1" applyAlignment="1">
      <alignment horizontal="center"/>
    </xf>
    <xf numFmtId="2" fontId="9" fillId="0" borderId="40" xfId="0" applyNumberFormat="1" applyFont="1" applyBorder="1" applyAlignment="1">
      <alignment horizontal="center"/>
    </xf>
    <xf numFmtId="1" fontId="9" fillId="0" borderId="39" xfId="0" applyNumberFormat="1" applyFont="1" applyBorder="1" applyAlignment="1">
      <alignment horizontal="center"/>
    </xf>
    <xf numFmtId="3" fontId="9" fillId="0" borderId="41" xfId="0" applyNumberFormat="1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1" fontId="9" fillId="0" borderId="40" xfId="0" applyNumberFormat="1" applyFont="1" applyBorder="1" applyAlignment="1">
      <alignment horizontal="center"/>
    </xf>
    <xf numFmtId="1" fontId="9" fillId="0" borderId="43" xfId="0" applyNumberFormat="1" applyFont="1" applyBorder="1" applyAlignment="1">
      <alignment horizontal="center"/>
    </xf>
    <xf numFmtId="2" fontId="9" fillId="0" borderId="44" xfId="0" applyNumberFormat="1" applyFont="1" applyBorder="1" applyAlignment="1">
      <alignment horizontal="center"/>
    </xf>
    <xf numFmtId="2" fontId="9" fillId="0" borderId="27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1" fontId="9" fillId="0" borderId="27" xfId="0" applyNumberFormat="1" applyFont="1" applyBorder="1" applyAlignment="1">
      <alignment horizontal="center"/>
    </xf>
    <xf numFmtId="3" fontId="9" fillId="0" borderId="28" xfId="0" applyNumberFormat="1" applyFont="1" applyBorder="1" applyAlignment="1" quotePrefix="1">
      <alignment horizontal="center"/>
    </xf>
    <xf numFmtId="0" fontId="9" fillId="0" borderId="45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9" fillId="0" borderId="31" xfId="0" applyNumberFormat="1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3" fontId="9" fillId="0" borderId="44" xfId="0" applyNumberFormat="1" applyFont="1" applyBorder="1" applyAlignment="1">
      <alignment horizontal="center"/>
    </xf>
    <xf numFmtId="3" fontId="9" fillId="0" borderId="28" xfId="0" applyNumberFormat="1" applyFont="1" applyBorder="1" applyAlignment="1">
      <alignment horizontal="center"/>
    </xf>
    <xf numFmtId="3" fontId="9" fillId="0" borderId="44" xfId="0" applyNumberFormat="1" applyFont="1" applyBorder="1" applyAlignment="1" quotePrefix="1">
      <alignment horizontal="center"/>
    </xf>
    <xf numFmtId="2" fontId="9" fillId="0" borderId="11" xfId="0" applyNumberFormat="1" applyFont="1" applyBorder="1" applyAlignment="1">
      <alignment horizontal="center"/>
    </xf>
    <xf numFmtId="2" fontId="9" fillId="0" borderId="26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3" fontId="9" fillId="0" borderId="29" xfId="0" applyNumberFormat="1" applyFont="1" applyBorder="1" applyAlignment="1">
      <alignment horizontal="center"/>
    </xf>
    <xf numFmtId="3" fontId="9" fillId="0" borderId="46" xfId="0" applyNumberFormat="1" applyFont="1" applyBorder="1" applyAlignment="1">
      <alignment horizontal="center"/>
    </xf>
    <xf numFmtId="1" fontId="9" fillId="0" borderId="26" xfId="0" applyNumberFormat="1" applyFont="1" applyBorder="1" applyAlignment="1">
      <alignment horizontal="center"/>
    </xf>
    <xf numFmtId="1" fontId="9" fillId="0" borderId="47" xfId="0" applyNumberFormat="1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4" xfId="0" applyFont="1" applyBorder="1" applyAlignment="1">
      <alignment/>
    </xf>
    <xf numFmtId="0" fontId="9" fillId="0" borderId="11" xfId="0" applyFont="1" applyBorder="1" applyAlignment="1">
      <alignment horizontal="center"/>
    </xf>
    <xf numFmtId="3" fontId="9" fillId="0" borderId="29" xfId="0" applyNumberFormat="1" applyFont="1" applyBorder="1" applyAlignment="1" quotePrefix="1">
      <alignment horizontal="center"/>
    </xf>
    <xf numFmtId="0" fontId="9" fillId="0" borderId="46" xfId="0" applyFont="1" applyBorder="1" applyAlignment="1">
      <alignment horizontal="center"/>
    </xf>
    <xf numFmtId="0" fontId="9" fillId="0" borderId="48" xfId="0" applyFont="1" applyBorder="1" applyAlignment="1">
      <alignment/>
    </xf>
    <xf numFmtId="0" fontId="9" fillId="0" borderId="34" xfId="0" applyFont="1" applyBorder="1" applyAlignment="1">
      <alignment horizontal="center"/>
    </xf>
    <xf numFmtId="2" fontId="9" fillId="0" borderId="34" xfId="0" applyNumberFormat="1" applyFont="1" applyBorder="1" applyAlignment="1">
      <alignment horizontal="center"/>
    </xf>
    <xf numFmtId="2" fontId="9" fillId="0" borderId="33" xfId="0" applyNumberFormat="1" applyFont="1" applyBorder="1" applyAlignment="1">
      <alignment horizontal="center"/>
    </xf>
    <xf numFmtId="1" fontId="9" fillId="0" borderId="34" xfId="0" applyNumberFormat="1" applyFont="1" applyBorder="1" applyAlignment="1">
      <alignment horizontal="center"/>
    </xf>
    <xf numFmtId="3" fontId="9" fillId="0" borderId="35" xfId="0" applyNumberFormat="1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1" fontId="9" fillId="0" borderId="33" xfId="0" applyNumberFormat="1" applyFont="1" applyBorder="1" applyAlignment="1">
      <alignment horizontal="center"/>
    </xf>
    <xf numFmtId="1" fontId="9" fillId="0" borderId="37" xfId="0" applyNumberFormat="1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3" fontId="9" fillId="0" borderId="42" xfId="0" applyNumberFormat="1" applyFont="1" applyBorder="1" applyAlignment="1">
      <alignment horizontal="center"/>
    </xf>
    <xf numFmtId="0" fontId="9" fillId="0" borderId="44" xfId="0" applyFont="1" applyBorder="1" applyAlignment="1" quotePrefix="1">
      <alignment horizontal="center"/>
    </xf>
    <xf numFmtId="0" fontId="9" fillId="0" borderId="48" xfId="0" applyFont="1" applyBorder="1" applyAlignment="1">
      <alignment horizontal="center"/>
    </xf>
    <xf numFmtId="0" fontId="9" fillId="0" borderId="38" xfId="0" applyFont="1" applyBorder="1" applyAlignment="1">
      <alignment/>
    </xf>
    <xf numFmtId="2" fontId="9" fillId="0" borderId="44" xfId="0" applyNumberFormat="1" applyFont="1" applyBorder="1" applyAlignment="1" quotePrefix="1">
      <alignment horizontal="center"/>
    </xf>
    <xf numFmtId="0" fontId="9" fillId="0" borderId="50" xfId="0" applyFont="1" applyBorder="1" applyAlignment="1">
      <alignment/>
    </xf>
    <xf numFmtId="2" fontId="9" fillId="0" borderId="51" xfId="0" applyNumberFormat="1" applyFont="1" applyBorder="1" applyAlignment="1">
      <alignment horizontal="center"/>
    </xf>
    <xf numFmtId="2" fontId="9" fillId="0" borderId="52" xfId="0" applyNumberFormat="1" applyFont="1" applyBorder="1" applyAlignment="1">
      <alignment horizontal="center"/>
    </xf>
    <xf numFmtId="1" fontId="9" fillId="0" borderId="51" xfId="0" applyNumberFormat="1" applyFont="1" applyBorder="1" applyAlignment="1">
      <alignment horizontal="center"/>
    </xf>
    <xf numFmtId="3" fontId="9" fillId="0" borderId="53" xfId="0" applyNumberFormat="1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1" fontId="9" fillId="0" borderId="52" xfId="0" applyNumberFormat="1" applyFont="1" applyBorder="1" applyAlignment="1">
      <alignment horizontal="center"/>
    </xf>
    <xf numFmtId="1" fontId="9" fillId="0" borderId="55" xfId="0" applyNumberFormat="1" applyFont="1" applyBorder="1" applyAlignment="1">
      <alignment horizontal="center"/>
    </xf>
    <xf numFmtId="0" fontId="9" fillId="0" borderId="56" xfId="0" applyFont="1" applyBorder="1" applyAlignment="1">
      <alignment horizontal="centerContinuous"/>
    </xf>
    <xf numFmtId="2" fontId="0" fillId="0" borderId="57" xfId="0" applyNumberFormat="1" applyBorder="1" applyAlignment="1">
      <alignment horizontal="centerContinuous"/>
    </xf>
    <xf numFmtId="0" fontId="0" fillId="0" borderId="58" xfId="0" applyBorder="1" applyAlignment="1">
      <alignment horizontal="centerContinuous"/>
    </xf>
    <xf numFmtId="197" fontId="9" fillId="0" borderId="56" xfId="0" applyNumberFormat="1" applyFont="1" applyBorder="1" applyAlignment="1">
      <alignment horizontal="centerContinuous"/>
    </xf>
    <xf numFmtId="197" fontId="0" fillId="0" borderId="58" xfId="0" applyNumberFormat="1" applyBorder="1" applyAlignment="1">
      <alignment horizontal="centerContinuous"/>
    </xf>
    <xf numFmtId="197" fontId="9" fillId="0" borderId="58" xfId="0" applyNumberFormat="1" applyFont="1" applyBorder="1" applyAlignment="1">
      <alignment horizontal="centerContinuous"/>
    </xf>
    <xf numFmtId="197" fontId="9" fillId="0" borderId="59" xfId="0" applyNumberFormat="1" applyFont="1" applyBorder="1" applyAlignment="1">
      <alignment horizontal="center"/>
    </xf>
    <xf numFmtId="197" fontId="0" fillId="0" borderId="59" xfId="0" applyNumberFormat="1" applyBorder="1" applyAlignment="1">
      <alignment/>
    </xf>
    <xf numFmtId="0" fontId="9" fillId="0" borderId="60" xfId="0" applyFont="1" applyBorder="1" applyAlignment="1">
      <alignment horizontal="center"/>
    </xf>
    <xf numFmtId="197" fontId="9" fillId="0" borderId="60" xfId="0" applyNumberFormat="1" applyFont="1" applyBorder="1" applyAlignment="1">
      <alignment horizontal="centerContinuous"/>
    </xf>
    <xf numFmtId="197" fontId="9" fillId="0" borderId="60" xfId="0" applyNumberFormat="1" applyFont="1" applyBorder="1" applyAlignment="1">
      <alignment horizontal="center"/>
    </xf>
    <xf numFmtId="0" fontId="0" fillId="0" borderId="61" xfId="0" applyBorder="1" applyAlignment="1">
      <alignment horizontal="centerContinuous"/>
    </xf>
    <xf numFmtId="197" fontId="9" fillId="0" borderId="61" xfId="0" applyNumberFormat="1" applyFont="1" applyBorder="1" applyAlignment="1">
      <alignment horizontal="centerContinuous"/>
    </xf>
    <xf numFmtId="197" fontId="0" fillId="0" borderId="61" xfId="0" applyNumberFormat="1" applyBorder="1" applyAlignment="1">
      <alignment horizontal="centerContinuous"/>
    </xf>
    <xf numFmtId="197" fontId="9" fillId="0" borderId="58" xfId="0" applyNumberFormat="1" applyFont="1" applyBorder="1" applyAlignment="1">
      <alignment horizontal="center"/>
    </xf>
    <xf numFmtId="197" fontId="9" fillId="0" borderId="61" xfId="0" applyNumberFormat="1" applyFont="1" applyBorder="1" applyAlignment="1">
      <alignment horizontal="center"/>
    </xf>
    <xf numFmtId="12" fontId="0" fillId="0" borderId="6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" fontId="0" fillId="0" borderId="63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4" fontId="0" fillId="0" borderId="27" xfId="0" applyNumberFormat="1" applyBorder="1" applyAlignment="1">
      <alignment horizontal="center"/>
    </xf>
    <xf numFmtId="0" fontId="0" fillId="0" borderId="64" xfId="0" applyBorder="1" applyAlignment="1">
      <alignment horizontal="center"/>
    </xf>
    <xf numFmtId="1" fontId="0" fillId="0" borderId="65" xfId="0" applyNumberFormat="1" applyBorder="1" applyAlignment="1">
      <alignment horizontal="left"/>
    </xf>
    <xf numFmtId="1" fontId="0" fillId="0" borderId="66" xfId="0" applyNumberForma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63" xfId="0" applyBorder="1" applyAlignment="1">
      <alignment horizontal="center"/>
    </xf>
    <xf numFmtId="1" fontId="0" fillId="0" borderId="67" xfId="0" applyNumberFormat="1" applyBorder="1" applyAlignment="1">
      <alignment horizontal="left"/>
    </xf>
    <xf numFmtId="17" fontId="0" fillId="0" borderId="10" xfId="0" applyNumberFormat="1" applyBorder="1" applyAlignment="1" quotePrefix="1">
      <alignment horizontal="center"/>
    </xf>
    <xf numFmtId="3" fontId="0" fillId="0" borderId="10" xfId="0" applyNumberFormat="1" applyBorder="1" applyAlignment="1">
      <alignment horizontal="center"/>
    </xf>
    <xf numFmtId="12" fontId="0" fillId="0" borderId="68" xfId="0" applyNumberFormat="1" applyBorder="1" applyAlignment="1">
      <alignment horizontal="center"/>
    </xf>
    <xf numFmtId="2" fontId="0" fillId="0" borderId="69" xfId="0" applyNumberFormat="1" applyBorder="1" applyAlignment="1">
      <alignment horizontal="center"/>
    </xf>
    <xf numFmtId="1" fontId="0" fillId="0" borderId="70" xfId="0" applyNumberFormat="1" applyBorder="1" applyAlignment="1">
      <alignment horizontal="center"/>
    </xf>
    <xf numFmtId="0" fontId="0" fillId="0" borderId="71" xfId="0" applyBorder="1" applyAlignment="1">
      <alignment horizontal="center"/>
    </xf>
    <xf numFmtId="4" fontId="0" fillId="0" borderId="71" xfId="0" applyNumberFormat="1" applyBorder="1" applyAlignment="1">
      <alignment horizontal="center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75" xfId="0" applyBorder="1" applyAlignment="1" applyProtection="1">
      <alignment/>
      <protection hidden="1"/>
    </xf>
    <xf numFmtId="0" fontId="0" fillId="0" borderId="76" xfId="0" applyBorder="1" applyAlignment="1" applyProtection="1">
      <alignment/>
      <protection hidden="1"/>
    </xf>
    <xf numFmtId="0" fontId="0" fillId="0" borderId="77" xfId="0" applyBorder="1" applyAlignment="1" applyProtection="1">
      <alignment/>
      <protection hidden="1"/>
    </xf>
    <xf numFmtId="0" fontId="0" fillId="0" borderId="78" xfId="0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0" fillId="0" borderId="81" xfId="0" applyBorder="1" applyAlignment="1" applyProtection="1">
      <alignment horizontal="center"/>
      <protection hidden="1"/>
    </xf>
    <xf numFmtId="0" fontId="0" fillId="0" borderId="78" xfId="0" applyBorder="1" applyAlignment="1">
      <alignment/>
    </xf>
    <xf numFmtId="0" fontId="0" fillId="0" borderId="0" xfId="0" applyBorder="1" applyAlignment="1" applyProtection="1">
      <alignment/>
      <protection hidden="1"/>
    </xf>
    <xf numFmtId="0" fontId="0" fillId="0" borderId="81" xfId="0" applyBorder="1" applyAlignment="1" applyProtection="1">
      <alignment/>
      <protection hidden="1"/>
    </xf>
    <xf numFmtId="0" fontId="16" fillId="0" borderId="0" xfId="0" applyFont="1" applyBorder="1" applyAlignment="1">
      <alignment/>
    </xf>
    <xf numFmtId="0" fontId="17" fillId="33" borderId="82" xfId="0" applyFont="1" applyFill="1" applyBorder="1" applyAlignment="1">
      <alignment horizontal="center"/>
    </xf>
    <xf numFmtId="0" fontId="17" fillId="34" borderId="83" xfId="0" applyFont="1" applyFill="1" applyBorder="1" applyAlignment="1">
      <alignment horizontal="center"/>
    </xf>
    <xf numFmtId="0" fontId="18" fillId="0" borderId="0" xfId="0" applyFont="1" applyBorder="1" applyAlignment="1" applyProtection="1">
      <alignment/>
      <protection hidden="1"/>
    </xf>
    <xf numFmtId="0" fontId="6" fillId="0" borderId="82" xfId="0" applyFont="1" applyBorder="1" applyAlignment="1">
      <alignment horizontal="center"/>
    </xf>
    <xf numFmtId="0" fontId="6" fillId="0" borderId="83" xfId="0" applyFont="1" applyBorder="1" applyAlignment="1">
      <alignment horizontal="center"/>
    </xf>
    <xf numFmtId="0" fontId="4" fillId="0" borderId="0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0" fillId="0" borderId="0" xfId="0" applyBorder="1" applyAlignment="1" quotePrefix="1">
      <alignment/>
    </xf>
    <xf numFmtId="0" fontId="0" fillId="0" borderId="0" xfId="0" applyBorder="1" applyAlignment="1">
      <alignment horizontal="center"/>
    </xf>
    <xf numFmtId="2" fontId="19" fillId="0" borderId="0" xfId="0" applyNumberFormat="1" applyFont="1" applyBorder="1" applyAlignment="1" applyProtection="1">
      <alignment horizontal="right"/>
      <protection hidden="1"/>
    </xf>
    <xf numFmtId="0" fontId="19" fillId="0" borderId="0" xfId="0" applyFont="1" applyBorder="1" applyAlignment="1" applyProtection="1">
      <alignment/>
      <protection hidden="1"/>
    </xf>
    <xf numFmtId="0" fontId="20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 hidden="1"/>
    </xf>
    <xf numFmtId="2" fontId="4" fillId="0" borderId="0" xfId="0" applyNumberFormat="1" applyFont="1" applyBorder="1" applyAlignment="1" applyProtection="1">
      <alignment/>
      <protection hidden="1"/>
    </xf>
    <xf numFmtId="1" fontId="21" fillId="0" borderId="82" xfId="0" applyNumberFormat="1" applyFont="1" applyBorder="1" applyAlignment="1">
      <alignment horizontal="center"/>
    </xf>
    <xf numFmtId="1" fontId="21" fillId="0" borderId="83" xfId="0" applyNumberFormat="1" applyFont="1" applyBorder="1" applyAlignment="1">
      <alignment horizontal="center"/>
    </xf>
    <xf numFmtId="2" fontId="21" fillId="0" borderId="82" xfId="0" applyNumberFormat="1" applyFont="1" applyBorder="1" applyAlignment="1">
      <alignment horizontal="center"/>
    </xf>
    <xf numFmtId="2" fontId="21" fillId="0" borderId="83" xfId="0" applyNumberFormat="1" applyFont="1" applyBorder="1" applyAlignment="1">
      <alignment horizontal="center"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11" fontId="19" fillId="0" borderId="0" xfId="0" applyNumberFormat="1" applyFont="1" applyBorder="1" applyAlignment="1" applyProtection="1">
      <alignment/>
      <protection hidden="1"/>
    </xf>
    <xf numFmtId="0" fontId="0" fillId="0" borderId="45" xfId="0" applyBorder="1" applyAlignment="1">
      <alignment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left"/>
      <protection hidden="1"/>
    </xf>
    <xf numFmtId="2" fontId="19" fillId="0" borderId="0" xfId="0" applyNumberFormat="1" applyFont="1" applyBorder="1" applyAlignment="1" applyProtection="1">
      <alignment/>
      <protection hidden="1"/>
    </xf>
    <xf numFmtId="2" fontId="4" fillId="0" borderId="0" xfId="0" applyNumberFormat="1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0" fillId="0" borderId="68" xfId="0" applyBorder="1" applyAlignment="1" applyProtection="1">
      <alignment/>
      <protection hidden="1"/>
    </xf>
    <xf numFmtId="0" fontId="0" fillId="0" borderId="87" xfId="0" applyBorder="1" applyAlignment="1" applyProtection="1">
      <alignment/>
      <protection hidden="1"/>
    </xf>
    <xf numFmtId="0" fontId="0" fillId="0" borderId="88" xfId="0" applyBorder="1" applyAlignment="1" applyProtection="1">
      <alignment/>
      <protection hidden="1"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22" fillId="0" borderId="0" xfId="0" applyFont="1" applyAlignment="1">
      <alignment/>
    </xf>
    <xf numFmtId="1" fontId="22" fillId="0" borderId="0" xfId="0" applyNumberFormat="1" applyFont="1" applyAlignment="1">
      <alignment/>
    </xf>
    <xf numFmtId="1" fontId="22" fillId="0" borderId="0" xfId="0" applyNumberFormat="1" applyFont="1" applyAlignment="1">
      <alignment horizontal="center"/>
    </xf>
    <xf numFmtId="2" fontId="22" fillId="0" borderId="0" xfId="0" applyNumberFormat="1" applyFont="1" applyAlignment="1">
      <alignment/>
    </xf>
    <xf numFmtId="2" fontId="22" fillId="0" borderId="0" xfId="0" applyNumberFormat="1" applyFont="1" applyAlignment="1">
      <alignment horizontal="center"/>
    </xf>
    <xf numFmtId="9" fontId="22" fillId="0" borderId="0" xfId="0" applyNumberFormat="1" applyFont="1" applyAlignment="1">
      <alignment/>
    </xf>
    <xf numFmtId="9" fontId="22" fillId="0" borderId="0" xfId="53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0" xfId="0" applyFont="1" applyBorder="1" applyAlignment="1" applyProtection="1">
      <alignment horizontal="centerContinuous"/>
      <protection locked="0"/>
    </xf>
    <xf numFmtId="0" fontId="0" fillId="0" borderId="10" xfId="0" applyBorder="1" applyAlignment="1" applyProtection="1">
      <alignment horizontal="centerContinuous"/>
      <protection locked="0"/>
    </xf>
    <xf numFmtId="0" fontId="23" fillId="0" borderId="0" xfId="0" applyFont="1" applyAlignment="1">
      <alignment horizontal="centerContinuous"/>
    </xf>
    <xf numFmtId="0" fontId="24" fillId="0" borderId="0" xfId="0" applyFont="1" applyAlignment="1">
      <alignment/>
    </xf>
    <xf numFmtId="198" fontId="1" fillId="0" borderId="0" xfId="0" applyNumberFormat="1" applyFont="1" applyAlignment="1">
      <alignment/>
    </xf>
    <xf numFmtId="198" fontId="25" fillId="0" borderId="0" xfId="0" applyNumberFormat="1" applyFont="1" applyAlignment="1">
      <alignment/>
    </xf>
    <xf numFmtId="9" fontId="25" fillId="0" borderId="0" xfId="53" applyFont="1" applyAlignment="1">
      <alignment/>
    </xf>
    <xf numFmtId="9" fontId="24" fillId="0" borderId="0" xfId="53" applyFont="1" applyAlignment="1">
      <alignment/>
    </xf>
    <xf numFmtId="1" fontId="24" fillId="0" borderId="0" xfId="0" applyNumberFormat="1" applyFont="1" applyAlignment="1">
      <alignment/>
    </xf>
    <xf numFmtId="0" fontId="8" fillId="0" borderId="0" xfId="0" applyFont="1" applyAlignment="1" applyProtection="1">
      <alignment/>
      <protection locked="0"/>
    </xf>
    <xf numFmtId="9" fontId="8" fillId="0" borderId="0" xfId="53" applyFont="1" applyAlignment="1" applyProtection="1">
      <alignment/>
      <protection locked="0"/>
    </xf>
    <xf numFmtId="9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" fontId="22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 horizontal="center"/>
    </xf>
    <xf numFmtId="199" fontId="22" fillId="0" borderId="0" xfId="0" applyNumberFormat="1" applyFont="1" applyAlignment="1">
      <alignment/>
    </xf>
    <xf numFmtId="200" fontId="2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27" fillId="0" borderId="13" xfId="0" applyFont="1" applyBorder="1" applyAlignment="1">
      <alignment horizontal="centerContinuous"/>
    </xf>
    <xf numFmtId="9" fontId="5" fillId="0" borderId="0" xfId="53" applyFont="1" applyAlignment="1">
      <alignment horizontal="center"/>
    </xf>
    <xf numFmtId="0" fontId="22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206" fontId="0" fillId="0" borderId="10" xfId="53" applyNumberFormat="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center"/>
      <protection locked="0"/>
    </xf>
    <xf numFmtId="0" fontId="26" fillId="0" borderId="0" xfId="0" applyFont="1" applyAlignment="1">
      <alignment horizontal="center"/>
    </xf>
    <xf numFmtId="0" fontId="4" fillId="0" borderId="89" xfId="0" applyFont="1" applyBorder="1" applyAlignment="1">
      <alignment horizontal="center"/>
    </xf>
    <xf numFmtId="0" fontId="4" fillId="0" borderId="90" xfId="0" applyFont="1" applyBorder="1" applyAlignment="1">
      <alignment horizontal="center"/>
    </xf>
    <xf numFmtId="0" fontId="4" fillId="0" borderId="91" xfId="0" applyFont="1" applyBorder="1" applyAlignment="1">
      <alignment horizontal="center"/>
    </xf>
    <xf numFmtId="0" fontId="27" fillId="0" borderId="89" xfId="0" applyFont="1" applyBorder="1" applyAlignment="1">
      <alignment horizontal="center"/>
    </xf>
    <xf numFmtId="0" fontId="27" fillId="0" borderId="90" xfId="0" applyFont="1" applyBorder="1" applyAlignment="1">
      <alignment horizontal="center"/>
    </xf>
    <xf numFmtId="0" fontId="27" fillId="0" borderId="9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I.P.R.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77"/>
          <c:w val="0.963"/>
          <c:h val="0.83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IPR!$J$17</c:f>
              <c:strCache>
                <c:ptCount val="1"/>
                <c:pt idx="0">
                  <c:v>pwf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IPR!$I$18:$I$48</c:f>
              <c:numCache/>
            </c:numRef>
          </c:xVal>
          <c:yVal>
            <c:numRef>
              <c:f>IPR!$J$18:$J$48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IPR!$I$18:$I$48</c:f>
              <c:numCache/>
            </c:numRef>
          </c:xVal>
          <c:yVal>
            <c:numRef>
              <c:f>IPR!$K$18:$K$48</c:f>
              <c:numCache/>
            </c:numRef>
          </c:yVal>
          <c:smooth val="1"/>
        </c:ser>
        <c:axId val="36660869"/>
        <c:axId val="61512366"/>
      </c:scatterChart>
      <c:scatterChart>
        <c:scatterStyle val="lineMarker"/>
        <c:varyColors val="0"/>
        <c:ser>
          <c:idx val="2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IPR!$I$18:$I$48</c:f>
              <c:numCache/>
            </c:numRef>
          </c:xVal>
          <c:yVal>
            <c:numRef>
              <c:f>IPR!$L$18:$L$48</c:f>
              <c:numCache/>
            </c:numRef>
          </c:yVal>
          <c:smooth val="1"/>
        </c:ser>
        <c:axId val="16740383"/>
        <c:axId val="16445720"/>
      </c:scatterChart>
      <c:valAx>
        <c:axId val="36660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m3/dia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512366"/>
        <c:crosses val="autoZero"/>
        <c:crossBetween val="midCat"/>
        <c:dispUnits/>
      </c:valAx>
      <c:valAx>
        <c:axId val="6151236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Kg/cm2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660869"/>
        <c:crosses val="autoZero"/>
        <c:crossBetween val="midCat"/>
        <c:dispUnits/>
      </c:valAx>
      <c:valAx>
        <c:axId val="16740383"/>
        <c:scaling>
          <c:orientation val="minMax"/>
        </c:scaling>
        <c:axPos val="t"/>
        <c:delete val="1"/>
        <c:majorTickMark val="out"/>
        <c:minorTickMark val="none"/>
        <c:tickLblPos val="nextTo"/>
        <c:crossAx val="16445720"/>
        <c:crosses val="max"/>
        <c:crossBetween val="midCat"/>
        <c:dispUnits/>
      </c:valAx>
      <c:valAx>
        <c:axId val="16445720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6740383"/>
        <c:crosses val="max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Diagrama de Goodman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94"/>
          <c:w val="0.9535"/>
          <c:h val="0.853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Seleccion!$H$50:$H$52</c:f>
              <c:numCache>
                <c:ptCount val="3"/>
                <c:pt idx="0">
                  <c:v>0</c:v>
                </c:pt>
                <c:pt idx="1">
                  <c:v>16362.628007116587</c:v>
                </c:pt>
                <c:pt idx="2">
                  <c:v>65714.28571428571</c:v>
                </c:pt>
              </c:numCache>
            </c:numRef>
          </c:xVal>
          <c:yVal>
            <c:numRef>
              <c:f>Seleccion!$I$50:$I$52</c:f>
              <c:numCache>
                <c:ptCount val="3"/>
                <c:pt idx="0">
                  <c:v>0</c:v>
                </c:pt>
                <c:pt idx="1">
                  <c:v>16362.628007116587</c:v>
                </c:pt>
                <c:pt idx="2">
                  <c:v>65714.28571428571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Seleccion!$H$50:$H$52</c:f>
              <c:numCache>
                <c:ptCount val="3"/>
                <c:pt idx="0">
                  <c:v>0</c:v>
                </c:pt>
                <c:pt idx="1">
                  <c:v>16362.628007116587</c:v>
                </c:pt>
                <c:pt idx="2">
                  <c:v>65714.28571428571</c:v>
                </c:pt>
              </c:numCache>
            </c:numRef>
          </c:xVal>
          <c:yVal>
            <c:numRef>
              <c:f>Seleccion!$J$50:$J$52</c:f>
              <c:numCache>
                <c:ptCount val="3"/>
                <c:pt idx="0">
                  <c:v>28750</c:v>
                </c:pt>
                <c:pt idx="1">
                  <c:v>37953.97825400308</c:v>
                </c:pt>
                <c:pt idx="2">
                  <c:v>65714.28571428571</c:v>
                </c:pt>
              </c:numCache>
            </c:numRef>
          </c:yVal>
          <c:smooth val="1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33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Seleccion!$D$38:$D$38</c:f>
              <c:numCache>
                <c:ptCount val="1"/>
                <c:pt idx="0">
                  <c:v>16362.628007116587</c:v>
                </c:pt>
              </c:numCache>
            </c:numRef>
          </c:xVal>
          <c:yVal>
            <c:numRef>
              <c:f>Seleccion!$D$37:$D$37</c:f>
              <c:numCache>
                <c:ptCount val="1"/>
                <c:pt idx="0">
                  <c:v>38719.75723720993</c:v>
                </c:pt>
              </c:numCache>
            </c:numRef>
          </c:yVal>
          <c:smooth val="1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Seleccion!$H$50:$H$52</c:f>
              <c:numCache>
                <c:ptCount val="3"/>
                <c:pt idx="0">
                  <c:v>0</c:v>
                </c:pt>
                <c:pt idx="1">
                  <c:v>16362.628007116587</c:v>
                </c:pt>
                <c:pt idx="2">
                  <c:v>65714.28571428571</c:v>
                </c:pt>
              </c:numCache>
            </c:numRef>
          </c:xVal>
          <c:yVal>
            <c:numRef>
              <c:f>Seleccion!$H$50:$H$52</c:f>
              <c:numCache>
                <c:ptCount val="3"/>
                <c:pt idx="0">
                  <c:v>0</c:v>
                </c:pt>
                <c:pt idx="1">
                  <c:v>16362.628007116587</c:v>
                </c:pt>
                <c:pt idx="2">
                  <c:v>65714.28571428571</c:v>
                </c:pt>
              </c:numCache>
            </c:numRef>
          </c:yVal>
          <c:smooth val="1"/>
        </c:ser>
        <c:ser>
          <c:idx val="4"/>
          <c:order val="4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Seleccion!$H$50:$H$52</c:f>
              <c:numCache>
                <c:ptCount val="3"/>
                <c:pt idx="0">
                  <c:v>0</c:v>
                </c:pt>
                <c:pt idx="1">
                  <c:v>16362.628007116587</c:v>
                </c:pt>
                <c:pt idx="2">
                  <c:v>65714.28571428571</c:v>
                </c:pt>
              </c:numCache>
            </c:numRef>
          </c:xVal>
          <c:yVal>
            <c:numRef>
              <c:f>Seleccion!$K$50:$K$52</c:f>
              <c:numCache>
                <c:ptCount val="3"/>
                <c:pt idx="0">
                  <c:v>25875</c:v>
                </c:pt>
                <c:pt idx="1">
                  <c:v>34158.58042860277</c:v>
                </c:pt>
                <c:pt idx="2">
                  <c:v>59142.85714285714</c:v>
                </c:pt>
              </c:numCache>
            </c:numRef>
          </c:yVal>
          <c:smooth val="1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Seleccion!$H$50:$H$52</c:f>
              <c:numCache>
                <c:ptCount val="3"/>
                <c:pt idx="0">
                  <c:v>0</c:v>
                </c:pt>
                <c:pt idx="1">
                  <c:v>16362.628007116587</c:v>
                </c:pt>
                <c:pt idx="2">
                  <c:v>65714.28571428571</c:v>
                </c:pt>
              </c:numCache>
            </c:numRef>
          </c:xVal>
          <c:yVal>
            <c:numRef>
              <c:f>Seleccion!$H$50:$H$52</c:f>
              <c:numCache>
                <c:ptCount val="3"/>
                <c:pt idx="0">
                  <c:v>0</c:v>
                </c:pt>
                <c:pt idx="1">
                  <c:v>16362.628007116587</c:v>
                </c:pt>
                <c:pt idx="2">
                  <c:v>65714.28571428571</c:v>
                </c:pt>
              </c:numCache>
            </c:numRef>
          </c:yVal>
          <c:smooth val="1"/>
        </c:ser>
        <c:ser>
          <c:idx val="6"/>
          <c:order val="6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Seleccion!$H$50:$H$52</c:f>
              <c:numCache>
                <c:ptCount val="3"/>
                <c:pt idx="0">
                  <c:v>0</c:v>
                </c:pt>
                <c:pt idx="1">
                  <c:v>16362.628007116587</c:v>
                </c:pt>
                <c:pt idx="2">
                  <c:v>65714.28571428571</c:v>
                </c:pt>
              </c:numCache>
            </c:numRef>
          </c:xVal>
          <c:yVal>
            <c:numRef>
              <c:f>Seleccion!$L$50:$L$52</c:f>
              <c:numCache>
                <c:ptCount val="3"/>
                <c:pt idx="0">
                  <c:v>23000</c:v>
                </c:pt>
                <c:pt idx="1">
                  <c:v>30363.182603202466</c:v>
                </c:pt>
                <c:pt idx="2">
                  <c:v>52571.42857142857</c:v>
                </c:pt>
              </c:numCache>
            </c:numRef>
          </c:yVal>
          <c:smooth val="1"/>
        </c:ser>
        <c:axId val="13793753"/>
        <c:axId val="57034914"/>
      </c:scatterChart>
      <c:valAx>
        <c:axId val="13793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Tension minima psi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34914"/>
        <c:crosses val="autoZero"/>
        <c:crossBetween val="midCat"/>
        <c:dispUnits/>
      </c:valAx>
      <c:valAx>
        <c:axId val="57034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Tension maxima psi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93753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10</xdr:row>
      <xdr:rowOff>142875</xdr:rowOff>
    </xdr:from>
    <xdr:to>
      <xdr:col>6</xdr:col>
      <xdr:colOff>742950</xdr:colOff>
      <xdr:row>33</xdr:row>
      <xdr:rowOff>38100</xdr:rowOff>
    </xdr:to>
    <xdr:graphicFrame>
      <xdr:nvGraphicFramePr>
        <xdr:cNvPr id="1" name="Gráfico 1"/>
        <xdr:cNvGraphicFramePr/>
      </xdr:nvGraphicFramePr>
      <xdr:xfrm>
        <a:off x="38100" y="1743075"/>
        <a:ext cx="63246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Microsoft%20Office\Office15\xlstart\HistClient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zoomScale="130" zoomScaleNormal="130" zoomScalePageLayoutView="0" workbookViewId="0" topLeftCell="A1">
      <selection activeCell="F9" sqref="F9"/>
    </sheetView>
  </sheetViews>
  <sheetFormatPr defaultColWidth="11.421875" defaultRowHeight="12"/>
  <cols>
    <col min="1" max="1" width="27.140625" style="0" customWidth="1"/>
    <col min="6" max="8" width="11.421875" style="7" customWidth="1"/>
  </cols>
  <sheetData>
    <row r="1" spans="1:7" ht="18">
      <c r="A1" s="256" t="s">
        <v>447</v>
      </c>
      <c r="B1" s="256"/>
      <c r="C1" s="256"/>
      <c r="D1" s="256"/>
      <c r="E1" s="256"/>
      <c r="F1" s="256"/>
      <c r="G1" s="256"/>
    </row>
    <row r="2" spans="6:8" ht="12">
      <c r="F2"/>
      <c r="G2"/>
      <c r="H2"/>
    </row>
    <row r="3" spans="1:8" ht="12">
      <c r="A3" s="17" t="s">
        <v>0</v>
      </c>
      <c r="B3" s="228">
        <v>3223</v>
      </c>
      <c r="C3" s="28" t="s">
        <v>1</v>
      </c>
      <c r="E3" s="24" t="s">
        <v>2</v>
      </c>
      <c r="F3" s="25"/>
      <c r="G3" s="26"/>
      <c r="H3"/>
    </row>
    <row r="4" spans="1:8" ht="12">
      <c r="A4" s="17" t="s">
        <v>3</v>
      </c>
      <c r="B4" s="228">
        <v>80</v>
      </c>
      <c r="C4" s="28" t="s">
        <v>4</v>
      </c>
      <c r="F4"/>
      <c r="G4"/>
      <c r="H4"/>
    </row>
    <row r="5" spans="1:8" ht="12">
      <c r="A5" s="17" t="s">
        <v>5</v>
      </c>
      <c r="B5" s="228">
        <v>52</v>
      </c>
      <c r="C5" s="28" t="s">
        <v>6</v>
      </c>
      <c r="E5" s="15" t="s">
        <v>7</v>
      </c>
      <c r="F5" s="15" t="s">
        <v>8</v>
      </c>
      <c r="G5" s="22" t="s">
        <v>9</v>
      </c>
      <c r="H5"/>
    </row>
    <row r="6" spans="1:8" ht="12">
      <c r="A6" s="17" t="s">
        <v>28</v>
      </c>
      <c r="B6" s="228">
        <v>0.875</v>
      </c>
      <c r="C6" s="28" t="s">
        <v>26</v>
      </c>
      <c r="D6" s="8" t="s">
        <v>13</v>
      </c>
      <c r="E6" s="16" t="s">
        <v>10</v>
      </c>
      <c r="F6" s="16" t="s">
        <v>1</v>
      </c>
      <c r="G6" s="23" t="s">
        <v>6</v>
      </c>
      <c r="H6"/>
    </row>
    <row r="7" spans="1:12" ht="12">
      <c r="A7" s="18" t="s">
        <v>11</v>
      </c>
      <c r="B7" s="19">
        <f>(E8-E7)/(G7-G8)</f>
        <v>0.23761097659402738</v>
      </c>
      <c r="C7" s="27" t="s">
        <v>12</v>
      </c>
      <c r="D7" s="7" t="s">
        <v>13</v>
      </c>
      <c r="E7" s="229">
        <v>0</v>
      </c>
      <c r="F7" s="229">
        <v>855</v>
      </c>
      <c r="G7" s="20">
        <f>(B3-F7)/10*B6</f>
        <v>207.20000000000002</v>
      </c>
      <c r="H7"/>
      <c r="L7" s="4"/>
    </row>
    <row r="8" spans="1:8" ht="12">
      <c r="A8" s="18" t="s">
        <v>14</v>
      </c>
      <c r="B8" s="20">
        <f>G8+E8/B7</f>
        <v>207.20000000000002</v>
      </c>
      <c r="C8" s="27" t="s">
        <v>6</v>
      </c>
      <c r="D8" s="7" t="s">
        <v>13</v>
      </c>
      <c r="E8" s="229">
        <v>36.8</v>
      </c>
      <c r="F8" s="229">
        <v>2625</v>
      </c>
      <c r="G8" s="20">
        <f>(B3-F8)/10*B6</f>
        <v>52.324999999999996</v>
      </c>
      <c r="H8"/>
    </row>
    <row r="9" spans="1:8" ht="12">
      <c r="A9" s="18" t="s">
        <v>15</v>
      </c>
      <c r="B9" s="21">
        <f>B7*(B8-B5)</f>
        <v>36.87722356739305</v>
      </c>
      <c r="C9" s="27" t="s">
        <v>16</v>
      </c>
      <c r="D9" s="8" t="s">
        <v>13</v>
      </c>
      <c r="F9"/>
      <c r="G9"/>
      <c r="H9"/>
    </row>
    <row r="10" spans="1:8" ht="12">
      <c r="A10" s="18" t="s">
        <v>17</v>
      </c>
      <c r="B10" s="20">
        <f>B9+B7*B5/1.8</f>
        <v>43.74154066899829</v>
      </c>
      <c r="C10" s="27" t="s">
        <v>16</v>
      </c>
      <c r="D10" t="s">
        <v>13</v>
      </c>
      <c r="F10"/>
      <c r="G10"/>
      <c r="H10"/>
    </row>
    <row r="11" spans="6:8" ht="12">
      <c r="F11"/>
      <c r="G11"/>
      <c r="H11"/>
    </row>
    <row r="12" spans="6:8" ht="12">
      <c r="F12"/>
      <c r="G12"/>
      <c r="H12"/>
    </row>
    <row r="13" spans="6:8" ht="12">
      <c r="F13"/>
      <c r="G13"/>
      <c r="H13"/>
    </row>
    <row r="14" spans="4:8" ht="12">
      <c r="D14" s="9" t="s">
        <v>18</v>
      </c>
      <c r="E14" s="14">
        <f>B8/30</f>
        <v>6.906666666666667</v>
      </c>
      <c r="F14"/>
      <c r="G14"/>
      <c r="H14"/>
    </row>
    <row r="15" spans="6:8" ht="12">
      <c r="F15"/>
      <c r="G15"/>
      <c r="H15"/>
    </row>
    <row r="16" spans="6:8" ht="12">
      <c r="F16"/>
      <c r="G16"/>
      <c r="H16"/>
    </row>
    <row r="17" spans="6:12" ht="12.75">
      <c r="F17"/>
      <c r="G17"/>
      <c r="H17"/>
      <c r="I17" s="11" t="s">
        <v>19</v>
      </c>
      <c r="J17" s="11" t="s">
        <v>20</v>
      </c>
      <c r="K17" s="11" t="s">
        <v>21</v>
      </c>
      <c r="L17" s="11" t="s">
        <v>465</v>
      </c>
    </row>
    <row r="18" spans="6:12" ht="12">
      <c r="F18"/>
      <c r="G18"/>
      <c r="H18"/>
      <c r="I18" s="12">
        <f aca="true" t="shared" si="0" ref="I18:I48">IF(J18&lt;$B$5,$B$9+($B$10-$B$9)*(1-0.2*(J18/$B$5)-0.8*(J18/$B$5)^2),$B$7*($B$8-J18))</f>
        <v>0</v>
      </c>
      <c r="J18" s="12">
        <f>B8</f>
        <v>207.20000000000002</v>
      </c>
      <c r="K18" s="13">
        <f>B5</f>
        <v>52</v>
      </c>
      <c r="L18" s="12">
        <f>$B$3-J18*10/$B$6</f>
        <v>855</v>
      </c>
    </row>
    <row r="19" spans="1:12" ht="12">
      <c r="A19" s="3"/>
      <c r="F19"/>
      <c r="G19"/>
      <c r="H19"/>
      <c r="I19" s="12">
        <f t="shared" si="0"/>
        <v>1.6410998116760824</v>
      </c>
      <c r="J19" s="12">
        <f aca="true" t="shared" si="1" ref="J19:J48">J18-$E$14</f>
        <v>200.29333333333335</v>
      </c>
      <c r="K19" s="13">
        <f aca="true" t="shared" si="2" ref="K19:K48">K18</f>
        <v>52</v>
      </c>
      <c r="L19" s="12">
        <f aca="true" t="shared" si="3" ref="L19:L48">$B$3-J19*10/$B$6</f>
        <v>933.9333333333334</v>
      </c>
    </row>
    <row r="20" spans="1:12" ht="12">
      <c r="A20" s="3"/>
      <c r="E20" s="4"/>
      <c r="F20"/>
      <c r="G20"/>
      <c r="H20"/>
      <c r="I20" s="12">
        <f t="shared" si="0"/>
        <v>3.282199623352165</v>
      </c>
      <c r="J20" s="12">
        <f t="shared" si="1"/>
        <v>193.38666666666668</v>
      </c>
      <c r="K20" s="13">
        <f t="shared" si="2"/>
        <v>52</v>
      </c>
      <c r="L20" s="12">
        <f t="shared" si="3"/>
        <v>1012.8666666666663</v>
      </c>
    </row>
    <row r="21" spans="1:12" ht="12">
      <c r="A21" s="3"/>
      <c r="E21" s="4"/>
      <c r="F21"/>
      <c r="G21"/>
      <c r="H21"/>
      <c r="I21" s="12">
        <f t="shared" si="0"/>
        <v>4.923299435028247</v>
      </c>
      <c r="J21" s="12">
        <f t="shared" si="1"/>
        <v>186.48000000000002</v>
      </c>
      <c r="K21" s="13">
        <f t="shared" si="2"/>
        <v>52</v>
      </c>
      <c r="L21" s="12">
        <f t="shared" si="3"/>
        <v>1091.7999999999997</v>
      </c>
    </row>
    <row r="22" spans="1:12" ht="12">
      <c r="A22" s="3"/>
      <c r="E22" s="4"/>
      <c r="F22"/>
      <c r="G22"/>
      <c r="H22"/>
      <c r="I22" s="12">
        <f t="shared" si="0"/>
        <v>6.56439924670433</v>
      </c>
      <c r="J22" s="12">
        <f t="shared" si="1"/>
        <v>179.57333333333335</v>
      </c>
      <c r="K22" s="13">
        <f t="shared" si="2"/>
        <v>52</v>
      </c>
      <c r="L22" s="12">
        <f t="shared" si="3"/>
        <v>1170.7333333333331</v>
      </c>
    </row>
    <row r="23" spans="1:12" ht="12">
      <c r="A23" s="3"/>
      <c r="E23" s="4"/>
      <c r="F23"/>
      <c r="G23"/>
      <c r="H23"/>
      <c r="I23" s="12">
        <f t="shared" si="0"/>
        <v>8.205499058380411</v>
      </c>
      <c r="J23" s="12">
        <f t="shared" si="1"/>
        <v>172.66666666666669</v>
      </c>
      <c r="K23" s="13">
        <f t="shared" si="2"/>
        <v>52</v>
      </c>
      <c r="L23" s="12">
        <f t="shared" si="3"/>
        <v>1249.6666666666663</v>
      </c>
    </row>
    <row r="24" spans="1:12" ht="12">
      <c r="A24" s="3"/>
      <c r="E24" s="4"/>
      <c r="F24"/>
      <c r="G24"/>
      <c r="H24"/>
      <c r="I24" s="12">
        <f t="shared" si="0"/>
        <v>9.846598870056495</v>
      </c>
      <c r="J24" s="12">
        <f t="shared" si="1"/>
        <v>165.76000000000002</v>
      </c>
      <c r="K24" s="13">
        <f t="shared" si="2"/>
        <v>52</v>
      </c>
      <c r="L24" s="12">
        <f t="shared" si="3"/>
        <v>1328.6</v>
      </c>
    </row>
    <row r="25" spans="1:12" ht="12">
      <c r="A25" s="3"/>
      <c r="E25" s="4"/>
      <c r="F25"/>
      <c r="G25"/>
      <c r="H25"/>
      <c r="I25" s="12">
        <f t="shared" si="0"/>
        <v>11.487698681732576</v>
      </c>
      <c r="J25" s="12">
        <f t="shared" si="1"/>
        <v>158.85333333333335</v>
      </c>
      <c r="K25" s="13">
        <f t="shared" si="2"/>
        <v>52</v>
      </c>
      <c r="L25" s="12">
        <f t="shared" si="3"/>
        <v>1407.533333333333</v>
      </c>
    </row>
    <row r="26" spans="1:12" ht="12">
      <c r="A26" s="3"/>
      <c r="E26" s="4"/>
      <c r="F26"/>
      <c r="G26"/>
      <c r="H26"/>
      <c r="I26" s="12">
        <f t="shared" si="0"/>
        <v>13.12879849340866</v>
      </c>
      <c r="J26" s="12">
        <f t="shared" si="1"/>
        <v>151.9466666666667</v>
      </c>
      <c r="K26" s="13">
        <f t="shared" si="2"/>
        <v>52</v>
      </c>
      <c r="L26" s="12">
        <f t="shared" si="3"/>
        <v>1486.4666666666665</v>
      </c>
    </row>
    <row r="27" spans="1:12" ht="12">
      <c r="A27" s="3"/>
      <c r="E27" s="4"/>
      <c r="F27"/>
      <c r="G27"/>
      <c r="H27"/>
      <c r="I27" s="12">
        <f t="shared" si="0"/>
        <v>14.769898305084741</v>
      </c>
      <c r="J27" s="12">
        <f t="shared" si="1"/>
        <v>145.04000000000002</v>
      </c>
      <c r="K27" s="13">
        <f t="shared" si="2"/>
        <v>52</v>
      </c>
      <c r="L27" s="12">
        <f t="shared" si="3"/>
        <v>1565.3999999999999</v>
      </c>
    </row>
    <row r="28" spans="1:12" ht="12">
      <c r="A28" s="3"/>
      <c r="E28" s="4"/>
      <c r="F28"/>
      <c r="G28"/>
      <c r="H28"/>
      <c r="I28" s="12">
        <f t="shared" si="0"/>
        <v>16.410998116760823</v>
      </c>
      <c r="J28" s="12">
        <f t="shared" si="1"/>
        <v>138.13333333333335</v>
      </c>
      <c r="K28" s="13">
        <f t="shared" si="2"/>
        <v>52</v>
      </c>
      <c r="L28" s="12">
        <f t="shared" si="3"/>
        <v>1644.3333333333333</v>
      </c>
    </row>
    <row r="29" spans="1:12" ht="12">
      <c r="A29" s="3"/>
      <c r="E29" s="4"/>
      <c r="F29"/>
      <c r="G29"/>
      <c r="H29"/>
      <c r="I29" s="12">
        <f t="shared" si="0"/>
        <v>18.052097928436908</v>
      </c>
      <c r="J29" s="12">
        <f t="shared" si="1"/>
        <v>131.2266666666667</v>
      </c>
      <c r="K29" s="13">
        <f t="shared" si="2"/>
        <v>52</v>
      </c>
      <c r="L29" s="12">
        <f t="shared" si="3"/>
        <v>1723.2666666666664</v>
      </c>
    </row>
    <row r="30" spans="1:12" ht="12">
      <c r="A30" s="3"/>
      <c r="E30" s="4"/>
      <c r="F30"/>
      <c r="G30"/>
      <c r="H30"/>
      <c r="I30" s="12">
        <f t="shared" si="0"/>
        <v>19.69319774011299</v>
      </c>
      <c r="J30" s="12">
        <f t="shared" si="1"/>
        <v>124.32000000000002</v>
      </c>
      <c r="K30" s="13">
        <f t="shared" si="2"/>
        <v>52</v>
      </c>
      <c r="L30" s="12">
        <f t="shared" si="3"/>
        <v>1802.1999999999996</v>
      </c>
    </row>
    <row r="31" spans="1:12" ht="12">
      <c r="A31" s="3"/>
      <c r="E31" s="4"/>
      <c r="F31"/>
      <c r="G31"/>
      <c r="H31"/>
      <c r="I31" s="12">
        <f t="shared" si="0"/>
        <v>21.33429755178907</v>
      </c>
      <c r="J31" s="12">
        <f t="shared" si="1"/>
        <v>117.41333333333336</v>
      </c>
      <c r="K31" s="13">
        <f t="shared" si="2"/>
        <v>52</v>
      </c>
      <c r="L31" s="12">
        <f t="shared" si="3"/>
        <v>1881.133333333333</v>
      </c>
    </row>
    <row r="32" spans="1:12" ht="12">
      <c r="A32" s="3"/>
      <c r="E32" s="4"/>
      <c r="F32"/>
      <c r="G32"/>
      <c r="H32"/>
      <c r="I32" s="12">
        <f t="shared" si="0"/>
        <v>22.975397363465152</v>
      </c>
      <c r="J32" s="12">
        <f t="shared" si="1"/>
        <v>110.50666666666669</v>
      </c>
      <c r="K32" s="13">
        <f t="shared" si="2"/>
        <v>52</v>
      </c>
      <c r="L32" s="12">
        <f t="shared" si="3"/>
        <v>1960.0666666666664</v>
      </c>
    </row>
    <row r="33" spans="1:12" ht="12">
      <c r="A33" s="3"/>
      <c r="E33" s="4"/>
      <c r="F33"/>
      <c r="G33"/>
      <c r="H33"/>
      <c r="I33" s="12">
        <f t="shared" si="0"/>
        <v>24.616497175141237</v>
      </c>
      <c r="J33" s="12">
        <f t="shared" si="1"/>
        <v>103.60000000000002</v>
      </c>
      <c r="K33" s="13">
        <f t="shared" si="2"/>
        <v>52</v>
      </c>
      <c r="L33" s="12">
        <f t="shared" si="3"/>
        <v>2038.9999999999998</v>
      </c>
    </row>
    <row r="34" spans="1:12" ht="12">
      <c r="A34" s="3"/>
      <c r="E34" s="4"/>
      <c r="G34"/>
      <c r="H34"/>
      <c r="I34" s="12">
        <f t="shared" si="0"/>
        <v>26.25759698681732</v>
      </c>
      <c r="J34" s="12">
        <f t="shared" si="1"/>
        <v>96.69333333333336</v>
      </c>
      <c r="K34" s="13">
        <f t="shared" si="2"/>
        <v>52</v>
      </c>
      <c r="L34" s="12">
        <f t="shared" si="3"/>
        <v>2117.933333333333</v>
      </c>
    </row>
    <row r="35" spans="1:12" ht="12">
      <c r="A35" s="3"/>
      <c r="E35" s="4"/>
      <c r="G35"/>
      <c r="H35"/>
      <c r="I35" s="12">
        <f t="shared" si="0"/>
        <v>27.8986967984934</v>
      </c>
      <c r="J35" s="12">
        <f t="shared" si="1"/>
        <v>89.78666666666669</v>
      </c>
      <c r="K35" s="13">
        <f t="shared" si="2"/>
        <v>52</v>
      </c>
      <c r="L35" s="12">
        <f t="shared" si="3"/>
        <v>2196.8666666666663</v>
      </c>
    </row>
    <row r="36" spans="1:12" ht="12">
      <c r="A36" s="3"/>
      <c r="E36" s="4"/>
      <c r="G36"/>
      <c r="H36"/>
      <c r="I36" s="12">
        <f t="shared" si="0"/>
        <v>29.539796610169482</v>
      </c>
      <c r="J36" s="12">
        <f t="shared" si="1"/>
        <v>82.88000000000002</v>
      </c>
      <c r="K36" s="13">
        <f t="shared" si="2"/>
        <v>52</v>
      </c>
      <c r="L36" s="12">
        <f t="shared" si="3"/>
        <v>2275.7999999999997</v>
      </c>
    </row>
    <row r="37" spans="1:12" ht="12">
      <c r="A37" s="3"/>
      <c r="E37" s="4"/>
      <c r="G37"/>
      <c r="H37"/>
      <c r="I37" s="12">
        <f t="shared" si="0"/>
        <v>31.180896421845564</v>
      </c>
      <c r="J37" s="12">
        <f t="shared" si="1"/>
        <v>75.97333333333336</v>
      </c>
      <c r="K37" s="13">
        <f t="shared" si="2"/>
        <v>52</v>
      </c>
      <c r="L37" s="12">
        <f t="shared" si="3"/>
        <v>2354.733333333333</v>
      </c>
    </row>
    <row r="38" spans="1:12" ht="12">
      <c r="A38" s="3"/>
      <c r="E38" s="4"/>
      <c r="G38"/>
      <c r="H38"/>
      <c r="I38" s="12">
        <f t="shared" si="0"/>
        <v>32.821996233521645</v>
      </c>
      <c r="J38" s="12">
        <f t="shared" si="1"/>
        <v>69.06666666666669</v>
      </c>
      <c r="K38" s="13">
        <f t="shared" si="2"/>
        <v>52</v>
      </c>
      <c r="L38" s="12">
        <f t="shared" si="3"/>
        <v>2433.666666666666</v>
      </c>
    </row>
    <row r="39" spans="1:12" ht="12">
      <c r="A39" s="3"/>
      <c r="E39" s="4"/>
      <c r="G39"/>
      <c r="H39"/>
      <c r="I39" s="12">
        <f t="shared" si="0"/>
        <v>34.46309604519773</v>
      </c>
      <c r="J39" s="12">
        <f t="shared" si="1"/>
        <v>62.160000000000025</v>
      </c>
      <c r="K39" s="13">
        <f t="shared" si="2"/>
        <v>52</v>
      </c>
      <c r="L39" s="12">
        <f t="shared" si="3"/>
        <v>2512.5999999999995</v>
      </c>
    </row>
    <row r="40" spans="1:12" ht="12">
      <c r="A40" s="3"/>
      <c r="E40" s="4"/>
      <c r="G40"/>
      <c r="H40"/>
      <c r="I40" s="12">
        <f t="shared" si="0"/>
        <v>36.104195856873815</v>
      </c>
      <c r="J40" s="12">
        <f t="shared" si="1"/>
        <v>55.25333333333336</v>
      </c>
      <c r="K40" s="13">
        <f t="shared" si="2"/>
        <v>52</v>
      </c>
      <c r="L40" s="12">
        <f t="shared" si="3"/>
        <v>2591.533333333333</v>
      </c>
    </row>
    <row r="41" spans="1:12" ht="12">
      <c r="A41" s="3"/>
      <c r="G41"/>
      <c r="H41"/>
      <c r="I41" s="12">
        <f t="shared" si="0"/>
        <v>37.718190055362776</v>
      </c>
      <c r="J41" s="12">
        <f t="shared" si="1"/>
        <v>48.34666666666669</v>
      </c>
      <c r="K41" s="13">
        <f t="shared" si="2"/>
        <v>52</v>
      </c>
      <c r="L41" s="12">
        <f t="shared" si="3"/>
        <v>2670.4666666666662</v>
      </c>
    </row>
    <row r="42" spans="1:12" ht="12">
      <c r="A42" s="3"/>
      <c r="G42"/>
      <c r="H42"/>
      <c r="I42" s="12">
        <f t="shared" si="0"/>
        <v>39.159926630657466</v>
      </c>
      <c r="J42" s="12">
        <f t="shared" si="1"/>
        <v>41.440000000000026</v>
      </c>
      <c r="K42" s="13">
        <f t="shared" si="2"/>
        <v>52</v>
      </c>
      <c r="L42" s="12">
        <f t="shared" si="3"/>
        <v>2749.3999999999996</v>
      </c>
    </row>
    <row r="43" spans="1:12" ht="12">
      <c r="A43" s="3"/>
      <c r="G43"/>
      <c r="H43"/>
      <c r="I43" s="12">
        <f t="shared" si="0"/>
        <v>40.40791056721753</v>
      </c>
      <c r="J43" s="12">
        <f t="shared" si="1"/>
        <v>34.53333333333336</v>
      </c>
      <c r="K43" s="13">
        <f t="shared" si="2"/>
        <v>52</v>
      </c>
      <c r="L43" s="12">
        <f t="shared" si="3"/>
        <v>2828.333333333333</v>
      </c>
    </row>
    <row r="44" spans="1:12" ht="12">
      <c r="A44" s="3"/>
      <c r="G44"/>
      <c r="H44"/>
      <c r="I44" s="12">
        <f t="shared" si="0"/>
        <v>41.46214186504295</v>
      </c>
      <c r="J44" s="12">
        <f t="shared" si="1"/>
        <v>27.626666666666694</v>
      </c>
      <c r="K44" s="13">
        <f t="shared" si="2"/>
        <v>52</v>
      </c>
      <c r="L44" s="12">
        <f t="shared" si="3"/>
        <v>2907.2666666666664</v>
      </c>
    </row>
    <row r="45" spans="1:12" ht="12">
      <c r="A45" s="3"/>
      <c r="G45"/>
      <c r="H45"/>
      <c r="I45" s="12">
        <f t="shared" si="0"/>
        <v>42.32262052413373</v>
      </c>
      <c r="J45" s="12">
        <f t="shared" si="1"/>
        <v>20.720000000000027</v>
      </c>
      <c r="K45" s="13">
        <f t="shared" si="2"/>
        <v>52</v>
      </c>
      <c r="L45" s="12">
        <f t="shared" si="3"/>
        <v>2986.2</v>
      </c>
    </row>
    <row r="46" spans="1:12" ht="12">
      <c r="A46" s="3"/>
      <c r="G46"/>
      <c r="H46"/>
      <c r="I46" s="12">
        <f t="shared" si="0"/>
        <v>42.98934654448989</v>
      </c>
      <c r="J46" s="12">
        <f t="shared" si="1"/>
        <v>13.813333333333361</v>
      </c>
      <c r="K46" s="13">
        <f t="shared" si="2"/>
        <v>52</v>
      </c>
      <c r="L46" s="12">
        <f t="shared" si="3"/>
        <v>3065.133333333333</v>
      </c>
    </row>
    <row r="47" spans="7:12" ht="12">
      <c r="G47"/>
      <c r="H47"/>
      <c r="I47" s="12">
        <f t="shared" si="0"/>
        <v>43.462319926111405</v>
      </c>
      <c r="J47" s="12">
        <f t="shared" si="1"/>
        <v>6.906666666666694</v>
      </c>
      <c r="K47" s="13">
        <f t="shared" si="2"/>
        <v>52</v>
      </c>
      <c r="L47" s="12">
        <f t="shared" si="3"/>
        <v>3144.066666666666</v>
      </c>
    </row>
    <row r="48" spans="7:12" ht="12">
      <c r="G48"/>
      <c r="H48"/>
      <c r="I48" s="12">
        <f t="shared" si="0"/>
        <v>43.74154066899829</v>
      </c>
      <c r="J48" s="12">
        <f t="shared" si="1"/>
        <v>2.6645352591003757E-14</v>
      </c>
      <c r="K48" s="13">
        <f t="shared" si="2"/>
        <v>52</v>
      </c>
      <c r="L48" s="12">
        <f t="shared" si="3"/>
        <v>3222.9999999999995</v>
      </c>
    </row>
    <row r="49" spans="7:8" ht="12">
      <c r="G49"/>
      <c r="H49"/>
    </row>
  </sheetData>
  <sheetProtection/>
  <mergeCells count="1">
    <mergeCell ref="A1:G1"/>
  </mergeCells>
  <printOptions horizontalCentered="1" verticalCentered="1"/>
  <pageMargins left="0.75" right="0.75" top="1" bottom="1" header="0" footer="0"/>
  <pageSetup horizontalDpi="600" verticalDpi="600" orientation="landscape" paperSize="9" scale="12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="145" zoomScaleNormal="145" zoomScalePageLayoutView="0" workbookViewId="0" topLeftCell="A1">
      <selection activeCell="B25" sqref="B25"/>
    </sheetView>
  </sheetViews>
  <sheetFormatPr defaultColWidth="11.421875" defaultRowHeight="12"/>
  <cols>
    <col min="1" max="1" width="34.28125" style="0" customWidth="1"/>
    <col min="2" max="2" width="10.00390625" style="0" customWidth="1"/>
    <col min="3" max="3" width="7.421875" style="0" customWidth="1"/>
  </cols>
  <sheetData>
    <row r="1" spans="1:5" ht="18">
      <c r="A1" s="257" t="str">
        <f>IPR!A1</f>
        <v>Pozo xx</v>
      </c>
      <c r="B1" s="257"/>
      <c r="C1" s="257"/>
      <c r="D1" s="257"/>
      <c r="E1" s="257"/>
    </row>
    <row r="2" spans="1:4" ht="15">
      <c r="A2" s="230" t="s">
        <v>22</v>
      </c>
      <c r="B2" s="10"/>
      <c r="C2" s="10"/>
      <c r="D2" s="10"/>
    </row>
    <row r="4" spans="1:5" ht="12">
      <c r="A4" s="32" t="s">
        <v>23</v>
      </c>
      <c r="B4" s="237">
        <v>36.8</v>
      </c>
      <c r="C4" s="231" t="s">
        <v>16</v>
      </c>
      <c r="D4" s="236">
        <f>B4*6.29</f>
        <v>231.47199999999998</v>
      </c>
      <c r="E4" s="231" t="s">
        <v>24</v>
      </c>
    </row>
    <row r="5" spans="1:5" ht="12">
      <c r="A5" s="32" t="s">
        <v>3</v>
      </c>
      <c r="B5" s="255">
        <f>IPR!B4</f>
        <v>80</v>
      </c>
      <c r="C5" s="235" t="s">
        <v>4</v>
      </c>
      <c r="D5" s="231">
        <f>B5</f>
        <v>80</v>
      </c>
      <c r="E5" s="235" t="s">
        <v>4</v>
      </c>
    </row>
    <row r="6" spans="1:5" ht="12">
      <c r="A6" s="32" t="s">
        <v>25</v>
      </c>
      <c r="B6" s="237">
        <v>0.65</v>
      </c>
      <c r="C6" s="231" t="s">
        <v>26</v>
      </c>
      <c r="D6" s="231">
        <f>B6</f>
        <v>0.65</v>
      </c>
      <c r="E6" s="231" t="s">
        <v>26</v>
      </c>
    </row>
    <row r="7" spans="1:5" ht="12">
      <c r="A7" s="32" t="s">
        <v>27</v>
      </c>
      <c r="B7" s="237">
        <v>0.85</v>
      </c>
      <c r="C7" s="231" t="s">
        <v>26</v>
      </c>
      <c r="D7" s="231">
        <f>B7</f>
        <v>0.85</v>
      </c>
      <c r="E7" s="231" t="s">
        <v>26</v>
      </c>
    </row>
    <row r="8" spans="1:5" ht="12">
      <c r="A8" s="32" t="s">
        <v>28</v>
      </c>
      <c r="B8" s="237">
        <f>IPR!B6</f>
        <v>0.875</v>
      </c>
      <c r="C8" s="231" t="s">
        <v>26</v>
      </c>
      <c r="D8" s="231">
        <f>B8</f>
        <v>0.875</v>
      </c>
      <c r="E8" s="231" t="s">
        <v>26</v>
      </c>
    </row>
    <row r="9" spans="1:5" ht="12">
      <c r="A9" s="32" t="s">
        <v>29</v>
      </c>
      <c r="B9" s="255">
        <f>IPR!B5</f>
        <v>52</v>
      </c>
      <c r="C9" s="231" t="s">
        <v>6</v>
      </c>
      <c r="D9" s="236">
        <f>B9*14.22</f>
        <v>739.44</v>
      </c>
      <c r="E9" s="231" t="s">
        <v>30</v>
      </c>
    </row>
    <row r="10" spans="1:5" ht="12">
      <c r="A10" s="32" t="s">
        <v>31</v>
      </c>
      <c r="B10" s="237">
        <v>123</v>
      </c>
      <c r="C10" s="231" t="s">
        <v>32</v>
      </c>
      <c r="D10" s="231">
        <f>1.8*B10+32</f>
        <v>253.4</v>
      </c>
      <c r="E10" s="231" t="s">
        <v>33</v>
      </c>
    </row>
    <row r="11" spans="1:5" ht="12">
      <c r="A11" s="32" t="s">
        <v>34</v>
      </c>
      <c r="B11" s="237">
        <v>30</v>
      </c>
      <c r="C11" s="231" t="s">
        <v>32</v>
      </c>
      <c r="D11" s="231">
        <f>1.8*B11+32</f>
        <v>86</v>
      </c>
      <c r="E11" s="231" t="s">
        <v>33</v>
      </c>
    </row>
    <row r="12" spans="1:5" ht="12">
      <c r="A12" s="216" t="s">
        <v>35</v>
      </c>
      <c r="B12" s="217">
        <f>IPR!F8+(IPR!F8-IPR!F7)/(IPR!E8-IPR!E7)*(Standing!B4-IPR!E8)</f>
        <v>2625</v>
      </c>
      <c r="C12" s="5" t="s">
        <v>1</v>
      </c>
      <c r="D12" s="29">
        <f>B12/0.3048</f>
        <v>8612.204724409448</v>
      </c>
      <c r="E12" s="5" t="s">
        <v>36</v>
      </c>
    </row>
    <row r="13" spans="1:5" ht="12">
      <c r="A13" s="32" t="s">
        <v>37</v>
      </c>
      <c r="B13" s="237">
        <v>2810</v>
      </c>
      <c r="C13" s="231" t="s">
        <v>1</v>
      </c>
      <c r="D13" s="236">
        <f>B13/0.3048</f>
        <v>9219.160104986877</v>
      </c>
      <c r="E13" s="231" t="s">
        <v>36</v>
      </c>
    </row>
    <row r="14" spans="1:5" ht="12">
      <c r="A14" s="216" t="s">
        <v>38</v>
      </c>
      <c r="B14" s="216">
        <f>IPR!B3</f>
        <v>3223</v>
      </c>
      <c r="C14" s="5" t="s">
        <v>1</v>
      </c>
      <c r="D14" s="29">
        <f>B14/0.3048</f>
        <v>10574.146981627297</v>
      </c>
      <c r="E14" s="5" t="s">
        <v>36</v>
      </c>
    </row>
    <row r="15" spans="1:5" ht="12">
      <c r="A15" s="216" t="s">
        <v>39</v>
      </c>
      <c r="B15" s="217">
        <f>(B14-B12)/10*B8+1</f>
        <v>53.324999999999996</v>
      </c>
      <c r="C15" s="5" t="s">
        <v>6</v>
      </c>
      <c r="D15" s="29">
        <f>B15*14.22</f>
        <v>758.2814999999999</v>
      </c>
      <c r="E15" s="5" t="s">
        <v>30</v>
      </c>
    </row>
    <row r="16" spans="1:5" ht="12">
      <c r="A16" s="216" t="s">
        <v>40</v>
      </c>
      <c r="B16" s="232">
        <f>(B13-B12)*B8/10+1</f>
        <v>17.1875</v>
      </c>
      <c r="C16" s="5" t="s">
        <v>6</v>
      </c>
      <c r="D16" s="29">
        <f>B16*14.22</f>
        <v>244.40625</v>
      </c>
      <c r="E16" s="5" t="s">
        <v>30</v>
      </c>
    </row>
    <row r="17" spans="1:5" ht="12">
      <c r="A17" s="216" t="s">
        <v>41</v>
      </c>
      <c r="B17" s="232">
        <f>B4*(1-B5/100)</f>
        <v>7.359999999999998</v>
      </c>
      <c r="C17" s="5" t="s">
        <v>16</v>
      </c>
      <c r="D17" s="29">
        <f>D4*(1-D5/100)</f>
        <v>46.29439999999999</v>
      </c>
      <c r="E17" s="29" t="s">
        <v>24</v>
      </c>
    </row>
    <row r="18" spans="1:5" ht="12">
      <c r="A18" s="216" t="s">
        <v>42</v>
      </c>
      <c r="B18" s="232">
        <f>B4*B5/100</f>
        <v>29.44</v>
      </c>
      <c r="C18" s="5" t="s">
        <v>16</v>
      </c>
      <c r="D18" s="29">
        <f>D4*D5/100</f>
        <v>185.17759999999998</v>
      </c>
      <c r="E18" s="29" t="s">
        <v>24</v>
      </c>
    </row>
    <row r="19" spans="1:5" ht="12">
      <c r="A19" s="216" t="s">
        <v>43</v>
      </c>
      <c r="B19" s="232">
        <f>B17*B35</f>
        <v>8.071062904283142</v>
      </c>
      <c r="C19" s="5" t="s">
        <v>16</v>
      </c>
      <c r="D19" s="29">
        <f>B19*6.29</f>
        <v>50.766985667940965</v>
      </c>
      <c r="E19" s="29" t="s">
        <v>24</v>
      </c>
    </row>
    <row r="20" spans="1:5" ht="12">
      <c r="A20" s="216" t="s">
        <v>42</v>
      </c>
      <c r="B20" s="232">
        <f>B18</f>
        <v>29.44</v>
      </c>
      <c r="C20" s="5" t="s">
        <v>16</v>
      </c>
      <c r="D20" s="29">
        <f>B20*6.29</f>
        <v>185.1776</v>
      </c>
      <c r="E20" s="29" t="s">
        <v>24</v>
      </c>
    </row>
    <row r="21" spans="1:5" ht="12">
      <c r="A21" s="216" t="s">
        <v>442</v>
      </c>
      <c r="B21" s="232">
        <f>IF(B38*B34&gt;0,B38*B34,0)</f>
        <v>5.844786516723745</v>
      </c>
      <c r="C21" s="5" t="s">
        <v>16</v>
      </c>
      <c r="D21" s="29">
        <f>B21*6.29</f>
        <v>36.763707190192356</v>
      </c>
      <c r="E21" s="29" t="s">
        <v>24</v>
      </c>
    </row>
    <row r="22" spans="1:5" ht="12">
      <c r="A22" s="216" t="s">
        <v>443</v>
      </c>
      <c r="B22" s="232">
        <f>SUM(B19:B21)</f>
        <v>43.35584942100689</v>
      </c>
      <c r="C22" s="5" t="s">
        <v>16</v>
      </c>
      <c r="D22" s="29">
        <f>B22*6.29</f>
        <v>272.70829285813335</v>
      </c>
      <c r="E22" s="29" t="s">
        <v>24</v>
      </c>
    </row>
    <row r="23" spans="1:4" ht="12">
      <c r="A23" s="32" t="s">
        <v>444</v>
      </c>
      <c r="B23" s="238">
        <v>0</v>
      </c>
      <c r="D23" s="235">
        <f>B23</f>
        <v>0</v>
      </c>
    </row>
    <row r="24" spans="1:5" ht="12">
      <c r="A24" s="216" t="s">
        <v>445</v>
      </c>
      <c r="B24" s="233">
        <f>B18+B19+B21*(1-B23)</f>
        <v>43.35584942100689</v>
      </c>
      <c r="C24" s="5" t="s">
        <v>16</v>
      </c>
      <c r="D24" s="233">
        <f>D18+D19+D21*(1-D23)</f>
        <v>272.7082928581333</v>
      </c>
      <c r="E24" s="29" t="s">
        <v>24</v>
      </c>
    </row>
    <row r="25" spans="1:4" ht="12">
      <c r="A25" s="216" t="s">
        <v>44</v>
      </c>
      <c r="B25" s="234">
        <f>B4/B24</f>
        <v>0.8487897363664513</v>
      </c>
      <c r="D25" s="30">
        <f>B25</f>
        <v>0.8487897363664513</v>
      </c>
    </row>
    <row r="30" spans="1:5" ht="12">
      <c r="A30" t="s">
        <v>45</v>
      </c>
      <c r="B30" s="4">
        <f>141.5/B8-131.5</f>
        <v>30.214285714285722</v>
      </c>
      <c r="C30" t="s">
        <v>45</v>
      </c>
      <c r="D30" s="4">
        <f>B30</f>
        <v>30.214285714285722</v>
      </c>
      <c r="E30" t="s">
        <v>45</v>
      </c>
    </row>
    <row r="31" spans="1:5" ht="12">
      <c r="A31" t="s">
        <v>46</v>
      </c>
      <c r="B31" s="4">
        <f>B10-(B10-B11)/B14*(B14-B13)</f>
        <v>111.08284207260317</v>
      </c>
      <c r="C31" t="s">
        <v>32</v>
      </c>
      <c r="D31" s="4">
        <f>1.8*B31+32</f>
        <v>231.94911573068572</v>
      </c>
      <c r="E31" t="s">
        <v>33</v>
      </c>
    </row>
    <row r="32" spans="1:5" ht="12">
      <c r="A32" t="s">
        <v>47</v>
      </c>
      <c r="B32" s="2">
        <f>0.1342*B6*(B9*10^(0.0125*B30)/10^(0.00091*D10))^1.2048</f>
        <v>15.321955354390424</v>
      </c>
      <c r="C32" t="s">
        <v>48</v>
      </c>
      <c r="D32" s="3">
        <f>B32*35.31467/6.289</f>
        <v>86.03749357529509</v>
      </c>
      <c r="E32" t="s">
        <v>49</v>
      </c>
    </row>
    <row r="33" spans="1:5" ht="12">
      <c r="A33" t="s">
        <v>50</v>
      </c>
      <c r="B33" s="2">
        <f>IF(0.1342*B6*(B16*10^(0.0125*B30)/10^(0.00091*D31))^1.2048&gt;B32,B32,0.1342*B6*(B16*10^(0.0125*B30)/10^(0.00091*D31))^1.2048)</f>
        <v>4.261629613483077</v>
      </c>
      <c r="C33" t="s">
        <v>48</v>
      </c>
      <c r="D33" s="2">
        <f>B33*35.31467/6.289</f>
        <v>23.93036149823222</v>
      </c>
      <c r="E33" t="s">
        <v>49</v>
      </c>
    </row>
    <row r="34" spans="1:5" ht="12">
      <c r="A34" t="s">
        <v>51</v>
      </c>
      <c r="B34" s="6">
        <f>0.00378*B7*(273+B31)/(B16)</f>
        <v>0.07179974816461229</v>
      </c>
      <c r="C34" t="s">
        <v>48</v>
      </c>
      <c r="D34" s="6">
        <f>B34</f>
        <v>0.07179974816461229</v>
      </c>
      <c r="E34" t="s">
        <v>52</v>
      </c>
    </row>
    <row r="35" spans="1:5" ht="12">
      <c r="A35" t="s">
        <v>53</v>
      </c>
      <c r="B35" s="6">
        <f>0.972+0.000147*(5.61*B33*SQRT(B6/B8)+1.25*D31)^1.175</f>
        <v>1.0966118076471665</v>
      </c>
      <c r="C35" t="s">
        <v>48</v>
      </c>
      <c r="D35" s="6">
        <f>B35</f>
        <v>1.0966118076471665</v>
      </c>
      <c r="E35" t="s">
        <v>52</v>
      </c>
    </row>
    <row r="36" spans="1:5" ht="12">
      <c r="A36" t="s">
        <v>54</v>
      </c>
      <c r="B36" s="4">
        <f>B17*B32</f>
        <v>112.76959140831349</v>
      </c>
      <c r="C36" t="s">
        <v>16</v>
      </c>
      <c r="D36" s="4">
        <f>B36*35.31467</f>
        <v>3982.420906619426</v>
      </c>
      <c r="E36" t="s">
        <v>55</v>
      </c>
    </row>
    <row r="37" spans="1:5" ht="12">
      <c r="A37" t="s">
        <v>56</v>
      </c>
      <c r="B37" s="4">
        <f>B17*B33</f>
        <v>31.365593955235436</v>
      </c>
      <c r="C37" t="s">
        <v>16</v>
      </c>
      <c r="D37" s="4">
        <f>B37*35.31467</f>
        <v>1107.6655998831343</v>
      </c>
      <c r="E37" t="s">
        <v>55</v>
      </c>
    </row>
    <row r="38" spans="1:5" ht="12">
      <c r="A38" t="s">
        <v>57</v>
      </c>
      <c r="B38" s="4">
        <f>B36-B37</f>
        <v>81.40399745307805</v>
      </c>
      <c r="C38" s="4" t="s">
        <v>16</v>
      </c>
      <c r="D38" s="4">
        <f>B38*35.31467</f>
        <v>2874.755306736292</v>
      </c>
      <c r="E38" s="4" t="s">
        <v>55</v>
      </c>
    </row>
    <row r="39" spans="2:4" ht="12">
      <c r="B39" s="1"/>
      <c r="D39" s="1"/>
    </row>
  </sheetData>
  <sheetProtection sheet="1" objects="1" scenarios="1"/>
  <mergeCells count="1">
    <mergeCell ref="A1:E1"/>
  </mergeCells>
  <printOptions horizontalCentered="1" verticalCentered="1"/>
  <pageMargins left="0.75" right="0.75" top="1" bottom="1" header="0" footer="0"/>
  <pageSetup horizontalDpi="300" verticalDpi="300" orientation="portrait" paperSize="9" scale="1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2"/>
  <sheetViews>
    <sheetView zoomScalePageLayoutView="0" workbookViewId="0" topLeftCell="A1">
      <selection activeCell="B8" sqref="B8"/>
    </sheetView>
  </sheetViews>
  <sheetFormatPr defaultColWidth="11.421875" defaultRowHeight="12"/>
  <cols>
    <col min="1" max="1" width="34.28125" style="0" customWidth="1"/>
    <col min="2" max="2" width="8.28125" style="0" customWidth="1"/>
    <col min="3" max="3" width="6.8515625" style="0" customWidth="1"/>
    <col min="4" max="4" width="9.57421875" style="0" customWidth="1"/>
    <col min="5" max="5" width="7.28125" style="0" customWidth="1"/>
    <col min="6" max="6" width="4.421875" style="0" customWidth="1"/>
    <col min="7" max="7" width="21.421875" style="0" customWidth="1"/>
    <col min="8" max="12" width="12.421875" style="0" customWidth="1"/>
  </cols>
  <sheetData>
    <row r="1" ht="12.75" thickBot="1"/>
    <row r="2" spans="1:12" ht="16.5" thickBot="1">
      <c r="A2" s="261" t="s">
        <v>452</v>
      </c>
      <c r="B2" s="262"/>
      <c r="C2" s="262"/>
      <c r="D2" s="262"/>
      <c r="E2" s="263"/>
      <c r="G2" s="248" t="s">
        <v>458</v>
      </c>
      <c r="H2" s="34"/>
      <c r="I2" s="34"/>
      <c r="J2" s="34"/>
      <c r="K2" s="34"/>
      <c r="L2" s="35"/>
    </row>
    <row r="3" spans="1:12" ht="12">
      <c r="A3" s="219" t="s">
        <v>58</v>
      </c>
      <c r="B3" s="220">
        <f>Standing!B4</f>
        <v>36.8</v>
      </c>
      <c r="C3" s="219" t="s">
        <v>10</v>
      </c>
      <c r="D3" s="220">
        <f>B3*6.29</f>
        <v>231.47199999999998</v>
      </c>
      <c r="E3" s="219" t="s">
        <v>24</v>
      </c>
      <c r="G3" s="36" t="s">
        <v>446</v>
      </c>
      <c r="H3" s="36" t="s">
        <v>61</v>
      </c>
      <c r="I3" s="36" t="s">
        <v>62</v>
      </c>
      <c r="J3" s="36" t="s">
        <v>63</v>
      </c>
      <c r="K3" s="36" t="s">
        <v>64</v>
      </c>
      <c r="L3" s="36" t="s">
        <v>65</v>
      </c>
    </row>
    <row r="4" spans="1:12" ht="12">
      <c r="A4" s="219" t="s">
        <v>3</v>
      </c>
      <c r="B4" s="225">
        <f>Standing!B5/100</f>
        <v>0.8</v>
      </c>
      <c r="C4" s="219"/>
      <c r="D4" s="239">
        <f>B4</f>
        <v>0.8</v>
      </c>
      <c r="E4" s="219"/>
      <c r="G4" s="36" t="s">
        <v>108</v>
      </c>
      <c r="H4" s="36"/>
      <c r="I4" s="36"/>
      <c r="J4" s="41"/>
      <c r="K4" s="41">
        <v>0.396</v>
      </c>
      <c r="L4" s="41">
        <f>1-K4</f>
        <v>0.604</v>
      </c>
    </row>
    <row r="5" spans="1:12" ht="12">
      <c r="A5" s="219" t="s">
        <v>66</v>
      </c>
      <c r="B5" s="220">
        <f>Standing!B9</f>
        <v>52</v>
      </c>
      <c r="C5" s="219" t="s">
        <v>6</v>
      </c>
      <c r="D5" s="220">
        <f>B5*14.22</f>
        <v>739.44</v>
      </c>
      <c r="E5" s="219" t="s">
        <v>30</v>
      </c>
      <c r="G5" s="36" t="s">
        <v>108</v>
      </c>
      <c r="H5" s="36"/>
      <c r="I5" s="36"/>
      <c r="J5" s="41">
        <v>0.288</v>
      </c>
      <c r="K5" s="41">
        <v>0.328</v>
      </c>
      <c r="L5" s="41">
        <v>0.384</v>
      </c>
    </row>
    <row r="6" spans="1:12" ht="12">
      <c r="A6" s="219" t="s">
        <v>35</v>
      </c>
      <c r="B6" s="220">
        <f>Standing!B12</f>
        <v>2625</v>
      </c>
      <c r="C6" s="219" t="s">
        <v>1</v>
      </c>
      <c r="D6" s="221">
        <f>B6/0.3048</f>
        <v>8612.204724409448</v>
      </c>
      <c r="E6" s="219" t="s">
        <v>36</v>
      </c>
      <c r="G6" s="36" t="s">
        <v>108</v>
      </c>
      <c r="H6" s="36"/>
      <c r="I6" s="36"/>
      <c r="J6" s="41">
        <v>0.311</v>
      </c>
      <c r="K6" s="41">
        <f>1-J6</f>
        <v>0.6890000000000001</v>
      </c>
      <c r="L6" s="36"/>
    </row>
    <row r="7" spans="1:12" ht="12">
      <c r="A7" s="219" t="s">
        <v>191</v>
      </c>
      <c r="B7" s="219">
        <f>Standing!B14</f>
        <v>3223</v>
      </c>
      <c r="C7" s="219" t="s">
        <v>1</v>
      </c>
      <c r="D7" s="221">
        <f>B7/0.3048</f>
        <v>10574.146981627297</v>
      </c>
      <c r="E7" s="219" t="s">
        <v>36</v>
      </c>
      <c r="G7" s="36" t="s">
        <v>108</v>
      </c>
      <c r="H7" s="36"/>
      <c r="I7" s="39">
        <v>0.256</v>
      </c>
      <c r="J7" s="41">
        <f>1-I7</f>
        <v>0.744</v>
      </c>
      <c r="K7" s="36"/>
      <c r="L7" s="36"/>
    </row>
    <row r="8" spans="1:12" ht="12">
      <c r="A8" s="219" t="s">
        <v>71</v>
      </c>
      <c r="B8" s="250">
        <v>2450</v>
      </c>
      <c r="C8" s="219" t="s">
        <v>1</v>
      </c>
      <c r="D8" s="221">
        <f>B8/0.3048</f>
        <v>8038.057742782152</v>
      </c>
      <c r="E8" s="219" t="s">
        <v>36</v>
      </c>
      <c r="G8" s="36" t="s">
        <v>108</v>
      </c>
      <c r="H8" s="36"/>
      <c r="I8" s="39">
        <v>0.229</v>
      </c>
      <c r="J8" s="39">
        <v>0.263</v>
      </c>
      <c r="K8" s="39">
        <v>0.508</v>
      </c>
      <c r="L8" s="40"/>
    </row>
    <row r="9" spans="1:12" ht="12">
      <c r="A9" s="219" t="s">
        <v>193</v>
      </c>
      <c r="B9" s="250">
        <v>7</v>
      </c>
      <c r="C9" s="219" t="s">
        <v>73</v>
      </c>
      <c r="D9" s="240">
        <f>B9</f>
        <v>7</v>
      </c>
      <c r="E9" s="219" t="str">
        <f>C9</f>
        <v>plg.</v>
      </c>
      <c r="G9" s="36" t="s">
        <v>109</v>
      </c>
      <c r="H9" s="38"/>
      <c r="I9" s="38"/>
      <c r="J9" s="39">
        <v>0.347</v>
      </c>
      <c r="K9" s="39">
        <f>1-J9</f>
        <v>0.653</v>
      </c>
      <c r="L9" s="38"/>
    </row>
    <row r="10" spans="1:12" ht="12">
      <c r="A10" s="219" t="s">
        <v>192</v>
      </c>
      <c r="B10" s="250">
        <v>26</v>
      </c>
      <c r="C10" s="219" t="s">
        <v>75</v>
      </c>
      <c r="D10" s="240">
        <f>B10</f>
        <v>26</v>
      </c>
      <c r="E10" s="219" t="str">
        <f>C10</f>
        <v>lb/ft</v>
      </c>
      <c r="G10" s="36" t="s">
        <v>109</v>
      </c>
      <c r="H10" s="36"/>
      <c r="I10" s="39">
        <v>0.28</v>
      </c>
      <c r="J10" s="39">
        <f>1-I10</f>
        <v>0.72</v>
      </c>
      <c r="K10" s="36"/>
      <c r="L10" s="36"/>
    </row>
    <row r="11" spans="1:12" ht="12">
      <c r="A11" s="219" t="s">
        <v>194</v>
      </c>
      <c r="B11" s="250">
        <v>13</v>
      </c>
      <c r="C11" s="219" t="s">
        <v>6</v>
      </c>
      <c r="D11" s="241">
        <f>B11*14.22</f>
        <v>184.86</v>
      </c>
      <c r="E11" s="219" t="s">
        <v>30</v>
      </c>
      <c r="G11" s="36" t="s">
        <v>109</v>
      </c>
      <c r="H11" s="36"/>
      <c r="I11" s="39">
        <v>0.256</v>
      </c>
      <c r="J11" s="39">
        <v>0.292</v>
      </c>
      <c r="K11" s="39">
        <v>0.452</v>
      </c>
      <c r="L11" s="36"/>
    </row>
    <row r="12" spans="1:12" ht="12">
      <c r="A12" s="219" t="s">
        <v>195</v>
      </c>
      <c r="B12" s="219">
        <f>Standing!B13</f>
        <v>2810</v>
      </c>
      <c r="C12" s="219" t="s">
        <v>1</v>
      </c>
      <c r="D12" s="221">
        <f>B12/0.3048</f>
        <v>9219.160104986877</v>
      </c>
      <c r="E12" s="219" t="s">
        <v>36</v>
      </c>
      <c r="G12" s="36" t="s">
        <v>109</v>
      </c>
      <c r="H12" s="39">
        <v>0.204</v>
      </c>
      <c r="I12" s="39">
        <v>0.226</v>
      </c>
      <c r="J12" s="39">
        <v>0.255</v>
      </c>
      <c r="K12" s="39">
        <v>0.315</v>
      </c>
      <c r="L12" s="36"/>
    </row>
    <row r="13" spans="1:12" ht="12">
      <c r="A13" s="219" t="s">
        <v>79</v>
      </c>
      <c r="B13" s="224">
        <f>Standing!B25</f>
        <v>0.8487897363664513</v>
      </c>
      <c r="C13" s="219" t="s">
        <v>4</v>
      </c>
      <c r="D13" s="224">
        <f>B13</f>
        <v>0.8487897363664513</v>
      </c>
      <c r="E13" s="219" t="s">
        <v>4</v>
      </c>
      <c r="G13" s="36" t="s">
        <v>110</v>
      </c>
      <c r="H13" s="36"/>
      <c r="I13" s="36"/>
      <c r="J13" s="39">
        <v>0.388</v>
      </c>
      <c r="K13" s="39">
        <f>1-J13</f>
        <v>0.612</v>
      </c>
      <c r="L13" s="36"/>
    </row>
    <row r="14" spans="1:12" ht="12">
      <c r="A14" s="216" t="s">
        <v>80</v>
      </c>
      <c r="B14" s="217">
        <f>B3/(B13)</f>
        <v>43.35584942100689</v>
      </c>
      <c r="C14" s="216" t="s">
        <v>10</v>
      </c>
      <c r="D14" s="242">
        <f>B14*6.29</f>
        <v>272.70829285813335</v>
      </c>
      <c r="E14" s="216" t="s">
        <v>24</v>
      </c>
      <c r="G14" s="36" t="s">
        <v>110</v>
      </c>
      <c r="H14" s="36"/>
      <c r="I14" s="39">
        <v>0.305</v>
      </c>
      <c r="J14" s="39">
        <f>1-I14</f>
        <v>0.6950000000000001</v>
      </c>
      <c r="K14" s="36"/>
      <c r="L14" s="36"/>
    </row>
    <row r="15" spans="1:12" ht="12">
      <c r="A15" s="219" t="s">
        <v>196</v>
      </c>
      <c r="B15" s="250">
        <v>0.98</v>
      </c>
      <c r="C15" s="219"/>
      <c r="D15" s="240">
        <f>B15</f>
        <v>0.98</v>
      </c>
      <c r="E15" s="219"/>
      <c r="G15" s="36" t="s">
        <v>110</v>
      </c>
      <c r="H15" s="39"/>
      <c r="I15" s="39">
        <v>0.287</v>
      </c>
      <c r="J15" s="39">
        <v>0.327</v>
      </c>
      <c r="K15" s="39">
        <v>0.386</v>
      </c>
      <c r="L15" s="36"/>
    </row>
    <row r="16" spans="5:12" ht="12.75" thickBot="1">
      <c r="E16" s="247"/>
      <c r="G16" s="36" t="s">
        <v>110</v>
      </c>
      <c r="H16" s="39">
        <v>0.229</v>
      </c>
      <c r="I16" s="39">
        <v>0.252</v>
      </c>
      <c r="J16" s="39">
        <v>0.286</v>
      </c>
      <c r="K16" s="39">
        <v>0.233</v>
      </c>
      <c r="L16" s="36"/>
    </row>
    <row r="17" spans="1:12" ht="16.5" thickBot="1">
      <c r="A17" s="261" t="s">
        <v>404</v>
      </c>
      <c r="B17" s="262"/>
      <c r="C17" s="262"/>
      <c r="D17" s="262"/>
      <c r="E17" s="263"/>
      <c r="G17" s="36" t="s">
        <v>111</v>
      </c>
      <c r="H17" s="36"/>
      <c r="I17" s="36"/>
      <c r="J17" s="39">
        <v>0.432</v>
      </c>
      <c r="K17" s="39">
        <f>1-J17</f>
        <v>0.5680000000000001</v>
      </c>
      <c r="L17" s="36"/>
    </row>
    <row r="18" spans="1:12" ht="12">
      <c r="A18" s="31" t="s">
        <v>81</v>
      </c>
      <c r="B18" s="237">
        <v>1.75</v>
      </c>
      <c r="C18" s="31" t="s">
        <v>73</v>
      </c>
      <c r="D18" s="218">
        <f>B18</f>
        <v>1.75</v>
      </c>
      <c r="E18" s="31" t="str">
        <f>C18</f>
        <v>plg.</v>
      </c>
      <c r="G18" s="36" t="s">
        <v>111</v>
      </c>
      <c r="H18" s="36"/>
      <c r="I18" s="39">
        <v>0.339</v>
      </c>
      <c r="J18" s="39">
        <f>1-I18</f>
        <v>0.661</v>
      </c>
      <c r="K18" s="36"/>
      <c r="L18" s="36"/>
    </row>
    <row r="19" spans="1:12" ht="12">
      <c r="A19" s="31" t="s">
        <v>85</v>
      </c>
      <c r="B19" s="237">
        <v>168</v>
      </c>
      <c r="C19" s="31" t="s">
        <v>73</v>
      </c>
      <c r="D19" s="218">
        <f>B19</f>
        <v>168</v>
      </c>
      <c r="E19" s="31" t="str">
        <f>C19</f>
        <v>plg.</v>
      </c>
      <c r="G19" s="36" t="s">
        <v>111</v>
      </c>
      <c r="H19" s="39"/>
      <c r="I19" s="39">
        <v>0.321</v>
      </c>
      <c r="J19" s="39">
        <v>0.367</v>
      </c>
      <c r="K19" s="39">
        <v>0.312</v>
      </c>
      <c r="L19" s="36"/>
    </row>
    <row r="20" spans="1:12" ht="12">
      <c r="A20" s="31" t="s">
        <v>450</v>
      </c>
      <c r="B20" s="237">
        <v>9.5</v>
      </c>
      <c r="C20" s="31" t="s">
        <v>86</v>
      </c>
      <c r="D20" s="218">
        <f>B20</f>
        <v>9.5</v>
      </c>
      <c r="E20" s="31" t="s">
        <v>86</v>
      </c>
      <c r="G20" s="36" t="s">
        <v>111</v>
      </c>
      <c r="H20" s="39">
        <v>0.256</v>
      </c>
      <c r="I20" s="39">
        <v>0.283</v>
      </c>
      <c r="J20" s="39">
        <v>0.32</v>
      </c>
      <c r="K20" s="39">
        <v>0.141</v>
      </c>
      <c r="L20" s="36"/>
    </row>
    <row r="21" spans="1:12" ht="12">
      <c r="A21" s="216" t="s">
        <v>453</v>
      </c>
      <c r="B21" s="217">
        <f>0.0185*B32*B18^2*B20</f>
        <v>75.60032377312139</v>
      </c>
      <c r="C21" s="216" t="s">
        <v>10</v>
      </c>
      <c r="D21" s="242">
        <f>0.1165*D32*D18^2*D20</f>
        <v>476.07771457127797</v>
      </c>
      <c r="E21" s="216" t="s">
        <v>24</v>
      </c>
      <c r="G21" s="36" t="s">
        <v>112</v>
      </c>
      <c r="H21" s="36"/>
      <c r="I21" s="39">
        <v>0.375</v>
      </c>
      <c r="J21" s="39">
        <f>1-I21</f>
        <v>0.625</v>
      </c>
      <c r="K21" s="36"/>
      <c r="L21" s="36"/>
    </row>
    <row r="22" spans="1:12" ht="12">
      <c r="A22" s="219"/>
      <c r="B22" s="222"/>
      <c r="C22" s="219"/>
      <c r="D22" s="223"/>
      <c r="E22" s="219"/>
      <c r="G22" s="36" t="s">
        <v>112</v>
      </c>
      <c r="H22" s="39"/>
      <c r="I22" s="39">
        <v>0.36</v>
      </c>
      <c r="J22" s="39">
        <v>0.411</v>
      </c>
      <c r="K22" s="39">
        <v>0.229</v>
      </c>
      <c r="L22" s="39"/>
    </row>
    <row r="23" spans="1:12" ht="12">
      <c r="A23" s="219" t="s">
        <v>197</v>
      </c>
      <c r="B23" s="221">
        <f>SUM(H34:L34)*0.456</f>
        <v>8888.488273385829</v>
      </c>
      <c r="C23" s="219" t="s">
        <v>83</v>
      </c>
      <c r="D23" s="221">
        <f>SUM(H34:L34)</f>
        <v>19492.29884514436</v>
      </c>
      <c r="E23" s="219" t="s">
        <v>84</v>
      </c>
      <c r="G23" s="36" t="s">
        <v>112</v>
      </c>
      <c r="H23" s="39">
        <v>0.286</v>
      </c>
      <c r="I23" s="39">
        <v>0.317</v>
      </c>
      <c r="J23" s="39">
        <v>0.358</v>
      </c>
      <c r="K23" s="39">
        <v>0.039</v>
      </c>
      <c r="L23" s="39"/>
    </row>
    <row r="24" spans="1:12" ht="12">
      <c r="A24" s="219" t="s">
        <v>93</v>
      </c>
      <c r="B24" s="221">
        <f>B23*B15/7.8</f>
        <v>1116.7587830664247</v>
      </c>
      <c r="C24" s="219" t="s">
        <v>83</v>
      </c>
      <c r="D24" s="221">
        <f>B24/0.456</f>
        <v>2449.0324190053175</v>
      </c>
      <c r="E24" s="219" t="s">
        <v>84</v>
      </c>
      <c r="G24" s="36" t="s">
        <v>113</v>
      </c>
      <c r="H24" s="39"/>
      <c r="I24" s="39">
        <v>0.415</v>
      </c>
      <c r="J24" s="39">
        <f>1-I24</f>
        <v>0.585</v>
      </c>
      <c r="K24" s="39"/>
      <c r="L24" s="39"/>
    </row>
    <row r="25" spans="1:12" ht="12">
      <c r="A25" s="219" t="s">
        <v>448</v>
      </c>
      <c r="B25" s="221">
        <f>B23-B24</f>
        <v>7771.729490319403</v>
      </c>
      <c r="C25" s="219" t="s">
        <v>83</v>
      </c>
      <c r="D25" s="221">
        <f>D23-D24</f>
        <v>17043.266426139042</v>
      </c>
      <c r="E25" s="219" t="s">
        <v>84</v>
      </c>
      <c r="G25" s="36" t="s">
        <v>113</v>
      </c>
      <c r="H25" s="36"/>
      <c r="I25" s="39">
        <v>0.404</v>
      </c>
      <c r="J25" s="39">
        <v>0.458</v>
      </c>
      <c r="K25" s="39">
        <v>0.138</v>
      </c>
      <c r="L25" s="36"/>
    </row>
    <row r="26" spans="1:5" ht="12">
      <c r="A26" s="219" t="s">
        <v>82</v>
      </c>
      <c r="B26" s="221">
        <f>((5.06*B18^2)*(B6+B11*10)/10*B15)-B24</f>
        <v>3067.0737544335757</v>
      </c>
      <c r="C26" s="219" t="s">
        <v>83</v>
      </c>
      <c r="D26" s="221">
        <f>B26/0.456</f>
        <v>6726.03893516135</v>
      </c>
      <c r="E26" s="219" t="s">
        <v>84</v>
      </c>
    </row>
    <row r="27" spans="1:5" ht="12">
      <c r="A27" s="219"/>
      <c r="B27" s="243"/>
      <c r="C27" s="219"/>
      <c r="D27" s="244"/>
      <c r="E27" s="219"/>
    </row>
    <row r="28" spans="1:12" ht="15.75">
      <c r="A28" s="219" t="s">
        <v>87</v>
      </c>
      <c r="B28" s="223">
        <f>B19*B20^2/70500</f>
        <v>0.21506382978723404</v>
      </c>
      <c r="C28" s="219"/>
      <c r="D28" s="223">
        <f>D19*D20^2/70500</f>
        <v>0.21506382978723404</v>
      </c>
      <c r="E28" s="219"/>
      <c r="G28" s="248" t="s">
        <v>59</v>
      </c>
      <c r="H28" s="34"/>
      <c r="I28" s="34"/>
      <c r="J28" s="34"/>
      <c r="K28" s="34"/>
      <c r="L28" s="35"/>
    </row>
    <row r="29" spans="1:12" ht="12">
      <c r="A29" s="219" t="s">
        <v>88</v>
      </c>
      <c r="B29" s="223">
        <f>0.42378*B28*(B12/1000)^2</f>
        <v>0.7196485782949787</v>
      </c>
      <c r="C29" s="219" t="s">
        <v>1</v>
      </c>
      <c r="D29" s="223">
        <f>1.55*D28*(D12/1000)^2</f>
        <v>28.332297144351973</v>
      </c>
      <c r="E29" s="219" t="s">
        <v>73</v>
      </c>
      <c r="G29" s="36" t="s">
        <v>60</v>
      </c>
      <c r="H29" s="36" t="s">
        <v>61</v>
      </c>
      <c r="I29" s="36" t="s">
        <v>62</v>
      </c>
      <c r="J29" s="36" t="s">
        <v>63</v>
      </c>
      <c r="K29" s="36" t="s">
        <v>64</v>
      </c>
      <c r="L29" s="36" t="s">
        <v>65</v>
      </c>
    </row>
    <row r="30" spans="1:12" ht="12">
      <c r="A30" s="219" t="s">
        <v>89</v>
      </c>
      <c r="B30" s="223">
        <f>SUM(H36:L36)*0.0254</f>
        <v>1.1369015835547223</v>
      </c>
      <c r="C30" s="219" t="s">
        <v>1</v>
      </c>
      <c r="D30" s="223">
        <f>SUM(H36:L36)</f>
        <v>44.75990486435914</v>
      </c>
      <c r="E30" s="219" t="s">
        <v>73</v>
      </c>
      <c r="G30" s="36" t="s">
        <v>67</v>
      </c>
      <c r="H30" s="37">
        <f>I30*1.125^2</f>
        <v>0.9940195505498954</v>
      </c>
      <c r="I30" s="37">
        <f>PI()/4</f>
        <v>0.7853981633974483</v>
      </c>
      <c r="J30" s="37">
        <f>I30*0.875^2</f>
        <v>0.6013204688511713</v>
      </c>
      <c r="K30" s="37">
        <f>I30*0.75^2</f>
        <v>0.44178646691106466</v>
      </c>
      <c r="L30" s="37">
        <f>I30*0.625^2</f>
        <v>0.30679615757712825</v>
      </c>
    </row>
    <row r="31" spans="1:13" ht="12">
      <c r="A31" s="219" t="s">
        <v>90</v>
      </c>
      <c r="B31" s="223">
        <f>B26*B12/(H38*21000)*H39</f>
        <v>0.28225837590745884</v>
      </c>
      <c r="C31" s="219" t="s">
        <v>1</v>
      </c>
      <c r="D31" s="223">
        <f>B31/0.0254</f>
        <v>11.112534484545623</v>
      </c>
      <c r="E31" s="219" t="s">
        <v>73</v>
      </c>
      <c r="G31" s="36" t="s">
        <v>68</v>
      </c>
      <c r="H31" s="38">
        <v>93</v>
      </c>
      <c r="I31" s="38">
        <v>72.25</v>
      </c>
      <c r="J31" s="38">
        <v>54.77</v>
      </c>
      <c r="K31" s="38">
        <v>40.64</v>
      </c>
      <c r="L31" s="38">
        <v>28.41</v>
      </c>
      <c r="M31" s="33">
        <f>SUM(H31:L31)</f>
        <v>289.07000000000005</v>
      </c>
    </row>
    <row r="32" spans="1:12" ht="12">
      <c r="A32" s="219" t="s">
        <v>91</v>
      </c>
      <c r="B32" s="223">
        <f>B19+D29-D30-D31</f>
        <v>140.4598577954472</v>
      </c>
      <c r="C32" s="219" t="s">
        <v>73</v>
      </c>
      <c r="D32" s="223">
        <f>B32</f>
        <v>140.4598577954472</v>
      </c>
      <c r="E32" s="219" t="s">
        <v>73</v>
      </c>
      <c r="G32" s="36" t="s">
        <v>69</v>
      </c>
      <c r="H32" s="251"/>
      <c r="I32" s="252">
        <v>0.256</v>
      </c>
      <c r="J32" s="252">
        <v>0.292</v>
      </c>
      <c r="K32" s="252">
        <v>0.452</v>
      </c>
      <c r="L32" s="251"/>
    </row>
    <row r="33" spans="7:13" ht="12.75" thickBot="1">
      <c r="G33" s="36" t="s">
        <v>70</v>
      </c>
      <c r="H33" s="40">
        <f>$D$12/25*H32/100</f>
        <v>0</v>
      </c>
      <c r="I33" s="40">
        <f>$D$12/25*I32</f>
        <v>94.40419947506562</v>
      </c>
      <c r="J33" s="40">
        <f>$D$12/25*J32</f>
        <v>107.6797900262467</v>
      </c>
      <c r="K33" s="40">
        <f>$D$12/25*K32</f>
        <v>166.68241469816275</v>
      </c>
      <c r="L33" s="40">
        <f>$D$12/25*L32</f>
        <v>0</v>
      </c>
      <c r="M33" s="33">
        <f>SUM(H33:L33)</f>
        <v>368.76640419947506</v>
      </c>
    </row>
    <row r="34" spans="1:12" ht="16.5" thickBot="1">
      <c r="A34" s="261" t="s">
        <v>92</v>
      </c>
      <c r="B34" s="262"/>
      <c r="C34" s="262"/>
      <c r="D34" s="262"/>
      <c r="E34" s="263"/>
      <c r="G34" s="36" t="s">
        <v>72</v>
      </c>
      <c r="H34" s="40">
        <f>H31*H33</f>
        <v>0</v>
      </c>
      <c r="I34" s="40">
        <f>I31*I33</f>
        <v>6820.703412073492</v>
      </c>
      <c r="J34" s="40">
        <f>J31*J33</f>
        <v>5897.622099737532</v>
      </c>
      <c r="K34" s="40">
        <f>K31*K33</f>
        <v>6773.973333333334</v>
      </c>
      <c r="L34" s="40">
        <f>L31*L33</f>
        <v>0</v>
      </c>
    </row>
    <row r="35" spans="1:13" ht="12">
      <c r="A35" s="216" t="s">
        <v>94</v>
      </c>
      <c r="B35" s="217">
        <f>B23*(1+B28)+B26</f>
        <v>13867.154356912679</v>
      </c>
      <c r="C35" s="216" t="s">
        <v>83</v>
      </c>
      <c r="D35" s="217">
        <f>D23*(1+D28)+D26</f>
        <v>30410.426221299735</v>
      </c>
      <c r="E35" s="216" t="s">
        <v>84</v>
      </c>
      <c r="G35" s="36" t="s">
        <v>93</v>
      </c>
      <c r="H35" s="40">
        <f>(H34/7.85)*$B$15</f>
        <v>0</v>
      </c>
      <c r="I35" s="40">
        <f>(I34/7.85)*$B$15</f>
        <v>851.501827239748</v>
      </c>
      <c r="J35" s="40">
        <f>(J34/7.85)*$B$15</f>
        <v>736.2636506678703</v>
      </c>
      <c r="K35" s="40">
        <f>(K34/7.85)*$B$15</f>
        <v>845.6680084925691</v>
      </c>
      <c r="L35" s="40">
        <f>(L34/7.85)*$B$15</f>
        <v>0</v>
      </c>
      <c r="M35" s="33">
        <f>SUM(H35:L35)</f>
        <v>2433.4334864001876</v>
      </c>
    </row>
    <row r="36" spans="1:12" ht="12">
      <c r="A36" s="219" t="s">
        <v>95</v>
      </c>
      <c r="B36" s="220">
        <f>B23*(1-B28)-B24</f>
        <v>5860.137161226128</v>
      </c>
      <c r="C36" s="219" t="s">
        <v>83</v>
      </c>
      <c r="D36" s="220">
        <f>D23*(1-D28)-D24</f>
        <v>12851.177985145017</v>
      </c>
      <c r="E36" s="219" t="s">
        <v>84</v>
      </c>
      <c r="G36" s="36" t="s">
        <v>74</v>
      </c>
      <c r="H36" s="40">
        <f>($D$26/H30)/30500000*(H33*25*12)</f>
        <v>0</v>
      </c>
      <c r="I36" s="40">
        <f>($D$26/I30)/30500000*(I33*25*12)</f>
        <v>7.952107179044165</v>
      </c>
      <c r="J36" s="40">
        <f>($D$26/J30)/30500000*(J33*25*12)</f>
        <v>11.847016817759675</v>
      </c>
      <c r="K36" s="40">
        <f>($D$26/K30)/30500000*(K33*25*12)</f>
        <v>24.9607808675553</v>
      </c>
      <c r="L36" s="40">
        <f>($D$26/L30)/30500000*(L33*25*12)</f>
        <v>0</v>
      </c>
    </row>
    <row r="37" spans="1:5" ht="12">
      <c r="A37" s="216" t="s">
        <v>201</v>
      </c>
      <c r="B37" s="217">
        <f>D37/14.22</f>
        <v>2722.908385176507</v>
      </c>
      <c r="C37" s="216" t="s">
        <v>6</v>
      </c>
      <c r="D37" s="217">
        <f>D35/H43</f>
        <v>38719.75723720993</v>
      </c>
      <c r="E37" s="216" t="s">
        <v>30</v>
      </c>
    </row>
    <row r="38" spans="1:9" ht="12">
      <c r="A38" s="219" t="s">
        <v>202</v>
      </c>
      <c r="B38" s="220">
        <f>D38/14.22</f>
        <v>1150.6770750433604</v>
      </c>
      <c r="C38" s="219" t="s">
        <v>6</v>
      </c>
      <c r="D38" s="220">
        <f>D36/H43</f>
        <v>16362.628007116587</v>
      </c>
      <c r="E38" s="219" t="s">
        <v>30</v>
      </c>
      <c r="G38" s="153" t="s">
        <v>76</v>
      </c>
      <c r="H38" s="253">
        <v>1454</v>
      </c>
      <c r="I38" s="153" t="s">
        <v>77</v>
      </c>
    </row>
    <row r="39" spans="7:9" ht="12.75" thickBot="1">
      <c r="G39" s="153" t="s">
        <v>78</v>
      </c>
      <c r="H39" s="253">
        <v>1</v>
      </c>
      <c r="I39" s="153" t="s">
        <v>26</v>
      </c>
    </row>
    <row r="40" spans="1:5" ht="16.5" thickBot="1">
      <c r="A40" s="261" t="s">
        <v>449</v>
      </c>
      <c r="B40" s="262"/>
      <c r="C40" s="262"/>
      <c r="D40" s="262"/>
      <c r="E40" s="263"/>
    </row>
    <row r="41" spans="1:8" ht="12">
      <c r="A41" t="s">
        <v>423</v>
      </c>
      <c r="B41" s="4">
        <f>(B35+B36)/2</f>
        <v>9863.645759069404</v>
      </c>
      <c r="C41" t="s">
        <v>83</v>
      </c>
      <c r="D41" s="4">
        <f>(D35+D36)/2</f>
        <v>21630.802103222377</v>
      </c>
      <c r="E41" t="s">
        <v>84</v>
      </c>
      <c r="G41" s="153" t="s">
        <v>198</v>
      </c>
      <c r="H41" s="251" t="s">
        <v>199</v>
      </c>
    </row>
    <row r="42" spans="1:8" ht="12">
      <c r="A42" t="s">
        <v>420</v>
      </c>
      <c r="B42" s="4">
        <f>B41*B19*0.0254/2</f>
        <v>21045.07459155048</v>
      </c>
      <c r="C42" t="s">
        <v>96</v>
      </c>
      <c r="D42" s="4">
        <f>D41*D19/2</f>
        <v>1816987.3766706795</v>
      </c>
      <c r="E42" t="s">
        <v>97</v>
      </c>
      <c r="G42" s="153" t="s">
        <v>200</v>
      </c>
      <c r="H42" s="251">
        <v>115000</v>
      </c>
    </row>
    <row r="43" spans="1:8" ht="12">
      <c r="A43" t="s">
        <v>421</v>
      </c>
      <c r="B43" s="4">
        <f>B35*B19*0.0254/2</f>
        <v>29586.960535908893</v>
      </c>
      <c r="C43" t="s">
        <v>96</v>
      </c>
      <c r="D43" s="4">
        <f>D35*D19/2</f>
        <v>2554475.8025891776</v>
      </c>
      <c r="E43" t="s">
        <v>97</v>
      </c>
      <c r="G43" s="153" t="s">
        <v>203</v>
      </c>
      <c r="H43" s="37">
        <f>IF(H33=0,IF(I33=0,IF(J33=0,IF(K33=0,L30,K30),J30),I30),H30)</f>
        <v>0.7853981633974483</v>
      </c>
    </row>
    <row r="44" spans="1:8" ht="12">
      <c r="A44" s="216" t="s">
        <v>422</v>
      </c>
      <c r="B44" s="217">
        <f>(B35-B41)*B19*0.0254/2</f>
        <v>8541.88594435841</v>
      </c>
      <c r="C44" s="216" t="s">
        <v>96</v>
      </c>
      <c r="D44" s="217">
        <f>(D35-D41)*D19/2</f>
        <v>737488.4259184981</v>
      </c>
      <c r="E44" s="216" t="s">
        <v>97</v>
      </c>
      <c r="G44" s="153"/>
      <c r="H44" s="36"/>
    </row>
    <row r="45" ht="12.75" thickBot="1"/>
    <row r="46" spans="1:12" ht="16.5" thickBot="1">
      <c r="A46" s="261" t="s">
        <v>451</v>
      </c>
      <c r="B46" s="262"/>
      <c r="C46" s="262"/>
      <c r="D46" s="262"/>
      <c r="E46" s="263"/>
      <c r="H46" s="258" t="s">
        <v>456</v>
      </c>
      <c r="I46" s="259"/>
      <c r="J46" s="259"/>
      <c r="K46" s="259"/>
      <c r="L46" s="260"/>
    </row>
    <row r="47" spans="1:12" ht="12">
      <c r="A47" t="s">
        <v>98</v>
      </c>
      <c r="B47" s="4">
        <f>B21*(B6+B11*10)/(8810*0.736)</f>
        <v>32.12118331363653</v>
      </c>
      <c r="C47" t="s">
        <v>99</v>
      </c>
      <c r="D47" s="4">
        <f>D21*(D6+D11)/135600</f>
        <v>30.885593428705455</v>
      </c>
      <c r="E47" t="s">
        <v>99</v>
      </c>
      <c r="J47" s="226" t="s">
        <v>432</v>
      </c>
      <c r="K47" s="226" t="s">
        <v>432</v>
      </c>
      <c r="L47" s="226" t="s">
        <v>432</v>
      </c>
    </row>
    <row r="48" spans="1:12" ht="12">
      <c r="A48" t="s">
        <v>100</v>
      </c>
      <c r="B48" s="4">
        <f>B47/0.41</f>
        <v>78.34434954545495</v>
      </c>
      <c r="C48" t="s">
        <v>99</v>
      </c>
      <c r="D48" s="4">
        <f>D21*(D6+D11)/56000</f>
        <v>74.78725837379392</v>
      </c>
      <c r="E48" t="s">
        <v>99</v>
      </c>
      <c r="J48" s="227">
        <v>1</v>
      </c>
      <c r="K48" s="227">
        <v>0.9</v>
      </c>
      <c r="L48" s="227">
        <v>0.8</v>
      </c>
    </row>
    <row r="49" spans="1:12" ht="12">
      <c r="A49" t="s">
        <v>101</v>
      </c>
      <c r="B49" s="4">
        <f>B47/0.33</f>
        <v>97.3369191322319</v>
      </c>
      <c r="C49" t="s">
        <v>99</v>
      </c>
      <c r="D49" s="4">
        <f>D21*(D6+D11)/45000</f>
        <v>93.0685881984991</v>
      </c>
      <c r="E49" t="s">
        <v>99</v>
      </c>
      <c r="H49" s="153" t="s">
        <v>429</v>
      </c>
      <c r="I49" s="153" t="s">
        <v>429</v>
      </c>
      <c r="J49" s="153" t="s">
        <v>430</v>
      </c>
      <c r="K49" s="153" t="s">
        <v>430</v>
      </c>
      <c r="L49" s="153" t="s">
        <v>430</v>
      </c>
    </row>
    <row r="50" spans="1:12" ht="12">
      <c r="A50" t="s">
        <v>102</v>
      </c>
      <c r="B50" s="4">
        <f>B44*B20/973/0.736</f>
        <v>113.31482147242517</v>
      </c>
      <c r="C50" t="s">
        <v>99</v>
      </c>
      <c r="D50" s="4">
        <f>B50</f>
        <v>113.31482147242517</v>
      </c>
      <c r="E50" t="s">
        <v>99</v>
      </c>
      <c r="H50" s="36">
        <v>0</v>
      </c>
      <c r="I50" s="36">
        <v>0</v>
      </c>
      <c r="J50" s="40">
        <f>H42/4*J48</f>
        <v>28750</v>
      </c>
      <c r="K50" s="40">
        <f>H42/4*K48</f>
        <v>25875</v>
      </c>
      <c r="L50" s="40">
        <f>H42/4*L48</f>
        <v>23000</v>
      </c>
    </row>
    <row r="51" spans="8:12" ht="12.75" thickBot="1">
      <c r="H51" s="40">
        <f>D38</f>
        <v>16362.628007116587</v>
      </c>
      <c r="I51" s="40">
        <f>H51</f>
        <v>16362.628007116587</v>
      </c>
      <c r="J51" s="40">
        <f>(H42/4+0.5625*H51)*J48</f>
        <v>37953.97825400308</v>
      </c>
      <c r="K51" s="40">
        <f>(H42/4+0.5625*H51)*K48</f>
        <v>34158.58042860277</v>
      </c>
      <c r="L51" s="40">
        <f>(H42/4+0.5625*H51)*L48</f>
        <v>30363.182603202466</v>
      </c>
    </row>
    <row r="52" spans="1:12" ht="16.5" thickBot="1">
      <c r="A52" s="261" t="s">
        <v>103</v>
      </c>
      <c r="B52" s="262"/>
      <c r="C52" s="262"/>
      <c r="D52" s="262"/>
      <c r="E52" s="263"/>
      <c r="H52" s="40">
        <f>H42/1.75</f>
        <v>65714.28571428571</v>
      </c>
      <c r="I52" s="40">
        <f>H52</f>
        <v>65714.28571428571</v>
      </c>
      <c r="J52" s="40">
        <f>(H42/4+0.5625*H52)*J48</f>
        <v>65714.28571428571</v>
      </c>
      <c r="K52" s="40">
        <f>(H42/4+0.5625*H52)*K48</f>
        <v>59142.85714285714</v>
      </c>
      <c r="L52" s="40">
        <f>(H42/4+0.5625*H52)*L48</f>
        <v>52571.42857142857</v>
      </c>
    </row>
    <row r="53" spans="1:12" ht="12">
      <c r="A53" t="s">
        <v>104</v>
      </c>
      <c r="B53" s="4">
        <f>0.7*SQRT(60000/B19)</f>
        <v>13.228756555322953</v>
      </c>
      <c r="C53" t="s">
        <v>105</v>
      </c>
      <c r="I53" t="s">
        <v>454</v>
      </c>
      <c r="J53" s="249">
        <f>($D$37-$I$51)/(J51-$I$51)</f>
        <v>1.0354669334919098</v>
      </c>
      <c r="K53" s="249">
        <f>($D$37-$I$51)/(K51-$I$51)</f>
        <v>1.2563041696549022</v>
      </c>
      <c r="L53" s="249">
        <f>($D$37-$I$51)/(L51-$I$51)</f>
        <v>1.5968745435515608</v>
      </c>
    </row>
    <row r="54" spans="1:3" ht="12">
      <c r="A54" t="s">
        <v>106</v>
      </c>
      <c r="B54" s="4">
        <f>0.63*SQRT(60000/B19)</f>
        <v>11.905880899790658</v>
      </c>
      <c r="C54" t="s">
        <v>105</v>
      </c>
    </row>
    <row r="55" spans="1:3" ht="12">
      <c r="A55" t="s">
        <v>107</v>
      </c>
      <c r="B55" s="4">
        <f>0.56*SQRT(60000/B19)</f>
        <v>10.583005244258363</v>
      </c>
      <c r="C55" t="s">
        <v>105</v>
      </c>
    </row>
    <row r="58" spans="7:8" ht="12">
      <c r="G58" s="245" t="s">
        <v>457</v>
      </c>
      <c r="H58" s="245"/>
    </row>
    <row r="60" spans="7:9" ht="12">
      <c r="G60" t="s">
        <v>439</v>
      </c>
      <c r="H60" s="254">
        <v>40</v>
      </c>
      <c r="I60" t="s">
        <v>455</v>
      </c>
    </row>
    <row r="61" spans="7:9" ht="12">
      <c r="G61" t="s">
        <v>440</v>
      </c>
      <c r="H61" s="254">
        <v>60</v>
      </c>
      <c r="I61" t="s">
        <v>455</v>
      </c>
    </row>
    <row r="62" spans="7:9" ht="12">
      <c r="G62" t="s">
        <v>436</v>
      </c>
      <c r="H62" s="2">
        <f>B30</f>
        <v>1.1369015835547223</v>
      </c>
      <c r="I62" t="s">
        <v>1</v>
      </c>
    </row>
    <row r="63" spans="7:9" ht="12">
      <c r="G63" t="s">
        <v>437</v>
      </c>
      <c r="H63" s="2">
        <f>B29</f>
        <v>0.7196485782949787</v>
      </c>
      <c r="I63" t="s">
        <v>1</v>
      </c>
    </row>
    <row r="64" spans="7:9" ht="12">
      <c r="G64" t="s">
        <v>438</v>
      </c>
      <c r="H64" s="2">
        <f>1.2/10^5*B12*(H61-H60)</f>
        <v>0.6744</v>
      </c>
      <c r="I64" t="s">
        <v>1</v>
      </c>
    </row>
    <row r="65" spans="7:9" ht="12">
      <c r="G65" s="245" t="s">
        <v>441</v>
      </c>
      <c r="H65" s="246">
        <f>SUM(H62:H64)</f>
        <v>2.530950161849701</v>
      </c>
      <c r="I65" s="245" t="s">
        <v>1</v>
      </c>
    </row>
    <row r="72" ht="12">
      <c r="H72" s="4"/>
    </row>
  </sheetData>
  <sheetProtection sheet="1" objects="1" scenarios="1"/>
  <mergeCells count="7">
    <mergeCell ref="H46:L46"/>
    <mergeCell ref="A2:E2"/>
    <mergeCell ref="A52:E52"/>
    <mergeCell ref="A17:E17"/>
    <mergeCell ref="A34:E34"/>
    <mergeCell ref="A40:E40"/>
    <mergeCell ref="A46:E46"/>
  </mergeCells>
  <printOptions horizontalCentered="1" verticalCentered="1"/>
  <pageMargins left="0.75" right="0.75" top="1" bottom="1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43"/>
  <sheetViews>
    <sheetView zoomScalePageLayoutView="0" workbookViewId="0" topLeftCell="B1">
      <selection activeCell="M23" sqref="M23"/>
    </sheetView>
  </sheetViews>
  <sheetFormatPr defaultColWidth="11.421875" defaultRowHeight="12"/>
  <cols>
    <col min="1" max="1" width="0.71875" style="0" hidden="1" customWidth="1"/>
    <col min="2" max="2" width="8.140625" style="0" customWidth="1"/>
    <col min="3" max="3" width="7.00390625" style="0" customWidth="1"/>
    <col min="4" max="4" width="6.421875" style="0" customWidth="1"/>
    <col min="5" max="5" width="7.28125" style="0" customWidth="1"/>
    <col min="6" max="6" width="6.7109375" style="0" customWidth="1"/>
    <col min="7" max="7" width="6.421875" style="0" customWidth="1"/>
    <col min="8" max="8" width="7.57421875" style="0" customWidth="1"/>
    <col min="9" max="9" width="6.7109375" style="0" customWidth="1"/>
    <col min="10" max="10" width="7.57421875" style="0" customWidth="1"/>
    <col min="11" max="11" width="7.00390625" style="0" customWidth="1"/>
    <col min="12" max="12" width="7.57421875" style="0" customWidth="1"/>
    <col min="13" max="13" width="6.7109375" style="0" customWidth="1"/>
    <col min="14" max="14" width="8.421875" style="0" customWidth="1"/>
    <col min="15" max="15" width="9.7109375" style="0" customWidth="1"/>
    <col min="16" max="16" width="9.421875" style="0" customWidth="1"/>
    <col min="17" max="17" width="8.57421875" style="0" customWidth="1"/>
    <col min="18" max="18" width="5.421875" style="0" customWidth="1"/>
    <col min="19" max="19" width="9.00390625" style="0" customWidth="1"/>
    <col min="20" max="20" width="10.421875" style="0" customWidth="1"/>
  </cols>
  <sheetData>
    <row r="2" spans="1:19" ht="13.5" thickBot="1">
      <c r="A2" s="42"/>
      <c r="B2" s="42" t="s">
        <v>13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ht="17.25" thickBot="1" thickTop="1">
      <c r="A3" s="42"/>
      <c r="B3" s="43" t="s">
        <v>114</v>
      </c>
      <c r="C3" s="44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4"/>
      <c r="S3" s="46"/>
    </row>
    <row r="4" spans="1:19" ht="14.25" thickBot="1" thickTop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 t="s">
        <v>13</v>
      </c>
      <c r="N4" s="42"/>
      <c r="O4" s="42"/>
      <c r="P4" s="42"/>
      <c r="Q4" s="42"/>
      <c r="R4" s="42"/>
      <c r="S4" s="42"/>
    </row>
    <row r="5" spans="1:19" ht="12.75">
      <c r="A5" s="42"/>
      <c r="B5" s="47"/>
      <c r="C5" s="48" t="s">
        <v>115</v>
      </c>
      <c r="D5" s="48"/>
      <c r="E5" s="49" t="s">
        <v>116</v>
      </c>
      <c r="F5" s="50"/>
      <c r="G5" s="51"/>
      <c r="H5" s="51"/>
      <c r="I5" s="48" t="s">
        <v>117</v>
      </c>
      <c r="J5" s="48"/>
      <c r="K5" s="48"/>
      <c r="L5" s="48"/>
      <c r="M5" s="52"/>
      <c r="N5" s="53" t="s">
        <v>118</v>
      </c>
      <c r="O5" s="49" t="s">
        <v>119</v>
      </c>
      <c r="P5" s="48" t="s">
        <v>120</v>
      </c>
      <c r="Q5" s="48"/>
      <c r="R5" s="48"/>
      <c r="S5" s="54"/>
    </row>
    <row r="6" spans="1:19" ht="12.75">
      <c r="A6" s="42"/>
      <c r="B6" s="55"/>
      <c r="C6" s="56" t="s">
        <v>121</v>
      </c>
      <c r="D6" s="57"/>
      <c r="E6" s="58" t="s">
        <v>122</v>
      </c>
      <c r="F6" s="59"/>
      <c r="G6" s="60" t="s">
        <v>123</v>
      </c>
      <c r="H6" s="60" t="s">
        <v>124</v>
      </c>
      <c r="I6" s="61" t="s">
        <v>125</v>
      </c>
      <c r="J6" s="62" t="s">
        <v>126</v>
      </c>
      <c r="K6" s="62"/>
      <c r="L6" s="62"/>
      <c r="M6" s="63"/>
      <c r="N6" s="64" t="s">
        <v>127</v>
      </c>
      <c r="O6" s="58" t="s">
        <v>128</v>
      </c>
      <c r="P6" s="56"/>
      <c r="Q6" s="57"/>
      <c r="R6" s="56" t="s">
        <v>129</v>
      </c>
      <c r="S6" s="65" t="s">
        <v>130</v>
      </c>
    </row>
    <row r="7" spans="1:19" ht="12.75">
      <c r="A7" s="42"/>
      <c r="B7" s="55" t="s">
        <v>131</v>
      </c>
      <c r="C7" s="64" t="s">
        <v>132</v>
      </c>
      <c r="D7" s="58" t="s">
        <v>121</v>
      </c>
      <c r="E7" s="58" t="s">
        <v>133</v>
      </c>
      <c r="F7" s="59" t="s">
        <v>134</v>
      </c>
      <c r="G7" s="60" t="s">
        <v>135</v>
      </c>
      <c r="H7" s="60" t="s">
        <v>136</v>
      </c>
      <c r="I7" s="59" t="s">
        <v>137</v>
      </c>
      <c r="J7" s="56" t="s">
        <v>132</v>
      </c>
      <c r="K7" s="57" t="s">
        <v>138</v>
      </c>
      <c r="L7" s="56" t="s">
        <v>138</v>
      </c>
      <c r="M7" s="63"/>
      <c r="N7" s="64" t="s">
        <v>139</v>
      </c>
      <c r="O7" s="58" t="s">
        <v>140</v>
      </c>
      <c r="P7" s="64" t="s">
        <v>121</v>
      </c>
      <c r="Q7" s="58" t="s">
        <v>121</v>
      </c>
      <c r="R7" s="64" t="s">
        <v>141</v>
      </c>
      <c r="S7" s="65" t="s">
        <v>142</v>
      </c>
    </row>
    <row r="8" spans="1:19" ht="12.75">
      <c r="A8" s="42"/>
      <c r="B8" s="55" t="s">
        <v>143</v>
      </c>
      <c r="C8" s="64" t="s">
        <v>144</v>
      </c>
      <c r="D8" s="58" t="s">
        <v>138</v>
      </c>
      <c r="E8" s="58" t="s">
        <v>143</v>
      </c>
      <c r="F8" s="59" t="s">
        <v>143</v>
      </c>
      <c r="G8" s="60" t="s">
        <v>145</v>
      </c>
      <c r="H8" s="60" t="s">
        <v>146</v>
      </c>
      <c r="I8" s="59" t="s">
        <v>143</v>
      </c>
      <c r="J8" s="64" t="s">
        <v>144</v>
      </c>
      <c r="K8" s="58" t="s">
        <v>147</v>
      </c>
      <c r="L8" s="64" t="s">
        <v>148</v>
      </c>
      <c r="M8" s="63"/>
      <c r="N8" s="64" t="s">
        <v>149</v>
      </c>
      <c r="O8" s="58" t="s">
        <v>150</v>
      </c>
      <c r="P8" s="64" t="s">
        <v>151</v>
      </c>
      <c r="Q8" s="58" t="s">
        <v>138</v>
      </c>
      <c r="R8" s="64" t="s">
        <v>152</v>
      </c>
      <c r="S8" s="65" t="s">
        <v>153</v>
      </c>
    </row>
    <row r="9" spans="1:19" ht="12.75">
      <c r="A9" s="42"/>
      <c r="B9" s="55" t="s">
        <v>154</v>
      </c>
      <c r="C9" s="64" t="s">
        <v>155</v>
      </c>
      <c r="D9" s="58" t="s">
        <v>156</v>
      </c>
      <c r="E9" s="58" t="s">
        <v>154</v>
      </c>
      <c r="F9" s="59" t="s">
        <v>154</v>
      </c>
      <c r="G9" s="60" t="s">
        <v>157</v>
      </c>
      <c r="H9" s="60" t="s">
        <v>158</v>
      </c>
      <c r="I9" s="59" t="s">
        <v>154</v>
      </c>
      <c r="J9" s="64" t="s">
        <v>143</v>
      </c>
      <c r="K9" s="58" t="s">
        <v>143</v>
      </c>
      <c r="L9" s="64" t="s">
        <v>143</v>
      </c>
      <c r="M9" s="66" t="s">
        <v>159</v>
      </c>
      <c r="N9" s="64" t="s">
        <v>160</v>
      </c>
      <c r="O9" s="58" t="s">
        <v>160</v>
      </c>
      <c r="P9" s="64" t="s">
        <v>161</v>
      </c>
      <c r="Q9" s="58" t="s">
        <v>161</v>
      </c>
      <c r="R9" s="64" t="s">
        <v>161</v>
      </c>
      <c r="S9" s="65" t="s">
        <v>162</v>
      </c>
    </row>
    <row r="10" spans="1:19" ht="13.5" thickBot="1">
      <c r="A10" s="42"/>
      <c r="B10" s="67"/>
      <c r="C10" s="68"/>
      <c r="D10" s="69"/>
      <c r="E10" s="69"/>
      <c r="F10" s="70"/>
      <c r="G10" s="71"/>
      <c r="H10" s="71" t="s">
        <v>163</v>
      </c>
      <c r="I10" s="70"/>
      <c r="J10" s="68" t="s">
        <v>154</v>
      </c>
      <c r="K10" s="69" t="s">
        <v>154</v>
      </c>
      <c r="L10" s="68" t="s">
        <v>154</v>
      </c>
      <c r="M10" s="72"/>
      <c r="N10" s="68"/>
      <c r="O10" s="69"/>
      <c r="P10" s="68"/>
      <c r="Q10" s="69"/>
      <c r="R10" s="68"/>
      <c r="S10" s="73" t="s">
        <v>164</v>
      </c>
    </row>
    <row r="11" spans="1:19" ht="12.75">
      <c r="A11" s="42"/>
      <c r="B11" s="74"/>
      <c r="C11" s="75"/>
      <c r="D11" s="75"/>
      <c r="E11" s="75"/>
      <c r="F11" s="76"/>
      <c r="G11" s="77"/>
      <c r="H11" s="78"/>
      <c r="I11" s="75"/>
      <c r="J11" s="76"/>
      <c r="K11" s="75"/>
      <c r="L11" s="76"/>
      <c r="M11" s="79" t="s">
        <v>165</v>
      </c>
      <c r="N11" s="77">
        <v>5230</v>
      </c>
      <c r="O11" s="80">
        <v>4920</v>
      </c>
      <c r="P11" s="77">
        <v>30130</v>
      </c>
      <c r="Q11" s="77"/>
      <c r="R11" s="80"/>
      <c r="S11" s="81">
        <f>63/0.131</f>
        <v>480.91603053435114</v>
      </c>
    </row>
    <row r="12" spans="1:19" ht="12.75">
      <c r="A12" s="42"/>
      <c r="B12" s="82"/>
      <c r="C12" s="83">
        <v>4</v>
      </c>
      <c r="D12" s="83"/>
      <c r="E12" s="83">
        <v>0.167</v>
      </c>
      <c r="F12" s="84">
        <v>2.041</v>
      </c>
      <c r="G12" s="85">
        <v>747</v>
      </c>
      <c r="H12" s="86" t="s">
        <v>166</v>
      </c>
      <c r="I12" s="83">
        <v>1.947</v>
      </c>
      <c r="J12" s="84">
        <v>2.875</v>
      </c>
      <c r="K12" s="83"/>
      <c r="L12" s="84"/>
      <c r="M12" s="87" t="s">
        <v>167</v>
      </c>
      <c r="N12" s="85">
        <v>7190</v>
      </c>
      <c r="O12" s="88">
        <v>6770</v>
      </c>
      <c r="P12" s="85">
        <v>41430</v>
      </c>
      <c r="Q12" s="85"/>
      <c r="R12" s="88"/>
      <c r="S12" s="89">
        <f>82/0.131</f>
        <v>625.9541984732824</v>
      </c>
    </row>
    <row r="13" spans="1:19" ht="12.75">
      <c r="A13" s="42"/>
      <c r="B13" s="82"/>
      <c r="C13" s="83"/>
      <c r="D13" s="83"/>
      <c r="E13" s="90">
        <v>4.24</v>
      </c>
      <c r="F13" s="84">
        <v>51.8</v>
      </c>
      <c r="G13" s="85"/>
      <c r="H13" s="86" t="s">
        <v>168</v>
      </c>
      <c r="I13" s="83">
        <v>49.45</v>
      </c>
      <c r="J13" s="84">
        <v>73.03</v>
      </c>
      <c r="K13" s="83"/>
      <c r="L13" s="84"/>
      <c r="M13" s="87" t="s">
        <v>169</v>
      </c>
      <c r="N13" s="85">
        <v>9520</v>
      </c>
      <c r="O13" s="88">
        <v>9230</v>
      </c>
      <c r="P13" s="85">
        <v>56500</v>
      </c>
      <c r="Q13" s="85"/>
      <c r="R13" s="88"/>
      <c r="S13" s="89">
        <f>108/0.131</f>
        <v>824.4274809160305</v>
      </c>
    </row>
    <row r="14" spans="1:19" ht="12.75">
      <c r="A14" s="42"/>
      <c r="B14" s="91" t="s">
        <v>170</v>
      </c>
      <c r="C14" s="83"/>
      <c r="D14" s="83"/>
      <c r="E14" s="83"/>
      <c r="F14" s="84"/>
      <c r="G14" s="85"/>
      <c r="H14" s="92"/>
      <c r="I14" s="83"/>
      <c r="J14" s="84"/>
      <c r="K14" s="83"/>
      <c r="L14" s="84"/>
      <c r="M14" s="87" t="s">
        <v>171</v>
      </c>
      <c r="N14" s="85">
        <v>9980</v>
      </c>
      <c r="O14" s="88">
        <v>9840</v>
      </c>
      <c r="P14" s="85">
        <v>60260</v>
      </c>
      <c r="Q14" s="85"/>
      <c r="R14" s="88"/>
      <c r="S14" s="89">
        <f>114/0.131</f>
        <v>870.2290076335878</v>
      </c>
    </row>
    <row r="15" spans="1:19" ht="12.75">
      <c r="A15" s="42"/>
      <c r="B15" s="93" t="s">
        <v>172</v>
      </c>
      <c r="C15" s="94"/>
      <c r="D15" s="94"/>
      <c r="E15" s="94"/>
      <c r="F15" s="95"/>
      <c r="G15" s="96"/>
      <c r="H15" s="97"/>
      <c r="I15" s="94"/>
      <c r="J15" s="95"/>
      <c r="K15" s="94"/>
      <c r="L15" s="95"/>
      <c r="M15" s="98" t="s">
        <v>165</v>
      </c>
      <c r="N15" s="96">
        <v>5890</v>
      </c>
      <c r="O15" s="99">
        <v>5600</v>
      </c>
      <c r="P15" s="96">
        <v>35960</v>
      </c>
      <c r="Q15" s="96">
        <v>52170</v>
      </c>
      <c r="R15" s="99"/>
      <c r="S15" s="100">
        <v>990</v>
      </c>
    </row>
    <row r="16" spans="1:19" ht="12.75">
      <c r="A16" s="42"/>
      <c r="B16" s="101" t="s">
        <v>173</v>
      </c>
      <c r="C16" s="83">
        <v>4.6</v>
      </c>
      <c r="D16" s="83">
        <v>4.7</v>
      </c>
      <c r="E16" s="83">
        <v>0.19</v>
      </c>
      <c r="F16" s="84">
        <v>1.99</v>
      </c>
      <c r="G16" s="85">
        <v>841</v>
      </c>
      <c r="H16" s="86" t="s">
        <v>174</v>
      </c>
      <c r="I16" s="83">
        <v>1.9</v>
      </c>
      <c r="J16" s="84">
        <v>2.87</v>
      </c>
      <c r="K16" s="83">
        <v>3.06</v>
      </c>
      <c r="L16" s="84">
        <v>2.91</v>
      </c>
      <c r="M16" s="87" t="s">
        <v>167</v>
      </c>
      <c r="N16" s="85">
        <v>8100</v>
      </c>
      <c r="O16" s="88">
        <v>7700</v>
      </c>
      <c r="P16" s="85">
        <v>49450</v>
      </c>
      <c r="Q16" s="85">
        <v>71730</v>
      </c>
      <c r="R16" s="88"/>
      <c r="S16" s="89">
        <v>1290</v>
      </c>
    </row>
    <row r="17" spans="1:19" ht="12.75">
      <c r="A17" s="42"/>
      <c r="B17" s="101"/>
      <c r="C17" s="83"/>
      <c r="D17" s="83"/>
      <c r="E17" s="83">
        <v>4.83</v>
      </c>
      <c r="F17" s="84">
        <v>50.6</v>
      </c>
      <c r="G17" s="85"/>
      <c r="H17" s="86" t="s">
        <v>175</v>
      </c>
      <c r="I17" s="83">
        <v>48.29</v>
      </c>
      <c r="J17" s="84">
        <v>73.03</v>
      </c>
      <c r="K17" s="83">
        <v>77.8</v>
      </c>
      <c r="L17" s="84">
        <v>73.91</v>
      </c>
      <c r="M17" s="87" t="s">
        <v>169</v>
      </c>
      <c r="N17" s="85">
        <v>11040</v>
      </c>
      <c r="O17" s="88">
        <v>10500</v>
      </c>
      <c r="P17" s="85">
        <v>67430</v>
      </c>
      <c r="Q17" s="85">
        <v>97820</v>
      </c>
      <c r="R17" s="88"/>
      <c r="S17" s="89">
        <v>1700</v>
      </c>
    </row>
    <row r="18" spans="1:19" ht="12.75">
      <c r="A18" s="42"/>
      <c r="B18" s="101"/>
      <c r="C18" s="83"/>
      <c r="D18" s="83"/>
      <c r="E18" s="83"/>
      <c r="F18" s="84"/>
      <c r="G18" s="85"/>
      <c r="H18" s="92"/>
      <c r="I18" s="83"/>
      <c r="J18" s="84"/>
      <c r="K18" s="83"/>
      <c r="L18" s="84"/>
      <c r="M18" s="87" t="s">
        <v>171</v>
      </c>
      <c r="N18" s="85">
        <v>11780</v>
      </c>
      <c r="O18" s="88">
        <v>11200</v>
      </c>
      <c r="P18" s="85">
        <v>71930</v>
      </c>
      <c r="Q18" s="85">
        <v>104340</v>
      </c>
      <c r="R18" s="88"/>
      <c r="S18" s="89">
        <v>1800</v>
      </c>
    </row>
    <row r="19" spans="1:19" ht="12.75">
      <c r="A19" s="42"/>
      <c r="B19" s="101"/>
      <c r="C19" s="83"/>
      <c r="D19" s="83"/>
      <c r="E19" s="83"/>
      <c r="F19" s="84"/>
      <c r="G19" s="85"/>
      <c r="H19" s="92"/>
      <c r="I19" s="83"/>
      <c r="J19" s="84"/>
      <c r="K19" s="83"/>
      <c r="L19" s="84"/>
      <c r="M19" s="87" t="s">
        <v>176</v>
      </c>
      <c r="N19" s="85">
        <v>15460</v>
      </c>
      <c r="O19" s="88">
        <v>14700</v>
      </c>
      <c r="P19" s="85">
        <v>94410</v>
      </c>
      <c r="Q19" s="85">
        <v>136940</v>
      </c>
      <c r="R19" s="88"/>
      <c r="S19" s="89">
        <v>2270</v>
      </c>
    </row>
    <row r="20" spans="1:19" ht="12.75">
      <c r="A20" s="42"/>
      <c r="B20" s="102"/>
      <c r="C20" s="103"/>
      <c r="D20" s="94"/>
      <c r="E20" s="94">
        <v>0.25</v>
      </c>
      <c r="F20" s="95">
        <v>1.87</v>
      </c>
      <c r="G20" s="96">
        <v>1092</v>
      </c>
      <c r="H20" s="104" t="s">
        <v>177</v>
      </c>
      <c r="I20" s="94">
        <v>1.77</v>
      </c>
      <c r="J20" s="95">
        <v>2.87</v>
      </c>
      <c r="K20" s="94">
        <v>3.06</v>
      </c>
      <c r="L20" s="95">
        <v>2.91</v>
      </c>
      <c r="M20" s="105" t="s">
        <v>169</v>
      </c>
      <c r="N20" s="96">
        <v>14330</v>
      </c>
      <c r="O20" s="99">
        <v>14040</v>
      </c>
      <c r="P20" s="96">
        <v>96560</v>
      </c>
      <c r="Q20" s="96">
        <v>126940</v>
      </c>
      <c r="R20" s="99"/>
      <c r="S20" s="100">
        <v>2120</v>
      </c>
    </row>
    <row r="21" spans="1:19" ht="12.75">
      <c r="A21" s="42"/>
      <c r="B21" s="102"/>
      <c r="C21" s="83">
        <v>5.8</v>
      </c>
      <c r="D21" s="83">
        <v>5.95</v>
      </c>
      <c r="E21" s="83">
        <v>6.45</v>
      </c>
      <c r="F21" s="84">
        <v>47.4</v>
      </c>
      <c r="G21" s="85"/>
      <c r="H21" s="86" t="s">
        <v>178</v>
      </c>
      <c r="I21" s="83">
        <v>45.03</v>
      </c>
      <c r="J21" s="84">
        <v>73.03</v>
      </c>
      <c r="K21" s="83">
        <v>77.8</v>
      </c>
      <c r="L21" s="84">
        <v>73.91</v>
      </c>
      <c r="M21" s="87" t="s">
        <v>171</v>
      </c>
      <c r="N21" s="85">
        <v>15280</v>
      </c>
      <c r="O21" s="88">
        <v>14970</v>
      </c>
      <c r="P21" s="85">
        <v>102990</v>
      </c>
      <c r="Q21" s="85">
        <v>135400</v>
      </c>
      <c r="R21" s="88"/>
      <c r="S21" s="89">
        <v>2240</v>
      </c>
    </row>
    <row r="22" spans="1:19" ht="13.5" thickBot="1">
      <c r="A22" s="42"/>
      <c r="B22" s="106"/>
      <c r="C22" s="107"/>
      <c r="D22" s="108"/>
      <c r="E22" s="108"/>
      <c r="F22" s="109"/>
      <c r="G22" s="110"/>
      <c r="H22" s="111"/>
      <c r="I22" s="108"/>
      <c r="J22" s="109"/>
      <c r="K22" s="108"/>
      <c r="L22" s="109"/>
      <c r="M22" s="112" t="s">
        <v>176</v>
      </c>
      <c r="N22" s="110">
        <v>20060</v>
      </c>
      <c r="O22" s="113">
        <v>19650</v>
      </c>
      <c r="P22" s="110">
        <v>135180</v>
      </c>
      <c r="Q22" s="110">
        <v>177710</v>
      </c>
      <c r="R22" s="113"/>
      <c r="S22" s="114">
        <v>2830</v>
      </c>
    </row>
    <row r="23" spans="1:19" ht="12.75">
      <c r="A23" s="42"/>
      <c r="B23" s="115"/>
      <c r="C23" s="75"/>
      <c r="D23" s="75"/>
      <c r="E23" s="75"/>
      <c r="F23" s="76"/>
      <c r="G23" s="77"/>
      <c r="H23" s="78"/>
      <c r="I23" s="75"/>
      <c r="J23" s="76"/>
      <c r="K23" s="75"/>
      <c r="L23" s="76"/>
      <c r="M23" s="116" t="s">
        <v>165</v>
      </c>
      <c r="N23" s="77">
        <v>5580</v>
      </c>
      <c r="O23" s="80">
        <v>5280</v>
      </c>
      <c r="P23" s="77">
        <v>52780</v>
      </c>
      <c r="Q23" s="77">
        <v>72480</v>
      </c>
      <c r="R23" s="80"/>
      <c r="S23" s="81">
        <v>1250</v>
      </c>
    </row>
    <row r="24" spans="1:19" ht="12.75">
      <c r="A24" s="42"/>
      <c r="B24" s="101"/>
      <c r="C24" s="83" t="s">
        <v>13</v>
      </c>
      <c r="D24" s="83"/>
      <c r="E24" s="83">
        <v>0.22</v>
      </c>
      <c r="F24" s="84">
        <v>2.44</v>
      </c>
      <c r="G24" s="85">
        <v>1169</v>
      </c>
      <c r="H24" s="86" t="s">
        <v>179</v>
      </c>
      <c r="I24" s="83">
        <v>2.35</v>
      </c>
      <c r="J24" s="84">
        <v>3.5</v>
      </c>
      <c r="K24" s="83">
        <v>3.67</v>
      </c>
      <c r="L24" s="84">
        <v>3.46</v>
      </c>
      <c r="M24" s="87" t="s">
        <v>167</v>
      </c>
      <c r="N24" s="85">
        <v>7680</v>
      </c>
      <c r="O24" s="88">
        <v>7260</v>
      </c>
      <c r="P24" s="85">
        <v>72580</v>
      </c>
      <c r="Q24" s="85">
        <v>99660</v>
      </c>
      <c r="R24" s="88"/>
      <c r="S24" s="89">
        <v>1650</v>
      </c>
    </row>
    <row r="25" spans="1:19" ht="12.75">
      <c r="A25" s="42"/>
      <c r="B25" s="101" t="s">
        <v>180</v>
      </c>
      <c r="C25" s="83">
        <v>6.4</v>
      </c>
      <c r="D25" s="83">
        <v>6.5</v>
      </c>
      <c r="E25" s="83">
        <v>5.51</v>
      </c>
      <c r="F25" s="84">
        <v>62</v>
      </c>
      <c r="G25" s="85"/>
      <c r="H25" s="86" t="s">
        <v>181</v>
      </c>
      <c r="I25" s="83">
        <v>59.61</v>
      </c>
      <c r="J25" s="84">
        <v>88.9</v>
      </c>
      <c r="K25" s="83">
        <v>93.17</v>
      </c>
      <c r="L25" s="84">
        <v>87.88</v>
      </c>
      <c r="M25" s="87" t="s">
        <v>169</v>
      </c>
      <c r="N25" s="85">
        <v>10470</v>
      </c>
      <c r="O25" s="88">
        <v>9910</v>
      </c>
      <c r="P25" s="85">
        <v>98970</v>
      </c>
      <c r="Q25" s="85">
        <v>135900</v>
      </c>
      <c r="R25" s="88"/>
      <c r="S25" s="89">
        <v>2170</v>
      </c>
    </row>
    <row r="26" spans="1:19" ht="12.75">
      <c r="A26" s="42"/>
      <c r="B26" s="117" t="s">
        <v>182</v>
      </c>
      <c r="C26" s="83"/>
      <c r="D26" s="83"/>
      <c r="E26" s="83" t="s">
        <v>13</v>
      </c>
      <c r="F26" s="84"/>
      <c r="G26" s="85"/>
      <c r="H26" s="92"/>
      <c r="I26" s="83"/>
      <c r="J26" s="84"/>
      <c r="K26" s="83"/>
      <c r="L26" s="84"/>
      <c r="M26" s="87" t="s">
        <v>171</v>
      </c>
      <c r="N26" s="85">
        <v>11160</v>
      </c>
      <c r="O26" s="88">
        <v>10570</v>
      </c>
      <c r="P26" s="85">
        <v>105570</v>
      </c>
      <c r="Q26" s="85">
        <v>144960</v>
      </c>
      <c r="R26" s="88"/>
      <c r="S26" s="89">
        <v>2300</v>
      </c>
    </row>
    <row r="27" spans="1:19" ht="12.75">
      <c r="A27" s="42"/>
      <c r="B27" s="101">
        <v>73</v>
      </c>
      <c r="C27" s="83"/>
      <c r="D27" s="83"/>
      <c r="E27" s="83"/>
      <c r="F27" s="84"/>
      <c r="G27" s="85"/>
      <c r="H27" s="92"/>
      <c r="I27" s="83"/>
      <c r="J27" s="84"/>
      <c r="K27" s="83"/>
      <c r="L27" s="84"/>
      <c r="M27" s="87" t="s">
        <v>176</v>
      </c>
      <c r="N27" s="85">
        <v>14010</v>
      </c>
      <c r="O27" s="88">
        <v>13870</v>
      </c>
      <c r="P27" s="85">
        <v>138560</v>
      </c>
      <c r="Q27" s="85">
        <v>190260</v>
      </c>
      <c r="R27" s="88"/>
      <c r="S27" s="89">
        <v>2910</v>
      </c>
    </row>
    <row r="28" spans="1:19" ht="12.75">
      <c r="A28" s="42"/>
      <c r="B28" s="101"/>
      <c r="C28" s="94"/>
      <c r="D28" s="94"/>
      <c r="E28" s="94">
        <v>0.28</v>
      </c>
      <c r="F28" s="95">
        <v>2.32</v>
      </c>
      <c r="G28" s="96">
        <v>1454</v>
      </c>
      <c r="H28" s="97"/>
      <c r="I28" s="94">
        <v>2.23</v>
      </c>
      <c r="J28" s="95">
        <v>3.5</v>
      </c>
      <c r="K28" s="94">
        <v>3.67</v>
      </c>
      <c r="L28" s="95">
        <v>3.46</v>
      </c>
      <c r="M28" s="105" t="s">
        <v>169</v>
      </c>
      <c r="N28" s="96">
        <v>13020</v>
      </c>
      <c r="O28" s="99">
        <v>12600</v>
      </c>
      <c r="P28" s="96">
        <v>132100</v>
      </c>
      <c r="Q28" s="96">
        <v>169000</v>
      </c>
      <c r="R28" s="99"/>
      <c r="S28" s="100"/>
    </row>
    <row r="29" spans="1:19" ht="12.75">
      <c r="A29" s="42"/>
      <c r="B29" s="101"/>
      <c r="C29" s="83">
        <v>7.8</v>
      </c>
      <c r="D29" s="83">
        <v>7.9</v>
      </c>
      <c r="E29" s="83">
        <v>7.01</v>
      </c>
      <c r="F29" s="84">
        <v>59</v>
      </c>
      <c r="G29" s="85"/>
      <c r="H29" s="92"/>
      <c r="I29" s="83">
        <v>56.6</v>
      </c>
      <c r="J29" s="84">
        <v>88.9</v>
      </c>
      <c r="K29" s="83">
        <v>93.17</v>
      </c>
      <c r="L29" s="84">
        <v>87.88</v>
      </c>
      <c r="M29" s="87" t="s">
        <v>171</v>
      </c>
      <c r="N29" s="85">
        <v>13890</v>
      </c>
      <c r="O29" s="88">
        <v>13440</v>
      </c>
      <c r="P29" s="85">
        <v>140900</v>
      </c>
      <c r="Q29" s="85">
        <v>180300</v>
      </c>
      <c r="R29" s="88"/>
      <c r="S29" s="89"/>
    </row>
    <row r="30" spans="1:19" ht="13.5" thickBot="1">
      <c r="A30" s="42"/>
      <c r="B30" s="118"/>
      <c r="C30" s="108"/>
      <c r="D30" s="108"/>
      <c r="E30" s="108"/>
      <c r="F30" s="109"/>
      <c r="G30" s="110"/>
      <c r="H30" s="111"/>
      <c r="I30" s="108"/>
      <c r="J30" s="109"/>
      <c r="K30" s="108"/>
      <c r="L30" s="109"/>
      <c r="M30" s="112" t="s">
        <v>176</v>
      </c>
      <c r="N30" s="110">
        <v>18220</v>
      </c>
      <c r="O30" s="113">
        <v>17640</v>
      </c>
      <c r="P30" s="110">
        <v>184900</v>
      </c>
      <c r="Q30" s="110">
        <v>236600</v>
      </c>
      <c r="R30" s="113"/>
      <c r="S30" s="114"/>
    </row>
    <row r="31" spans="1:19" ht="12.75">
      <c r="A31" s="42"/>
      <c r="B31" s="119"/>
      <c r="C31" s="75"/>
      <c r="D31" s="75"/>
      <c r="E31" s="75"/>
      <c r="F31" s="76"/>
      <c r="G31" s="77"/>
      <c r="H31" s="78"/>
      <c r="I31" s="75"/>
      <c r="J31" s="76"/>
      <c r="K31" s="75"/>
      <c r="L31" s="76"/>
      <c r="M31" s="79" t="s">
        <v>165</v>
      </c>
      <c r="N31" s="77">
        <v>4630</v>
      </c>
      <c r="O31" s="80">
        <v>4320</v>
      </c>
      <c r="P31" s="77">
        <v>65070</v>
      </c>
      <c r="Q31" s="77"/>
      <c r="R31" s="80"/>
      <c r="S31" s="81" t="s">
        <v>13</v>
      </c>
    </row>
    <row r="32" spans="1:19" ht="12.75">
      <c r="A32" s="42"/>
      <c r="B32" s="102"/>
      <c r="C32" s="83">
        <v>7.7</v>
      </c>
      <c r="D32" s="83"/>
      <c r="E32" s="83">
        <v>0.216</v>
      </c>
      <c r="F32" s="84">
        <v>3.07</v>
      </c>
      <c r="G32" s="85">
        <v>1438</v>
      </c>
      <c r="H32" s="86" t="s">
        <v>183</v>
      </c>
      <c r="I32" s="83">
        <v>2.94</v>
      </c>
      <c r="J32" s="84">
        <v>4.25</v>
      </c>
      <c r="K32" s="83"/>
      <c r="L32" s="84"/>
      <c r="M32" s="87" t="s">
        <v>167</v>
      </c>
      <c r="N32" s="85">
        <v>5970</v>
      </c>
      <c r="O32" s="88">
        <v>5940</v>
      </c>
      <c r="P32" s="85">
        <v>89470</v>
      </c>
      <c r="Q32" s="85"/>
      <c r="R32" s="88"/>
      <c r="S32" s="89" t="s">
        <v>13</v>
      </c>
    </row>
    <row r="33" spans="1:19" ht="12.75">
      <c r="A33" s="42"/>
      <c r="B33" s="102"/>
      <c r="C33" s="83"/>
      <c r="D33" s="83"/>
      <c r="E33" s="83">
        <v>5.49</v>
      </c>
      <c r="F33" s="84">
        <v>77.9</v>
      </c>
      <c r="G33" s="85"/>
      <c r="H33" s="86" t="s">
        <v>184</v>
      </c>
      <c r="I33" s="83">
        <v>74.75</v>
      </c>
      <c r="J33" s="84">
        <v>107.95</v>
      </c>
      <c r="K33" s="83"/>
      <c r="L33" s="84"/>
      <c r="M33" s="87" t="s">
        <v>169</v>
      </c>
      <c r="N33" s="85">
        <v>7540</v>
      </c>
      <c r="O33" s="88">
        <v>8100</v>
      </c>
      <c r="P33" s="85">
        <v>122010</v>
      </c>
      <c r="Q33" s="85"/>
      <c r="R33" s="88"/>
      <c r="S33" s="89" t="s">
        <v>13</v>
      </c>
    </row>
    <row r="34" spans="1:19" ht="12.75">
      <c r="A34" s="42"/>
      <c r="B34" s="102"/>
      <c r="C34" s="83"/>
      <c r="D34" s="83"/>
      <c r="E34" s="83"/>
      <c r="F34" s="84"/>
      <c r="G34" s="85"/>
      <c r="H34" s="92"/>
      <c r="I34" s="83"/>
      <c r="J34" s="84"/>
      <c r="K34" s="83"/>
      <c r="L34" s="84"/>
      <c r="M34" s="87" t="s">
        <v>171</v>
      </c>
      <c r="N34" s="85">
        <v>7870</v>
      </c>
      <c r="O34" s="88">
        <v>8640</v>
      </c>
      <c r="P34" s="85">
        <v>130140</v>
      </c>
      <c r="Q34" s="85"/>
      <c r="R34" s="88"/>
      <c r="S34" s="89" t="s">
        <v>13</v>
      </c>
    </row>
    <row r="35" spans="1:19" ht="12.75">
      <c r="A35" s="42"/>
      <c r="B35" s="101"/>
      <c r="C35" s="94"/>
      <c r="D35" s="94"/>
      <c r="E35" s="94"/>
      <c r="F35" s="95"/>
      <c r="G35" s="96"/>
      <c r="H35" s="97"/>
      <c r="I35" s="94"/>
      <c r="J35" s="95"/>
      <c r="K35" s="94"/>
      <c r="L35" s="95"/>
      <c r="M35" s="105" t="s">
        <v>165</v>
      </c>
      <c r="N35" s="96">
        <v>5380</v>
      </c>
      <c r="O35" s="99">
        <v>5080</v>
      </c>
      <c r="P35" s="96">
        <v>79540</v>
      </c>
      <c r="Q35" s="96">
        <v>103610</v>
      </c>
      <c r="R35" s="99"/>
      <c r="S35" s="100">
        <v>1730</v>
      </c>
    </row>
    <row r="36" spans="1:19" ht="12.75">
      <c r="A36" s="42"/>
      <c r="B36" s="82" t="s">
        <v>185</v>
      </c>
      <c r="C36" s="83"/>
      <c r="D36" s="83"/>
      <c r="E36" s="83"/>
      <c r="F36" s="84"/>
      <c r="G36" s="85"/>
      <c r="H36" s="92"/>
      <c r="I36" s="83"/>
      <c r="J36" s="84"/>
      <c r="K36" s="83"/>
      <c r="L36" s="84"/>
      <c r="M36" s="87" t="s">
        <v>167</v>
      </c>
      <c r="N36" s="85">
        <v>7400</v>
      </c>
      <c r="O36" s="88">
        <v>6980</v>
      </c>
      <c r="P36" s="85">
        <v>109370</v>
      </c>
      <c r="Q36" s="85">
        <v>142460</v>
      </c>
      <c r="R36" s="88"/>
      <c r="S36" s="89">
        <v>2280</v>
      </c>
    </row>
    <row r="37" spans="1:19" ht="12.75">
      <c r="A37" s="42"/>
      <c r="B37" s="120" t="s">
        <v>186</v>
      </c>
      <c r="C37" s="83">
        <v>9.2</v>
      </c>
      <c r="D37" s="83">
        <v>9.3</v>
      </c>
      <c r="E37" s="83">
        <v>0.25</v>
      </c>
      <c r="F37" s="84">
        <v>2.99</v>
      </c>
      <c r="G37" s="85">
        <v>1671</v>
      </c>
      <c r="H37" s="86" t="s">
        <v>187</v>
      </c>
      <c r="I37" s="83">
        <v>2.87</v>
      </c>
      <c r="J37" s="84">
        <v>4.25</v>
      </c>
      <c r="K37" s="83">
        <v>4.5</v>
      </c>
      <c r="L37" s="84">
        <v>4.18</v>
      </c>
      <c r="M37" s="87" t="s">
        <v>169</v>
      </c>
      <c r="N37" s="85">
        <v>10040</v>
      </c>
      <c r="O37" s="88">
        <v>9520</v>
      </c>
      <c r="P37" s="85">
        <v>149140</v>
      </c>
      <c r="Q37" s="85">
        <v>194260</v>
      </c>
      <c r="R37" s="88"/>
      <c r="S37" s="89">
        <v>3010</v>
      </c>
    </row>
    <row r="38" spans="1:19" ht="12.75">
      <c r="A38" s="42"/>
      <c r="B38" s="82">
        <v>88.9</v>
      </c>
      <c r="C38" s="83"/>
      <c r="D38" s="83"/>
      <c r="E38" s="83">
        <v>6.45</v>
      </c>
      <c r="F38" s="84">
        <v>76</v>
      </c>
      <c r="G38" s="85"/>
      <c r="H38" s="86" t="s">
        <v>188</v>
      </c>
      <c r="I38" s="83">
        <v>72.82</v>
      </c>
      <c r="J38" s="84">
        <v>107.95</v>
      </c>
      <c r="K38" s="83">
        <v>114.3</v>
      </c>
      <c r="L38" s="84">
        <v>106.17</v>
      </c>
      <c r="M38" s="87" t="s">
        <v>171</v>
      </c>
      <c r="N38" s="85">
        <v>10530</v>
      </c>
      <c r="O38" s="88">
        <v>10160</v>
      </c>
      <c r="P38" s="85">
        <v>159090</v>
      </c>
      <c r="Q38" s="85">
        <v>202220</v>
      </c>
      <c r="R38" s="88"/>
      <c r="S38" s="89">
        <v>3200</v>
      </c>
    </row>
    <row r="39" spans="1:19" ht="12.75">
      <c r="A39" s="42"/>
      <c r="B39" s="101"/>
      <c r="C39" s="83"/>
      <c r="D39" s="83"/>
      <c r="E39" s="83"/>
      <c r="F39" s="84"/>
      <c r="G39" s="85"/>
      <c r="H39" s="92"/>
      <c r="I39" s="83"/>
      <c r="J39" s="84"/>
      <c r="K39" s="83"/>
      <c r="L39" s="84"/>
      <c r="M39" s="87" t="s">
        <v>176</v>
      </c>
      <c r="N39" s="85">
        <v>13050</v>
      </c>
      <c r="O39" s="88">
        <v>13340</v>
      </c>
      <c r="P39" s="85">
        <v>208800</v>
      </c>
      <c r="Q39" s="85">
        <v>271970</v>
      </c>
      <c r="R39" s="88"/>
      <c r="S39" s="89">
        <v>4050</v>
      </c>
    </row>
    <row r="40" spans="1:19" ht="12.75">
      <c r="A40" s="42"/>
      <c r="B40" s="101"/>
      <c r="C40" s="94"/>
      <c r="D40" s="94"/>
      <c r="E40" s="94"/>
      <c r="F40" s="95"/>
      <c r="G40" s="96"/>
      <c r="H40" s="97"/>
      <c r="I40" s="94"/>
      <c r="J40" s="95"/>
      <c r="K40" s="94"/>
      <c r="L40" s="95"/>
      <c r="M40" s="105" t="s">
        <v>165</v>
      </c>
      <c r="N40" s="96">
        <v>6060</v>
      </c>
      <c r="O40" s="99">
        <v>5780</v>
      </c>
      <c r="P40" s="96">
        <v>92550</v>
      </c>
      <c r="Q40" s="96"/>
      <c r="R40" s="99"/>
      <c r="S40" s="100" t="s">
        <v>13</v>
      </c>
    </row>
    <row r="41" spans="1:19" ht="12.75">
      <c r="A41" s="42"/>
      <c r="B41" s="102"/>
      <c r="C41" s="83">
        <v>10.2</v>
      </c>
      <c r="D41" s="83"/>
      <c r="E41" s="83">
        <v>0.29</v>
      </c>
      <c r="F41" s="84">
        <v>2.92</v>
      </c>
      <c r="G41" s="85">
        <v>1881</v>
      </c>
      <c r="H41" s="86" t="s">
        <v>189</v>
      </c>
      <c r="I41" s="83">
        <v>2.78</v>
      </c>
      <c r="J41" s="84">
        <v>4.25</v>
      </c>
      <c r="K41" s="83"/>
      <c r="L41" s="84"/>
      <c r="M41" s="87" t="s">
        <v>167</v>
      </c>
      <c r="N41" s="85">
        <v>8330</v>
      </c>
      <c r="O41" s="88">
        <v>7950</v>
      </c>
      <c r="P41" s="85">
        <v>127250</v>
      </c>
      <c r="Q41" s="85"/>
      <c r="R41" s="88"/>
      <c r="S41" s="89">
        <f>230/0.131</f>
        <v>1755.7251908396945</v>
      </c>
    </row>
    <row r="42" spans="1:19" ht="12.75">
      <c r="A42" s="42"/>
      <c r="B42" s="102"/>
      <c r="C42" s="83"/>
      <c r="D42" s="83"/>
      <c r="E42" s="83">
        <v>7.34</v>
      </c>
      <c r="F42" s="84">
        <v>74.2</v>
      </c>
      <c r="G42" s="85"/>
      <c r="H42" s="86" t="s">
        <v>190</v>
      </c>
      <c r="I42" s="83">
        <v>71.04</v>
      </c>
      <c r="J42" s="84">
        <v>107.95</v>
      </c>
      <c r="K42" s="83"/>
      <c r="L42" s="84"/>
      <c r="M42" s="87" t="s">
        <v>169</v>
      </c>
      <c r="N42" s="85">
        <v>11360</v>
      </c>
      <c r="O42" s="88">
        <v>10840</v>
      </c>
      <c r="P42" s="85">
        <v>173530</v>
      </c>
      <c r="Q42" s="85"/>
      <c r="R42" s="88"/>
      <c r="S42" s="89">
        <f>305/0.131</f>
        <v>2328.2442748091603</v>
      </c>
    </row>
    <row r="43" spans="1:19" ht="13.5" thickBot="1">
      <c r="A43" s="42"/>
      <c r="B43" s="121"/>
      <c r="C43" s="122"/>
      <c r="D43" s="122"/>
      <c r="E43" s="122"/>
      <c r="F43" s="123"/>
      <c r="G43" s="124"/>
      <c r="H43" s="125"/>
      <c r="I43" s="122"/>
      <c r="J43" s="123"/>
      <c r="K43" s="122"/>
      <c r="L43" s="123"/>
      <c r="M43" s="126" t="s">
        <v>171</v>
      </c>
      <c r="N43" s="124">
        <v>12120</v>
      </c>
      <c r="O43" s="127">
        <v>11560</v>
      </c>
      <c r="P43" s="124">
        <v>185100</v>
      </c>
      <c r="Q43" s="124"/>
      <c r="R43" s="127"/>
      <c r="S43" s="128">
        <f>325/0.131</f>
        <v>2480.916030534351</v>
      </c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28"/>
  <sheetViews>
    <sheetView zoomScalePageLayoutView="0" workbookViewId="0" topLeftCell="A1">
      <selection activeCell="F3" sqref="F3"/>
    </sheetView>
  </sheetViews>
  <sheetFormatPr defaultColWidth="11.421875" defaultRowHeight="12"/>
  <cols>
    <col min="1" max="1" width="12.57421875" style="0" bestFit="1" customWidth="1"/>
    <col min="2" max="2" width="9.00390625" style="0" bestFit="1" customWidth="1"/>
    <col min="3" max="3" width="14.7109375" style="0" bestFit="1" customWidth="1"/>
    <col min="4" max="9" width="16.421875" style="0" customWidth="1"/>
    <col min="10" max="10" width="18.140625" style="0" bestFit="1" customWidth="1"/>
    <col min="11" max="11" width="14.28125" style="0" bestFit="1" customWidth="1"/>
    <col min="12" max="12" width="19.7109375" style="0" bestFit="1" customWidth="1"/>
    <col min="13" max="13" width="16.421875" style="0" bestFit="1" customWidth="1"/>
    <col min="14" max="14" width="18.00390625" style="0" bestFit="1" customWidth="1"/>
    <col min="15" max="18" width="10.8515625" style="0" customWidth="1"/>
    <col min="19" max="19" width="120.00390625" style="0" bestFit="1" customWidth="1"/>
  </cols>
  <sheetData>
    <row r="1" spans="1:19" ht="14.25" thickBot="1" thickTop="1">
      <c r="A1" s="129" t="s">
        <v>204</v>
      </c>
      <c r="B1" s="130"/>
      <c r="C1" s="131"/>
      <c r="D1" s="132" t="s">
        <v>205</v>
      </c>
      <c r="E1" s="133"/>
      <c r="F1" s="132" t="s">
        <v>206</v>
      </c>
      <c r="G1" s="134"/>
      <c r="H1" s="132" t="s">
        <v>207</v>
      </c>
      <c r="I1" s="134"/>
      <c r="J1" s="135" t="s">
        <v>208</v>
      </c>
      <c r="K1" s="135" t="s">
        <v>209</v>
      </c>
      <c r="L1" s="135" t="s">
        <v>210</v>
      </c>
      <c r="M1" s="135" t="s">
        <v>211</v>
      </c>
      <c r="N1" s="135" t="s">
        <v>212</v>
      </c>
      <c r="O1" s="132" t="s">
        <v>213</v>
      </c>
      <c r="P1" s="134"/>
      <c r="Q1" s="132"/>
      <c r="R1" s="133"/>
      <c r="S1" s="136"/>
    </row>
    <row r="2" spans="1:19" ht="14.25" thickBot="1" thickTop="1">
      <c r="A2" s="137" t="s">
        <v>214</v>
      </c>
      <c r="B2" s="137" t="s">
        <v>215</v>
      </c>
      <c r="C2" s="137" t="s">
        <v>216</v>
      </c>
      <c r="D2" s="137" t="s">
        <v>217</v>
      </c>
      <c r="E2" s="137" t="s">
        <v>218</v>
      </c>
      <c r="F2" s="137" t="s">
        <v>217</v>
      </c>
      <c r="G2" s="137" t="s">
        <v>218</v>
      </c>
      <c r="H2" s="138" t="s">
        <v>217</v>
      </c>
      <c r="I2" s="139" t="s">
        <v>218</v>
      </c>
      <c r="J2" s="140"/>
      <c r="K2" s="141"/>
      <c r="L2" s="140"/>
      <c r="M2" s="140"/>
      <c r="N2" s="142"/>
      <c r="O2" s="143" t="s">
        <v>219</v>
      </c>
      <c r="P2" s="139" t="s">
        <v>220</v>
      </c>
      <c r="Q2" s="137" t="s">
        <v>219</v>
      </c>
      <c r="R2" s="137" t="s">
        <v>220</v>
      </c>
      <c r="S2" s="144" t="s">
        <v>221</v>
      </c>
    </row>
    <row r="3" spans="1:19" ht="12.75" thickTop="1">
      <c r="A3" s="145">
        <v>1.5</v>
      </c>
      <c r="B3" s="146" t="s">
        <v>222</v>
      </c>
      <c r="C3" s="147" t="s">
        <v>223</v>
      </c>
      <c r="D3" s="148" t="s">
        <v>224</v>
      </c>
      <c r="E3" s="148" t="s">
        <v>225</v>
      </c>
      <c r="F3" s="148" t="s">
        <v>226</v>
      </c>
      <c r="G3" s="148" t="s">
        <v>227</v>
      </c>
      <c r="H3" s="148" t="s">
        <v>228</v>
      </c>
      <c r="I3" s="148" t="s">
        <v>229</v>
      </c>
      <c r="J3" s="148">
        <v>10</v>
      </c>
      <c r="K3" s="148">
        <v>45</v>
      </c>
      <c r="L3" s="148" t="s">
        <v>230</v>
      </c>
      <c r="M3" s="148" t="s">
        <v>231</v>
      </c>
      <c r="N3" s="149">
        <v>75</v>
      </c>
      <c r="O3" s="148" t="s">
        <v>231</v>
      </c>
      <c r="P3" s="148" t="s">
        <v>231</v>
      </c>
      <c r="Q3" s="148" t="s">
        <v>231</v>
      </c>
      <c r="R3" s="150" t="s">
        <v>231</v>
      </c>
      <c r="S3" s="151" t="s">
        <v>232</v>
      </c>
    </row>
    <row r="4" spans="1:19" ht="12">
      <c r="A4" s="145">
        <v>1.125</v>
      </c>
      <c r="B4" s="146" t="s">
        <v>233</v>
      </c>
      <c r="C4" s="152" t="s">
        <v>234</v>
      </c>
      <c r="D4" s="40" t="s">
        <v>235</v>
      </c>
      <c r="E4" s="40">
        <v>115</v>
      </c>
      <c r="F4" s="36" t="s">
        <v>231</v>
      </c>
      <c r="G4" s="36" t="s">
        <v>231</v>
      </c>
      <c r="H4" s="36">
        <v>50</v>
      </c>
      <c r="I4" s="36" t="s">
        <v>236</v>
      </c>
      <c r="J4" s="36" t="s">
        <v>231</v>
      </c>
      <c r="K4" s="36" t="s">
        <v>231</v>
      </c>
      <c r="L4" s="36" t="s">
        <v>231</v>
      </c>
      <c r="M4" s="153" t="s">
        <v>237</v>
      </c>
      <c r="N4" s="154">
        <v>48.31</v>
      </c>
      <c r="O4" s="36" t="s">
        <v>238</v>
      </c>
      <c r="P4" s="36" t="s">
        <v>239</v>
      </c>
      <c r="Q4" s="36" t="s">
        <v>240</v>
      </c>
      <c r="R4" s="155" t="s">
        <v>241</v>
      </c>
      <c r="S4" s="156" t="s">
        <v>242</v>
      </c>
    </row>
    <row r="5" spans="1:19" ht="12">
      <c r="A5" s="145">
        <v>1.125</v>
      </c>
      <c r="B5" s="146" t="s">
        <v>233</v>
      </c>
      <c r="C5" s="152" t="s">
        <v>243</v>
      </c>
      <c r="D5" s="40" t="s">
        <v>235</v>
      </c>
      <c r="E5" s="40">
        <v>115</v>
      </c>
      <c r="F5" s="36" t="s">
        <v>231</v>
      </c>
      <c r="G5" s="36" t="s">
        <v>231</v>
      </c>
      <c r="H5" s="36">
        <v>50</v>
      </c>
      <c r="I5" s="36" t="s">
        <v>236</v>
      </c>
      <c r="J5" s="36" t="s">
        <v>231</v>
      </c>
      <c r="K5" s="36" t="s">
        <v>231</v>
      </c>
      <c r="L5" s="36" t="s">
        <v>231</v>
      </c>
      <c r="M5" s="153" t="s">
        <v>237</v>
      </c>
      <c r="N5" s="154">
        <v>40.64</v>
      </c>
      <c r="O5" s="36" t="s">
        <v>238</v>
      </c>
      <c r="P5" s="36" t="s">
        <v>239</v>
      </c>
      <c r="Q5" s="36" t="s">
        <v>240</v>
      </c>
      <c r="R5" s="155" t="s">
        <v>241</v>
      </c>
      <c r="S5" s="156" t="s">
        <v>242</v>
      </c>
    </row>
    <row r="6" spans="1:19" ht="12">
      <c r="A6" s="145">
        <v>1.125</v>
      </c>
      <c r="B6" s="146" t="s">
        <v>233</v>
      </c>
      <c r="C6" s="152" t="s">
        <v>244</v>
      </c>
      <c r="D6" s="40" t="s">
        <v>235</v>
      </c>
      <c r="E6" s="40">
        <v>115</v>
      </c>
      <c r="F6" s="36" t="s">
        <v>231</v>
      </c>
      <c r="G6" s="36" t="s">
        <v>231</v>
      </c>
      <c r="H6" s="36">
        <v>50</v>
      </c>
      <c r="I6" s="36" t="s">
        <v>236</v>
      </c>
      <c r="J6" s="36" t="s">
        <v>231</v>
      </c>
      <c r="K6" s="36" t="s">
        <v>231</v>
      </c>
      <c r="L6" s="36" t="s">
        <v>231</v>
      </c>
      <c r="M6" s="153" t="s">
        <v>237</v>
      </c>
      <c r="N6" s="154" t="s">
        <v>245</v>
      </c>
      <c r="O6" s="36" t="s">
        <v>238</v>
      </c>
      <c r="P6" s="36" t="s">
        <v>239</v>
      </c>
      <c r="Q6" s="36" t="s">
        <v>240</v>
      </c>
      <c r="R6" s="155" t="s">
        <v>241</v>
      </c>
      <c r="S6" s="156" t="s">
        <v>242</v>
      </c>
    </row>
    <row r="7" spans="1:19" ht="12">
      <c r="A7" s="145">
        <v>1.125</v>
      </c>
      <c r="B7" s="146" t="s">
        <v>233</v>
      </c>
      <c r="C7" s="152" t="s">
        <v>246</v>
      </c>
      <c r="D7" s="40" t="s">
        <v>235</v>
      </c>
      <c r="E7" s="40">
        <v>115</v>
      </c>
      <c r="F7" s="36" t="s">
        <v>231</v>
      </c>
      <c r="G7" s="36" t="s">
        <v>231</v>
      </c>
      <c r="H7" s="36">
        <v>50</v>
      </c>
      <c r="I7" s="36" t="s">
        <v>236</v>
      </c>
      <c r="J7" s="36" t="s">
        <v>231</v>
      </c>
      <c r="K7" s="36" t="s">
        <v>231</v>
      </c>
      <c r="L7" s="36" t="s">
        <v>231</v>
      </c>
      <c r="M7" s="153" t="s">
        <v>237</v>
      </c>
      <c r="N7" s="154" t="s">
        <v>247</v>
      </c>
      <c r="O7" s="36" t="s">
        <v>238</v>
      </c>
      <c r="P7" s="36" t="s">
        <v>239</v>
      </c>
      <c r="Q7" s="36" t="s">
        <v>240</v>
      </c>
      <c r="R7" s="155" t="s">
        <v>241</v>
      </c>
      <c r="S7" s="156" t="s">
        <v>242</v>
      </c>
    </row>
    <row r="8" spans="1:19" ht="12">
      <c r="A8" s="145">
        <v>1.125</v>
      </c>
      <c r="B8" s="146" t="s">
        <v>233</v>
      </c>
      <c r="C8" s="152" t="s">
        <v>248</v>
      </c>
      <c r="D8" s="40" t="s">
        <v>235</v>
      </c>
      <c r="E8" s="40">
        <v>115</v>
      </c>
      <c r="F8" s="36" t="s">
        <v>231</v>
      </c>
      <c r="G8" s="36" t="s">
        <v>231</v>
      </c>
      <c r="H8" s="36">
        <v>50</v>
      </c>
      <c r="I8" s="36" t="s">
        <v>236</v>
      </c>
      <c r="J8" s="36" t="s">
        <v>231</v>
      </c>
      <c r="K8" s="36" t="s">
        <v>231</v>
      </c>
      <c r="L8" s="36" t="s">
        <v>231</v>
      </c>
      <c r="M8" s="153" t="s">
        <v>237</v>
      </c>
      <c r="N8" s="154" t="s">
        <v>249</v>
      </c>
      <c r="O8" s="36" t="s">
        <v>238</v>
      </c>
      <c r="P8" s="36" t="s">
        <v>239</v>
      </c>
      <c r="Q8" s="36" t="s">
        <v>240</v>
      </c>
      <c r="R8" s="155" t="s">
        <v>241</v>
      </c>
      <c r="S8" s="156" t="s">
        <v>242</v>
      </c>
    </row>
    <row r="9" spans="1:19" ht="12">
      <c r="A9" s="145">
        <v>1.125</v>
      </c>
      <c r="B9" s="146" t="s">
        <v>233</v>
      </c>
      <c r="C9" s="152" t="s">
        <v>250</v>
      </c>
      <c r="D9" s="40" t="s">
        <v>235</v>
      </c>
      <c r="E9" s="40">
        <v>115</v>
      </c>
      <c r="F9" s="36" t="s">
        <v>231</v>
      </c>
      <c r="G9" s="36" t="s">
        <v>231</v>
      </c>
      <c r="H9" s="36">
        <v>50</v>
      </c>
      <c r="I9" s="36" t="s">
        <v>236</v>
      </c>
      <c r="J9" s="36" t="s">
        <v>231</v>
      </c>
      <c r="K9" s="36" t="s">
        <v>231</v>
      </c>
      <c r="L9" s="36" t="s">
        <v>231</v>
      </c>
      <c r="M9" s="153" t="s">
        <v>237</v>
      </c>
      <c r="N9" s="154" t="s">
        <v>251</v>
      </c>
      <c r="O9" s="36" t="s">
        <v>238</v>
      </c>
      <c r="P9" s="36" t="s">
        <v>239</v>
      </c>
      <c r="Q9" s="36" t="s">
        <v>240</v>
      </c>
      <c r="R9" s="155" t="s">
        <v>241</v>
      </c>
      <c r="S9" s="156" t="s">
        <v>242</v>
      </c>
    </row>
    <row r="10" spans="1:19" ht="12">
      <c r="A10" s="145">
        <v>1.125</v>
      </c>
      <c r="B10" s="146" t="s">
        <v>233</v>
      </c>
      <c r="C10" s="152" t="s">
        <v>252</v>
      </c>
      <c r="D10" s="40" t="s">
        <v>235</v>
      </c>
      <c r="E10" s="40">
        <v>115</v>
      </c>
      <c r="F10" s="36" t="s">
        <v>231</v>
      </c>
      <c r="G10" s="36" t="s">
        <v>231</v>
      </c>
      <c r="H10" s="36">
        <v>50</v>
      </c>
      <c r="I10" s="36" t="s">
        <v>236</v>
      </c>
      <c r="J10" s="36" t="s">
        <v>231</v>
      </c>
      <c r="K10" s="36" t="s">
        <v>231</v>
      </c>
      <c r="L10" s="36" t="s">
        <v>231</v>
      </c>
      <c r="M10" s="153" t="s">
        <v>237</v>
      </c>
      <c r="N10" s="154" t="s">
        <v>231</v>
      </c>
      <c r="O10" s="36" t="s">
        <v>238</v>
      </c>
      <c r="P10" s="36" t="s">
        <v>239</v>
      </c>
      <c r="Q10" s="36" t="s">
        <v>240</v>
      </c>
      <c r="R10" s="155" t="s">
        <v>241</v>
      </c>
      <c r="S10" s="156" t="s">
        <v>242</v>
      </c>
    </row>
    <row r="11" spans="1:19" ht="12">
      <c r="A11" s="145">
        <v>1.125</v>
      </c>
      <c r="B11" s="146" t="s">
        <v>233</v>
      </c>
      <c r="C11" s="152" t="s">
        <v>253</v>
      </c>
      <c r="D11" s="40" t="s">
        <v>235</v>
      </c>
      <c r="E11" s="40">
        <v>115</v>
      </c>
      <c r="F11" s="36" t="s">
        <v>231</v>
      </c>
      <c r="G11" s="36" t="s">
        <v>231</v>
      </c>
      <c r="H11" s="36">
        <v>50</v>
      </c>
      <c r="I11" s="36" t="s">
        <v>236</v>
      </c>
      <c r="J11" s="36" t="s">
        <v>231</v>
      </c>
      <c r="K11" s="36" t="s">
        <v>231</v>
      </c>
      <c r="L11" s="36" t="s">
        <v>231</v>
      </c>
      <c r="M11" s="153" t="s">
        <v>237</v>
      </c>
      <c r="N11" s="154" t="s">
        <v>254</v>
      </c>
      <c r="O11" s="36" t="s">
        <v>238</v>
      </c>
      <c r="P11" s="36" t="s">
        <v>239</v>
      </c>
      <c r="Q11" s="36" t="s">
        <v>240</v>
      </c>
      <c r="R11" s="155" t="s">
        <v>241</v>
      </c>
      <c r="S11" s="156" t="s">
        <v>242</v>
      </c>
    </row>
    <row r="12" spans="1:19" ht="12">
      <c r="A12" s="145">
        <v>1.125</v>
      </c>
      <c r="B12" s="146" t="s">
        <v>233</v>
      </c>
      <c r="C12" s="152" t="s">
        <v>255</v>
      </c>
      <c r="D12" s="40" t="s">
        <v>235</v>
      </c>
      <c r="E12" s="40">
        <v>115</v>
      </c>
      <c r="F12" s="36" t="s">
        <v>231</v>
      </c>
      <c r="G12" s="36" t="s">
        <v>231</v>
      </c>
      <c r="H12" s="36">
        <v>50</v>
      </c>
      <c r="I12" s="36" t="s">
        <v>236</v>
      </c>
      <c r="J12" s="36" t="s">
        <v>231</v>
      </c>
      <c r="K12" s="36" t="s">
        <v>231</v>
      </c>
      <c r="L12" s="36" t="s">
        <v>231</v>
      </c>
      <c r="M12" s="153" t="s">
        <v>237</v>
      </c>
      <c r="N12" s="154" t="s">
        <v>256</v>
      </c>
      <c r="O12" s="36" t="s">
        <v>238</v>
      </c>
      <c r="P12" s="36" t="s">
        <v>239</v>
      </c>
      <c r="Q12" s="36" t="s">
        <v>240</v>
      </c>
      <c r="R12" s="155" t="s">
        <v>241</v>
      </c>
      <c r="S12" s="156" t="s">
        <v>242</v>
      </c>
    </row>
    <row r="13" spans="1:19" ht="12">
      <c r="A13" s="145">
        <v>1.125</v>
      </c>
      <c r="B13" s="146" t="s">
        <v>257</v>
      </c>
      <c r="C13" s="147" t="s">
        <v>234</v>
      </c>
      <c r="D13" s="40" t="s">
        <v>258</v>
      </c>
      <c r="E13" s="40" t="s">
        <v>259</v>
      </c>
      <c r="F13" s="36" t="s">
        <v>260</v>
      </c>
      <c r="G13" s="36" t="s">
        <v>261</v>
      </c>
      <c r="H13" s="36" t="s">
        <v>262</v>
      </c>
      <c r="I13" s="36" t="s">
        <v>263</v>
      </c>
      <c r="J13" s="36">
        <v>16</v>
      </c>
      <c r="K13" s="36">
        <v>50</v>
      </c>
      <c r="L13" s="36" t="s">
        <v>264</v>
      </c>
      <c r="M13" s="36" t="s">
        <v>231</v>
      </c>
      <c r="N13" s="154">
        <v>48.31</v>
      </c>
      <c r="O13" s="36" t="s">
        <v>231</v>
      </c>
      <c r="P13" s="36" t="s">
        <v>231</v>
      </c>
      <c r="Q13" s="36" t="s">
        <v>265</v>
      </c>
      <c r="R13" s="36" t="s">
        <v>266</v>
      </c>
      <c r="S13" s="156" t="s">
        <v>267</v>
      </c>
    </row>
    <row r="14" spans="1:19" ht="12">
      <c r="A14" s="145">
        <v>1.125</v>
      </c>
      <c r="B14" s="146" t="s">
        <v>257</v>
      </c>
      <c r="C14" s="147" t="s">
        <v>243</v>
      </c>
      <c r="D14" s="40" t="s">
        <v>258</v>
      </c>
      <c r="E14" s="40" t="s">
        <v>259</v>
      </c>
      <c r="F14" s="36" t="s">
        <v>268</v>
      </c>
      <c r="G14" s="36" t="s">
        <v>261</v>
      </c>
      <c r="H14" s="36" t="s">
        <v>262</v>
      </c>
      <c r="I14" s="36" t="s">
        <v>263</v>
      </c>
      <c r="J14" s="36">
        <v>16</v>
      </c>
      <c r="K14" s="36">
        <v>50</v>
      </c>
      <c r="L14" s="36" t="s">
        <v>264</v>
      </c>
      <c r="M14" s="36" t="s">
        <v>231</v>
      </c>
      <c r="N14" s="154">
        <v>40.64</v>
      </c>
      <c r="O14" s="36" t="s">
        <v>231</v>
      </c>
      <c r="P14" s="36" t="s">
        <v>231</v>
      </c>
      <c r="Q14" s="36" t="s">
        <v>265</v>
      </c>
      <c r="R14" s="36" t="s">
        <v>266</v>
      </c>
      <c r="S14" s="156" t="s">
        <v>267</v>
      </c>
    </row>
    <row r="15" spans="1:19" ht="12">
      <c r="A15" s="145">
        <v>1.125</v>
      </c>
      <c r="B15" s="146" t="s">
        <v>257</v>
      </c>
      <c r="C15" s="147" t="s">
        <v>244</v>
      </c>
      <c r="D15" s="40" t="s">
        <v>258</v>
      </c>
      <c r="E15" s="40" t="s">
        <v>259</v>
      </c>
      <c r="F15" s="36" t="s">
        <v>269</v>
      </c>
      <c r="G15" s="36" t="s">
        <v>261</v>
      </c>
      <c r="H15" s="36" t="s">
        <v>262</v>
      </c>
      <c r="I15" s="36" t="s">
        <v>263</v>
      </c>
      <c r="J15" s="36">
        <v>16</v>
      </c>
      <c r="K15" s="36">
        <v>50</v>
      </c>
      <c r="L15" s="36" t="s">
        <v>264</v>
      </c>
      <c r="M15" s="36" t="s">
        <v>231</v>
      </c>
      <c r="N15" s="154" t="s">
        <v>245</v>
      </c>
      <c r="O15" s="36" t="s">
        <v>231</v>
      </c>
      <c r="P15" s="36" t="s">
        <v>231</v>
      </c>
      <c r="Q15" s="36" t="s">
        <v>265</v>
      </c>
      <c r="R15" s="36" t="s">
        <v>266</v>
      </c>
      <c r="S15" s="156" t="s">
        <v>267</v>
      </c>
    </row>
    <row r="16" spans="1:19" ht="12">
      <c r="A16" s="145">
        <v>1.125</v>
      </c>
      <c r="B16" s="146" t="s">
        <v>257</v>
      </c>
      <c r="C16" s="147" t="s">
        <v>246</v>
      </c>
      <c r="D16" s="40" t="s">
        <v>258</v>
      </c>
      <c r="E16" s="40" t="s">
        <v>259</v>
      </c>
      <c r="F16" s="36" t="s">
        <v>270</v>
      </c>
      <c r="G16" s="36" t="s">
        <v>261</v>
      </c>
      <c r="H16" s="36" t="s">
        <v>262</v>
      </c>
      <c r="I16" s="36" t="s">
        <v>263</v>
      </c>
      <c r="J16" s="36">
        <v>16</v>
      </c>
      <c r="K16" s="36">
        <v>50</v>
      </c>
      <c r="L16" s="36" t="s">
        <v>264</v>
      </c>
      <c r="M16" s="36" t="s">
        <v>231</v>
      </c>
      <c r="N16" s="154" t="s">
        <v>247</v>
      </c>
      <c r="O16" s="36" t="s">
        <v>231</v>
      </c>
      <c r="P16" s="36" t="s">
        <v>231</v>
      </c>
      <c r="Q16" s="36" t="s">
        <v>265</v>
      </c>
      <c r="R16" s="36" t="s">
        <v>266</v>
      </c>
      <c r="S16" s="156" t="s">
        <v>267</v>
      </c>
    </row>
    <row r="17" spans="1:19" ht="12">
      <c r="A17" s="145">
        <v>1.125</v>
      </c>
      <c r="B17" s="146" t="s">
        <v>257</v>
      </c>
      <c r="C17" s="147" t="s">
        <v>248</v>
      </c>
      <c r="D17" s="40" t="s">
        <v>258</v>
      </c>
      <c r="E17" s="40" t="s">
        <v>259</v>
      </c>
      <c r="F17" s="36" t="s">
        <v>271</v>
      </c>
      <c r="G17" s="36" t="s">
        <v>261</v>
      </c>
      <c r="H17" s="36" t="s">
        <v>262</v>
      </c>
      <c r="I17" s="36" t="s">
        <v>263</v>
      </c>
      <c r="J17" s="36">
        <v>16</v>
      </c>
      <c r="K17" s="36">
        <v>50</v>
      </c>
      <c r="L17" s="36" t="s">
        <v>264</v>
      </c>
      <c r="M17" s="36" t="s">
        <v>231</v>
      </c>
      <c r="N17" s="154" t="s">
        <v>249</v>
      </c>
      <c r="O17" s="36" t="s">
        <v>231</v>
      </c>
      <c r="P17" s="36" t="s">
        <v>231</v>
      </c>
      <c r="Q17" s="36" t="s">
        <v>265</v>
      </c>
      <c r="R17" s="36" t="s">
        <v>266</v>
      </c>
      <c r="S17" s="156" t="s">
        <v>267</v>
      </c>
    </row>
    <row r="18" spans="1:19" ht="12">
      <c r="A18" s="145">
        <v>1.125</v>
      </c>
      <c r="B18" s="146" t="s">
        <v>257</v>
      </c>
      <c r="C18" s="147" t="s">
        <v>250</v>
      </c>
      <c r="D18" s="40" t="s">
        <v>258</v>
      </c>
      <c r="E18" s="40" t="s">
        <v>259</v>
      </c>
      <c r="F18" s="36" t="s">
        <v>272</v>
      </c>
      <c r="G18" s="36" t="s">
        <v>261</v>
      </c>
      <c r="H18" s="36" t="s">
        <v>262</v>
      </c>
      <c r="I18" s="36" t="s">
        <v>263</v>
      </c>
      <c r="J18" s="36">
        <v>16</v>
      </c>
      <c r="K18" s="36">
        <v>50</v>
      </c>
      <c r="L18" s="36" t="s">
        <v>264</v>
      </c>
      <c r="M18" s="36" t="s">
        <v>231</v>
      </c>
      <c r="N18" s="154" t="s">
        <v>251</v>
      </c>
      <c r="O18" s="36" t="s">
        <v>231</v>
      </c>
      <c r="P18" s="36" t="s">
        <v>231</v>
      </c>
      <c r="Q18" s="36" t="s">
        <v>265</v>
      </c>
      <c r="R18" s="36" t="s">
        <v>266</v>
      </c>
      <c r="S18" s="156" t="s">
        <v>267</v>
      </c>
    </row>
    <row r="19" spans="1:19" ht="12">
      <c r="A19" s="145">
        <v>1.125</v>
      </c>
      <c r="B19" s="146" t="s">
        <v>257</v>
      </c>
      <c r="C19" s="147" t="s">
        <v>252</v>
      </c>
      <c r="D19" s="40" t="s">
        <v>258</v>
      </c>
      <c r="E19" s="40" t="s">
        <v>259</v>
      </c>
      <c r="F19" s="36" t="s">
        <v>273</v>
      </c>
      <c r="G19" s="36" t="s">
        <v>261</v>
      </c>
      <c r="H19" s="36" t="s">
        <v>262</v>
      </c>
      <c r="I19" s="36" t="s">
        <v>263</v>
      </c>
      <c r="J19" s="36">
        <v>16</v>
      </c>
      <c r="K19" s="36">
        <v>50</v>
      </c>
      <c r="L19" s="36" t="s">
        <v>264</v>
      </c>
      <c r="M19" s="36" t="s">
        <v>231</v>
      </c>
      <c r="N19" s="154" t="s">
        <v>231</v>
      </c>
      <c r="O19" s="36" t="s">
        <v>231</v>
      </c>
      <c r="P19" s="36" t="s">
        <v>231</v>
      </c>
      <c r="Q19" s="36" t="s">
        <v>265</v>
      </c>
      <c r="R19" s="36" t="s">
        <v>266</v>
      </c>
      <c r="S19" s="156" t="s">
        <v>267</v>
      </c>
    </row>
    <row r="20" spans="1:19" ht="12">
      <c r="A20" s="145">
        <v>1.125</v>
      </c>
      <c r="B20" s="146" t="s">
        <v>257</v>
      </c>
      <c r="C20" s="147" t="s">
        <v>253</v>
      </c>
      <c r="D20" s="40" t="s">
        <v>258</v>
      </c>
      <c r="E20" s="40" t="s">
        <v>259</v>
      </c>
      <c r="F20" s="36" t="s">
        <v>274</v>
      </c>
      <c r="G20" s="36" t="s">
        <v>261</v>
      </c>
      <c r="H20" s="36" t="s">
        <v>262</v>
      </c>
      <c r="I20" s="36" t="s">
        <v>263</v>
      </c>
      <c r="J20" s="36">
        <v>16</v>
      </c>
      <c r="K20" s="36">
        <v>50</v>
      </c>
      <c r="L20" s="36" t="s">
        <v>264</v>
      </c>
      <c r="M20" s="36" t="s">
        <v>231</v>
      </c>
      <c r="N20" s="154" t="s">
        <v>254</v>
      </c>
      <c r="O20" s="36" t="s">
        <v>231</v>
      </c>
      <c r="P20" s="36" t="s">
        <v>231</v>
      </c>
      <c r="Q20" s="36" t="s">
        <v>265</v>
      </c>
      <c r="R20" s="36" t="s">
        <v>266</v>
      </c>
      <c r="S20" s="156" t="s">
        <v>267</v>
      </c>
    </row>
    <row r="21" spans="1:19" ht="12">
      <c r="A21" s="145">
        <v>1.125</v>
      </c>
      <c r="B21" s="146" t="s">
        <v>257</v>
      </c>
      <c r="C21" s="147" t="s">
        <v>255</v>
      </c>
      <c r="D21" s="40" t="s">
        <v>258</v>
      </c>
      <c r="E21" s="40" t="s">
        <v>259</v>
      </c>
      <c r="F21" s="36" t="s">
        <v>275</v>
      </c>
      <c r="G21" s="36" t="s">
        <v>261</v>
      </c>
      <c r="H21" s="36" t="s">
        <v>262</v>
      </c>
      <c r="I21" s="36" t="s">
        <v>263</v>
      </c>
      <c r="J21" s="36">
        <v>16</v>
      </c>
      <c r="K21" s="36">
        <v>50</v>
      </c>
      <c r="L21" s="36" t="s">
        <v>264</v>
      </c>
      <c r="M21" s="36" t="s">
        <v>231</v>
      </c>
      <c r="N21" s="154" t="s">
        <v>256</v>
      </c>
      <c r="O21" s="36" t="s">
        <v>231</v>
      </c>
      <c r="P21" s="36" t="s">
        <v>231</v>
      </c>
      <c r="Q21" s="36" t="s">
        <v>265</v>
      </c>
      <c r="R21" s="36" t="s">
        <v>266</v>
      </c>
      <c r="S21" s="156" t="s">
        <v>267</v>
      </c>
    </row>
    <row r="22" spans="1:19" ht="12">
      <c r="A22" s="145">
        <v>1.125</v>
      </c>
      <c r="B22" s="146" t="s">
        <v>276</v>
      </c>
      <c r="C22" s="147" t="s">
        <v>234</v>
      </c>
      <c r="D22" s="36" t="s">
        <v>277</v>
      </c>
      <c r="E22" s="36" t="s">
        <v>278</v>
      </c>
      <c r="F22" s="40" t="s">
        <v>258</v>
      </c>
      <c r="G22" s="40" t="s">
        <v>279</v>
      </c>
      <c r="H22" s="40" t="s">
        <v>228</v>
      </c>
      <c r="I22" s="40" t="s">
        <v>229</v>
      </c>
      <c r="J22" s="157" t="s">
        <v>280</v>
      </c>
      <c r="K22" s="36">
        <v>45</v>
      </c>
      <c r="L22" s="36" t="s">
        <v>230</v>
      </c>
      <c r="M22" s="36" t="s">
        <v>231</v>
      </c>
      <c r="N22" s="158">
        <v>48312</v>
      </c>
      <c r="O22" s="36" t="s">
        <v>281</v>
      </c>
      <c r="P22" s="36" t="s">
        <v>282</v>
      </c>
      <c r="Q22" s="36" t="s">
        <v>265</v>
      </c>
      <c r="R22" s="155" t="s">
        <v>266</v>
      </c>
      <c r="S22" s="156" t="s">
        <v>283</v>
      </c>
    </row>
    <row r="23" spans="1:19" ht="12">
      <c r="A23" s="145">
        <v>1.125</v>
      </c>
      <c r="B23" s="146" t="s">
        <v>276</v>
      </c>
      <c r="C23" s="147" t="s">
        <v>243</v>
      </c>
      <c r="D23" s="36" t="s">
        <v>277</v>
      </c>
      <c r="E23" s="36" t="s">
        <v>278</v>
      </c>
      <c r="F23" s="40" t="s">
        <v>258</v>
      </c>
      <c r="G23" s="40" t="s">
        <v>279</v>
      </c>
      <c r="H23" s="40" t="s">
        <v>228</v>
      </c>
      <c r="I23" s="40" t="s">
        <v>229</v>
      </c>
      <c r="J23" s="157" t="s">
        <v>280</v>
      </c>
      <c r="K23" s="36">
        <v>45</v>
      </c>
      <c r="L23" s="36" t="s">
        <v>230</v>
      </c>
      <c r="M23" s="36" t="s">
        <v>231</v>
      </c>
      <c r="N23" s="158">
        <v>40643</v>
      </c>
      <c r="O23" s="36" t="s">
        <v>281</v>
      </c>
      <c r="P23" s="36" t="s">
        <v>282</v>
      </c>
      <c r="Q23" s="36" t="s">
        <v>265</v>
      </c>
      <c r="R23" s="155" t="s">
        <v>266</v>
      </c>
      <c r="S23" s="156" t="s">
        <v>283</v>
      </c>
    </row>
    <row r="24" spans="1:19" ht="12">
      <c r="A24" s="145">
        <v>1.125</v>
      </c>
      <c r="B24" s="146" t="s">
        <v>276</v>
      </c>
      <c r="C24" s="147" t="s">
        <v>244</v>
      </c>
      <c r="D24" s="36" t="s">
        <v>277</v>
      </c>
      <c r="E24" s="36" t="s">
        <v>278</v>
      </c>
      <c r="F24" s="40" t="s">
        <v>258</v>
      </c>
      <c r="G24" s="40" t="s">
        <v>279</v>
      </c>
      <c r="H24" s="40" t="s">
        <v>228</v>
      </c>
      <c r="I24" s="40" t="s">
        <v>229</v>
      </c>
      <c r="J24" s="157" t="s">
        <v>280</v>
      </c>
      <c r="K24" s="36">
        <v>45</v>
      </c>
      <c r="L24" s="36" t="s">
        <v>230</v>
      </c>
      <c r="M24" s="36" t="s">
        <v>231</v>
      </c>
      <c r="N24" s="36" t="s">
        <v>245</v>
      </c>
      <c r="O24" s="36" t="s">
        <v>281</v>
      </c>
      <c r="P24" s="36" t="s">
        <v>282</v>
      </c>
      <c r="Q24" s="36" t="s">
        <v>265</v>
      </c>
      <c r="R24" s="155" t="s">
        <v>266</v>
      </c>
      <c r="S24" s="156" t="s">
        <v>283</v>
      </c>
    </row>
    <row r="25" spans="1:19" ht="12">
      <c r="A25" s="145">
        <v>1.125</v>
      </c>
      <c r="B25" s="146" t="s">
        <v>276</v>
      </c>
      <c r="C25" s="147" t="s">
        <v>246</v>
      </c>
      <c r="D25" s="36" t="s">
        <v>277</v>
      </c>
      <c r="E25" s="36" t="s">
        <v>278</v>
      </c>
      <c r="F25" s="40" t="s">
        <v>258</v>
      </c>
      <c r="G25" s="40" t="s">
        <v>279</v>
      </c>
      <c r="H25" s="40" t="s">
        <v>228</v>
      </c>
      <c r="I25" s="40" t="s">
        <v>229</v>
      </c>
      <c r="J25" s="157" t="s">
        <v>280</v>
      </c>
      <c r="K25" s="36">
        <v>45</v>
      </c>
      <c r="L25" s="36" t="s">
        <v>230</v>
      </c>
      <c r="M25" s="36" t="s">
        <v>231</v>
      </c>
      <c r="N25" s="36" t="s">
        <v>247</v>
      </c>
      <c r="O25" s="36" t="s">
        <v>281</v>
      </c>
      <c r="P25" s="36" t="s">
        <v>282</v>
      </c>
      <c r="Q25" s="36" t="s">
        <v>265</v>
      </c>
      <c r="R25" s="155" t="s">
        <v>266</v>
      </c>
      <c r="S25" s="156" t="s">
        <v>283</v>
      </c>
    </row>
    <row r="26" spans="1:19" ht="12">
      <c r="A26" s="145">
        <v>1.125</v>
      </c>
      <c r="B26" s="146" t="s">
        <v>276</v>
      </c>
      <c r="C26" s="147" t="s">
        <v>248</v>
      </c>
      <c r="D26" s="36" t="s">
        <v>277</v>
      </c>
      <c r="E26" s="36" t="s">
        <v>278</v>
      </c>
      <c r="F26" s="40" t="s">
        <v>258</v>
      </c>
      <c r="G26" s="40" t="s">
        <v>279</v>
      </c>
      <c r="H26" s="40" t="s">
        <v>228</v>
      </c>
      <c r="I26" s="40" t="s">
        <v>229</v>
      </c>
      <c r="J26" s="157" t="s">
        <v>280</v>
      </c>
      <c r="K26" s="36">
        <v>45</v>
      </c>
      <c r="L26" s="36" t="s">
        <v>230</v>
      </c>
      <c r="M26" s="36" t="s">
        <v>231</v>
      </c>
      <c r="N26" s="36" t="s">
        <v>249</v>
      </c>
      <c r="O26" s="36" t="s">
        <v>281</v>
      </c>
      <c r="P26" s="36" t="s">
        <v>282</v>
      </c>
      <c r="Q26" s="36" t="s">
        <v>265</v>
      </c>
      <c r="R26" s="155" t="s">
        <v>266</v>
      </c>
      <c r="S26" s="156" t="s">
        <v>283</v>
      </c>
    </row>
    <row r="27" spans="1:19" ht="12">
      <c r="A27" s="145">
        <v>1.125</v>
      </c>
      <c r="B27" s="146" t="s">
        <v>276</v>
      </c>
      <c r="C27" s="147" t="s">
        <v>250</v>
      </c>
      <c r="D27" s="36" t="s">
        <v>277</v>
      </c>
      <c r="E27" s="36" t="s">
        <v>278</v>
      </c>
      <c r="F27" s="40" t="s">
        <v>258</v>
      </c>
      <c r="G27" s="40" t="s">
        <v>279</v>
      </c>
      <c r="H27" s="40" t="s">
        <v>228</v>
      </c>
      <c r="I27" s="40" t="s">
        <v>229</v>
      </c>
      <c r="J27" s="157" t="s">
        <v>280</v>
      </c>
      <c r="K27" s="36">
        <v>45</v>
      </c>
      <c r="L27" s="36" t="s">
        <v>230</v>
      </c>
      <c r="M27" s="36" t="s">
        <v>231</v>
      </c>
      <c r="N27" s="158" t="s">
        <v>251</v>
      </c>
      <c r="O27" s="36" t="s">
        <v>281</v>
      </c>
      <c r="P27" s="36" t="s">
        <v>282</v>
      </c>
      <c r="Q27" s="36" t="s">
        <v>265</v>
      </c>
      <c r="R27" s="155" t="s">
        <v>266</v>
      </c>
      <c r="S27" s="156" t="s">
        <v>283</v>
      </c>
    </row>
    <row r="28" spans="1:19" ht="12">
      <c r="A28" s="145">
        <v>1.125</v>
      </c>
      <c r="B28" s="146" t="s">
        <v>276</v>
      </c>
      <c r="C28" s="147" t="s">
        <v>252</v>
      </c>
      <c r="D28" s="36" t="s">
        <v>277</v>
      </c>
      <c r="E28" s="36" t="s">
        <v>278</v>
      </c>
      <c r="F28" s="40" t="s">
        <v>258</v>
      </c>
      <c r="G28" s="40" t="s">
        <v>279</v>
      </c>
      <c r="H28" s="40" t="s">
        <v>228</v>
      </c>
      <c r="I28" s="40" t="s">
        <v>229</v>
      </c>
      <c r="J28" s="157" t="s">
        <v>280</v>
      </c>
      <c r="K28" s="36">
        <v>45</v>
      </c>
      <c r="L28" s="36" t="s">
        <v>230</v>
      </c>
      <c r="M28" s="36" t="s">
        <v>231</v>
      </c>
      <c r="N28" s="36" t="s">
        <v>231</v>
      </c>
      <c r="O28" s="36" t="s">
        <v>281</v>
      </c>
      <c r="P28" s="36" t="s">
        <v>282</v>
      </c>
      <c r="Q28" s="36" t="s">
        <v>265</v>
      </c>
      <c r="R28" s="155" t="s">
        <v>266</v>
      </c>
      <c r="S28" s="156" t="s">
        <v>283</v>
      </c>
    </row>
    <row r="29" spans="1:19" ht="12">
      <c r="A29" s="145">
        <v>1.125</v>
      </c>
      <c r="B29" s="146" t="s">
        <v>276</v>
      </c>
      <c r="C29" s="147" t="s">
        <v>253</v>
      </c>
      <c r="D29" s="36" t="s">
        <v>277</v>
      </c>
      <c r="E29" s="36" t="s">
        <v>278</v>
      </c>
      <c r="F29" s="40" t="s">
        <v>258</v>
      </c>
      <c r="G29" s="40" t="s">
        <v>279</v>
      </c>
      <c r="H29" s="40" t="s">
        <v>228</v>
      </c>
      <c r="I29" s="40" t="s">
        <v>229</v>
      </c>
      <c r="J29" s="157" t="s">
        <v>280</v>
      </c>
      <c r="K29" s="36">
        <v>45</v>
      </c>
      <c r="L29" s="36" t="s">
        <v>230</v>
      </c>
      <c r="M29" s="36" t="s">
        <v>231</v>
      </c>
      <c r="N29" s="36" t="s">
        <v>254</v>
      </c>
      <c r="O29" s="36" t="s">
        <v>281</v>
      </c>
      <c r="P29" s="36" t="s">
        <v>282</v>
      </c>
      <c r="Q29" s="36" t="s">
        <v>265</v>
      </c>
      <c r="R29" s="155" t="s">
        <v>266</v>
      </c>
      <c r="S29" s="156" t="s">
        <v>283</v>
      </c>
    </row>
    <row r="30" spans="1:19" ht="12">
      <c r="A30" s="145">
        <v>1.125</v>
      </c>
      <c r="B30" s="146" t="s">
        <v>276</v>
      </c>
      <c r="C30" s="147" t="s">
        <v>255</v>
      </c>
      <c r="D30" s="36" t="s">
        <v>277</v>
      </c>
      <c r="E30" s="36" t="s">
        <v>278</v>
      </c>
      <c r="F30" s="40" t="s">
        <v>258</v>
      </c>
      <c r="G30" s="40" t="s">
        <v>279</v>
      </c>
      <c r="H30" s="40" t="s">
        <v>228</v>
      </c>
      <c r="I30" s="40" t="s">
        <v>229</v>
      </c>
      <c r="J30" s="157" t="s">
        <v>280</v>
      </c>
      <c r="K30" s="36">
        <v>45</v>
      </c>
      <c r="L30" s="36" t="s">
        <v>230</v>
      </c>
      <c r="M30" s="36" t="s">
        <v>231</v>
      </c>
      <c r="N30" s="36" t="s">
        <v>256</v>
      </c>
      <c r="O30" s="36" t="s">
        <v>281</v>
      </c>
      <c r="P30" s="36" t="s">
        <v>282</v>
      </c>
      <c r="Q30" s="36" t="s">
        <v>265</v>
      </c>
      <c r="R30" s="155" t="s">
        <v>266</v>
      </c>
      <c r="S30" s="156" t="s">
        <v>283</v>
      </c>
    </row>
    <row r="31" spans="1:19" ht="12">
      <c r="A31" s="145">
        <v>1.125</v>
      </c>
      <c r="B31" s="146" t="s">
        <v>222</v>
      </c>
      <c r="C31" s="147" t="s">
        <v>234</v>
      </c>
      <c r="D31" s="36" t="s">
        <v>277</v>
      </c>
      <c r="E31" s="36" t="s">
        <v>278</v>
      </c>
      <c r="F31" s="40" t="s">
        <v>284</v>
      </c>
      <c r="G31" s="40" t="s">
        <v>227</v>
      </c>
      <c r="H31" s="40" t="s">
        <v>228</v>
      </c>
      <c r="I31" s="40" t="s">
        <v>229</v>
      </c>
      <c r="J31" s="157" t="s">
        <v>280</v>
      </c>
      <c r="K31" s="36">
        <v>45</v>
      </c>
      <c r="L31" s="36" t="s">
        <v>230</v>
      </c>
      <c r="M31" s="36" t="s">
        <v>231</v>
      </c>
      <c r="N31" s="154">
        <v>48.31</v>
      </c>
      <c r="O31" s="36" t="s">
        <v>281</v>
      </c>
      <c r="P31" s="36" t="s">
        <v>282</v>
      </c>
      <c r="Q31" s="36" t="s">
        <v>265</v>
      </c>
      <c r="R31" s="155" t="s">
        <v>266</v>
      </c>
      <c r="S31" s="156" t="s">
        <v>285</v>
      </c>
    </row>
    <row r="32" spans="1:19" ht="12">
      <c r="A32" s="145">
        <v>1.125</v>
      </c>
      <c r="B32" s="146" t="s">
        <v>222</v>
      </c>
      <c r="C32" s="147" t="s">
        <v>243</v>
      </c>
      <c r="D32" s="36" t="s">
        <v>277</v>
      </c>
      <c r="E32" s="36" t="s">
        <v>278</v>
      </c>
      <c r="F32" s="40" t="s">
        <v>284</v>
      </c>
      <c r="G32" s="40" t="s">
        <v>227</v>
      </c>
      <c r="H32" s="40" t="s">
        <v>228</v>
      </c>
      <c r="I32" s="40" t="s">
        <v>229</v>
      </c>
      <c r="J32" s="157" t="s">
        <v>280</v>
      </c>
      <c r="K32" s="36">
        <v>45</v>
      </c>
      <c r="L32" s="36" t="s">
        <v>230</v>
      </c>
      <c r="M32" s="36" t="s">
        <v>231</v>
      </c>
      <c r="N32" s="154">
        <v>40.64</v>
      </c>
      <c r="O32" s="36" t="s">
        <v>281</v>
      </c>
      <c r="P32" s="36" t="s">
        <v>282</v>
      </c>
      <c r="Q32" s="36" t="s">
        <v>265</v>
      </c>
      <c r="R32" s="155" t="s">
        <v>266</v>
      </c>
      <c r="S32" s="156" t="s">
        <v>285</v>
      </c>
    </row>
    <row r="33" spans="1:19" ht="12">
      <c r="A33" s="145">
        <v>1.125</v>
      </c>
      <c r="B33" s="146" t="s">
        <v>222</v>
      </c>
      <c r="C33" s="147" t="s">
        <v>244</v>
      </c>
      <c r="D33" s="36" t="s">
        <v>277</v>
      </c>
      <c r="E33" s="36" t="s">
        <v>278</v>
      </c>
      <c r="F33" s="40" t="s">
        <v>284</v>
      </c>
      <c r="G33" s="40" t="s">
        <v>227</v>
      </c>
      <c r="H33" s="40" t="s">
        <v>228</v>
      </c>
      <c r="I33" s="40" t="s">
        <v>229</v>
      </c>
      <c r="J33" s="157" t="s">
        <v>280</v>
      </c>
      <c r="K33" s="36">
        <v>45</v>
      </c>
      <c r="L33" s="36" t="s">
        <v>230</v>
      </c>
      <c r="M33" s="36" t="s">
        <v>231</v>
      </c>
      <c r="N33" s="154" t="s">
        <v>245</v>
      </c>
      <c r="O33" s="36" t="s">
        <v>281</v>
      </c>
      <c r="P33" s="36" t="s">
        <v>282</v>
      </c>
      <c r="Q33" s="36" t="s">
        <v>265</v>
      </c>
      <c r="R33" s="155" t="s">
        <v>266</v>
      </c>
      <c r="S33" s="156" t="s">
        <v>285</v>
      </c>
    </row>
    <row r="34" spans="1:19" ht="12">
      <c r="A34" s="145">
        <v>1.125</v>
      </c>
      <c r="B34" s="146" t="s">
        <v>222</v>
      </c>
      <c r="C34" s="147" t="s">
        <v>246</v>
      </c>
      <c r="D34" s="36" t="s">
        <v>277</v>
      </c>
      <c r="E34" s="36" t="s">
        <v>278</v>
      </c>
      <c r="F34" s="40" t="s">
        <v>284</v>
      </c>
      <c r="G34" s="40" t="s">
        <v>227</v>
      </c>
      <c r="H34" s="40" t="s">
        <v>228</v>
      </c>
      <c r="I34" s="40" t="s">
        <v>229</v>
      </c>
      <c r="J34" s="157" t="s">
        <v>280</v>
      </c>
      <c r="K34" s="36">
        <v>45</v>
      </c>
      <c r="L34" s="36" t="s">
        <v>230</v>
      </c>
      <c r="M34" s="36" t="s">
        <v>231</v>
      </c>
      <c r="N34" s="154" t="s">
        <v>247</v>
      </c>
      <c r="O34" s="36" t="s">
        <v>281</v>
      </c>
      <c r="P34" s="36" t="s">
        <v>282</v>
      </c>
      <c r="Q34" s="36" t="s">
        <v>265</v>
      </c>
      <c r="R34" s="155" t="s">
        <v>266</v>
      </c>
      <c r="S34" s="156" t="s">
        <v>285</v>
      </c>
    </row>
    <row r="35" spans="1:19" ht="12">
      <c r="A35" s="145">
        <v>1.125</v>
      </c>
      <c r="B35" s="146" t="s">
        <v>222</v>
      </c>
      <c r="C35" s="147" t="s">
        <v>248</v>
      </c>
      <c r="D35" s="36" t="s">
        <v>277</v>
      </c>
      <c r="E35" s="36" t="s">
        <v>278</v>
      </c>
      <c r="F35" s="40" t="s">
        <v>284</v>
      </c>
      <c r="G35" s="40" t="s">
        <v>227</v>
      </c>
      <c r="H35" s="40" t="s">
        <v>228</v>
      </c>
      <c r="I35" s="40" t="s">
        <v>229</v>
      </c>
      <c r="J35" s="157" t="s">
        <v>280</v>
      </c>
      <c r="K35" s="36">
        <v>45</v>
      </c>
      <c r="L35" s="36" t="s">
        <v>230</v>
      </c>
      <c r="M35" s="36" t="s">
        <v>231</v>
      </c>
      <c r="N35" s="154" t="s">
        <v>249</v>
      </c>
      <c r="O35" s="36" t="s">
        <v>281</v>
      </c>
      <c r="P35" s="36" t="s">
        <v>282</v>
      </c>
      <c r="Q35" s="36" t="s">
        <v>265</v>
      </c>
      <c r="R35" s="155" t="s">
        <v>266</v>
      </c>
      <c r="S35" s="156" t="s">
        <v>285</v>
      </c>
    </row>
    <row r="36" spans="1:19" ht="12">
      <c r="A36" s="145">
        <v>1.125</v>
      </c>
      <c r="B36" s="146" t="s">
        <v>222</v>
      </c>
      <c r="C36" s="147" t="s">
        <v>250</v>
      </c>
      <c r="D36" s="36" t="s">
        <v>277</v>
      </c>
      <c r="E36" s="36" t="s">
        <v>278</v>
      </c>
      <c r="F36" s="40" t="s">
        <v>284</v>
      </c>
      <c r="G36" s="40" t="s">
        <v>227</v>
      </c>
      <c r="H36" s="40" t="s">
        <v>228</v>
      </c>
      <c r="I36" s="40" t="s">
        <v>229</v>
      </c>
      <c r="J36" s="157" t="s">
        <v>280</v>
      </c>
      <c r="K36" s="36">
        <v>45</v>
      </c>
      <c r="L36" s="36" t="s">
        <v>230</v>
      </c>
      <c r="M36" s="36" t="s">
        <v>231</v>
      </c>
      <c r="N36" s="154" t="s">
        <v>251</v>
      </c>
      <c r="O36" s="36" t="s">
        <v>281</v>
      </c>
      <c r="P36" s="36" t="s">
        <v>282</v>
      </c>
      <c r="Q36" s="36" t="s">
        <v>265</v>
      </c>
      <c r="R36" s="155" t="s">
        <v>266</v>
      </c>
      <c r="S36" s="156" t="s">
        <v>285</v>
      </c>
    </row>
    <row r="37" spans="1:19" ht="12">
      <c r="A37" s="145">
        <v>1.125</v>
      </c>
      <c r="B37" s="146" t="s">
        <v>222</v>
      </c>
      <c r="C37" s="147" t="s">
        <v>252</v>
      </c>
      <c r="D37" s="36" t="s">
        <v>277</v>
      </c>
      <c r="E37" s="36" t="s">
        <v>278</v>
      </c>
      <c r="F37" s="40" t="s">
        <v>284</v>
      </c>
      <c r="G37" s="40" t="s">
        <v>227</v>
      </c>
      <c r="H37" s="40" t="s">
        <v>228</v>
      </c>
      <c r="I37" s="40" t="s">
        <v>229</v>
      </c>
      <c r="J37" s="157" t="s">
        <v>280</v>
      </c>
      <c r="K37" s="36">
        <v>45</v>
      </c>
      <c r="L37" s="36" t="s">
        <v>230</v>
      </c>
      <c r="M37" s="36" t="s">
        <v>231</v>
      </c>
      <c r="N37" s="154" t="s">
        <v>231</v>
      </c>
      <c r="O37" s="36" t="s">
        <v>281</v>
      </c>
      <c r="P37" s="36" t="s">
        <v>282</v>
      </c>
      <c r="Q37" s="36" t="s">
        <v>265</v>
      </c>
      <c r="R37" s="155" t="s">
        <v>266</v>
      </c>
      <c r="S37" s="156" t="s">
        <v>285</v>
      </c>
    </row>
    <row r="38" spans="1:19" ht="12">
      <c r="A38" s="145">
        <v>1.125</v>
      </c>
      <c r="B38" s="146" t="s">
        <v>222</v>
      </c>
      <c r="C38" s="147" t="s">
        <v>253</v>
      </c>
      <c r="D38" s="36" t="s">
        <v>277</v>
      </c>
      <c r="E38" s="36" t="s">
        <v>278</v>
      </c>
      <c r="F38" s="40" t="s">
        <v>284</v>
      </c>
      <c r="G38" s="40" t="s">
        <v>227</v>
      </c>
      <c r="H38" s="40" t="s">
        <v>228</v>
      </c>
      <c r="I38" s="40" t="s">
        <v>229</v>
      </c>
      <c r="J38" s="157" t="s">
        <v>280</v>
      </c>
      <c r="K38" s="36">
        <v>45</v>
      </c>
      <c r="L38" s="36" t="s">
        <v>230</v>
      </c>
      <c r="M38" s="36" t="s">
        <v>231</v>
      </c>
      <c r="N38" s="154" t="s">
        <v>254</v>
      </c>
      <c r="O38" s="36" t="s">
        <v>281</v>
      </c>
      <c r="P38" s="36" t="s">
        <v>282</v>
      </c>
      <c r="Q38" s="36" t="s">
        <v>265</v>
      </c>
      <c r="R38" s="155" t="s">
        <v>266</v>
      </c>
      <c r="S38" s="156" t="s">
        <v>285</v>
      </c>
    </row>
    <row r="39" spans="1:19" ht="12">
      <c r="A39" s="145">
        <v>1.125</v>
      </c>
      <c r="B39" s="146" t="s">
        <v>222</v>
      </c>
      <c r="C39" s="147" t="s">
        <v>255</v>
      </c>
      <c r="D39" s="36" t="s">
        <v>277</v>
      </c>
      <c r="E39" s="36" t="s">
        <v>278</v>
      </c>
      <c r="F39" s="40" t="s">
        <v>284</v>
      </c>
      <c r="G39" s="40" t="s">
        <v>227</v>
      </c>
      <c r="H39" s="40" t="s">
        <v>228</v>
      </c>
      <c r="I39" s="40" t="s">
        <v>229</v>
      </c>
      <c r="J39" s="157" t="s">
        <v>280</v>
      </c>
      <c r="K39" s="36">
        <v>45</v>
      </c>
      <c r="L39" s="36" t="s">
        <v>230</v>
      </c>
      <c r="M39" s="36" t="s">
        <v>231</v>
      </c>
      <c r="N39" s="154" t="s">
        <v>256</v>
      </c>
      <c r="O39" s="36" t="s">
        <v>281</v>
      </c>
      <c r="P39" s="36" t="s">
        <v>282</v>
      </c>
      <c r="Q39" s="36" t="s">
        <v>265</v>
      </c>
      <c r="R39" s="155" t="s">
        <v>266</v>
      </c>
      <c r="S39" s="156" t="s">
        <v>285</v>
      </c>
    </row>
    <row r="40" spans="1:19" ht="12">
      <c r="A40" s="145">
        <v>1.125</v>
      </c>
      <c r="B40" s="146" t="s">
        <v>286</v>
      </c>
      <c r="C40" s="147" t="s">
        <v>234</v>
      </c>
      <c r="D40" s="40" t="s">
        <v>258</v>
      </c>
      <c r="E40" s="40" t="s">
        <v>279</v>
      </c>
      <c r="F40" s="36" t="s">
        <v>287</v>
      </c>
      <c r="G40" s="36" t="s">
        <v>288</v>
      </c>
      <c r="H40" s="36" t="s">
        <v>289</v>
      </c>
      <c r="I40" s="36" t="s">
        <v>290</v>
      </c>
      <c r="J40" s="36">
        <v>18</v>
      </c>
      <c r="K40" s="36">
        <v>40</v>
      </c>
      <c r="L40" s="36" t="s">
        <v>291</v>
      </c>
      <c r="M40" s="36" t="s">
        <v>231</v>
      </c>
      <c r="N40" s="154">
        <v>48.31</v>
      </c>
      <c r="O40" s="36" t="s">
        <v>231</v>
      </c>
      <c r="P40" s="36" t="s">
        <v>231</v>
      </c>
      <c r="Q40" s="36" t="s">
        <v>265</v>
      </c>
      <c r="R40" s="155" t="s">
        <v>266</v>
      </c>
      <c r="S40" s="156" t="s">
        <v>292</v>
      </c>
    </row>
    <row r="41" spans="1:19" ht="12">
      <c r="A41" s="145">
        <v>1.125</v>
      </c>
      <c r="B41" s="146" t="s">
        <v>286</v>
      </c>
      <c r="C41" s="147" t="s">
        <v>243</v>
      </c>
      <c r="D41" s="40" t="s">
        <v>258</v>
      </c>
      <c r="E41" s="40" t="s">
        <v>279</v>
      </c>
      <c r="F41" s="36" t="s">
        <v>287</v>
      </c>
      <c r="G41" s="36" t="s">
        <v>288</v>
      </c>
      <c r="H41" s="36" t="s">
        <v>289</v>
      </c>
      <c r="I41" s="36" t="s">
        <v>290</v>
      </c>
      <c r="J41" s="36">
        <v>18</v>
      </c>
      <c r="K41" s="36">
        <v>40</v>
      </c>
      <c r="L41" s="36" t="s">
        <v>291</v>
      </c>
      <c r="M41" s="36" t="s">
        <v>231</v>
      </c>
      <c r="N41" s="154">
        <v>40.64</v>
      </c>
      <c r="O41" s="36" t="s">
        <v>231</v>
      </c>
      <c r="P41" s="36" t="s">
        <v>231</v>
      </c>
      <c r="Q41" s="36" t="s">
        <v>265</v>
      </c>
      <c r="R41" s="155" t="s">
        <v>266</v>
      </c>
      <c r="S41" s="156" t="s">
        <v>292</v>
      </c>
    </row>
    <row r="42" spans="1:19" ht="12">
      <c r="A42" s="145">
        <v>1.125</v>
      </c>
      <c r="B42" s="146" t="s">
        <v>286</v>
      </c>
      <c r="C42" s="147" t="s">
        <v>244</v>
      </c>
      <c r="D42" s="40" t="s">
        <v>258</v>
      </c>
      <c r="E42" s="40" t="s">
        <v>279</v>
      </c>
      <c r="F42" s="36" t="s">
        <v>287</v>
      </c>
      <c r="G42" s="36" t="s">
        <v>288</v>
      </c>
      <c r="H42" s="36" t="s">
        <v>289</v>
      </c>
      <c r="I42" s="36" t="s">
        <v>290</v>
      </c>
      <c r="J42" s="36">
        <v>18</v>
      </c>
      <c r="K42" s="36">
        <v>40</v>
      </c>
      <c r="L42" s="36" t="s">
        <v>291</v>
      </c>
      <c r="M42" s="36" t="s">
        <v>231</v>
      </c>
      <c r="N42" s="154" t="s">
        <v>245</v>
      </c>
      <c r="O42" s="36" t="s">
        <v>231</v>
      </c>
      <c r="P42" s="36" t="s">
        <v>231</v>
      </c>
      <c r="Q42" s="36" t="s">
        <v>265</v>
      </c>
      <c r="R42" s="155" t="s">
        <v>266</v>
      </c>
      <c r="S42" s="156" t="s">
        <v>292</v>
      </c>
    </row>
    <row r="43" spans="1:19" ht="12">
      <c r="A43" s="145">
        <v>1.125</v>
      </c>
      <c r="B43" s="146" t="s">
        <v>286</v>
      </c>
      <c r="C43" s="147" t="s">
        <v>246</v>
      </c>
      <c r="D43" s="40" t="s">
        <v>258</v>
      </c>
      <c r="E43" s="40" t="s">
        <v>279</v>
      </c>
      <c r="F43" s="36" t="s">
        <v>287</v>
      </c>
      <c r="G43" s="36" t="s">
        <v>288</v>
      </c>
      <c r="H43" s="36" t="s">
        <v>289</v>
      </c>
      <c r="I43" s="36" t="s">
        <v>290</v>
      </c>
      <c r="J43" s="36">
        <v>18</v>
      </c>
      <c r="K43" s="36">
        <v>40</v>
      </c>
      <c r="L43" s="36" t="s">
        <v>291</v>
      </c>
      <c r="M43" s="36" t="s">
        <v>231</v>
      </c>
      <c r="N43" s="154" t="s">
        <v>247</v>
      </c>
      <c r="O43" s="36" t="s">
        <v>231</v>
      </c>
      <c r="P43" s="36" t="s">
        <v>231</v>
      </c>
      <c r="Q43" s="36" t="s">
        <v>265</v>
      </c>
      <c r="R43" s="155" t="s">
        <v>266</v>
      </c>
      <c r="S43" s="156" t="s">
        <v>292</v>
      </c>
    </row>
    <row r="44" spans="1:19" ht="12">
      <c r="A44" s="145">
        <v>1.125</v>
      </c>
      <c r="B44" s="146" t="s">
        <v>286</v>
      </c>
      <c r="C44" s="147" t="s">
        <v>248</v>
      </c>
      <c r="D44" s="40" t="s">
        <v>258</v>
      </c>
      <c r="E44" s="40" t="s">
        <v>279</v>
      </c>
      <c r="F44" s="36" t="s">
        <v>287</v>
      </c>
      <c r="G44" s="36" t="s">
        <v>288</v>
      </c>
      <c r="H44" s="36" t="s">
        <v>289</v>
      </c>
      <c r="I44" s="36" t="s">
        <v>290</v>
      </c>
      <c r="J44" s="36">
        <v>18</v>
      </c>
      <c r="K44" s="36">
        <v>40</v>
      </c>
      <c r="L44" s="36" t="s">
        <v>291</v>
      </c>
      <c r="M44" s="36" t="s">
        <v>231</v>
      </c>
      <c r="N44" s="154" t="s">
        <v>249</v>
      </c>
      <c r="O44" s="36" t="s">
        <v>231</v>
      </c>
      <c r="P44" s="36" t="s">
        <v>231</v>
      </c>
      <c r="Q44" s="36" t="s">
        <v>265</v>
      </c>
      <c r="R44" s="155" t="s">
        <v>266</v>
      </c>
      <c r="S44" s="156" t="s">
        <v>292</v>
      </c>
    </row>
    <row r="45" spans="1:19" ht="12">
      <c r="A45" s="145">
        <v>1.125</v>
      </c>
      <c r="B45" s="146" t="s">
        <v>286</v>
      </c>
      <c r="C45" s="147" t="s">
        <v>250</v>
      </c>
      <c r="D45" s="40" t="s">
        <v>258</v>
      </c>
      <c r="E45" s="40" t="s">
        <v>279</v>
      </c>
      <c r="F45" s="36" t="s">
        <v>287</v>
      </c>
      <c r="G45" s="36" t="s">
        <v>288</v>
      </c>
      <c r="H45" s="36" t="s">
        <v>289</v>
      </c>
      <c r="I45" s="36" t="s">
        <v>290</v>
      </c>
      <c r="J45" s="36">
        <v>18</v>
      </c>
      <c r="K45" s="36">
        <v>40</v>
      </c>
      <c r="L45" s="36" t="s">
        <v>291</v>
      </c>
      <c r="M45" s="36" t="s">
        <v>231</v>
      </c>
      <c r="N45" s="154" t="s">
        <v>251</v>
      </c>
      <c r="O45" s="36" t="s">
        <v>231</v>
      </c>
      <c r="P45" s="36" t="s">
        <v>231</v>
      </c>
      <c r="Q45" s="36" t="s">
        <v>265</v>
      </c>
      <c r="R45" s="155" t="s">
        <v>266</v>
      </c>
      <c r="S45" s="156" t="s">
        <v>292</v>
      </c>
    </row>
    <row r="46" spans="1:19" ht="12">
      <c r="A46" s="145">
        <v>1.125</v>
      </c>
      <c r="B46" s="146" t="s">
        <v>286</v>
      </c>
      <c r="C46" s="147" t="s">
        <v>252</v>
      </c>
      <c r="D46" s="40" t="s">
        <v>258</v>
      </c>
      <c r="E46" s="40" t="s">
        <v>279</v>
      </c>
      <c r="F46" s="36" t="s">
        <v>287</v>
      </c>
      <c r="G46" s="36" t="s">
        <v>288</v>
      </c>
      <c r="H46" s="36" t="s">
        <v>289</v>
      </c>
      <c r="I46" s="36" t="s">
        <v>290</v>
      </c>
      <c r="J46" s="36">
        <v>18</v>
      </c>
      <c r="K46" s="36">
        <v>40</v>
      </c>
      <c r="L46" s="36" t="s">
        <v>291</v>
      </c>
      <c r="M46" s="36" t="s">
        <v>231</v>
      </c>
      <c r="N46" s="154" t="s">
        <v>231</v>
      </c>
      <c r="O46" s="36" t="s">
        <v>231</v>
      </c>
      <c r="P46" s="36" t="s">
        <v>231</v>
      </c>
      <c r="Q46" s="36" t="s">
        <v>265</v>
      </c>
      <c r="R46" s="155" t="s">
        <v>266</v>
      </c>
      <c r="S46" s="156" t="s">
        <v>292</v>
      </c>
    </row>
    <row r="47" spans="1:19" ht="12">
      <c r="A47" s="145">
        <v>1.125</v>
      </c>
      <c r="B47" s="146" t="s">
        <v>286</v>
      </c>
      <c r="C47" s="147" t="s">
        <v>253</v>
      </c>
      <c r="D47" s="40" t="s">
        <v>258</v>
      </c>
      <c r="E47" s="40" t="s">
        <v>279</v>
      </c>
      <c r="F47" s="36" t="s">
        <v>287</v>
      </c>
      <c r="G47" s="36" t="s">
        <v>288</v>
      </c>
      <c r="H47" s="36" t="s">
        <v>289</v>
      </c>
      <c r="I47" s="36" t="s">
        <v>290</v>
      </c>
      <c r="J47" s="36">
        <v>18</v>
      </c>
      <c r="K47" s="36">
        <v>40</v>
      </c>
      <c r="L47" s="36" t="s">
        <v>291</v>
      </c>
      <c r="M47" s="36" t="s">
        <v>231</v>
      </c>
      <c r="N47" s="154" t="s">
        <v>254</v>
      </c>
      <c r="O47" s="36" t="s">
        <v>231</v>
      </c>
      <c r="P47" s="36" t="s">
        <v>231</v>
      </c>
      <c r="Q47" s="36" t="s">
        <v>265</v>
      </c>
      <c r="R47" s="155" t="s">
        <v>266</v>
      </c>
      <c r="S47" s="156" t="s">
        <v>292</v>
      </c>
    </row>
    <row r="48" spans="1:19" ht="12">
      <c r="A48" s="145">
        <v>1.125</v>
      </c>
      <c r="B48" s="146" t="s">
        <v>286</v>
      </c>
      <c r="C48" s="147" t="s">
        <v>255</v>
      </c>
      <c r="D48" s="40" t="s">
        <v>258</v>
      </c>
      <c r="E48" s="40" t="s">
        <v>279</v>
      </c>
      <c r="F48" s="36" t="s">
        <v>287</v>
      </c>
      <c r="G48" s="36" t="s">
        <v>288</v>
      </c>
      <c r="H48" s="36" t="s">
        <v>289</v>
      </c>
      <c r="I48" s="36" t="s">
        <v>290</v>
      </c>
      <c r="J48" s="36">
        <v>18</v>
      </c>
      <c r="K48" s="36">
        <v>40</v>
      </c>
      <c r="L48" s="36" t="s">
        <v>291</v>
      </c>
      <c r="M48" s="36" t="s">
        <v>231</v>
      </c>
      <c r="N48" s="154" t="s">
        <v>256</v>
      </c>
      <c r="O48" s="36" t="s">
        <v>231</v>
      </c>
      <c r="P48" s="36" t="s">
        <v>231</v>
      </c>
      <c r="Q48" s="36" t="s">
        <v>265</v>
      </c>
      <c r="R48" s="155" t="s">
        <v>266</v>
      </c>
      <c r="S48" s="156" t="s">
        <v>292</v>
      </c>
    </row>
    <row r="49" spans="1:19" ht="12">
      <c r="A49" s="145">
        <v>1</v>
      </c>
      <c r="B49" s="146" t="s">
        <v>233</v>
      </c>
      <c r="C49" s="152" t="s">
        <v>234</v>
      </c>
      <c r="D49" s="40">
        <v>81</v>
      </c>
      <c r="E49" s="40">
        <v>115</v>
      </c>
      <c r="F49" s="36" t="s">
        <v>231</v>
      </c>
      <c r="G49" s="36" t="s">
        <v>231</v>
      </c>
      <c r="H49" s="36">
        <v>50</v>
      </c>
      <c r="I49" s="36" t="s">
        <v>236</v>
      </c>
      <c r="J49" s="36" t="s">
        <v>231</v>
      </c>
      <c r="K49" s="36" t="s">
        <v>231</v>
      </c>
      <c r="L49" s="36" t="s">
        <v>231</v>
      </c>
      <c r="M49" s="153" t="s">
        <v>237</v>
      </c>
      <c r="N49" s="154">
        <v>37.98</v>
      </c>
      <c r="O49" s="36" t="s">
        <v>293</v>
      </c>
      <c r="P49" s="36" t="s">
        <v>240</v>
      </c>
      <c r="Q49" s="36" t="s">
        <v>281</v>
      </c>
      <c r="R49" s="155" t="s">
        <v>294</v>
      </c>
      <c r="S49" s="156" t="s">
        <v>242</v>
      </c>
    </row>
    <row r="50" spans="1:19" ht="12">
      <c r="A50" s="145">
        <v>1</v>
      </c>
      <c r="B50" s="146" t="s">
        <v>233</v>
      </c>
      <c r="C50" s="152" t="s">
        <v>243</v>
      </c>
      <c r="D50" s="40">
        <v>81</v>
      </c>
      <c r="E50" s="40">
        <v>115</v>
      </c>
      <c r="F50" s="36" t="s">
        <v>231</v>
      </c>
      <c r="G50" s="36" t="s">
        <v>231</v>
      </c>
      <c r="H50" s="36">
        <v>50</v>
      </c>
      <c r="I50" s="36" t="s">
        <v>236</v>
      </c>
      <c r="J50" s="36" t="s">
        <v>231</v>
      </c>
      <c r="K50" s="36" t="s">
        <v>231</v>
      </c>
      <c r="L50" s="36" t="s">
        <v>231</v>
      </c>
      <c r="M50" s="153" t="s">
        <v>237</v>
      </c>
      <c r="N50" s="154">
        <v>32.01</v>
      </c>
      <c r="O50" s="36" t="s">
        <v>293</v>
      </c>
      <c r="P50" s="36" t="s">
        <v>240</v>
      </c>
      <c r="Q50" s="36" t="s">
        <v>281</v>
      </c>
      <c r="R50" s="155" t="s">
        <v>294</v>
      </c>
      <c r="S50" s="156" t="s">
        <v>242</v>
      </c>
    </row>
    <row r="51" spans="1:19" ht="12">
      <c r="A51" s="145">
        <v>1</v>
      </c>
      <c r="B51" s="146" t="s">
        <v>233</v>
      </c>
      <c r="C51" s="152" t="s">
        <v>244</v>
      </c>
      <c r="D51" s="40">
        <v>81</v>
      </c>
      <c r="E51" s="40">
        <v>115</v>
      </c>
      <c r="F51" s="36" t="s">
        <v>231</v>
      </c>
      <c r="G51" s="36" t="s">
        <v>231</v>
      </c>
      <c r="H51" s="36">
        <v>50</v>
      </c>
      <c r="I51" s="36" t="s">
        <v>236</v>
      </c>
      <c r="J51" s="36" t="s">
        <v>231</v>
      </c>
      <c r="K51" s="36" t="s">
        <v>231</v>
      </c>
      <c r="L51" s="36" t="s">
        <v>231</v>
      </c>
      <c r="M51" s="153" t="s">
        <v>237</v>
      </c>
      <c r="N51" s="154" t="s">
        <v>295</v>
      </c>
      <c r="O51" s="36" t="s">
        <v>293</v>
      </c>
      <c r="P51" s="36" t="s">
        <v>240</v>
      </c>
      <c r="Q51" s="36" t="s">
        <v>281</v>
      </c>
      <c r="R51" s="155" t="s">
        <v>294</v>
      </c>
      <c r="S51" s="156" t="s">
        <v>242</v>
      </c>
    </row>
    <row r="52" spans="1:19" ht="12">
      <c r="A52" s="145">
        <v>1</v>
      </c>
      <c r="B52" s="146" t="s">
        <v>233</v>
      </c>
      <c r="C52" s="152" t="s">
        <v>246</v>
      </c>
      <c r="D52" s="40">
        <v>81</v>
      </c>
      <c r="E52" s="40">
        <v>115</v>
      </c>
      <c r="F52" s="36" t="s">
        <v>231</v>
      </c>
      <c r="G52" s="36" t="s">
        <v>231</v>
      </c>
      <c r="H52" s="36">
        <v>50</v>
      </c>
      <c r="I52" s="36" t="s">
        <v>236</v>
      </c>
      <c r="J52" s="36" t="s">
        <v>231</v>
      </c>
      <c r="K52" s="36" t="s">
        <v>231</v>
      </c>
      <c r="L52" s="36" t="s">
        <v>231</v>
      </c>
      <c r="M52" s="153" t="s">
        <v>237</v>
      </c>
      <c r="N52" s="154" t="s">
        <v>296</v>
      </c>
      <c r="O52" s="36" t="s">
        <v>293</v>
      </c>
      <c r="P52" s="36" t="s">
        <v>240</v>
      </c>
      <c r="Q52" s="36" t="s">
        <v>281</v>
      </c>
      <c r="R52" s="155" t="s">
        <v>294</v>
      </c>
      <c r="S52" s="156" t="s">
        <v>242</v>
      </c>
    </row>
    <row r="53" spans="1:19" ht="12">
      <c r="A53" s="145">
        <v>1</v>
      </c>
      <c r="B53" s="146" t="s">
        <v>233</v>
      </c>
      <c r="C53" s="152" t="s">
        <v>248</v>
      </c>
      <c r="D53" s="40">
        <v>81</v>
      </c>
      <c r="E53" s="40">
        <v>115</v>
      </c>
      <c r="F53" s="36" t="s">
        <v>231</v>
      </c>
      <c r="G53" s="36" t="s">
        <v>231</v>
      </c>
      <c r="H53" s="36">
        <v>50</v>
      </c>
      <c r="I53" s="36" t="s">
        <v>236</v>
      </c>
      <c r="J53" s="36" t="s">
        <v>231</v>
      </c>
      <c r="K53" s="36" t="s">
        <v>231</v>
      </c>
      <c r="L53" s="36" t="s">
        <v>231</v>
      </c>
      <c r="M53" s="153" t="s">
        <v>237</v>
      </c>
      <c r="N53" s="154" t="s">
        <v>297</v>
      </c>
      <c r="O53" s="36" t="s">
        <v>293</v>
      </c>
      <c r="P53" s="36" t="s">
        <v>240</v>
      </c>
      <c r="Q53" s="36" t="s">
        <v>281</v>
      </c>
      <c r="R53" s="155" t="s">
        <v>294</v>
      </c>
      <c r="S53" s="156" t="s">
        <v>242</v>
      </c>
    </row>
    <row r="54" spans="1:19" ht="12">
      <c r="A54" s="145">
        <v>1</v>
      </c>
      <c r="B54" s="146" t="s">
        <v>233</v>
      </c>
      <c r="C54" s="152" t="s">
        <v>250</v>
      </c>
      <c r="D54" s="40">
        <v>81</v>
      </c>
      <c r="E54" s="40">
        <v>115</v>
      </c>
      <c r="F54" s="36" t="s">
        <v>231</v>
      </c>
      <c r="G54" s="36" t="s">
        <v>231</v>
      </c>
      <c r="H54" s="36">
        <v>50</v>
      </c>
      <c r="I54" s="36" t="s">
        <v>236</v>
      </c>
      <c r="J54" s="36" t="s">
        <v>231</v>
      </c>
      <c r="K54" s="36" t="s">
        <v>231</v>
      </c>
      <c r="L54" s="36" t="s">
        <v>231</v>
      </c>
      <c r="M54" s="153" t="s">
        <v>237</v>
      </c>
      <c r="N54" s="154" t="s">
        <v>298</v>
      </c>
      <c r="O54" s="36" t="s">
        <v>293</v>
      </c>
      <c r="P54" s="36" t="s">
        <v>240</v>
      </c>
      <c r="Q54" s="36" t="s">
        <v>281</v>
      </c>
      <c r="R54" s="155" t="s">
        <v>294</v>
      </c>
      <c r="S54" s="156" t="s">
        <v>242</v>
      </c>
    </row>
    <row r="55" spans="1:19" ht="12">
      <c r="A55" s="145">
        <v>1</v>
      </c>
      <c r="B55" s="146" t="s">
        <v>233</v>
      </c>
      <c r="C55" s="152" t="s">
        <v>252</v>
      </c>
      <c r="D55" s="40">
        <v>81</v>
      </c>
      <c r="E55" s="40">
        <v>115</v>
      </c>
      <c r="F55" s="36" t="s">
        <v>231</v>
      </c>
      <c r="G55" s="36" t="s">
        <v>231</v>
      </c>
      <c r="H55" s="36">
        <v>50</v>
      </c>
      <c r="I55" s="36" t="s">
        <v>236</v>
      </c>
      <c r="J55" s="36" t="s">
        <v>231</v>
      </c>
      <c r="K55" s="36" t="s">
        <v>231</v>
      </c>
      <c r="L55" s="36" t="s">
        <v>231</v>
      </c>
      <c r="M55" s="153" t="s">
        <v>237</v>
      </c>
      <c r="N55" s="154" t="s">
        <v>299</v>
      </c>
      <c r="O55" s="36" t="s">
        <v>293</v>
      </c>
      <c r="P55" s="36" t="s">
        <v>240</v>
      </c>
      <c r="Q55" s="36" t="s">
        <v>281</v>
      </c>
      <c r="R55" s="155" t="s">
        <v>294</v>
      </c>
      <c r="S55" s="156" t="s">
        <v>242</v>
      </c>
    </row>
    <row r="56" spans="1:19" ht="12">
      <c r="A56" s="145">
        <v>1</v>
      </c>
      <c r="B56" s="146" t="s">
        <v>233</v>
      </c>
      <c r="C56" s="152" t="s">
        <v>253</v>
      </c>
      <c r="D56" s="40">
        <v>81</v>
      </c>
      <c r="E56" s="40">
        <v>115</v>
      </c>
      <c r="F56" s="36" t="s">
        <v>231</v>
      </c>
      <c r="G56" s="36" t="s">
        <v>231</v>
      </c>
      <c r="H56" s="36">
        <v>50</v>
      </c>
      <c r="I56" s="36" t="s">
        <v>236</v>
      </c>
      <c r="J56" s="36" t="s">
        <v>231</v>
      </c>
      <c r="K56" s="36" t="s">
        <v>231</v>
      </c>
      <c r="L56" s="36" t="s">
        <v>231</v>
      </c>
      <c r="M56" s="153" t="s">
        <v>237</v>
      </c>
      <c r="N56" s="154" t="s">
        <v>300</v>
      </c>
      <c r="O56" s="36" t="s">
        <v>293</v>
      </c>
      <c r="P56" s="36" t="s">
        <v>240</v>
      </c>
      <c r="Q56" s="36" t="s">
        <v>281</v>
      </c>
      <c r="R56" s="155" t="s">
        <v>294</v>
      </c>
      <c r="S56" s="156" t="s">
        <v>242</v>
      </c>
    </row>
    <row r="57" spans="1:19" ht="12">
      <c r="A57" s="145">
        <v>1</v>
      </c>
      <c r="B57" s="146" t="s">
        <v>233</v>
      </c>
      <c r="C57" s="152" t="s">
        <v>255</v>
      </c>
      <c r="D57" s="40">
        <v>81</v>
      </c>
      <c r="E57" s="40">
        <v>115</v>
      </c>
      <c r="F57" s="36" t="s">
        <v>231</v>
      </c>
      <c r="G57" s="36" t="s">
        <v>231</v>
      </c>
      <c r="H57" s="36">
        <v>50</v>
      </c>
      <c r="I57" s="36" t="s">
        <v>236</v>
      </c>
      <c r="J57" s="36" t="s">
        <v>231</v>
      </c>
      <c r="K57" s="36" t="s">
        <v>231</v>
      </c>
      <c r="L57" s="36" t="s">
        <v>231</v>
      </c>
      <c r="M57" s="153" t="s">
        <v>237</v>
      </c>
      <c r="N57" s="154" t="s">
        <v>301</v>
      </c>
      <c r="O57" s="36" t="s">
        <v>293</v>
      </c>
      <c r="P57" s="36" t="s">
        <v>240</v>
      </c>
      <c r="Q57" s="36" t="s">
        <v>281</v>
      </c>
      <c r="R57" s="155" t="s">
        <v>294</v>
      </c>
      <c r="S57" s="156" t="s">
        <v>242</v>
      </c>
    </row>
    <row r="58" spans="1:19" ht="12">
      <c r="A58" s="145">
        <v>1</v>
      </c>
      <c r="B58" s="146" t="s">
        <v>257</v>
      </c>
      <c r="C58" s="147" t="s">
        <v>234</v>
      </c>
      <c r="D58" s="40" t="s">
        <v>258</v>
      </c>
      <c r="E58" s="40" t="s">
        <v>259</v>
      </c>
      <c r="F58" s="36" t="s">
        <v>260</v>
      </c>
      <c r="G58" s="36" t="s">
        <v>261</v>
      </c>
      <c r="H58" s="36" t="s">
        <v>262</v>
      </c>
      <c r="I58" s="36" t="s">
        <v>263</v>
      </c>
      <c r="J58" s="36">
        <v>16</v>
      </c>
      <c r="K58" s="36">
        <v>50</v>
      </c>
      <c r="L58" s="36" t="s">
        <v>264</v>
      </c>
      <c r="M58" s="36" t="s">
        <v>231</v>
      </c>
      <c r="N58" s="154">
        <v>37.98</v>
      </c>
      <c r="O58" s="36" t="s">
        <v>231</v>
      </c>
      <c r="P58" s="36" t="s">
        <v>231</v>
      </c>
      <c r="Q58" s="36" t="s">
        <v>302</v>
      </c>
      <c r="R58" s="155" t="s">
        <v>303</v>
      </c>
      <c r="S58" s="156" t="s">
        <v>267</v>
      </c>
    </row>
    <row r="59" spans="1:19" ht="12">
      <c r="A59" s="145">
        <v>1</v>
      </c>
      <c r="B59" s="146" t="s">
        <v>257</v>
      </c>
      <c r="C59" s="147" t="s">
        <v>243</v>
      </c>
      <c r="D59" s="40" t="s">
        <v>258</v>
      </c>
      <c r="E59" s="40" t="s">
        <v>259</v>
      </c>
      <c r="F59" s="36" t="s">
        <v>260</v>
      </c>
      <c r="G59" s="36" t="s">
        <v>261</v>
      </c>
      <c r="H59" s="36" t="s">
        <v>262</v>
      </c>
      <c r="I59" s="36" t="s">
        <v>263</v>
      </c>
      <c r="J59" s="36">
        <v>16</v>
      </c>
      <c r="K59" s="36">
        <v>50</v>
      </c>
      <c r="L59" s="36" t="s">
        <v>264</v>
      </c>
      <c r="M59" s="36" t="s">
        <v>231</v>
      </c>
      <c r="N59" s="154">
        <v>32.01</v>
      </c>
      <c r="O59" s="36" t="s">
        <v>231</v>
      </c>
      <c r="P59" s="36" t="s">
        <v>231</v>
      </c>
      <c r="Q59" s="36" t="s">
        <v>302</v>
      </c>
      <c r="R59" s="155" t="s">
        <v>303</v>
      </c>
      <c r="S59" s="156" t="s">
        <v>267</v>
      </c>
    </row>
    <row r="60" spans="1:19" ht="12">
      <c r="A60" s="145">
        <v>1</v>
      </c>
      <c r="B60" s="146" t="s">
        <v>257</v>
      </c>
      <c r="C60" s="147" t="s">
        <v>244</v>
      </c>
      <c r="D60" s="40" t="s">
        <v>258</v>
      </c>
      <c r="E60" s="40" t="s">
        <v>259</v>
      </c>
      <c r="F60" s="36" t="s">
        <v>260</v>
      </c>
      <c r="G60" s="36" t="s">
        <v>261</v>
      </c>
      <c r="H60" s="36" t="s">
        <v>262</v>
      </c>
      <c r="I60" s="36" t="s">
        <v>263</v>
      </c>
      <c r="J60" s="36">
        <v>16</v>
      </c>
      <c r="K60" s="36">
        <v>50</v>
      </c>
      <c r="L60" s="36" t="s">
        <v>264</v>
      </c>
      <c r="M60" s="36" t="s">
        <v>231</v>
      </c>
      <c r="N60" s="154" t="s">
        <v>295</v>
      </c>
      <c r="O60" s="36" t="s">
        <v>231</v>
      </c>
      <c r="P60" s="36" t="s">
        <v>231</v>
      </c>
      <c r="Q60" s="36" t="s">
        <v>302</v>
      </c>
      <c r="R60" s="155" t="s">
        <v>303</v>
      </c>
      <c r="S60" s="156" t="s">
        <v>267</v>
      </c>
    </row>
    <row r="61" spans="1:19" ht="12">
      <c r="A61" s="145">
        <v>1</v>
      </c>
      <c r="B61" s="146" t="s">
        <v>257</v>
      </c>
      <c r="C61" s="147" t="s">
        <v>246</v>
      </c>
      <c r="D61" s="40" t="s">
        <v>258</v>
      </c>
      <c r="E61" s="40" t="s">
        <v>259</v>
      </c>
      <c r="F61" s="36" t="s">
        <v>260</v>
      </c>
      <c r="G61" s="36" t="s">
        <v>261</v>
      </c>
      <c r="H61" s="36" t="s">
        <v>262</v>
      </c>
      <c r="I61" s="36" t="s">
        <v>263</v>
      </c>
      <c r="J61" s="36">
        <v>16</v>
      </c>
      <c r="K61" s="36">
        <v>50</v>
      </c>
      <c r="L61" s="36" t="s">
        <v>264</v>
      </c>
      <c r="M61" s="36" t="s">
        <v>231</v>
      </c>
      <c r="N61" s="154" t="s">
        <v>296</v>
      </c>
      <c r="O61" s="36" t="s">
        <v>231</v>
      </c>
      <c r="P61" s="36" t="s">
        <v>231</v>
      </c>
      <c r="Q61" s="36" t="s">
        <v>302</v>
      </c>
      <c r="R61" s="155" t="s">
        <v>303</v>
      </c>
      <c r="S61" s="156" t="s">
        <v>267</v>
      </c>
    </row>
    <row r="62" spans="1:19" ht="12">
      <c r="A62" s="145">
        <v>1</v>
      </c>
      <c r="B62" s="146" t="s">
        <v>257</v>
      </c>
      <c r="C62" s="147" t="s">
        <v>248</v>
      </c>
      <c r="D62" s="40" t="s">
        <v>258</v>
      </c>
      <c r="E62" s="40" t="s">
        <v>259</v>
      </c>
      <c r="F62" s="36" t="s">
        <v>260</v>
      </c>
      <c r="G62" s="36" t="s">
        <v>261</v>
      </c>
      <c r="H62" s="36" t="s">
        <v>262</v>
      </c>
      <c r="I62" s="36" t="s">
        <v>263</v>
      </c>
      <c r="J62" s="36">
        <v>16</v>
      </c>
      <c r="K62" s="36">
        <v>50</v>
      </c>
      <c r="L62" s="36" t="s">
        <v>264</v>
      </c>
      <c r="M62" s="36" t="s">
        <v>231</v>
      </c>
      <c r="N62" s="154" t="s">
        <v>297</v>
      </c>
      <c r="O62" s="36" t="s">
        <v>231</v>
      </c>
      <c r="P62" s="36" t="s">
        <v>231</v>
      </c>
      <c r="Q62" s="36" t="s">
        <v>302</v>
      </c>
      <c r="R62" s="155" t="s">
        <v>303</v>
      </c>
      <c r="S62" s="156" t="s">
        <v>267</v>
      </c>
    </row>
    <row r="63" spans="1:19" ht="12">
      <c r="A63" s="145">
        <v>1</v>
      </c>
      <c r="B63" s="146" t="s">
        <v>257</v>
      </c>
      <c r="C63" s="147" t="s">
        <v>250</v>
      </c>
      <c r="D63" s="40" t="s">
        <v>258</v>
      </c>
      <c r="E63" s="40" t="s">
        <v>259</v>
      </c>
      <c r="F63" s="36" t="s">
        <v>260</v>
      </c>
      <c r="G63" s="36" t="s">
        <v>261</v>
      </c>
      <c r="H63" s="36" t="s">
        <v>262</v>
      </c>
      <c r="I63" s="36" t="s">
        <v>263</v>
      </c>
      <c r="J63" s="36">
        <v>16</v>
      </c>
      <c r="K63" s="36">
        <v>50</v>
      </c>
      <c r="L63" s="36" t="s">
        <v>264</v>
      </c>
      <c r="M63" s="36" t="s">
        <v>231</v>
      </c>
      <c r="N63" s="154" t="s">
        <v>298</v>
      </c>
      <c r="O63" s="36" t="s">
        <v>231</v>
      </c>
      <c r="P63" s="36" t="s">
        <v>231</v>
      </c>
      <c r="Q63" s="36" t="s">
        <v>302</v>
      </c>
      <c r="R63" s="155" t="s">
        <v>303</v>
      </c>
      <c r="S63" s="156" t="s">
        <v>267</v>
      </c>
    </row>
    <row r="64" spans="1:19" ht="12">
      <c r="A64" s="145">
        <v>1</v>
      </c>
      <c r="B64" s="146" t="s">
        <v>257</v>
      </c>
      <c r="C64" s="147" t="s">
        <v>252</v>
      </c>
      <c r="D64" s="40" t="s">
        <v>258</v>
      </c>
      <c r="E64" s="40" t="s">
        <v>259</v>
      </c>
      <c r="F64" s="36" t="s">
        <v>260</v>
      </c>
      <c r="G64" s="36" t="s">
        <v>261</v>
      </c>
      <c r="H64" s="36" t="s">
        <v>262</v>
      </c>
      <c r="I64" s="36" t="s">
        <v>263</v>
      </c>
      <c r="J64" s="36">
        <v>16</v>
      </c>
      <c r="K64" s="36">
        <v>50</v>
      </c>
      <c r="L64" s="36" t="s">
        <v>264</v>
      </c>
      <c r="M64" s="36" t="s">
        <v>231</v>
      </c>
      <c r="N64" s="154" t="s">
        <v>299</v>
      </c>
      <c r="O64" s="36" t="s">
        <v>231</v>
      </c>
      <c r="P64" s="36" t="s">
        <v>231</v>
      </c>
      <c r="Q64" s="36" t="s">
        <v>302</v>
      </c>
      <c r="R64" s="155" t="s">
        <v>303</v>
      </c>
      <c r="S64" s="156" t="s">
        <v>267</v>
      </c>
    </row>
    <row r="65" spans="1:19" ht="12">
      <c r="A65" s="145">
        <v>1</v>
      </c>
      <c r="B65" s="146" t="s">
        <v>257</v>
      </c>
      <c r="C65" s="147" t="s">
        <v>253</v>
      </c>
      <c r="D65" s="40" t="s">
        <v>258</v>
      </c>
      <c r="E65" s="40" t="s">
        <v>259</v>
      </c>
      <c r="F65" s="36" t="s">
        <v>260</v>
      </c>
      <c r="G65" s="36" t="s">
        <v>261</v>
      </c>
      <c r="H65" s="36" t="s">
        <v>262</v>
      </c>
      <c r="I65" s="36" t="s">
        <v>263</v>
      </c>
      <c r="J65" s="36">
        <v>16</v>
      </c>
      <c r="K65" s="36">
        <v>50</v>
      </c>
      <c r="L65" s="36" t="s">
        <v>264</v>
      </c>
      <c r="M65" s="36" t="s">
        <v>231</v>
      </c>
      <c r="N65" s="154" t="s">
        <v>300</v>
      </c>
      <c r="O65" s="36" t="s">
        <v>231</v>
      </c>
      <c r="P65" s="36" t="s">
        <v>231</v>
      </c>
      <c r="Q65" s="36" t="s">
        <v>302</v>
      </c>
      <c r="R65" s="155" t="s">
        <v>303</v>
      </c>
      <c r="S65" s="156" t="s">
        <v>267</v>
      </c>
    </row>
    <row r="66" spans="1:19" ht="12">
      <c r="A66" s="145">
        <v>1</v>
      </c>
      <c r="B66" s="146" t="s">
        <v>257</v>
      </c>
      <c r="C66" s="147" t="s">
        <v>255</v>
      </c>
      <c r="D66" s="40" t="s">
        <v>258</v>
      </c>
      <c r="E66" s="40" t="s">
        <v>259</v>
      </c>
      <c r="F66" s="36" t="s">
        <v>260</v>
      </c>
      <c r="G66" s="36" t="s">
        <v>261</v>
      </c>
      <c r="H66" s="36" t="s">
        <v>262</v>
      </c>
      <c r="I66" s="36" t="s">
        <v>263</v>
      </c>
      <c r="J66" s="36">
        <v>16</v>
      </c>
      <c r="K66" s="36">
        <v>50</v>
      </c>
      <c r="L66" s="36" t="s">
        <v>264</v>
      </c>
      <c r="M66" s="36" t="s">
        <v>231</v>
      </c>
      <c r="N66" s="154" t="s">
        <v>301</v>
      </c>
      <c r="O66" s="36" t="s">
        <v>231</v>
      </c>
      <c r="P66" s="36" t="s">
        <v>231</v>
      </c>
      <c r="Q66" s="36" t="s">
        <v>302</v>
      </c>
      <c r="R66" s="155" t="s">
        <v>303</v>
      </c>
      <c r="S66" s="156" t="s">
        <v>267</v>
      </c>
    </row>
    <row r="67" spans="1:19" ht="12">
      <c r="A67" s="145">
        <v>1</v>
      </c>
      <c r="B67" s="146" t="s">
        <v>276</v>
      </c>
      <c r="C67" s="147" t="s">
        <v>234</v>
      </c>
      <c r="D67" s="36" t="s">
        <v>277</v>
      </c>
      <c r="E67" s="36" t="s">
        <v>278</v>
      </c>
      <c r="F67" s="40" t="s">
        <v>258</v>
      </c>
      <c r="G67" s="40" t="s">
        <v>279</v>
      </c>
      <c r="H67" s="40" t="s">
        <v>228</v>
      </c>
      <c r="I67" s="40" t="s">
        <v>229</v>
      </c>
      <c r="J67" s="157" t="s">
        <v>280</v>
      </c>
      <c r="K67" s="36">
        <v>45</v>
      </c>
      <c r="L67" s="36" t="s">
        <v>230</v>
      </c>
      <c r="M67" s="36" t="s">
        <v>231</v>
      </c>
      <c r="N67" s="158">
        <v>37984</v>
      </c>
      <c r="O67" s="36" t="s">
        <v>303</v>
      </c>
      <c r="P67" s="36" t="s">
        <v>265</v>
      </c>
      <c r="Q67" s="36" t="s">
        <v>302</v>
      </c>
      <c r="R67" s="155" t="s">
        <v>303</v>
      </c>
      <c r="S67" s="156" t="s">
        <v>283</v>
      </c>
    </row>
    <row r="68" spans="1:19" ht="12">
      <c r="A68" s="145">
        <v>1</v>
      </c>
      <c r="B68" s="146" t="s">
        <v>276</v>
      </c>
      <c r="C68" s="147" t="s">
        <v>243</v>
      </c>
      <c r="D68" s="36" t="s">
        <v>277</v>
      </c>
      <c r="E68" s="36" t="s">
        <v>278</v>
      </c>
      <c r="F68" s="40" t="s">
        <v>258</v>
      </c>
      <c r="G68" s="40" t="s">
        <v>279</v>
      </c>
      <c r="H68" s="40" t="s">
        <v>228</v>
      </c>
      <c r="I68" s="40" t="s">
        <v>229</v>
      </c>
      <c r="J68" s="157" t="s">
        <v>280</v>
      </c>
      <c r="K68" s="36">
        <v>45</v>
      </c>
      <c r="L68" s="36" t="s">
        <v>230</v>
      </c>
      <c r="M68" s="36" t="s">
        <v>231</v>
      </c>
      <c r="N68" s="158">
        <v>32015</v>
      </c>
      <c r="O68" s="36" t="s">
        <v>303</v>
      </c>
      <c r="P68" s="36" t="s">
        <v>265</v>
      </c>
      <c r="Q68" s="36" t="s">
        <v>302</v>
      </c>
      <c r="R68" s="155" t="s">
        <v>303</v>
      </c>
      <c r="S68" s="156" t="s">
        <v>283</v>
      </c>
    </row>
    <row r="69" spans="1:19" ht="12">
      <c r="A69" s="145">
        <v>1</v>
      </c>
      <c r="B69" s="146" t="s">
        <v>276</v>
      </c>
      <c r="C69" s="147" t="s">
        <v>244</v>
      </c>
      <c r="D69" s="36" t="s">
        <v>277</v>
      </c>
      <c r="E69" s="36" t="s">
        <v>278</v>
      </c>
      <c r="F69" s="40" t="s">
        <v>258</v>
      </c>
      <c r="G69" s="40" t="s">
        <v>279</v>
      </c>
      <c r="H69" s="40" t="s">
        <v>228</v>
      </c>
      <c r="I69" s="40" t="s">
        <v>229</v>
      </c>
      <c r="J69" s="157" t="s">
        <v>280</v>
      </c>
      <c r="K69" s="36">
        <v>45</v>
      </c>
      <c r="L69" s="36" t="s">
        <v>230</v>
      </c>
      <c r="M69" s="36" t="s">
        <v>231</v>
      </c>
      <c r="N69" s="36" t="s">
        <v>295</v>
      </c>
      <c r="O69" s="36" t="s">
        <v>303</v>
      </c>
      <c r="P69" s="36" t="s">
        <v>265</v>
      </c>
      <c r="Q69" s="36" t="s">
        <v>302</v>
      </c>
      <c r="R69" s="155" t="s">
        <v>303</v>
      </c>
      <c r="S69" s="156" t="s">
        <v>283</v>
      </c>
    </row>
    <row r="70" spans="1:19" ht="12">
      <c r="A70" s="145">
        <v>1</v>
      </c>
      <c r="B70" s="146" t="s">
        <v>276</v>
      </c>
      <c r="C70" s="147" t="s">
        <v>246</v>
      </c>
      <c r="D70" s="36" t="s">
        <v>277</v>
      </c>
      <c r="E70" s="36" t="s">
        <v>278</v>
      </c>
      <c r="F70" s="40" t="s">
        <v>258</v>
      </c>
      <c r="G70" s="40" t="s">
        <v>279</v>
      </c>
      <c r="H70" s="40" t="s">
        <v>228</v>
      </c>
      <c r="I70" s="40" t="s">
        <v>229</v>
      </c>
      <c r="J70" s="157" t="s">
        <v>280</v>
      </c>
      <c r="K70" s="36">
        <v>45</v>
      </c>
      <c r="L70" s="36" t="s">
        <v>230</v>
      </c>
      <c r="M70" s="36" t="s">
        <v>231</v>
      </c>
      <c r="N70" s="36" t="s">
        <v>296</v>
      </c>
      <c r="O70" s="36" t="s">
        <v>303</v>
      </c>
      <c r="P70" s="36" t="s">
        <v>265</v>
      </c>
      <c r="Q70" s="36" t="s">
        <v>302</v>
      </c>
      <c r="R70" s="155" t="s">
        <v>303</v>
      </c>
      <c r="S70" s="156" t="s">
        <v>283</v>
      </c>
    </row>
    <row r="71" spans="1:19" ht="12">
      <c r="A71" s="145">
        <v>1</v>
      </c>
      <c r="B71" s="146" t="s">
        <v>276</v>
      </c>
      <c r="C71" s="147" t="s">
        <v>248</v>
      </c>
      <c r="D71" s="36" t="s">
        <v>277</v>
      </c>
      <c r="E71" s="36" t="s">
        <v>278</v>
      </c>
      <c r="F71" s="40" t="s">
        <v>258</v>
      </c>
      <c r="G71" s="40" t="s">
        <v>279</v>
      </c>
      <c r="H71" s="40" t="s">
        <v>228</v>
      </c>
      <c r="I71" s="40" t="s">
        <v>229</v>
      </c>
      <c r="J71" s="157" t="s">
        <v>280</v>
      </c>
      <c r="K71" s="36">
        <v>45</v>
      </c>
      <c r="L71" s="36" t="s">
        <v>230</v>
      </c>
      <c r="M71" s="36" t="s">
        <v>231</v>
      </c>
      <c r="N71" s="36" t="s">
        <v>297</v>
      </c>
      <c r="O71" s="36" t="s">
        <v>303</v>
      </c>
      <c r="P71" s="36" t="s">
        <v>265</v>
      </c>
      <c r="Q71" s="36" t="s">
        <v>302</v>
      </c>
      <c r="R71" s="155" t="s">
        <v>303</v>
      </c>
      <c r="S71" s="156" t="s">
        <v>283</v>
      </c>
    </row>
    <row r="72" spans="1:19" ht="12">
      <c r="A72" s="145">
        <v>1</v>
      </c>
      <c r="B72" s="146" t="s">
        <v>276</v>
      </c>
      <c r="C72" s="147" t="s">
        <v>250</v>
      </c>
      <c r="D72" s="36" t="s">
        <v>277</v>
      </c>
      <c r="E72" s="36" t="s">
        <v>278</v>
      </c>
      <c r="F72" s="40" t="s">
        <v>258</v>
      </c>
      <c r="G72" s="40" t="s">
        <v>279</v>
      </c>
      <c r="H72" s="40" t="s">
        <v>228</v>
      </c>
      <c r="I72" s="40" t="s">
        <v>229</v>
      </c>
      <c r="J72" s="157" t="s">
        <v>280</v>
      </c>
      <c r="K72" s="36">
        <v>45</v>
      </c>
      <c r="L72" s="36" t="s">
        <v>230</v>
      </c>
      <c r="M72" s="36" t="s">
        <v>231</v>
      </c>
      <c r="N72" s="158" t="s">
        <v>298</v>
      </c>
      <c r="O72" s="36" t="s">
        <v>303</v>
      </c>
      <c r="P72" s="36" t="s">
        <v>265</v>
      </c>
      <c r="Q72" s="36" t="s">
        <v>302</v>
      </c>
      <c r="R72" s="155" t="s">
        <v>303</v>
      </c>
      <c r="S72" s="156" t="s">
        <v>283</v>
      </c>
    </row>
    <row r="73" spans="1:19" ht="12">
      <c r="A73" s="145">
        <v>1</v>
      </c>
      <c r="B73" s="146" t="s">
        <v>276</v>
      </c>
      <c r="C73" s="147" t="s">
        <v>252</v>
      </c>
      <c r="D73" s="36" t="s">
        <v>277</v>
      </c>
      <c r="E73" s="36" t="s">
        <v>278</v>
      </c>
      <c r="F73" s="40" t="s">
        <v>258</v>
      </c>
      <c r="G73" s="40" t="s">
        <v>279</v>
      </c>
      <c r="H73" s="40" t="s">
        <v>228</v>
      </c>
      <c r="I73" s="40" t="s">
        <v>229</v>
      </c>
      <c r="J73" s="157" t="s">
        <v>280</v>
      </c>
      <c r="K73" s="36">
        <v>45</v>
      </c>
      <c r="L73" s="36" t="s">
        <v>230</v>
      </c>
      <c r="M73" s="36" t="s">
        <v>231</v>
      </c>
      <c r="N73" s="158" t="s">
        <v>299</v>
      </c>
      <c r="O73" s="36" t="s">
        <v>303</v>
      </c>
      <c r="P73" s="36" t="s">
        <v>265</v>
      </c>
      <c r="Q73" s="36" t="s">
        <v>302</v>
      </c>
      <c r="R73" s="155" t="s">
        <v>303</v>
      </c>
      <c r="S73" s="156" t="s">
        <v>283</v>
      </c>
    </row>
    <row r="74" spans="1:19" ht="12">
      <c r="A74" s="145">
        <v>1</v>
      </c>
      <c r="B74" s="146" t="s">
        <v>276</v>
      </c>
      <c r="C74" s="147" t="s">
        <v>253</v>
      </c>
      <c r="D74" s="36" t="s">
        <v>277</v>
      </c>
      <c r="E74" s="36" t="s">
        <v>278</v>
      </c>
      <c r="F74" s="40" t="s">
        <v>258</v>
      </c>
      <c r="G74" s="40" t="s">
        <v>279</v>
      </c>
      <c r="H74" s="40" t="s">
        <v>228</v>
      </c>
      <c r="I74" s="40" t="s">
        <v>229</v>
      </c>
      <c r="J74" s="157" t="s">
        <v>280</v>
      </c>
      <c r="K74" s="36">
        <v>45</v>
      </c>
      <c r="L74" s="36" t="s">
        <v>230</v>
      </c>
      <c r="M74" s="36" t="s">
        <v>231</v>
      </c>
      <c r="N74" s="36" t="s">
        <v>300</v>
      </c>
      <c r="O74" s="36" t="s">
        <v>303</v>
      </c>
      <c r="P74" s="36" t="s">
        <v>265</v>
      </c>
      <c r="Q74" s="36" t="s">
        <v>302</v>
      </c>
      <c r="R74" s="155" t="s">
        <v>303</v>
      </c>
      <c r="S74" s="156" t="s">
        <v>283</v>
      </c>
    </row>
    <row r="75" spans="1:19" ht="12">
      <c r="A75" s="145">
        <v>1</v>
      </c>
      <c r="B75" s="146" t="s">
        <v>276</v>
      </c>
      <c r="C75" s="147" t="s">
        <v>255</v>
      </c>
      <c r="D75" s="36" t="s">
        <v>277</v>
      </c>
      <c r="E75" s="36" t="s">
        <v>278</v>
      </c>
      <c r="F75" s="40" t="s">
        <v>258</v>
      </c>
      <c r="G75" s="40" t="s">
        <v>279</v>
      </c>
      <c r="H75" s="40" t="s">
        <v>228</v>
      </c>
      <c r="I75" s="40" t="s">
        <v>229</v>
      </c>
      <c r="J75" s="157" t="s">
        <v>280</v>
      </c>
      <c r="K75" s="36">
        <v>45</v>
      </c>
      <c r="L75" s="36" t="s">
        <v>230</v>
      </c>
      <c r="M75" s="36" t="s">
        <v>231</v>
      </c>
      <c r="N75" s="36" t="s">
        <v>301</v>
      </c>
      <c r="O75" s="36" t="s">
        <v>303</v>
      </c>
      <c r="P75" s="36" t="s">
        <v>265</v>
      </c>
      <c r="Q75" s="36" t="s">
        <v>302</v>
      </c>
      <c r="R75" s="155" t="s">
        <v>303</v>
      </c>
      <c r="S75" s="156" t="s">
        <v>283</v>
      </c>
    </row>
    <row r="76" spans="1:19" ht="12">
      <c r="A76" s="145">
        <v>1</v>
      </c>
      <c r="B76" s="146" t="s">
        <v>222</v>
      </c>
      <c r="C76" s="147" t="s">
        <v>234</v>
      </c>
      <c r="D76" s="36" t="s">
        <v>277</v>
      </c>
      <c r="E76" s="36" t="s">
        <v>278</v>
      </c>
      <c r="F76" s="40" t="s">
        <v>284</v>
      </c>
      <c r="G76" s="40" t="s">
        <v>227</v>
      </c>
      <c r="H76" s="40" t="s">
        <v>228</v>
      </c>
      <c r="I76" s="40" t="s">
        <v>229</v>
      </c>
      <c r="J76" s="157" t="s">
        <v>280</v>
      </c>
      <c r="K76" s="36">
        <v>45</v>
      </c>
      <c r="L76" s="36" t="s">
        <v>230</v>
      </c>
      <c r="M76" s="36" t="s">
        <v>231</v>
      </c>
      <c r="N76" s="154">
        <v>37.98</v>
      </c>
      <c r="O76" s="36" t="s">
        <v>303</v>
      </c>
      <c r="P76" s="36" t="s">
        <v>265</v>
      </c>
      <c r="Q76" s="36" t="s">
        <v>302</v>
      </c>
      <c r="R76" s="155" t="s">
        <v>303</v>
      </c>
      <c r="S76" s="156" t="s">
        <v>285</v>
      </c>
    </row>
    <row r="77" spans="1:19" ht="12">
      <c r="A77" s="145">
        <v>1</v>
      </c>
      <c r="B77" s="146" t="s">
        <v>222</v>
      </c>
      <c r="C77" s="147" t="s">
        <v>243</v>
      </c>
      <c r="D77" s="36" t="s">
        <v>277</v>
      </c>
      <c r="E77" s="36" t="s">
        <v>278</v>
      </c>
      <c r="F77" s="40" t="s">
        <v>284</v>
      </c>
      <c r="G77" s="40" t="s">
        <v>227</v>
      </c>
      <c r="H77" s="40" t="s">
        <v>228</v>
      </c>
      <c r="I77" s="40" t="s">
        <v>229</v>
      </c>
      <c r="J77" s="157" t="s">
        <v>280</v>
      </c>
      <c r="K77" s="36">
        <v>45</v>
      </c>
      <c r="L77" s="36" t="s">
        <v>230</v>
      </c>
      <c r="M77" s="36" t="s">
        <v>231</v>
      </c>
      <c r="N77" s="154">
        <v>32.01</v>
      </c>
      <c r="O77" s="36" t="s">
        <v>303</v>
      </c>
      <c r="P77" s="36" t="s">
        <v>265</v>
      </c>
      <c r="Q77" s="36" t="s">
        <v>302</v>
      </c>
      <c r="R77" s="155" t="s">
        <v>303</v>
      </c>
      <c r="S77" s="156" t="s">
        <v>285</v>
      </c>
    </row>
    <row r="78" spans="1:19" ht="12">
      <c r="A78" s="145">
        <v>1</v>
      </c>
      <c r="B78" s="146" t="s">
        <v>222</v>
      </c>
      <c r="C78" s="147" t="s">
        <v>244</v>
      </c>
      <c r="D78" s="36" t="s">
        <v>277</v>
      </c>
      <c r="E78" s="36" t="s">
        <v>278</v>
      </c>
      <c r="F78" s="40" t="s">
        <v>284</v>
      </c>
      <c r="G78" s="40" t="s">
        <v>227</v>
      </c>
      <c r="H78" s="40" t="s">
        <v>228</v>
      </c>
      <c r="I78" s="40" t="s">
        <v>229</v>
      </c>
      <c r="J78" s="157" t="s">
        <v>280</v>
      </c>
      <c r="K78" s="36">
        <v>45</v>
      </c>
      <c r="L78" s="36" t="s">
        <v>230</v>
      </c>
      <c r="M78" s="36" t="s">
        <v>231</v>
      </c>
      <c r="N78" s="154" t="s">
        <v>295</v>
      </c>
      <c r="O78" s="36" t="s">
        <v>303</v>
      </c>
      <c r="P78" s="36" t="s">
        <v>265</v>
      </c>
      <c r="Q78" s="36" t="s">
        <v>302</v>
      </c>
      <c r="R78" s="155" t="s">
        <v>303</v>
      </c>
      <c r="S78" s="156" t="s">
        <v>285</v>
      </c>
    </row>
    <row r="79" spans="1:19" ht="12">
      <c r="A79" s="145">
        <v>1</v>
      </c>
      <c r="B79" s="146" t="s">
        <v>222</v>
      </c>
      <c r="C79" s="147" t="s">
        <v>246</v>
      </c>
      <c r="D79" s="36" t="s">
        <v>277</v>
      </c>
      <c r="E79" s="36" t="s">
        <v>278</v>
      </c>
      <c r="F79" s="40" t="s">
        <v>284</v>
      </c>
      <c r="G79" s="40" t="s">
        <v>227</v>
      </c>
      <c r="H79" s="40" t="s">
        <v>228</v>
      </c>
      <c r="I79" s="40" t="s">
        <v>229</v>
      </c>
      <c r="J79" s="157" t="s">
        <v>280</v>
      </c>
      <c r="K79" s="36">
        <v>45</v>
      </c>
      <c r="L79" s="36" t="s">
        <v>230</v>
      </c>
      <c r="M79" s="36" t="s">
        <v>231</v>
      </c>
      <c r="N79" s="154" t="s">
        <v>296</v>
      </c>
      <c r="O79" s="36" t="s">
        <v>303</v>
      </c>
      <c r="P79" s="36" t="s">
        <v>265</v>
      </c>
      <c r="Q79" s="36" t="s">
        <v>302</v>
      </c>
      <c r="R79" s="155" t="s">
        <v>303</v>
      </c>
      <c r="S79" s="156" t="s">
        <v>285</v>
      </c>
    </row>
    <row r="80" spans="1:19" ht="12">
      <c r="A80" s="145">
        <v>1</v>
      </c>
      <c r="B80" s="146" t="s">
        <v>222</v>
      </c>
      <c r="C80" s="147" t="s">
        <v>248</v>
      </c>
      <c r="D80" s="36" t="s">
        <v>277</v>
      </c>
      <c r="E80" s="36" t="s">
        <v>278</v>
      </c>
      <c r="F80" s="40" t="s">
        <v>284</v>
      </c>
      <c r="G80" s="40" t="s">
        <v>227</v>
      </c>
      <c r="H80" s="40" t="s">
        <v>228</v>
      </c>
      <c r="I80" s="40" t="s">
        <v>229</v>
      </c>
      <c r="J80" s="157" t="s">
        <v>280</v>
      </c>
      <c r="K80" s="36">
        <v>45</v>
      </c>
      <c r="L80" s="36" t="s">
        <v>230</v>
      </c>
      <c r="M80" s="36" t="s">
        <v>231</v>
      </c>
      <c r="N80" s="154" t="s">
        <v>297</v>
      </c>
      <c r="O80" s="36" t="s">
        <v>303</v>
      </c>
      <c r="P80" s="36" t="s">
        <v>265</v>
      </c>
      <c r="Q80" s="36" t="s">
        <v>302</v>
      </c>
      <c r="R80" s="155" t="s">
        <v>303</v>
      </c>
      <c r="S80" s="156" t="s">
        <v>285</v>
      </c>
    </row>
    <row r="81" spans="1:19" ht="12">
      <c r="A81" s="145">
        <v>1</v>
      </c>
      <c r="B81" s="146" t="s">
        <v>222</v>
      </c>
      <c r="C81" s="147" t="s">
        <v>250</v>
      </c>
      <c r="D81" s="36" t="s">
        <v>277</v>
      </c>
      <c r="E81" s="36" t="s">
        <v>278</v>
      </c>
      <c r="F81" s="40" t="s">
        <v>284</v>
      </c>
      <c r="G81" s="40" t="s">
        <v>227</v>
      </c>
      <c r="H81" s="40" t="s">
        <v>228</v>
      </c>
      <c r="I81" s="40" t="s">
        <v>229</v>
      </c>
      <c r="J81" s="157" t="s">
        <v>280</v>
      </c>
      <c r="K81" s="36">
        <v>45</v>
      </c>
      <c r="L81" s="36" t="s">
        <v>230</v>
      </c>
      <c r="M81" s="36" t="s">
        <v>231</v>
      </c>
      <c r="N81" s="154" t="s">
        <v>298</v>
      </c>
      <c r="O81" s="36" t="s">
        <v>303</v>
      </c>
      <c r="P81" s="36" t="s">
        <v>265</v>
      </c>
      <c r="Q81" s="36" t="s">
        <v>302</v>
      </c>
      <c r="R81" s="155" t="s">
        <v>303</v>
      </c>
      <c r="S81" s="156" t="s">
        <v>285</v>
      </c>
    </row>
    <row r="82" spans="1:19" ht="12">
      <c r="A82" s="145">
        <v>1</v>
      </c>
      <c r="B82" s="146" t="s">
        <v>222</v>
      </c>
      <c r="C82" s="147" t="s">
        <v>252</v>
      </c>
      <c r="D82" s="36" t="s">
        <v>277</v>
      </c>
      <c r="E82" s="36" t="s">
        <v>278</v>
      </c>
      <c r="F82" s="40" t="s">
        <v>284</v>
      </c>
      <c r="G82" s="40" t="s">
        <v>227</v>
      </c>
      <c r="H82" s="40" t="s">
        <v>228</v>
      </c>
      <c r="I82" s="40" t="s">
        <v>229</v>
      </c>
      <c r="J82" s="157" t="s">
        <v>280</v>
      </c>
      <c r="K82" s="36">
        <v>45</v>
      </c>
      <c r="L82" s="36" t="s">
        <v>230</v>
      </c>
      <c r="M82" s="36" t="s">
        <v>231</v>
      </c>
      <c r="N82" s="154" t="s">
        <v>299</v>
      </c>
      <c r="O82" s="36" t="s">
        <v>303</v>
      </c>
      <c r="P82" s="36" t="s">
        <v>265</v>
      </c>
      <c r="Q82" s="36" t="s">
        <v>302</v>
      </c>
      <c r="R82" s="155" t="s">
        <v>303</v>
      </c>
      <c r="S82" s="156" t="s">
        <v>285</v>
      </c>
    </row>
    <row r="83" spans="1:19" ht="12">
      <c r="A83" s="145">
        <v>1</v>
      </c>
      <c r="B83" s="146" t="s">
        <v>222</v>
      </c>
      <c r="C83" s="147" t="s">
        <v>253</v>
      </c>
      <c r="D83" s="36" t="s">
        <v>277</v>
      </c>
      <c r="E83" s="36" t="s">
        <v>278</v>
      </c>
      <c r="F83" s="40" t="s">
        <v>284</v>
      </c>
      <c r="G83" s="40" t="s">
        <v>227</v>
      </c>
      <c r="H83" s="40" t="s">
        <v>228</v>
      </c>
      <c r="I83" s="40" t="s">
        <v>229</v>
      </c>
      <c r="J83" s="157" t="s">
        <v>280</v>
      </c>
      <c r="K83" s="36">
        <v>45</v>
      </c>
      <c r="L83" s="36" t="s">
        <v>230</v>
      </c>
      <c r="M83" s="36" t="s">
        <v>231</v>
      </c>
      <c r="N83" s="154" t="s">
        <v>300</v>
      </c>
      <c r="O83" s="36" t="s">
        <v>303</v>
      </c>
      <c r="P83" s="36" t="s">
        <v>265</v>
      </c>
      <c r="Q83" s="36" t="s">
        <v>302</v>
      </c>
      <c r="R83" s="155" t="s">
        <v>303</v>
      </c>
      <c r="S83" s="156" t="s">
        <v>285</v>
      </c>
    </row>
    <row r="84" spans="1:19" ht="12">
      <c r="A84" s="145">
        <v>1</v>
      </c>
      <c r="B84" s="146" t="s">
        <v>222</v>
      </c>
      <c r="C84" s="147" t="s">
        <v>255</v>
      </c>
      <c r="D84" s="36" t="s">
        <v>277</v>
      </c>
      <c r="E84" s="36" t="s">
        <v>278</v>
      </c>
      <c r="F84" s="40" t="s">
        <v>284</v>
      </c>
      <c r="G84" s="40" t="s">
        <v>227</v>
      </c>
      <c r="H84" s="40" t="s">
        <v>228</v>
      </c>
      <c r="I84" s="40" t="s">
        <v>229</v>
      </c>
      <c r="J84" s="157" t="s">
        <v>280</v>
      </c>
      <c r="K84" s="36">
        <v>45</v>
      </c>
      <c r="L84" s="36" t="s">
        <v>230</v>
      </c>
      <c r="M84" s="36" t="s">
        <v>231</v>
      </c>
      <c r="N84" s="154" t="s">
        <v>301</v>
      </c>
      <c r="O84" s="36" t="s">
        <v>303</v>
      </c>
      <c r="P84" s="36" t="s">
        <v>265</v>
      </c>
      <c r="Q84" s="36" t="s">
        <v>302</v>
      </c>
      <c r="R84" s="155" t="s">
        <v>303</v>
      </c>
      <c r="S84" s="156" t="s">
        <v>285</v>
      </c>
    </row>
    <row r="85" spans="1:19" ht="12">
      <c r="A85" s="145">
        <v>1</v>
      </c>
      <c r="B85" s="146" t="s">
        <v>286</v>
      </c>
      <c r="C85" s="147" t="s">
        <v>234</v>
      </c>
      <c r="D85" s="40" t="s">
        <v>258</v>
      </c>
      <c r="E85" s="40" t="s">
        <v>279</v>
      </c>
      <c r="F85" s="36" t="s">
        <v>287</v>
      </c>
      <c r="G85" s="36" t="s">
        <v>288</v>
      </c>
      <c r="H85" s="36" t="s">
        <v>289</v>
      </c>
      <c r="I85" s="36" t="s">
        <v>290</v>
      </c>
      <c r="J85" s="36">
        <v>18</v>
      </c>
      <c r="K85" s="36">
        <v>40</v>
      </c>
      <c r="L85" s="36" t="s">
        <v>291</v>
      </c>
      <c r="M85" s="36" t="s">
        <v>231</v>
      </c>
      <c r="N85" s="154">
        <v>37.98</v>
      </c>
      <c r="O85" s="36" t="s">
        <v>231</v>
      </c>
      <c r="P85" s="36" t="s">
        <v>231</v>
      </c>
      <c r="Q85" s="36" t="s">
        <v>302</v>
      </c>
      <c r="R85" s="155" t="s">
        <v>303</v>
      </c>
      <c r="S85" s="156" t="s">
        <v>292</v>
      </c>
    </row>
    <row r="86" spans="1:19" ht="12">
      <c r="A86" s="145">
        <v>1</v>
      </c>
      <c r="B86" s="146" t="s">
        <v>286</v>
      </c>
      <c r="C86" s="147" t="s">
        <v>243</v>
      </c>
      <c r="D86" s="40" t="s">
        <v>258</v>
      </c>
      <c r="E86" s="40" t="s">
        <v>279</v>
      </c>
      <c r="F86" s="36" t="s">
        <v>287</v>
      </c>
      <c r="G86" s="36" t="s">
        <v>288</v>
      </c>
      <c r="H86" s="36" t="s">
        <v>289</v>
      </c>
      <c r="I86" s="36" t="s">
        <v>290</v>
      </c>
      <c r="J86" s="36">
        <v>18</v>
      </c>
      <c r="K86" s="36">
        <v>40</v>
      </c>
      <c r="L86" s="36" t="s">
        <v>291</v>
      </c>
      <c r="M86" s="36" t="s">
        <v>231</v>
      </c>
      <c r="N86" s="154">
        <v>32.01</v>
      </c>
      <c r="O86" s="36" t="s">
        <v>231</v>
      </c>
      <c r="P86" s="36" t="s">
        <v>231</v>
      </c>
      <c r="Q86" s="36" t="s">
        <v>302</v>
      </c>
      <c r="R86" s="155" t="s">
        <v>303</v>
      </c>
      <c r="S86" s="156" t="s">
        <v>292</v>
      </c>
    </row>
    <row r="87" spans="1:19" ht="12">
      <c r="A87" s="145">
        <v>1</v>
      </c>
      <c r="B87" s="146" t="s">
        <v>286</v>
      </c>
      <c r="C87" s="147" t="s">
        <v>244</v>
      </c>
      <c r="D87" s="40" t="s">
        <v>258</v>
      </c>
      <c r="E87" s="40" t="s">
        <v>279</v>
      </c>
      <c r="F87" s="36" t="s">
        <v>287</v>
      </c>
      <c r="G87" s="36" t="s">
        <v>288</v>
      </c>
      <c r="H87" s="36" t="s">
        <v>289</v>
      </c>
      <c r="I87" s="36" t="s">
        <v>290</v>
      </c>
      <c r="J87" s="36">
        <v>18</v>
      </c>
      <c r="K87" s="36">
        <v>40</v>
      </c>
      <c r="L87" s="36" t="s">
        <v>291</v>
      </c>
      <c r="M87" s="36" t="s">
        <v>231</v>
      </c>
      <c r="N87" s="154" t="s">
        <v>295</v>
      </c>
      <c r="O87" s="36" t="s">
        <v>231</v>
      </c>
      <c r="P87" s="36" t="s">
        <v>231</v>
      </c>
      <c r="Q87" s="36" t="s">
        <v>302</v>
      </c>
      <c r="R87" s="155" t="s">
        <v>303</v>
      </c>
      <c r="S87" s="156" t="s">
        <v>292</v>
      </c>
    </row>
    <row r="88" spans="1:19" ht="12">
      <c r="A88" s="145">
        <v>1</v>
      </c>
      <c r="B88" s="146" t="s">
        <v>286</v>
      </c>
      <c r="C88" s="147" t="s">
        <v>246</v>
      </c>
      <c r="D88" s="40" t="s">
        <v>258</v>
      </c>
      <c r="E88" s="40" t="s">
        <v>279</v>
      </c>
      <c r="F88" s="36" t="s">
        <v>287</v>
      </c>
      <c r="G88" s="36" t="s">
        <v>288</v>
      </c>
      <c r="H88" s="36" t="s">
        <v>289</v>
      </c>
      <c r="I88" s="36" t="s">
        <v>290</v>
      </c>
      <c r="J88" s="36">
        <v>18</v>
      </c>
      <c r="K88" s="36">
        <v>40</v>
      </c>
      <c r="L88" s="36" t="s">
        <v>291</v>
      </c>
      <c r="M88" s="36" t="s">
        <v>231</v>
      </c>
      <c r="N88" s="154" t="s">
        <v>296</v>
      </c>
      <c r="O88" s="36" t="s">
        <v>231</v>
      </c>
      <c r="P88" s="36" t="s">
        <v>231</v>
      </c>
      <c r="Q88" s="36" t="s">
        <v>302</v>
      </c>
      <c r="R88" s="155" t="s">
        <v>303</v>
      </c>
      <c r="S88" s="156" t="s">
        <v>292</v>
      </c>
    </row>
    <row r="89" spans="1:19" ht="12">
      <c r="A89" s="145">
        <v>1</v>
      </c>
      <c r="B89" s="146" t="s">
        <v>286</v>
      </c>
      <c r="C89" s="147" t="s">
        <v>248</v>
      </c>
      <c r="D89" s="40" t="s">
        <v>258</v>
      </c>
      <c r="E89" s="40" t="s">
        <v>279</v>
      </c>
      <c r="F89" s="36" t="s">
        <v>287</v>
      </c>
      <c r="G89" s="36" t="s">
        <v>288</v>
      </c>
      <c r="H89" s="36" t="s">
        <v>289</v>
      </c>
      <c r="I89" s="36" t="s">
        <v>290</v>
      </c>
      <c r="J89" s="36">
        <v>18</v>
      </c>
      <c r="K89" s="36">
        <v>40</v>
      </c>
      <c r="L89" s="36" t="s">
        <v>291</v>
      </c>
      <c r="M89" s="36" t="s">
        <v>231</v>
      </c>
      <c r="N89" s="154" t="s">
        <v>297</v>
      </c>
      <c r="O89" s="36" t="s">
        <v>231</v>
      </c>
      <c r="P89" s="36" t="s">
        <v>231</v>
      </c>
      <c r="Q89" s="36" t="s">
        <v>302</v>
      </c>
      <c r="R89" s="155" t="s">
        <v>303</v>
      </c>
      <c r="S89" s="156" t="s">
        <v>292</v>
      </c>
    </row>
    <row r="90" spans="1:19" ht="12">
      <c r="A90" s="145">
        <v>1</v>
      </c>
      <c r="B90" s="146" t="s">
        <v>286</v>
      </c>
      <c r="C90" s="147" t="s">
        <v>250</v>
      </c>
      <c r="D90" s="40" t="s">
        <v>258</v>
      </c>
      <c r="E90" s="40" t="s">
        <v>279</v>
      </c>
      <c r="F90" s="36" t="s">
        <v>287</v>
      </c>
      <c r="G90" s="36" t="s">
        <v>288</v>
      </c>
      <c r="H90" s="36" t="s">
        <v>289</v>
      </c>
      <c r="I90" s="36" t="s">
        <v>290</v>
      </c>
      <c r="J90" s="36">
        <v>18</v>
      </c>
      <c r="K90" s="36">
        <v>40</v>
      </c>
      <c r="L90" s="36" t="s">
        <v>291</v>
      </c>
      <c r="M90" s="36" t="s">
        <v>231</v>
      </c>
      <c r="N90" s="154" t="s">
        <v>298</v>
      </c>
      <c r="O90" s="36" t="s">
        <v>231</v>
      </c>
      <c r="P90" s="36" t="s">
        <v>231</v>
      </c>
      <c r="Q90" s="36" t="s">
        <v>302</v>
      </c>
      <c r="R90" s="155" t="s">
        <v>303</v>
      </c>
      <c r="S90" s="156" t="s">
        <v>292</v>
      </c>
    </row>
    <row r="91" spans="1:19" ht="12">
      <c r="A91" s="145">
        <v>1</v>
      </c>
      <c r="B91" s="146" t="s">
        <v>286</v>
      </c>
      <c r="C91" s="147" t="s">
        <v>252</v>
      </c>
      <c r="D91" s="40" t="s">
        <v>258</v>
      </c>
      <c r="E91" s="40" t="s">
        <v>279</v>
      </c>
      <c r="F91" s="36" t="s">
        <v>287</v>
      </c>
      <c r="G91" s="36" t="s">
        <v>288</v>
      </c>
      <c r="H91" s="36" t="s">
        <v>289</v>
      </c>
      <c r="I91" s="36" t="s">
        <v>290</v>
      </c>
      <c r="J91" s="36">
        <v>18</v>
      </c>
      <c r="K91" s="36">
        <v>40</v>
      </c>
      <c r="L91" s="36" t="s">
        <v>291</v>
      </c>
      <c r="M91" s="36" t="s">
        <v>231</v>
      </c>
      <c r="N91" s="154" t="s">
        <v>299</v>
      </c>
      <c r="O91" s="36" t="s">
        <v>231</v>
      </c>
      <c r="P91" s="36" t="s">
        <v>231</v>
      </c>
      <c r="Q91" s="36" t="s">
        <v>302</v>
      </c>
      <c r="R91" s="155" t="s">
        <v>303</v>
      </c>
      <c r="S91" s="156" t="s">
        <v>292</v>
      </c>
    </row>
    <row r="92" spans="1:19" ht="12">
      <c r="A92" s="145">
        <v>1</v>
      </c>
      <c r="B92" s="146" t="s">
        <v>286</v>
      </c>
      <c r="C92" s="147" t="s">
        <v>253</v>
      </c>
      <c r="D92" s="40" t="s">
        <v>258</v>
      </c>
      <c r="E92" s="40" t="s">
        <v>279</v>
      </c>
      <c r="F92" s="36" t="s">
        <v>287</v>
      </c>
      <c r="G92" s="36" t="s">
        <v>288</v>
      </c>
      <c r="H92" s="36" t="s">
        <v>289</v>
      </c>
      <c r="I92" s="36" t="s">
        <v>290</v>
      </c>
      <c r="J92" s="36">
        <v>18</v>
      </c>
      <c r="K92" s="36">
        <v>40</v>
      </c>
      <c r="L92" s="36" t="s">
        <v>291</v>
      </c>
      <c r="M92" s="36" t="s">
        <v>231</v>
      </c>
      <c r="N92" s="154" t="s">
        <v>300</v>
      </c>
      <c r="O92" s="36" t="s">
        <v>231</v>
      </c>
      <c r="P92" s="36" t="s">
        <v>231</v>
      </c>
      <c r="Q92" s="36" t="s">
        <v>302</v>
      </c>
      <c r="R92" s="155" t="s">
        <v>303</v>
      </c>
      <c r="S92" s="156" t="s">
        <v>292</v>
      </c>
    </row>
    <row r="93" spans="1:19" ht="12">
      <c r="A93" s="145">
        <v>1</v>
      </c>
      <c r="B93" s="146" t="s">
        <v>286</v>
      </c>
      <c r="C93" s="147" t="s">
        <v>255</v>
      </c>
      <c r="D93" s="40" t="s">
        <v>258</v>
      </c>
      <c r="E93" s="40" t="s">
        <v>279</v>
      </c>
      <c r="F93" s="36" t="s">
        <v>287</v>
      </c>
      <c r="G93" s="36" t="s">
        <v>288</v>
      </c>
      <c r="H93" s="36" t="s">
        <v>289</v>
      </c>
      <c r="I93" s="36" t="s">
        <v>290</v>
      </c>
      <c r="J93" s="36">
        <v>18</v>
      </c>
      <c r="K93" s="36">
        <v>40</v>
      </c>
      <c r="L93" s="36" t="s">
        <v>291</v>
      </c>
      <c r="M93" s="36" t="s">
        <v>231</v>
      </c>
      <c r="N93" s="154" t="s">
        <v>301</v>
      </c>
      <c r="O93" s="36" t="s">
        <v>231</v>
      </c>
      <c r="P93" s="36" t="s">
        <v>231</v>
      </c>
      <c r="Q93" s="36" t="s">
        <v>302</v>
      </c>
      <c r="R93" s="155" t="s">
        <v>303</v>
      </c>
      <c r="S93" s="156" t="s">
        <v>292</v>
      </c>
    </row>
    <row r="94" spans="1:19" ht="12">
      <c r="A94" s="145">
        <v>0.875</v>
      </c>
      <c r="B94" s="146" t="s">
        <v>233</v>
      </c>
      <c r="C94" s="152" t="s">
        <v>234</v>
      </c>
      <c r="D94" s="40">
        <v>106</v>
      </c>
      <c r="E94" s="40">
        <v>150</v>
      </c>
      <c r="F94" s="36" t="s">
        <v>231</v>
      </c>
      <c r="G94" s="36" t="s">
        <v>231</v>
      </c>
      <c r="H94" s="36">
        <v>50</v>
      </c>
      <c r="I94" s="36" t="s">
        <v>236</v>
      </c>
      <c r="J94" s="36" t="s">
        <v>231</v>
      </c>
      <c r="K94" s="36" t="s">
        <v>231</v>
      </c>
      <c r="L94" s="36" t="s">
        <v>231</v>
      </c>
      <c r="M94" s="153" t="s">
        <v>237</v>
      </c>
      <c r="N94" s="154">
        <v>28.52</v>
      </c>
      <c r="O94" s="36" t="s">
        <v>304</v>
      </c>
      <c r="P94" s="36" t="s">
        <v>305</v>
      </c>
      <c r="Q94" s="36" t="s">
        <v>306</v>
      </c>
      <c r="R94" s="155" t="s">
        <v>307</v>
      </c>
      <c r="S94" s="156" t="s">
        <v>242</v>
      </c>
    </row>
    <row r="95" spans="1:19" ht="12">
      <c r="A95" s="145">
        <v>0.875</v>
      </c>
      <c r="B95" s="146" t="s">
        <v>233</v>
      </c>
      <c r="C95" s="152" t="s">
        <v>243</v>
      </c>
      <c r="D95" s="40">
        <v>106</v>
      </c>
      <c r="E95" s="40">
        <v>150</v>
      </c>
      <c r="F95" s="36" t="s">
        <v>231</v>
      </c>
      <c r="G95" s="36" t="s">
        <v>231</v>
      </c>
      <c r="H95" s="36">
        <v>50</v>
      </c>
      <c r="I95" s="36" t="s">
        <v>236</v>
      </c>
      <c r="J95" s="36" t="s">
        <v>231</v>
      </c>
      <c r="K95" s="36" t="s">
        <v>231</v>
      </c>
      <c r="L95" s="36" t="s">
        <v>231</v>
      </c>
      <c r="M95" s="153" t="s">
        <v>237</v>
      </c>
      <c r="N95" s="154">
        <v>23.89</v>
      </c>
      <c r="O95" s="36" t="s">
        <v>304</v>
      </c>
      <c r="P95" s="36" t="s">
        <v>305</v>
      </c>
      <c r="Q95" s="36" t="s">
        <v>306</v>
      </c>
      <c r="R95" s="155" t="s">
        <v>307</v>
      </c>
      <c r="S95" s="156" t="s">
        <v>242</v>
      </c>
    </row>
    <row r="96" spans="1:19" ht="12">
      <c r="A96" s="145">
        <v>0.875</v>
      </c>
      <c r="B96" s="146" t="s">
        <v>233</v>
      </c>
      <c r="C96" s="152" t="s">
        <v>244</v>
      </c>
      <c r="D96" s="40">
        <v>106</v>
      </c>
      <c r="E96" s="40">
        <v>150</v>
      </c>
      <c r="F96" s="36" t="s">
        <v>231</v>
      </c>
      <c r="G96" s="36" t="s">
        <v>231</v>
      </c>
      <c r="H96" s="36">
        <v>50</v>
      </c>
      <c r="I96" s="36" t="s">
        <v>236</v>
      </c>
      <c r="J96" s="36" t="s">
        <v>231</v>
      </c>
      <c r="K96" s="36" t="s">
        <v>231</v>
      </c>
      <c r="L96" s="36" t="s">
        <v>231</v>
      </c>
      <c r="M96" s="153" t="s">
        <v>237</v>
      </c>
      <c r="N96" s="154" t="s">
        <v>308</v>
      </c>
      <c r="O96" s="36" t="s">
        <v>304</v>
      </c>
      <c r="P96" s="36" t="s">
        <v>305</v>
      </c>
      <c r="Q96" s="36" t="s">
        <v>306</v>
      </c>
      <c r="R96" s="155" t="s">
        <v>307</v>
      </c>
      <c r="S96" s="156" t="s">
        <v>242</v>
      </c>
    </row>
    <row r="97" spans="1:19" ht="12">
      <c r="A97" s="145">
        <v>0.875</v>
      </c>
      <c r="B97" s="146" t="s">
        <v>233</v>
      </c>
      <c r="C97" s="152" t="s">
        <v>246</v>
      </c>
      <c r="D97" s="40">
        <v>106</v>
      </c>
      <c r="E97" s="40">
        <v>150</v>
      </c>
      <c r="F97" s="36" t="s">
        <v>231</v>
      </c>
      <c r="G97" s="36" t="s">
        <v>231</v>
      </c>
      <c r="H97" s="36">
        <v>50</v>
      </c>
      <c r="I97" s="36" t="s">
        <v>236</v>
      </c>
      <c r="J97" s="36" t="s">
        <v>231</v>
      </c>
      <c r="K97" s="36" t="s">
        <v>231</v>
      </c>
      <c r="L97" s="36" t="s">
        <v>231</v>
      </c>
      <c r="M97" s="153" t="s">
        <v>237</v>
      </c>
      <c r="N97" s="154" t="s">
        <v>309</v>
      </c>
      <c r="O97" s="36" t="s">
        <v>304</v>
      </c>
      <c r="P97" s="36" t="s">
        <v>305</v>
      </c>
      <c r="Q97" s="36" t="s">
        <v>306</v>
      </c>
      <c r="R97" s="155" t="s">
        <v>307</v>
      </c>
      <c r="S97" s="156" t="s">
        <v>242</v>
      </c>
    </row>
    <row r="98" spans="1:19" ht="12">
      <c r="A98" s="145">
        <v>0.875</v>
      </c>
      <c r="B98" s="146" t="s">
        <v>233</v>
      </c>
      <c r="C98" s="152" t="s">
        <v>248</v>
      </c>
      <c r="D98" s="40">
        <v>106</v>
      </c>
      <c r="E98" s="40">
        <v>150</v>
      </c>
      <c r="F98" s="36" t="s">
        <v>231</v>
      </c>
      <c r="G98" s="36" t="s">
        <v>231</v>
      </c>
      <c r="H98" s="36">
        <v>50</v>
      </c>
      <c r="I98" s="36" t="s">
        <v>236</v>
      </c>
      <c r="J98" s="36" t="s">
        <v>231</v>
      </c>
      <c r="K98" s="36" t="s">
        <v>231</v>
      </c>
      <c r="L98" s="36" t="s">
        <v>231</v>
      </c>
      <c r="M98" s="153" t="s">
        <v>237</v>
      </c>
      <c r="N98" s="154" t="s">
        <v>310</v>
      </c>
      <c r="O98" s="36" t="s">
        <v>304</v>
      </c>
      <c r="P98" s="36" t="s">
        <v>305</v>
      </c>
      <c r="Q98" s="36" t="s">
        <v>306</v>
      </c>
      <c r="R98" s="155" t="s">
        <v>307</v>
      </c>
      <c r="S98" s="156" t="s">
        <v>242</v>
      </c>
    </row>
    <row r="99" spans="1:19" ht="12">
      <c r="A99" s="145">
        <v>0.875</v>
      </c>
      <c r="B99" s="146" t="s">
        <v>233</v>
      </c>
      <c r="C99" s="152" t="s">
        <v>250</v>
      </c>
      <c r="D99" s="40">
        <v>106</v>
      </c>
      <c r="E99" s="40">
        <v>150</v>
      </c>
      <c r="F99" s="36" t="s">
        <v>231</v>
      </c>
      <c r="G99" s="36" t="s">
        <v>231</v>
      </c>
      <c r="H99" s="36">
        <v>50</v>
      </c>
      <c r="I99" s="36" t="s">
        <v>236</v>
      </c>
      <c r="J99" s="36" t="s">
        <v>231</v>
      </c>
      <c r="K99" s="36" t="s">
        <v>231</v>
      </c>
      <c r="L99" s="36" t="s">
        <v>231</v>
      </c>
      <c r="M99" s="153" t="s">
        <v>237</v>
      </c>
      <c r="N99" s="154" t="s">
        <v>311</v>
      </c>
      <c r="O99" s="36" t="s">
        <v>304</v>
      </c>
      <c r="P99" s="36" t="s">
        <v>305</v>
      </c>
      <c r="Q99" s="36" t="s">
        <v>306</v>
      </c>
      <c r="R99" s="155" t="s">
        <v>307</v>
      </c>
      <c r="S99" s="156" t="s">
        <v>242</v>
      </c>
    </row>
    <row r="100" spans="1:19" ht="12">
      <c r="A100" s="145">
        <v>0.875</v>
      </c>
      <c r="B100" s="146" t="s">
        <v>233</v>
      </c>
      <c r="C100" s="152" t="s">
        <v>252</v>
      </c>
      <c r="D100" s="40">
        <v>106</v>
      </c>
      <c r="E100" s="40">
        <v>150</v>
      </c>
      <c r="F100" s="36" t="s">
        <v>231</v>
      </c>
      <c r="G100" s="36" t="s">
        <v>231</v>
      </c>
      <c r="H100" s="36">
        <v>50</v>
      </c>
      <c r="I100" s="36" t="s">
        <v>236</v>
      </c>
      <c r="J100" s="36" t="s">
        <v>231</v>
      </c>
      <c r="K100" s="36" t="s">
        <v>231</v>
      </c>
      <c r="L100" s="36" t="s">
        <v>231</v>
      </c>
      <c r="M100" s="153" t="s">
        <v>237</v>
      </c>
      <c r="N100" s="154" t="s">
        <v>312</v>
      </c>
      <c r="O100" s="36" t="s">
        <v>304</v>
      </c>
      <c r="P100" s="36" t="s">
        <v>305</v>
      </c>
      <c r="Q100" s="36" t="s">
        <v>306</v>
      </c>
      <c r="R100" s="155" t="s">
        <v>307</v>
      </c>
      <c r="S100" s="156" t="s">
        <v>242</v>
      </c>
    </row>
    <row r="101" spans="1:19" ht="12">
      <c r="A101" s="145">
        <v>0.875</v>
      </c>
      <c r="B101" s="146" t="s">
        <v>233</v>
      </c>
      <c r="C101" s="152" t="s">
        <v>253</v>
      </c>
      <c r="D101" s="40">
        <v>106</v>
      </c>
      <c r="E101" s="40">
        <v>150</v>
      </c>
      <c r="F101" s="36" t="s">
        <v>231</v>
      </c>
      <c r="G101" s="36" t="s">
        <v>231</v>
      </c>
      <c r="H101" s="36">
        <v>50</v>
      </c>
      <c r="I101" s="36" t="s">
        <v>236</v>
      </c>
      <c r="J101" s="36" t="s">
        <v>231</v>
      </c>
      <c r="K101" s="36" t="s">
        <v>231</v>
      </c>
      <c r="L101" s="36" t="s">
        <v>231</v>
      </c>
      <c r="M101" s="153" t="s">
        <v>237</v>
      </c>
      <c r="N101" s="154" t="s">
        <v>313</v>
      </c>
      <c r="O101" s="36" t="s">
        <v>304</v>
      </c>
      <c r="P101" s="36" t="s">
        <v>305</v>
      </c>
      <c r="Q101" s="36" t="s">
        <v>306</v>
      </c>
      <c r="R101" s="155" t="s">
        <v>307</v>
      </c>
      <c r="S101" s="156" t="s">
        <v>242</v>
      </c>
    </row>
    <row r="102" spans="1:19" ht="12">
      <c r="A102" s="145">
        <v>0.875</v>
      </c>
      <c r="B102" s="146" t="s">
        <v>233</v>
      </c>
      <c r="C102" s="152" t="s">
        <v>255</v>
      </c>
      <c r="D102" s="40">
        <v>106</v>
      </c>
      <c r="E102" s="40">
        <v>150</v>
      </c>
      <c r="F102" s="36" t="s">
        <v>231</v>
      </c>
      <c r="G102" s="36" t="s">
        <v>231</v>
      </c>
      <c r="H102" s="36">
        <v>50</v>
      </c>
      <c r="I102" s="36" t="s">
        <v>236</v>
      </c>
      <c r="J102" s="36" t="s">
        <v>231</v>
      </c>
      <c r="K102" s="36" t="s">
        <v>231</v>
      </c>
      <c r="L102" s="36" t="s">
        <v>231</v>
      </c>
      <c r="M102" s="153" t="s">
        <v>237</v>
      </c>
      <c r="N102" s="154" t="s">
        <v>314</v>
      </c>
      <c r="O102" s="36" t="s">
        <v>304</v>
      </c>
      <c r="P102" s="36" t="s">
        <v>305</v>
      </c>
      <c r="Q102" s="36" t="s">
        <v>306</v>
      </c>
      <c r="R102" s="155" t="s">
        <v>307</v>
      </c>
      <c r="S102" s="156" t="s">
        <v>242</v>
      </c>
    </row>
    <row r="103" spans="1:19" ht="12">
      <c r="A103" s="145">
        <v>0.875</v>
      </c>
      <c r="B103" s="146" t="s">
        <v>257</v>
      </c>
      <c r="C103" s="147" t="s">
        <v>234</v>
      </c>
      <c r="D103" s="40" t="s">
        <v>258</v>
      </c>
      <c r="E103" s="40" t="s">
        <v>259</v>
      </c>
      <c r="F103" s="36" t="s">
        <v>260</v>
      </c>
      <c r="G103" s="36" t="s">
        <v>261</v>
      </c>
      <c r="H103" s="36" t="s">
        <v>262</v>
      </c>
      <c r="I103" s="36" t="s">
        <v>263</v>
      </c>
      <c r="J103" s="36">
        <v>16</v>
      </c>
      <c r="K103" s="36">
        <v>50</v>
      </c>
      <c r="L103" s="36" t="s">
        <v>264</v>
      </c>
      <c r="M103" s="36" t="s">
        <v>231</v>
      </c>
      <c r="N103" s="154">
        <v>28.52</v>
      </c>
      <c r="O103" s="36" t="s">
        <v>231</v>
      </c>
      <c r="P103" s="36" t="s">
        <v>231</v>
      </c>
      <c r="Q103" s="36" t="s">
        <v>315</v>
      </c>
      <c r="R103" s="155" t="s">
        <v>316</v>
      </c>
      <c r="S103" s="156" t="s">
        <v>267</v>
      </c>
    </row>
    <row r="104" spans="1:19" ht="12">
      <c r="A104" s="145">
        <v>0.875</v>
      </c>
      <c r="B104" s="146" t="s">
        <v>257</v>
      </c>
      <c r="C104" s="147" t="s">
        <v>243</v>
      </c>
      <c r="D104" s="40" t="s">
        <v>258</v>
      </c>
      <c r="E104" s="40" t="s">
        <v>259</v>
      </c>
      <c r="F104" s="36" t="s">
        <v>260</v>
      </c>
      <c r="G104" s="36" t="s">
        <v>261</v>
      </c>
      <c r="H104" s="36" t="s">
        <v>262</v>
      </c>
      <c r="I104" s="36" t="s">
        <v>263</v>
      </c>
      <c r="J104" s="36">
        <v>16</v>
      </c>
      <c r="K104" s="36">
        <v>50</v>
      </c>
      <c r="L104" s="36" t="s">
        <v>264</v>
      </c>
      <c r="M104" s="36" t="s">
        <v>231</v>
      </c>
      <c r="N104" s="154">
        <v>23.89</v>
      </c>
      <c r="O104" s="36" t="s">
        <v>231</v>
      </c>
      <c r="P104" s="36" t="s">
        <v>231</v>
      </c>
      <c r="Q104" s="36" t="s">
        <v>315</v>
      </c>
      <c r="R104" s="155" t="s">
        <v>316</v>
      </c>
      <c r="S104" s="156" t="s">
        <v>267</v>
      </c>
    </row>
    <row r="105" spans="1:19" ht="12">
      <c r="A105" s="145">
        <v>0.875</v>
      </c>
      <c r="B105" s="146" t="s">
        <v>257</v>
      </c>
      <c r="C105" s="147" t="s">
        <v>244</v>
      </c>
      <c r="D105" s="40" t="s">
        <v>258</v>
      </c>
      <c r="E105" s="40" t="s">
        <v>259</v>
      </c>
      <c r="F105" s="36" t="s">
        <v>260</v>
      </c>
      <c r="G105" s="36" t="s">
        <v>261</v>
      </c>
      <c r="H105" s="36" t="s">
        <v>262</v>
      </c>
      <c r="I105" s="36" t="s">
        <v>263</v>
      </c>
      <c r="J105" s="36">
        <v>16</v>
      </c>
      <c r="K105" s="36">
        <v>50</v>
      </c>
      <c r="L105" s="36" t="s">
        <v>264</v>
      </c>
      <c r="M105" s="36" t="s">
        <v>231</v>
      </c>
      <c r="N105" s="154" t="s">
        <v>308</v>
      </c>
      <c r="O105" s="36" t="s">
        <v>231</v>
      </c>
      <c r="P105" s="36" t="s">
        <v>231</v>
      </c>
      <c r="Q105" s="36" t="s">
        <v>315</v>
      </c>
      <c r="R105" s="155" t="s">
        <v>316</v>
      </c>
      <c r="S105" s="156" t="s">
        <v>267</v>
      </c>
    </row>
    <row r="106" spans="1:19" ht="12">
      <c r="A106" s="145">
        <v>0.875</v>
      </c>
      <c r="B106" s="146" t="s">
        <v>257</v>
      </c>
      <c r="C106" s="147" t="s">
        <v>246</v>
      </c>
      <c r="D106" s="40" t="s">
        <v>258</v>
      </c>
      <c r="E106" s="40" t="s">
        <v>259</v>
      </c>
      <c r="F106" s="36" t="s">
        <v>260</v>
      </c>
      <c r="G106" s="36" t="s">
        <v>261</v>
      </c>
      <c r="H106" s="36" t="s">
        <v>262</v>
      </c>
      <c r="I106" s="36" t="s">
        <v>263</v>
      </c>
      <c r="J106" s="36">
        <v>16</v>
      </c>
      <c r="K106" s="36">
        <v>50</v>
      </c>
      <c r="L106" s="36" t="s">
        <v>264</v>
      </c>
      <c r="M106" s="36" t="s">
        <v>231</v>
      </c>
      <c r="N106" s="154" t="s">
        <v>309</v>
      </c>
      <c r="O106" s="36" t="s">
        <v>231</v>
      </c>
      <c r="P106" s="36" t="s">
        <v>231</v>
      </c>
      <c r="Q106" s="36" t="s">
        <v>315</v>
      </c>
      <c r="R106" s="155" t="s">
        <v>316</v>
      </c>
      <c r="S106" s="156" t="s">
        <v>267</v>
      </c>
    </row>
    <row r="107" spans="1:19" ht="12">
      <c r="A107" s="145">
        <v>0.875</v>
      </c>
      <c r="B107" s="146" t="s">
        <v>257</v>
      </c>
      <c r="C107" s="147" t="s">
        <v>248</v>
      </c>
      <c r="D107" s="40" t="s">
        <v>258</v>
      </c>
      <c r="E107" s="40" t="s">
        <v>259</v>
      </c>
      <c r="F107" s="36" t="s">
        <v>260</v>
      </c>
      <c r="G107" s="36" t="s">
        <v>261</v>
      </c>
      <c r="H107" s="36" t="s">
        <v>262</v>
      </c>
      <c r="I107" s="36" t="s">
        <v>263</v>
      </c>
      <c r="J107" s="36">
        <v>16</v>
      </c>
      <c r="K107" s="36">
        <v>50</v>
      </c>
      <c r="L107" s="36" t="s">
        <v>264</v>
      </c>
      <c r="M107" s="36" t="s">
        <v>231</v>
      </c>
      <c r="N107" s="154" t="s">
        <v>310</v>
      </c>
      <c r="O107" s="36" t="s">
        <v>231</v>
      </c>
      <c r="P107" s="36" t="s">
        <v>231</v>
      </c>
      <c r="Q107" s="36" t="s">
        <v>315</v>
      </c>
      <c r="R107" s="155" t="s">
        <v>316</v>
      </c>
      <c r="S107" s="156" t="s">
        <v>267</v>
      </c>
    </row>
    <row r="108" spans="1:19" ht="12">
      <c r="A108" s="145">
        <v>0.875</v>
      </c>
      <c r="B108" s="146" t="s">
        <v>257</v>
      </c>
      <c r="C108" s="147" t="s">
        <v>250</v>
      </c>
      <c r="D108" s="40" t="s">
        <v>258</v>
      </c>
      <c r="E108" s="40" t="s">
        <v>259</v>
      </c>
      <c r="F108" s="36" t="s">
        <v>260</v>
      </c>
      <c r="G108" s="36" t="s">
        <v>261</v>
      </c>
      <c r="H108" s="36" t="s">
        <v>262</v>
      </c>
      <c r="I108" s="36" t="s">
        <v>263</v>
      </c>
      <c r="J108" s="36">
        <v>16</v>
      </c>
      <c r="K108" s="36">
        <v>50</v>
      </c>
      <c r="L108" s="36" t="s">
        <v>264</v>
      </c>
      <c r="M108" s="36" t="s">
        <v>231</v>
      </c>
      <c r="N108" s="154" t="s">
        <v>311</v>
      </c>
      <c r="O108" s="36" t="s">
        <v>231</v>
      </c>
      <c r="P108" s="36" t="s">
        <v>231</v>
      </c>
      <c r="Q108" s="36" t="s">
        <v>315</v>
      </c>
      <c r="R108" s="155" t="s">
        <v>316</v>
      </c>
      <c r="S108" s="156" t="s">
        <v>267</v>
      </c>
    </row>
    <row r="109" spans="1:19" ht="12">
      <c r="A109" s="145">
        <v>0.875</v>
      </c>
      <c r="B109" s="146" t="s">
        <v>257</v>
      </c>
      <c r="C109" s="147" t="s">
        <v>252</v>
      </c>
      <c r="D109" s="40" t="s">
        <v>258</v>
      </c>
      <c r="E109" s="40" t="s">
        <v>259</v>
      </c>
      <c r="F109" s="36" t="s">
        <v>260</v>
      </c>
      <c r="G109" s="36" t="s">
        <v>261</v>
      </c>
      <c r="H109" s="36" t="s">
        <v>262</v>
      </c>
      <c r="I109" s="36" t="s">
        <v>263</v>
      </c>
      <c r="J109" s="36">
        <v>16</v>
      </c>
      <c r="K109" s="36">
        <v>50</v>
      </c>
      <c r="L109" s="36" t="s">
        <v>264</v>
      </c>
      <c r="M109" s="36" t="s">
        <v>231</v>
      </c>
      <c r="N109" s="154" t="s">
        <v>312</v>
      </c>
      <c r="O109" s="36" t="s">
        <v>231</v>
      </c>
      <c r="P109" s="36" t="s">
        <v>231</v>
      </c>
      <c r="Q109" s="36" t="s">
        <v>315</v>
      </c>
      <c r="R109" s="155" t="s">
        <v>316</v>
      </c>
      <c r="S109" s="156" t="s">
        <v>267</v>
      </c>
    </row>
    <row r="110" spans="1:19" ht="12">
      <c r="A110" s="145">
        <v>0.875</v>
      </c>
      <c r="B110" s="146" t="s">
        <v>257</v>
      </c>
      <c r="C110" s="147" t="s">
        <v>253</v>
      </c>
      <c r="D110" s="40" t="s">
        <v>258</v>
      </c>
      <c r="E110" s="40" t="s">
        <v>259</v>
      </c>
      <c r="F110" s="36" t="s">
        <v>260</v>
      </c>
      <c r="G110" s="36" t="s">
        <v>261</v>
      </c>
      <c r="H110" s="36" t="s">
        <v>262</v>
      </c>
      <c r="I110" s="36" t="s">
        <v>263</v>
      </c>
      <c r="J110" s="36">
        <v>16</v>
      </c>
      <c r="K110" s="36">
        <v>50</v>
      </c>
      <c r="L110" s="36" t="s">
        <v>264</v>
      </c>
      <c r="M110" s="36" t="s">
        <v>231</v>
      </c>
      <c r="N110" s="154" t="s">
        <v>313</v>
      </c>
      <c r="O110" s="36" t="s">
        <v>231</v>
      </c>
      <c r="P110" s="36" t="s">
        <v>231</v>
      </c>
      <c r="Q110" s="36" t="s">
        <v>315</v>
      </c>
      <c r="R110" s="155" t="s">
        <v>316</v>
      </c>
      <c r="S110" s="156" t="s">
        <v>267</v>
      </c>
    </row>
    <row r="111" spans="1:19" ht="12">
      <c r="A111" s="145">
        <v>0.875</v>
      </c>
      <c r="B111" s="146" t="s">
        <v>257</v>
      </c>
      <c r="C111" s="147" t="s">
        <v>255</v>
      </c>
      <c r="D111" s="40" t="s">
        <v>258</v>
      </c>
      <c r="E111" s="40" t="s">
        <v>259</v>
      </c>
      <c r="F111" s="36" t="s">
        <v>260</v>
      </c>
      <c r="G111" s="36" t="s">
        <v>261</v>
      </c>
      <c r="H111" s="36" t="s">
        <v>262</v>
      </c>
      <c r="I111" s="36" t="s">
        <v>263</v>
      </c>
      <c r="J111" s="36">
        <v>16</v>
      </c>
      <c r="K111" s="36">
        <v>50</v>
      </c>
      <c r="L111" s="36" t="s">
        <v>264</v>
      </c>
      <c r="M111" s="36" t="s">
        <v>231</v>
      </c>
      <c r="N111" s="154" t="s">
        <v>314</v>
      </c>
      <c r="O111" s="36" t="s">
        <v>231</v>
      </c>
      <c r="P111" s="36" t="s">
        <v>231</v>
      </c>
      <c r="Q111" s="36" t="s">
        <v>315</v>
      </c>
      <c r="R111" s="155" t="s">
        <v>316</v>
      </c>
      <c r="S111" s="156" t="s">
        <v>267</v>
      </c>
    </row>
    <row r="112" spans="1:19" ht="12">
      <c r="A112" s="145">
        <v>0.875</v>
      </c>
      <c r="B112" s="146" t="s">
        <v>276</v>
      </c>
      <c r="C112" s="147" t="s">
        <v>234</v>
      </c>
      <c r="D112" s="36" t="s">
        <v>277</v>
      </c>
      <c r="E112" s="36" t="s">
        <v>278</v>
      </c>
      <c r="F112" s="40" t="s">
        <v>258</v>
      </c>
      <c r="G112" s="40" t="s">
        <v>279</v>
      </c>
      <c r="H112" s="40" t="s">
        <v>228</v>
      </c>
      <c r="I112" s="40" t="s">
        <v>229</v>
      </c>
      <c r="J112" s="157" t="s">
        <v>280</v>
      </c>
      <c r="K112" s="36">
        <v>45</v>
      </c>
      <c r="L112" s="36" t="s">
        <v>230</v>
      </c>
      <c r="M112" s="36" t="s">
        <v>231</v>
      </c>
      <c r="N112" s="158">
        <v>28528</v>
      </c>
      <c r="O112" s="36" t="s">
        <v>317</v>
      </c>
      <c r="P112" s="36" t="s">
        <v>302</v>
      </c>
      <c r="Q112" s="36" t="s">
        <v>315</v>
      </c>
      <c r="R112" s="155" t="s">
        <v>316</v>
      </c>
      <c r="S112" s="156" t="s">
        <v>283</v>
      </c>
    </row>
    <row r="113" spans="1:19" ht="12">
      <c r="A113" s="145">
        <v>0.875</v>
      </c>
      <c r="B113" s="146" t="s">
        <v>276</v>
      </c>
      <c r="C113" s="147" t="s">
        <v>243</v>
      </c>
      <c r="D113" s="36" t="s">
        <v>277</v>
      </c>
      <c r="E113" s="36" t="s">
        <v>278</v>
      </c>
      <c r="F113" s="40" t="s">
        <v>258</v>
      </c>
      <c r="G113" s="40" t="s">
        <v>279</v>
      </c>
      <c r="H113" s="40" t="s">
        <v>228</v>
      </c>
      <c r="I113" s="40" t="s">
        <v>229</v>
      </c>
      <c r="J113" s="157" t="s">
        <v>280</v>
      </c>
      <c r="K113" s="36">
        <v>45</v>
      </c>
      <c r="L113" s="36" t="s">
        <v>230</v>
      </c>
      <c r="M113" s="36" t="s">
        <v>231</v>
      </c>
      <c r="N113" s="158">
        <v>23892</v>
      </c>
      <c r="O113" s="36" t="s">
        <v>317</v>
      </c>
      <c r="P113" s="36" t="s">
        <v>302</v>
      </c>
      <c r="Q113" s="36" t="s">
        <v>315</v>
      </c>
      <c r="R113" s="155" t="s">
        <v>316</v>
      </c>
      <c r="S113" s="156" t="s">
        <v>283</v>
      </c>
    </row>
    <row r="114" spans="1:19" ht="12">
      <c r="A114" s="145">
        <v>0.875</v>
      </c>
      <c r="B114" s="146" t="s">
        <v>276</v>
      </c>
      <c r="C114" s="147" t="s">
        <v>244</v>
      </c>
      <c r="D114" s="36" t="s">
        <v>277</v>
      </c>
      <c r="E114" s="36" t="s">
        <v>278</v>
      </c>
      <c r="F114" s="40" t="s">
        <v>258</v>
      </c>
      <c r="G114" s="40" t="s">
        <v>279</v>
      </c>
      <c r="H114" s="40" t="s">
        <v>228</v>
      </c>
      <c r="I114" s="40" t="s">
        <v>229</v>
      </c>
      <c r="J114" s="157" t="s">
        <v>280</v>
      </c>
      <c r="K114" s="36">
        <v>45</v>
      </c>
      <c r="L114" s="36" t="s">
        <v>230</v>
      </c>
      <c r="M114" s="36" t="s">
        <v>231</v>
      </c>
      <c r="N114" s="36" t="s">
        <v>308</v>
      </c>
      <c r="O114" s="36" t="s">
        <v>317</v>
      </c>
      <c r="P114" s="36" t="s">
        <v>302</v>
      </c>
      <c r="Q114" s="36" t="s">
        <v>315</v>
      </c>
      <c r="R114" s="155" t="s">
        <v>316</v>
      </c>
      <c r="S114" s="156" t="s">
        <v>283</v>
      </c>
    </row>
    <row r="115" spans="1:19" ht="12">
      <c r="A115" s="145">
        <v>0.875</v>
      </c>
      <c r="B115" s="146" t="s">
        <v>276</v>
      </c>
      <c r="C115" s="147" t="s">
        <v>246</v>
      </c>
      <c r="D115" s="36" t="s">
        <v>277</v>
      </c>
      <c r="E115" s="36" t="s">
        <v>278</v>
      </c>
      <c r="F115" s="40" t="s">
        <v>258</v>
      </c>
      <c r="G115" s="40" t="s">
        <v>279</v>
      </c>
      <c r="H115" s="40" t="s">
        <v>228</v>
      </c>
      <c r="I115" s="40" t="s">
        <v>229</v>
      </c>
      <c r="J115" s="157" t="s">
        <v>280</v>
      </c>
      <c r="K115" s="36">
        <v>45</v>
      </c>
      <c r="L115" s="36" t="s">
        <v>230</v>
      </c>
      <c r="M115" s="36" t="s">
        <v>231</v>
      </c>
      <c r="N115" s="36" t="s">
        <v>309</v>
      </c>
      <c r="O115" s="36" t="s">
        <v>317</v>
      </c>
      <c r="P115" s="36" t="s">
        <v>302</v>
      </c>
      <c r="Q115" s="36" t="s">
        <v>315</v>
      </c>
      <c r="R115" s="155" t="s">
        <v>316</v>
      </c>
      <c r="S115" s="156" t="s">
        <v>283</v>
      </c>
    </row>
    <row r="116" spans="1:19" ht="12">
      <c r="A116" s="145">
        <v>0.875</v>
      </c>
      <c r="B116" s="146" t="s">
        <v>276</v>
      </c>
      <c r="C116" s="147" t="s">
        <v>248</v>
      </c>
      <c r="D116" s="36" t="s">
        <v>277</v>
      </c>
      <c r="E116" s="36" t="s">
        <v>278</v>
      </c>
      <c r="F116" s="40" t="s">
        <v>258</v>
      </c>
      <c r="G116" s="40" t="s">
        <v>279</v>
      </c>
      <c r="H116" s="40" t="s">
        <v>228</v>
      </c>
      <c r="I116" s="40" t="s">
        <v>229</v>
      </c>
      <c r="J116" s="157" t="s">
        <v>280</v>
      </c>
      <c r="K116" s="36">
        <v>45</v>
      </c>
      <c r="L116" s="36" t="s">
        <v>230</v>
      </c>
      <c r="M116" s="36" t="s">
        <v>231</v>
      </c>
      <c r="N116" s="36" t="s">
        <v>310</v>
      </c>
      <c r="O116" s="36" t="s">
        <v>317</v>
      </c>
      <c r="P116" s="36" t="s">
        <v>302</v>
      </c>
      <c r="Q116" s="36" t="s">
        <v>315</v>
      </c>
      <c r="R116" s="155" t="s">
        <v>316</v>
      </c>
      <c r="S116" s="156" t="s">
        <v>283</v>
      </c>
    </row>
    <row r="117" spans="1:19" ht="12">
      <c r="A117" s="145">
        <v>0.875</v>
      </c>
      <c r="B117" s="146" t="s">
        <v>276</v>
      </c>
      <c r="C117" s="147" t="s">
        <v>250</v>
      </c>
      <c r="D117" s="36" t="s">
        <v>277</v>
      </c>
      <c r="E117" s="36" t="s">
        <v>278</v>
      </c>
      <c r="F117" s="40" t="s">
        <v>258</v>
      </c>
      <c r="G117" s="40" t="s">
        <v>279</v>
      </c>
      <c r="H117" s="40" t="s">
        <v>228</v>
      </c>
      <c r="I117" s="40" t="s">
        <v>229</v>
      </c>
      <c r="J117" s="157" t="s">
        <v>280</v>
      </c>
      <c r="K117" s="36">
        <v>45</v>
      </c>
      <c r="L117" s="36" t="s">
        <v>230</v>
      </c>
      <c r="M117" s="36" t="s">
        <v>231</v>
      </c>
      <c r="N117" s="158" t="s">
        <v>311</v>
      </c>
      <c r="O117" s="36" t="s">
        <v>317</v>
      </c>
      <c r="P117" s="36" t="s">
        <v>302</v>
      </c>
      <c r="Q117" s="36" t="s">
        <v>315</v>
      </c>
      <c r="R117" s="155" t="s">
        <v>316</v>
      </c>
      <c r="S117" s="156" t="s">
        <v>283</v>
      </c>
    </row>
    <row r="118" spans="1:19" ht="12">
      <c r="A118" s="145">
        <v>0.875</v>
      </c>
      <c r="B118" s="146" t="s">
        <v>276</v>
      </c>
      <c r="C118" s="147" t="s">
        <v>252</v>
      </c>
      <c r="D118" s="36" t="s">
        <v>277</v>
      </c>
      <c r="E118" s="36" t="s">
        <v>278</v>
      </c>
      <c r="F118" s="40" t="s">
        <v>258</v>
      </c>
      <c r="G118" s="40" t="s">
        <v>279</v>
      </c>
      <c r="H118" s="40" t="s">
        <v>228</v>
      </c>
      <c r="I118" s="40" t="s">
        <v>229</v>
      </c>
      <c r="J118" s="157" t="s">
        <v>280</v>
      </c>
      <c r="K118" s="36">
        <v>45</v>
      </c>
      <c r="L118" s="36" t="s">
        <v>230</v>
      </c>
      <c r="M118" s="36" t="s">
        <v>231</v>
      </c>
      <c r="N118" s="158" t="s">
        <v>312</v>
      </c>
      <c r="O118" s="36" t="s">
        <v>317</v>
      </c>
      <c r="P118" s="36" t="s">
        <v>302</v>
      </c>
      <c r="Q118" s="36" t="s">
        <v>315</v>
      </c>
      <c r="R118" s="155" t="s">
        <v>316</v>
      </c>
      <c r="S118" s="156" t="s">
        <v>283</v>
      </c>
    </row>
    <row r="119" spans="1:19" ht="12">
      <c r="A119" s="145">
        <v>0.875</v>
      </c>
      <c r="B119" s="146" t="s">
        <v>276</v>
      </c>
      <c r="C119" s="147" t="s">
        <v>253</v>
      </c>
      <c r="D119" s="36" t="s">
        <v>277</v>
      </c>
      <c r="E119" s="36" t="s">
        <v>278</v>
      </c>
      <c r="F119" s="40" t="s">
        <v>258</v>
      </c>
      <c r="G119" s="40" t="s">
        <v>279</v>
      </c>
      <c r="H119" s="40" t="s">
        <v>228</v>
      </c>
      <c r="I119" s="40" t="s">
        <v>229</v>
      </c>
      <c r="J119" s="157" t="s">
        <v>280</v>
      </c>
      <c r="K119" s="36">
        <v>45</v>
      </c>
      <c r="L119" s="36" t="s">
        <v>230</v>
      </c>
      <c r="M119" s="36" t="s">
        <v>231</v>
      </c>
      <c r="N119" s="36" t="s">
        <v>313</v>
      </c>
      <c r="O119" s="36" t="s">
        <v>317</v>
      </c>
      <c r="P119" s="36" t="s">
        <v>302</v>
      </c>
      <c r="Q119" s="36" t="s">
        <v>315</v>
      </c>
      <c r="R119" s="155" t="s">
        <v>316</v>
      </c>
      <c r="S119" s="156" t="s">
        <v>283</v>
      </c>
    </row>
    <row r="120" spans="1:19" ht="12">
      <c r="A120" s="145">
        <v>0.875</v>
      </c>
      <c r="B120" s="146" t="s">
        <v>276</v>
      </c>
      <c r="C120" s="147" t="s">
        <v>255</v>
      </c>
      <c r="D120" s="36" t="s">
        <v>277</v>
      </c>
      <c r="E120" s="36" t="s">
        <v>278</v>
      </c>
      <c r="F120" s="40" t="s">
        <v>258</v>
      </c>
      <c r="G120" s="40" t="s">
        <v>279</v>
      </c>
      <c r="H120" s="40" t="s">
        <v>228</v>
      </c>
      <c r="I120" s="40" t="s">
        <v>229</v>
      </c>
      <c r="J120" s="157" t="s">
        <v>280</v>
      </c>
      <c r="K120" s="36">
        <v>45</v>
      </c>
      <c r="L120" s="36" t="s">
        <v>230</v>
      </c>
      <c r="M120" s="36" t="s">
        <v>231</v>
      </c>
      <c r="N120" s="36" t="s">
        <v>314</v>
      </c>
      <c r="O120" s="36" t="s">
        <v>317</v>
      </c>
      <c r="P120" s="36" t="s">
        <v>302</v>
      </c>
      <c r="Q120" s="36" t="s">
        <v>315</v>
      </c>
      <c r="R120" s="155" t="s">
        <v>316</v>
      </c>
      <c r="S120" s="156" t="s">
        <v>283</v>
      </c>
    </row>
    <row r="121" spans="1:19" ht="12">
      <c r="A121" s="145">
        <v>0.875</v>
      </c>
      <c r="B121" s="146" t="s">
        <v>222</v>
      </c>
      <c r="C121" s="147" t="s">
        <v>234</v>
      </c>
      <c r="D121" s="36" t="s">
        <v>277</v>
      </c>
      <c r="E121" s="36" t="s">
        <v>278</v>
      </c>
      <c r="F121" s="40" t="s">
        <v>284</v>
      </c>
      <c r="G121" s="40" t="s">
        <v>227</v>
      </c>
      <c r="H121" s="40" t="s">
        <v>228</v>
      </c>
      <c r="I121" s="40" t="s">
        <v>229</v>
      </c>
      <c r="J121" s="157" t="s">
        <v>280</v>
      </c>
      <c r="K121" s="36">
        <v>45</v>
      </c>
      <c r="L121" s="36" t="s">
        <v>230</v>
      </c>
      <c r="M121" s="36" t="s">
        <v>231</v>
      </c>
      <c r="N121" s="154">
        <v>28.52</v>
      </c>
      <c r="O121" s="36" t="s">
        <v>317</v>
      </c>
      <c r="P121" s="36" t="s">
        <v>302</v>
      </c>
      <c r="Q121" s="36" t="s">
        <v>315</v>
      </c>
      <c r="R121" s="155" t="s">
        <v>316</v>
      </c>
      <c r="S121" s="156" t="s">
        <v>285</v>
      </c>
    </row>
    <row r="122" spans="1:19" ht="12">
      <c r="A122" s="145">
        <v>0.875</v>
      </c>
      <c r="B122" s="146" t="s">
        <v>222</v>
      </c>
      <c r="C122" s="147" t="s">
        <v>243</v>
      </c>
      <c r="D122" s="36" t="s">
        <v>277</v>
      </c>
      <c r="E122" s="36" t="s">
        <v>278</v>
      </c>
      <c r="F122" s="40" t="s">
        <v>284</v>
      </c>
      <c r="G122" s="40" t="s">
        <v>227</v>
      </c>
      <c r="H122" s="40" t="s">
        <v>228</v>
      </c>
      <c r="I122" s="40" t="s">
        <v>229</v>
      </c>
      <c r="J122" s="157" t="s">
        <v>280</v>
      </c>
      <c r="K122" s="36">
        <v>45</v>
      </c>
      <c r="L122" s="36" t="s">
        <v>230</v>
      </c>
      <c r="M122" s="36" t="s">
        <v>231</v>
      </c>
      <c r="N122" s="154">
        <v>23.89</v>
      </c>
      <c r="O122" s="36" t="s">
        <v>317</v>
      </c>
      <c r="P122" s="36" t="s">
        <v>302</v>
      </c>
      <c r="Q122" s="36" t="s">
        <v>315</v>
      </c>
      <c r="R122" s="155" t="s">
        <v>316</v>
      </c>
      <c r="S122" s="156" t="s">
        <v>285</v>
      </c>
    </row>
    <row r="123" spans="1:19" ht="12">
      <c r="A123" s="145">
        <v>0.875</v>
      </c>
      <c r="B123" s="146" t="s">
        <v>222</v>
      </c>
      <c r="C123" s="147" t="s">
        <v>244</v>
      </c>
      <c r="D123" s="36" t="s">
        <v>277</v>
      </c>
      <c r="E123" s="36" t="s">
        <v>278</v>
      </c>
      <c r="F123" s="40" t="s">
        <v>284</v>
      </c>
      <c r="G123" s="40" t="s">
        <v>227</v>
      </c>
      <c r="H123" s="40" t="s">
        <v>228</v>
      </c>
      <c r="I123" s="40" t="s">
        <v>229</v>
      </c>
      <c r="J123" s="157" t="s">
        <v>280</v>
      </c>
      <c r="K123" s="36">
        <v>45</v>
      </c>
      <c r="L123" s="36" t="s">
        <v>230</v>
      </c>
      <c r="M123" s="36" t="s">
        <v>231</v>
      </c>
      <c r="N123" s="154" t="s">
        <v>308</v>
      </c>
      <c r="O123" s="36" t="s">
        <v>317</v>
      </c>
      <c r="P123" s="36" t="s">
        <v>302</v>
      </c>
      <c r="Q123" s="36" t="s">
        <v>315</v>
      </c>
      <c r="R123" s="155" t="s">
        <v>316</v>
      </c>
      <c r="S123" s="156" t="s">
        <v>285</v>
      </c>
    </row>
    <row r="124" spans="1:19" ht="12">
      <c r="A124" s="145">
        <v>0.875</v>
      </c>
      <c r="B124" s="146" t="s">
        <v>222</v>
      </c>
      <c r="C124" s="147" t="s">
        <v>246</v>
      </c>
      <c r="D124" s="36" t="s">
        <v>277</v>
      </c>
      <c r="E124" s="36" t="s">
        <v>278</v>
      </c>
      <c r="F124" s="40" t="s">
        <v>284</v>
      </c>
      <c r="G124" s="40" t="s">
        <v>227</v>
      </c>
      <c r="H124" s="40" t="s">
        <v>228</v>
      </c>
      <c r="I124" s="40" t="s">
        <v>229</v>
      </c>
      <c r="J124" s="157" t="s">
        <v>280</v>
      </c>
      <c r="K124" s="36">
        <v>45</v>
      </c>
      <c r="L124" s="36" t="s">
        <v>230</v>
      </c>
      <c r="M124" s="36" t="s">
        <v>231</v>
      </c>
      <c r="N124" s="154" t="s">
        <v>309</v>
      </c>
      <c r="O124" s="36" t="s">
        <v>317</v>
      </c>
      <c r="P124" s="36" t="s">
        <v>302</v>
      </c>
      <c r="Q124" s="36" t="s">
        <v>315</v>
      </c>
      <c r="R124" s="155" t="s">
        <v>316</v>
      </c>
      <c r="S124" s="156" t="s">
        <v>285</v>
      </c>
    </row>
    <row r="125" spans="1:19" ht="12">
      <c r="A125" s="145">
        <v>0.875</v>
      </c>
      <c r="B125" s="146" t="s">
        <v>222</v>
      </c>
      <c r="C125" s="147" t="s">
        <v>248</v>
      </c>
      <c r="D125" s="36" t="s">
        <v>277</v>
      </c>
      <c r="E125" s="36" t="s">
        <v>278</v>
      </c>
      <c r="F125" s="40" t="s">
        <v>284</v>
      </c>
      <c r="G125" s="40" t="s">
        <v>227</v>
      </c>
      <c r="H125" s="40" t="s">
        <v>228</v>
      </c>
      <c r="I125" s="40" t="s">
        <v>229</v>
      </c>
      <c r="J125" s="157" t="s">
        <v>280</v>
      </c>
      <c r="K125" s="36">
        <v>45</v>
      </c>
      <c r="L125" s="36" t="s">
        <v>230</v>
      </c>
      <c r="M125" s="36" t="s">
        <v>231</v>
      </c>
      <c r="N125" s="154" t="s">
        <v>310</v>
      </c>
      <c r="O125" s="36" t="s">
        <v>317</v>
      </c>
      <c r="P125" s="36" t="s">
        <v>302</v>
      </c>
      <c r="Q125" s="36" t="s">
        <v>315</v>
      </c>
      <c r="R125" s="155" t="s">
        <v>316</v>
      </c>
      <c r="S125" s="156" t="s">
        <v>285</v>
      </c>
    </row>
    <row r="126" spans="1:19" ht="12">
      <c r="A126" s="145">
        <v>0.875</v>
      </c>
      <c r="B126" s="146" t="s">
        <v>222</v>
      </c>
      <c r="C126" s="147" t="s">
        <v>250</v>
      </c>
      <c r="D126" s="36" t="s">
        <v>277</v>
      </c>
      <c r="E126" s="36" t="s">
        <v>278</v>
      </c>
      <c r="F126" s="40" t="s">
        <v>284</v>
      </c>
      <c r="G126" s="40" t="s">
        <v>227</v>
      </c>
      <c r="H126" s="40" t="s">
        <v>228</v>
      </c>
      <c r="I126" s="40" t="s">
        <v>229</v>
      </c>
      <c r="J126" s="157" t="s">
        <v>280</v>
      </c>
      <c r="K126" s="36">
        <v>45</v>
      </c>
      <c r="L126" s="36" t="s">
        <v>230</v>
      </c>
      <c r="M126" s="36" t="s">
        <v>231</v>
      </c>
      <c r="N126" s="154" t="s">
        <v>311</v>
      </c>
      <c r="O126" s="36" t="s">
        <v>317</v>
      </c>
      <c r="P126" s="36" t="s">
        <v>302</v>
      </c>
      <c r="Q126" s="36" t="s">
        <v>315</v>
      </c>
      <c r="R126" s="155" t="s">
        <v>316</v>
      </c>
      <c r="S126" s="156" t="s">
        <v>285</v>
      </c>
    </row>
    <row r="127" spans="1:19" ht="12">
      <c r="A127" s="145">
        <v>0.875</v>
      </c>
      <c r="B127" s="146" t="s">
        <v>222</v>
      </c>
      <c r="C127" s="147" t="s">
        <v>252</v>
      </c>
      <c r="D127" s="36" t="s">
        <v>277</v>
      </c>
      <c r="E127" s="36" t="s">
        <v>278</v>
      </c>
      <c r="F127" s="40" t="s">
        <v>284</v>
      </c>
      <c r="G127" s="40" t="s">
        <v>227</v>
      </c>
      <c r="H127" s="40" t="s">
        <v>228</v>
      </c>
      <c r="I127" s="40" t="s">
        <v>229</v>
      </c>
      <c r="J127" s="157" t="s">
        <v>280</v>
      </c>
      <c r="K127" s="36">
        <v>45</v>
      </c>
      <c r="L127" s="36" t="s">
        <v>230</v>
      </c>
      <c r="M127" s="36" t="s">
        <v>231</v>
      </c>
      <c r="N127" s="154" t="s">
        <v>312</v>
      </c>
      <c r="O127" s="36" t="s">
        <v>317</v>
      </c>
      <c r="P127" s="36" t="s">
        <v>302</v>
      </c>
      <c r="Q127" s="36" t="s">
        <v>315</v>
      </c>
      <c r="R127" s="155" t="s">
        <v>316</v>
      </c>
      <c r="S127" s="156" t="s">
        <v>285</v>
      </c>
    </row>
    <row r="128" spans="1:19" ht="12">
      <c r="A128" s="145">
        <v>0.875</v>
      </c>
      <c r="B128" s="146" t="s">
        <v>222</v>
      </c>
      <c r="C128" s="147" t="s">
        <v>253</v>
      </c>
      <c r="D128" s="36" t="s">
        <v>277</v>
      </c>
      <c r="E128" s="36" t="s">
        <v>278</v>
      </c>
      <c r="F128" s="40" t="s">
        <v>284</v>
      </c>
      <c r="G128" s="40" t="s">
        <v>227</v>
      </c>
      <c r="H128" s="40" t="s">
        <v>228</v>
      </c>
      <c r="I128" s="40" t="s">
        <v>229</v>
      </c>
      <c r="J128" s="157" t="s">
        <v>280</v>
      </c>
      <c r="K128" s="36">
        <v>45</v>
      </c>
      <c r="L128" s="36" t="s">
        <v>230</v>
      </c>
      <c r="M128" s="36" t="s">
        <v>231</v>
      </c>
      <c r="N128" s="154" t="s">
        <v>313</v>
      </c>
      <c r="O128" s="36" t="s">
        <v>317</v>
      </c>
      <c r="P128" s="36" t="s">
        <v>302</v>
      </c>
      <c r="Q128" s="36" t="s">
        <v>315</v>
      </c>
      <c r="R128" s="155" t="s">
        <v>316</v>
      </c>
      <c r="S128" s="156" t="s">
        <v>285</v>
      </c>
    </row>
    <row r="129" spans="1:19" ht="12">
      <c r="A129" s="145">
        <v>0.875</v>
      </c>
      <c r="B129" s="146" t="s">
        <v>222</v>
      </c>
      <c r="C129" s="147" t="s">
        <v>255</v>
      </c>
      <c r="D129" s="36" t="s">
        <v>277</v>
      </c>
      <c r="E129" s="36" t="s">
        <v>278</v>
      </c>
      <c r="F129" s="40" t="s">
        <v>284</v>
      </c>
      <c r="G129" s="40" t="s">
        <v>227</v>
      </c>
      <c r="H129" s="40" t="s">
        <v>228</v>
      </c>
      <c r="I129" s="40" t="s">
        <v>229</v>
      </c>
      <c r="J129" s="157" t="s">
        <v>280</v>
      </c>
      <c r="K129" s="36">
        <v>45</v>
      </c>
      <c r="L129" s="36" t="s">
        <v>230</v>
      </c>
      <c r="M129" s="36" t="s">
        <v>231</v>
      </c>
      <c r="N129" s="154" t="s">
        <v>314</v>
      </c>
      <c r="O129" s="36" t="s">
        <v>317</v>
      </c>
      <c r="P129" s="36" t="s">
        <v>302</v>
      </c>
      <c r="Q129" s="36" t="s">
        <v>315</v>
      </c>
      <c r="R129" s="155" t="s">
        <v>316</v>
      </c>
      <c r="S129" s="156" t="s">
        <v>285</v>
      </c>
    </row>
    <row r="130" spans="1:19" ht="12">
      <c r="A130" s="145">
        <v>0.875</v>
      </c>
      <c r="B130" s="146" t="s">
        <v>286</v>
      </c>
      <c r="C130" s="147" t="s">
        <v>234</v>
      </c>
      <c r="D130" s="40" t="s">
        <v>258</v>
      </c>
      <c r="E130" s="40" t="s">
        <v>279</v>
      </c>
      <c r="F130" s="36" t="s">
        <v>287</v>
      </c>
      <c r="G130" s="36" t="s">
        <v>288</v>
      </c>
      <c r="H130" s="36" t="s">
        <v>289</v>
      </c>
      <c r="I130" s="36" t="s">
        <v>290</v>
      </c>
      <c r="J130" s="36">
        <v>18</v>
      </c>
      <c r="K130" s="36">
        <v>40</v>
      </c>
      <c r="L130" s="36" t="s">
        <v>291</v>
      </c>
      <c r="M130" s="36" t="s">
        <v>231</v>
      </c>
      <c r="N130" s="154">
        <v>28.52</v>
      </c>
      <c r="O130" s="36" t="s">
        <v>231</v>
      </c>
      <c r="P130" s="36" t="s">
        <v>231</v>
      </c>
      <c r="Q130" s="36" t="s">
        <v>315</v>
      </c>
      <c r="R130" s="155" t="s">
        <v>316</v>
      </c>
      <c r="S130" s="156" t="s">
        <v>292</v>
      </c>
    </row>
    <row r="131" spans="1:19" ht="12">
      <c r="A131" s="145">
        <v>0.875</v>
      </c>
      <c r="B131" s="146" t="s">
        <v>286</v>
      </c>
      <c r="C131" s="147" t="s">
        <v>243</v>
      </c>
      <c r="D131" s="40" t="s">
        <v>258</v>
      </c>
      <c r="E131" s="40" t="s">
        <v>279</v>
      </c>
      <c r="F131" s="36" t="s">
        <v>287</v>
      </c>
      <c r="G131" s="36" t="s">
        <v>288</v>
      </c>
      <c r="H131" s="36" t="s">
        <v>289</v>
      </c>
      <c r="I131" s="36" t="s">
        <v>290</v>
      </c>
      <c r="J131" s="36">
        <v>18</v>
      </c>
      <c r="K131" s="36">
        <v>40</v>
      </c>
      <c r="L131" s="36" t="s">
        <v>291</v>
      </c>
      <c r="M131" s="36" t="s">
        <v>231</v>
      </c>
      <c r="N131" s="154">
        <v>23.89</v>
      </c>
      <c r="O131" s="36" t="s">
        <v>231</v>
      </c>
      <c r="P131" s="36" t="s">
        <v>231</v>
      </c>
      <c r="Q131" s="36" t="s">
        <v>315</v>
      </c>
      <c r="R131" s="155" t="s">
        <v>316</v>
      </c>
      <c r="S131" s="156" t="s">
        <v>292</v>
      </c>
    </row>
    <row r="132" spans="1:19" ht="12">
      <c r="A132" s="145">
        <v>0.875</v>
      </c>
      <c r="B132" s="146" t="s">
        <v>286</v>
      </c>
      <c r="C132" s="147" t="s">
        <v>244</v>
      </c>
      <c r="D132" s="40" t="s">
        <v>258</v>
      </c>
      <c r="E132" s="40" t="s">
        <v>279</v>
      </c>
      <c r="F132" s="36" t="s">
        <v>287</v>
      </c>
      <c r="G132" s="36" t="s">
        <v>288</v>
      </c>
      <c r="H132" s="36" t="s">
        <v>289</v>
      </c>
      <c r="I132" s="36" t="s">
        <v>290</v>
      </c>
      <c r="J132" s="36">
        <v>18</v>
      </c>
      <c r="K132" s="36">
        <v>40</v>
      </c>
      <c r="L132" s="36" t="s">
        <v>291</v>
      </c>
      <c r="M132" s="36" t="s">
        <v>231</v>
      </c>
      <c r="N132" s="154" t="s">
        <v>308</v>
      </c>
      <c r="O132" s="36" t="s">
        <v>231</v>
      </c>
      <c r="P132" s="36" t="s">
        <v>231</v>
      </c>
      <c r="Q132" s="36" t="s">
        <v>315</v>
      </c>
      <c r="R132" s="155" t="s">
        <v>316</v>
      </c>
      <c r="S132" s="156" t="s">
        <v>292</v>
      </c>
    </row>
    <row r="133" spans="1:19" ht="12">
      <c r="A133" s="145">
        <v>0.875</v>
      </c>
      <c r="B133" s="146" t="s">
        <v>286</v>
      </c>
      <c r="C133" s="147" t="s">
        <v>246</v>
      </c>
      <c r="D133" s="40" t="s">
        <v>258</v>
      </c>
      <c r="E133" s="40" t="s">
        <v>279</v>
      </c>
      <c r="F133" s="36" t="s">
        <v>287</v>
      </c>
      <c r="G133" s="36" t="s">
        <v>288</v>
      </c>
      <c r="H133" s="36" t="s">
        <v>289</v>
      </c>
      <c r="I133" s="36" t="s">
        <v>290</v>
      </c>
      <c r="J133" s="36">
        <v>18</v>
      </c>
      <c r="K133" s="36">
        <v>40</v>
      </c>
      <c r="L133" s="36" t="s">
        <v>291</v>
      </c>
      <c r="M133" s="36" t="s">
        <v>231</v>
      </c>
      <c r="N133" s="154" t="s">
        <v>309</v>
      </c>
      <c r="O133" s="36" t="s">
        <v>231</v>
      </c>
      <c r="P133" s="36" t="s">
        <v>231</v>
      </c>
      <c r="Q133" s="36" t="s">
        <v>315</v>
      </c>
      <c r="R133" s="155" t="s">
        <v>316</v>
      </c>
      <c r="S133" s="156" t="s">
        <v>292</v>
      </c>
    </row>
    <row r="134" spans="1:19" ht="12">
      <c r="A134" s="145">
        <v>0.875</v>
      </c>
      <c r="B134" s="146" t="s">
        <v>286</v>
      </c>
      <c r="C134" s="147" t="s">
        <v>248</v>
      </c>
      <c r="D134" s="40" t="s">
        <v>258</v>
      </c>
      <c r="E134" s="40" t="s">
        <v>279</v>
      </c>
      <c r="F134" s="36" t="s">
        <v>287</v>
      </c>
      <c r="G134" s="36" t="s">
        <v>288</v>
      </c>
      <c r="H134" s="36" t="s">
        <v>289</v>
      </c>
      <c r="I134" s="36" t="s">
        <v>290</v>
      </c>
      <c r="J134" s="36">
        <v>18</v>
      </c>
      <c r="K134" s="36">
        <v>40</v>
      </c>
      <c r="L134" s="36" t="s">
        <v>291</v>
      </c>
      <c r="M134" s="36" t="s">
        <v>231</v>
      </c>
      <c r="N134" s="154" t="s">
        <v>310</v>
      </c>
      <c r="O134" s="36" t="s">
        <v>231</v>
      </c>
      <c r="P134" s="36" t="s">
        <v>231</v>
      </c>
      <c r="Q134" s="36" t="s">
        <v>315</v>
      </c>
      <c r="R134" s="155" t="s">
        <v>316</v>
      </c>
      <c r="S134" s="156" t="s">
        <v>292</v>
      </c>
    </row>
    <row r="135" spans="1:19" ht="12">
      <c r="A135" s="145">
        <v>0.875</v>
      </c>
      <c r="B135" s="146" t="s">
        <v>286</v>
      </c>
      <c r="C135" s="147" t="s">
        <v>250</v>
      </c>
      <c r="D135" s="40" t="s">
        <v>258</v>
      </c>
      <c r="E135" s="40" t="s">
        <v>279</v>
      </c>
      <c r="F135" s="36" t="s">
        <v>287</v>
      </c>
      <c r="G135" s="36" t="s">
        <v>288</v>
      </c>
      <c r="H135" s="36" t="s">
        <v>289</v>
      </c>
      <c r="I135" s="36" t="s">
        <v>290</v>
      </c>
      <c r="J135" s="36">
        <v>18</v>
      </c>
      <c r="K135" s="36">
        <v>40</v>
      </c>
      <c r="L135" s="36" t="s">
        <v>291</v>
      </c>
      <c r="M135" s="36" t="s">
        <v>231</v>
      </c>
      <c r="N135" s="154" t="s">
        <v>311</v>
      </c>
      <c r="O135" s="36" t="s">
        <v>231</v>
      </c>
      <c r="P135" s="36" t="s">
        <v>231</v>
      </c>
      <c r="Q135" s="36" t="s">
        <v>315</v>
      </c>
      <c r="R135" s="155" t="s">
        <v>316</v>
      </c>
      <c r="S135" s="156" t="s">
        <v>292</v>
      </c>
    </row>
    <row r="136" spans="1:19" ht="12">
      <c r="A136" s="145">
        <v>0.875</v>
      </c>
      <c r="B136" s="146" t="s">
        <v>286</v>
      </c>
      <c r="C136" s="147" t="s">
        <v>252</v>
      </c>
      <c r="D136" s="40" t="s">
        <v>258</v>
      </c>
      <c r="E136" s="40" t="s">
        <v>279</v>
      </c>
      <c r="F136" s="36" t="s">
        <v>287</v>
      </c>
      <c r="G136" s="36" t="s">
        <v>288</v>
      </c>
      <c r="H136" s="36" t="s">
        <v>289</v>
      </c>
      <c r="I136" s="36" t="s">
        <v>290</v>
      </c>
      <c r="J136" s="36">
        <v>18</v>
      </c>
      <c r="K136" s="36">
        <v>40</v>
      </c>
      <c r="L136" s="36" t="s">
        <v>291</v>
      </c>
      <c r="M136" s="36" t="s">
        <v>231</v>
      </c>
      <c r="N136" s="154" t="s">
        <v>312</v>
      </c>
      <c r="O136" s="36" t="s">
        <v>231</v>
      </c>
      <c r="P136" s="36" t="s">
        <v>231</v>
      </c>
      <c r="Q136" s="36" t="s">
        <v>315</v>
      </c>
      <c r="R136" s="155" t="s">
        <v>316</v>
      </c>
      <c r="S136" s="156" t="s">
        <v>292</v>
      </c>
    </row>
    <row r="137" spans="1:19" ht="12">
      <c r="A137" s="145">
        <v>0.875</v>
      </c>
      <c r="B137" s="146" t="s">
        <v>286</v>
      </c>
      <c r="C137" s="147" t="s">
        <v>253</v>
      </c>
      <c r="D137" s="40" t="s">
        <v>258</v>
      </c>
      <c r="E137" s="40" t="s">
        <v>279</v>
      </c>
      <c r="F137" s="36" t="s">
        <v>287</v>
      </c>
      <c r="G137" s="36" t="s">
        <v>288</v>
      </c>
      <c r="H137" s="36" t="s">
        <v>289</v>
      </c>
      <c r="I137" s="36" t="s">
        <v>290</v>
      </c>
      <c r="J137" s="36">
        <v>18</v>
      </c>
      <c r="K137" s="36">
        <v>40</v>
      </c>
      <c r="L137" s="36" t="s">
        <v>291</v>
      </c>
      <c r="M137" s="36" t="s">
        <v>231</v>
      </c>
      <c r="N137" s="154" t="s">
        <v>313</v>
      </c>
      <c r="O137" s="36" t="s">
        <v>231</v>
      </c>
      <c r="P137" s="36" t="s">
        <v>231</v>
      </c>
      <c r="Q137" s="36" t="s">
        <v>315</v>
      </c>
      <c r="R137" s="155" t="s">
        <v>316</v>
      </c>
      <c r="S137" s="156" t="s">
        <v>292</v>
      </c>
    </row>
    <row r="138" spans="1:19" ht="12">
      <c r="A138" s="145">
        <v>0.875</v>
      </c>
      <c r="B138" s="146" t="s">
        <v>286</v>
      </c>
      <c r="C138" s="147" t="s">
        <v>255</v>
      </c>
      <c r="D138" s="40" t="s">
        <v>258</v>
      </c>
      <c r="E138" s="40" t="s">
        <v>279</v>
      </c>
      <c r="F138" s="36" t="s">
        <v>287</v>
      </c>
      <c r="G138" s="36" t="s">
        <v>288</v>
      </c>
      <c r="H138" s="36" t="s">
        <v>289</v>
      </c>
      <c r="I138" s="36" t="s">
        <v>290</v>
      </c>
      <c r="J138" s="36">
        <v>18</v>
      </c>
      <c r="K138" s="36">
        <v>40</v>
      </c>
      <c r="L138" s="36" t="s">
        <v>291</v>
      </c>
      <c r="M138" s="36" t="s">
        <v>231</v>
      </c>
      <c r="N138" s="154" t="s">
        <v>314</v>
      </c>
      <c r="O138" s="36" t="s">
        <v>231</v>
      </c>
      <c r="P138" s="36" t="s">
        <v>231</v>
      </c>
      <c r="Q138" s="36" t="s">
        <v>315</v>
      </c>
      <c r="R138" s="155" t="s">
        <v>316</v>
      </c>
      <c r="S138" s="156" t="s">
        <v>292</v>
      </c>
    </row>
    <row r="139" spans="1:19" ht="12">
      <c r="A139" s="145">
        <v>0.75</v>
      </c>
      <c r="B139" s="146" t="s">
        <v>233</v>
      </c>
      <c r="C139" s="152" t="s">
        <v>234</v>
      </c>
      <c r="D139" s="40">
        <v>106</v>
      </c>
      <c r="E139" s="40">
        <v>150</v>
      </c>
      <c r="F139" s="36" t="s">
        <v>231</v>
      </c>
      <c r="G139" s="36" t="s">
        <v>231</v>
      </c>
      <c r="H139" s="36">
        <v>50</v>
      </c>
      <c r="I139" s="36" t="s">
        <v>236</v>
      </c>
      <c r="J139" s="36" t="s">
        <v>231</v>
      </c>
      <c r="K139" s="36" t="s">
        <v>231</v>
      </c>
      <c r="L139" s="36" t="s">
        <v>231</v>
      </c>
      <c r="M139" s="153" t="s">
        <v>237</v>
      </c>
      <c r="N139" s="154">
        <v>21.19</v>
      </c>
      <c r="O139" s="36" t="s">
        <v>318</v>
      </c>
      <c r="P139" s="36" t="s">
        <v>319</v>
      </c>
      <c r="Q139" s="36" t="s">
        <v>320</v>
      </c>
      <c r="R139" s="155" t="s">
        <v>321</v>
      </c>
      <c r="S139" s="156" t="s">
        <v>242</v>
      </c>
    </row>
    <row r="140" spans="1:19" ht="12">
      <c r="A140" s="145">
        <v>0.75</v>
      </c>
      <c r="B140" s="146" t="s">
        <v>233</v>
      </c>
      <c r="C140" s="152" t="s">
        <v>243</v>
      </c>
      <c r="D140" s="40">
        <v>106</v>
      </c>
      <c r="E140" s="40">
        <v>150</v>
      </c>
      <c r="F140" s="36" t="s">
        <v>231</v>
      </c>
      <c r="G140" s="36" t="s">
        <v>231</v>
      </c>
      <c r="H140" s="36">
        <v>50</v>
      </c>
      <c r="I140" s="36" t="s">
        <v>236</v>
      </c>
      <c r="J140" s="36" t="s">
        <v>231</v>
      </c>
      <c r="K140" s="36" t="s">
        <v>231</v>
      </c>
      <c r="L140" s="36" t="s">
        <v>231</v>
      </c>
      <c r="M140" s="153" t="s">
        <v>237</v>
      </c>
      <c r="N140" s="154">
        <v>17.84</v>
      </c>
      <c r="O140" s="36" t="s">
        <v>318</v>
      </c>
      <c r="P140" s="36" t="s">
        <v>319</v>
      </c>
      <c r="Q140" s="36" t="s">
        <v>320</v>
      </c>
      <c r="R140" s="155" t="s">
        <v>321</v>
      </c>
      <c r="S140" s="156" t="s">
        <v>242</v>
      </c>
    </row>
    <row r="141" spans="1:19" ht="12">
      <c r="A141" s="145">
        <v>0.75</v>
      </c>
      <c r="B141" s="146" t="s">
        <v>233</v>
      </c>
      <c r="C141" s="152" t="s">
        <v>244</v>
      </c>
      <c r="D141" s="40">
        <v>106</v>
      </c>
      <c r="E141" s="40">
        <v>150</v>
      </c>
      <c r="F141" s="36" t="s">
        <v>231</v>
      </c>
      <c r="G141" s="36" t="s">
        <v>231</v>
      </c>
      <c r="H141" s="36">
        <v>50</v>
      </c>
      <c r="I141" s="36" t="s">
        <v>236</v>
      </c>
      <c r="J141" s="36" t="s">
        <v>231</v>
      </c>
      <c r="K141" s="36" t="s">
        <v>231</v>
      </c>
      <c r="L141" s="36" t="s">
        <v>231</v>
      </c>
      <c r="M141" s="153" t="s">
        <v>237</v>
      </c>
      <c r="N141" s="154" t="s">
        <v>322</v>
      </c>
      <c r="O141" s="36" t="s">
        <v>318</v>
      </c>
      <c r="P141" s="36" t="s">
        <v>319</v>
      </c>
      <c r="Q141" s="36" t="s">
        <v>320</v>
      </c>
      <c r="R141" s="155" t="s">
        <v>321</v>
      </c>
      <c r="S141" s="156" t="s">
        <v>242</v>
      </c>
    </row>
    <row r="142" spans="1:19" ht="12">
      <c r="A142" s="145">
        <v>0.75</v>
      </c>
      <c r="B142" s="146" t="s">
        <v>233</v>
      </c>
      <c r="C142" s="152" t="s">
        <v>246</v>
      </c>
      <c r="D142" s="40">
        <v>106</v>
      </c>
      <c r="E142" s="40">
        <v>150</v>
      </c>
      <c r="F142" s="36" t="s">
        <v>231</v>
      </c>
      <c r="G142" s="36" t="s">
        <v>231</v>
      </c>
      <c r="H142" s="36">
        <v>50</v>
      </c>
      <c r="I142" s="36" t="s">
        <v>236</v>
      </c>
      <c r="J142" s="36" t="s">
        <v>231</v>
      </c>
      <c r="K142" s="36" t="s">
        <v>231</v>
      </c>
      <c r="L142" s="36" t="s">
        <v>231</v>
      </c>
      <c r="M142" s="153" t="s">
        <v>237</v>
      </c>
      <c r="N142" s="154" t="s">
        <v>323</v>
      </c>
      <c r="O142" s="36" t="s">
        <v>318</v>
      </c>
      <c r="P142" s="36" t="s">
        <v>319</v>
      </c>
      <c r="Q142" s="36" t="s">
        <v>320</v>
      </c>
      <c r="R142" s="155" t="s">
        <v>321</v>
      </c>
      <c r="S142" s="156" t="s">
        <v>242</v>
      </c>
    </row>
    <row r="143" spans="1:19" ht="12">
      <c r="A143" s="145">
        <v>0.75</v>
      </c>
      <c r="B143" s="146" t="s">
        <v>233</v>
      </c>
      <c r="C143" s="152" t="s">
        <v>248</v>
      </c>
      <c r="D143" s="40">
        <v>106</v>
      </c>
      <c r="E143" s="40">
        <v>150</v>
      </c>
      <c r="F143" s="36" t="s">
        <v>231</v>
      </c>
      <c r="G143" s="36" t="s">
        <v>231</v>
      </c>
      <c r="H143" s="36">
        <v>50</v>
      </c>
      <c r="I143" s="36" t="s">
        <v>236</v>
      </c>
      <c r="J143" s="36" t="s">
        <v>231</v>
      </c>
      <c r="K143" s="36" t="s">
        <v>231</v>
      </c>
      <c r="L143" s="36" t="s">
        <v>231</v>
      </c>
      <c r="M143" s="153" t="s">
        <v>237</v>
      </c>
      <c r="N143" s="154" t="s">
        <v>324</v>
      </c>
      <c r="O143" s="36" t="s">
        <v>318</v>
      </c>
      <c r="P143" s="36" t="s">
        <v>319</v>
      </c>
      <c r="Q143" s="36" t="s">
        <v>320</v>
      </c>
      <c r="R143" s="155" t="s">
        <v>321</v>
      </c>
      <c r="S143" s="156" t="s">
        <v>242</v>
      </c>
    </row>
    <row r="144" spans="1:19" ht="12">
      <c r="A144" s="145">
        <v>0.75</v>
      </c>
      <c r="B144" s="146" t="s">
        <v>233</v>
      </c>
      <c r="C144" s="152" t="s">
        <v>250</v>
      </c>
      <c r="D144" s="40">
        <v>106</v>
      </c>
      <c r="E144" s="40">
        <v>150</v>
      </c>
      <c r="F144" s="36" t="s">
        <v>231</v>
      </c>
      <c r="G144" s="36" t="s">
        <v>231</v>
      </c>
      <c r="H144" s="36">
        <v>50</v>
      </c>
      <c r="I144" s="36" t="s">
        <v>236</v>
      </c>
      <c r="J144" s="36" t="s">
        <v>231</v>
      </c>
      <c r="K144" s="36" t="s">
        <v>231</v>
      </c>
      <c r="L144" s="36" t="s">
        <v>231</v>
      </c>
      <c r="M144" s="153" t="s">
        <v>237</v>
      </c>
      <c r="N144" s="154" t="s">
        <v>325</v>
      </c>
      <c r="O144" s="36" t="s">
        <v>318</v>
      </c>
      <c r="P144" s="36" t="s">
        <v>319</v>
      </c>
      <c r="Q144" s="36" t="s">
        <v>320</v>
      </c>
      <c r="R144" s="155" t="s">
        <v>321</v>
      </c>
      <c r="S144" s="156" t="s">
        <v>242</v>
      </c>
    </row>
    <row r="145" spans="1:19" ht="12">
      <c r="A145" s="145">
        <v>0.75</v>
      </c>
      <c r="B145" s="146" t="s">
        <v>233</v>
      </c>
      <c r="C145" s="152" t="s">
        <v>252</v>
      </c>
      <c r="D145" s="40">
        <v>106</v>
      </c>
      <c r="E145" s="40">
        <v>150</v>
      </c>
      <c r="F145" s="36" t="s">
        <v>231</v>
      </c>
      <c r="G145" s="36" t="s">
        <v>231</v>
      </c>
      <c r="H145" s="36">
        <v>50</v>
      </c>
      <c r="I145" s="36" t="s">
        <v>236</v>
      </c>
      <c r="J145" s="36" t="s">
        <v>231</v>
      </c>
      <c r="K145" s="36" t="s">
        <v>231</v>
      </c>
      <c r="L145" s="36" t="s">
        <v>231</v>
      </c>
      <c r="M145" s="153" t="s">
        <v>237</v>
      </c>
      <c r="N145" s="154" t="s">
        <v>326</v>
      </c>
      <c r="O145" s="36" t="s">
        <v>318</v>
      </c>
      <c r="P145" s="36" t="s">
        <v>319</v>
      </c>
      <c r="Q145" s="36" t="s">
        <v>320</v>
      </c>
      <c r="R145" s="155" t="s">
        <v>321</v>
      </c>
      <c r="S145" s="156" t="s">
        <v>242</v>
      </c>
    </row>
    <row r="146" spans="1:19" ht="12">
      <c r="A146" s="145">
        <v>0.75</v>
      </c>
      <c r="B146" s="146" t="s">
        <v>233</v>
      </c>
      <c r="C146" s="152" t="s">
        <v>253</v>
      </c>
      <c r="D146" s="40">
        <v>106</v>
      </c>
      <c r="E146" s="40">
        <v>150</v>
      </c>
      <c r="F146" s="36" t="s">
        <v>231</v>
      </c>
      <c r="G146" s="36" t="s">
        <v>231</v>
      </c>
      <c r="H146" s="36">
        <v>50</v>
      </c>
      <c r="I146" s="36" t="s">
        <v>236</v>
      </c>
      <c r="J146" s="36" t="s">
        <v>231</v>
      </c>
      <c r="K146" s="36" t="s">
        <v>231</v>
      </c>
      <c r="L146" s="36" t="s">
        <v>231</v>
      </c>
      <c r="M146" s="153" t="s">
        <v>237</v>
      </c>
      <c r="N146" s="154" t="s">
        <v>327</v>
      </c>
      <c r="O146" s="36" t="s">
        <v>318</v>
      </c>
      <c r="P146" s="36" t="s">
        <v>319</v>
      </c>
      <c r="Q146" s="36" t="s">
        <v>320</v>
      </c>
      <c r="R146" s="155" t="s">
        <v>321</v>
      </c>
      <c r="S146" s="156" t="s">
        <v>242</v>
      </c>
    </row>
    <row r="147" spans="1:19" ht="12">
      <c r="A147" s="145">
        <v>0.75</v>
      </c>
      <c r="B147" s="146" t="s">
        <v>233</v>
      </c>
      <c r="C147" s="152" t="s">
        <v>255</v>
      </c>
      <c r="D147" s="40">
        <v>106</v>
      </c>
      <c r="E147" s="40">
        <v>150</v>
      </c>
      <c r="F147" s="36" t="s">
        <v>231</v>
      </c>
      <c r="G147" s="36" t="s">
        <v>231</v>
      </c>
      <c r="H147" s="36">
        <v>50</v>
      </c>
      <c r="I147" s="36" t="s">
        <v>236</v>
      </c>
      <c r="J147" s="36" t="s">
        <v>231</v>
      </c>
      <c r="K147" s="36" t="s">
        <v>231</v>
      </c>
      <c r="L147" s="36" t="s">
        <v>231</v>
      </c>
      <c r="M147" s="153" t="s">
        <v>237</v>
      </c>
      <c r="N147" s="154" t="s">
        <v>328</v>
      </c>
      <c r="O147" s="36" t="s">
        <v>318</v>
      </c>
      <c r="P147" s="36" t="s">
        <v>319</v>
      </c>
      <c r="Q147" s="36" t="s">
        <v>320</v>
      </c>
      <c r="R147" s="155" t="s">
        <v>321</v>
      </c>
      <c r="S147" s="156" t="s">
        <v>242</v>
      </c>
    </row>
    <row r="148" spans="1:19" ht="12">
      <c r="A148" s="145">
        <v>0.75</v>
      </c>
      <c r="B148" s="146" t="s">
        <v>257</v>
      </c>
      <c r="C148" s="147" t="s">
        <v>234</v>
      </c>
      <c r="D148" s="40" t="s">
        <v>258</v>
      </c>
      <c r="E148" s="40" t="s">
        <v>259</v>
      </c>
      <c r="F148" s="36" t="s">
        <v>260</v>
      </c>
      <c r="G148" s="36" t="s">
        <v>261</v>
      </c>
      <c r="H148" s="36" t="s">
        <v>262</v>
      </c>
      <c r="I148" s="36" t="s">
        <v>263</v>
      </c>
      <c r="J148" s="36">
        <v>16</v>
      </c>
      <c r="K148" s="36">
        <v>50</v>
      </c>
      <c r="L148" s="36" t="s">
        <v>264</v>
      </c>
      <c r="M148" s="36" t="s">
        <v>231</v>
      </c>
      <c r="N148" s="154">
        <v>21.19</v>
      </c>
      <c r="O148" s="36" t="s">
        <v>231</v>
      </c>
      <c r="P148" s="36" t="s">
        <v>231</v>
      </c>
      <c r="Q148" s="36" t="s">
        <v>329</v>
      </c>
      <c r="R148" s="155" t="s">
        <v>330</v>
      </c>
      <c r="S148" s="156" t="s">
        <v>267</v>
      </c>
    </row>
    <row r="149" spans="1:19" ht="12">
      <c r="A149" s="145">
        <v>0.75</v>
      </c>
      <c r="B149" s="146" t="s">
        <v>257</v>
      </c>
      <c r="C149" s="147" t="s">
        <v>243</v>
      </c>
      <c r="D149" s="40" t="s">
        <v>258</v>
      </c>
      <c r="E149" s="40" t="s">
        <v>259</v>
      </c>
      <c r="F149" s="36" t="s">
        <v>260</v>
      </c>
      <c r="G149" s="36" t="s">
        <v>261</v>
      </c>
      <c r="H149" s="36" t="s">
        <v>262</v>
      </c>
      <c r="I149" s="36" t="s">
        <v>263</v>
      </c>
      <c r="J149" s="36">
        <v>16</v>
      </c>
      <c r="K149" s="36">
        <v>50</v>
      </c>
      <c r="L149" s="36" t="s">
        <v>264</v>
      </c>
      <c r="M149" s="36" t="s">
        <v>231</v>
      </c>
      <c r="N149" s="154">
        <v>17.84</v>
      </c>
      <c r="O149" s="36" t="s">
        <v>231</v>
      </c>
      <c r="P149" s="36" t="s">
        <v>231</v>
      </c>
      <c r="Q149" s="36" t="s">
        <v>329</v>
      </c>
      <c r="R149" s="155" t="s">
        <v>330</v>
      </c>
      <c r="S149" s="156" t="s">
        <v>267</v>
      </c>
    </row>
    <row r="150" spans="1:19" ht="12">
      <c r="A150" s="145">
        <v>0.75</v>
      </c>
      <c r="B150" s="146" t="s">
        <v>257</v>
      </c>
      <c r="C150" s="147" t="s">
        <v>244</v>
      </c>
      <c r="D150" s="40" t="s">
        <v>258</v>
      </c>
      <c r="E150" s="40" t="s">
        <v>259</v>
      </c>
      <c r="F150" s="36" t="s">
        <v>260</v>
      </c>
      <c r="G150" s="36" t="s">
        <v>261</v>
      </c>
      <c r="H150" s="36" t="s">
        <v>262</v>
      </c>
      <c r="I150" s="36" t="s">
        <v>263</v>
      </c>
      <c r="J150" s="36">
        <v>16</v>
      </c>
      <c r="K150" s="36">
        <v>50</v>
      </c>
      <c r="L150" s="36" t="s">
        <v>264</v>
      </c>
      <c r="M150" s="36" t="s">
        <v>231</v>
      </c>
      <c r="N150" s="154" t="s">
        <v>322</v>
      </c>
      <c r="O150" s="36" t="s">
        <v>231</v>
      </c>
      <c r="P150" s="36" t="s">
        <v>231</v>
      </c>
      <c r="Q150" s="36" t="s">
        <v>329</v>
      </c>
      <c r="R150" s="155" t="s">
        <v>330</v>
      </c>
      <c r="S150" s="156" t="s">
        <v>267</v>
      </c>
    </row>
    <row r="151" spans="1:19" ht="12">
      <c r="A151" s="145">
        <v>0.75</v>
      </c>
      <c r="B151" s="146" t="s">
        <v>257</v>
      </c>
      <c r="C151" s="147" t="s">
        <v>246</v>
      </c>
      <c r="D151" s="40" t="s">
        <v>258</v>
      </c>
      <c r="E151" s="40" t="s">
        <v>259</v>
      </c>
      <c r="F151" s="36" t="s">
        <v>260</v>
      </c>
      <c r="G151" s="36" t="s">
        <v>261</v>
      </c>
      <c r="H151" s="36" t="s">
        <v>262</v>
      </c>
      <c r="I151" s="36" t="s">
        <v>263</v>
      </c>
      <c r="J151" s="36">
        <v>16</v>
      </c>
      <c r="K151" s="36">
        <v>50</v>
      </c>
      <c r="L151" s="36" t="s">
        <v>264</v>
      </c>
      <c r="M151" s="36" t="s">
        <v>231</v>
      </c>
      <c r="N151" s="154" t="s">
        <v>323</v>
      </c>
      <c r="O151" s="36" t="s">
        <v>231</v>
      </c>
      <c r="P151" s="36" t="s">
        <v>231</v>
      </c>
      <c r="Q151" s="36" t="s">
        <v>329</v>
      </c>
      <c r="R151" s="155" t="s">
        <v>330</v>
      </c>
      <c r="S151" s="156" t="s">
        <v>267</v>
      </c>
    </row>
    <row r="152" spans="1:19" ht="12">
      <c r="A152" s="145">
        <v>0.75</v>
      </c>
      <c r="B152" s="146" t="s">
        <v>257</v>
      </c>
      <c r="C152" s="147" t="s">
        <v>248</v>
      </c>
      <c r="D152" s="40" t="s">
        <v>258</v>
      </c>
      <c r="E152" s="40" t="s">
        <v>259</v>
      </c>
      <c r="F152" s="36" t="s">
        <v>260</v>
      </c>
      <c r="G152" s="36" t="s">
        <v>261</v>
      </c>
      <c r="H152" s="36" t="s">
        <v>262</v>
      </c>
      <c r="I152" s="36" t="s">
        <v>263</v>
      </c>
      <c r="J152" s="36">
        <v>16</v>
      </c>
      <c r="K152" s="36">
        <v>50</v>
      </c>
      <c r="L152" s="36" t="s">
        <v>264</v>
      </c>
      <c r="M152" s="36" t="s">
        <v>231</v>
      </c>
      <c r="N152" s="154" t="s">
        <v>324</v>
      </c>
      <c r="O152" s="36" t="s">
        <v>231</v>
      </c>
      <c r="P152" s="36" t="s">
        <v>231</v>
      </c>
      <c r="Q152" s="36" t="s">
        <v>329</v>
      </c>
      <c r="R152" s="155" t="s">
        <v>330</v>
      </c>
      <c r="S152" s="156" t="s">
        <v>267</v>
      </c>
    </row>
    <row r="153" spans="1:19" ht="12">
      <c r="A153" s="145">
        <v>0.75</v>
      </c>
      <c r="B153" s="146" t="s">
        <v>257</v>
      </c>
      <c r="C153" s="147" t="s">
        <v>250</v>
      </c>
      <c r="D153" s="40" t="s">
        <v>258</v>
      </c>
      <c r="E153" s="40" t="s">
        <v>259</v>
      </c>
      <c r="F153" s="36" t="s">
        <v>260</v>
      </c>
      <c r="G153" s="36" t="s">
        <v>261</v>
      </c>
      <c r="H153" s="36" t="s">
        <v>262</v>
      </c>
      <c r="I153" s="36" t="s">
        <v>263</v>
      </c>
      <c r="J153" s="36">
        <v>16</v>
      </c>
      <c r="K153" s="36">
        <v>50</v>
      </c>
      <c r="L153" s="36" t="s">
        <v>264</v>
      </c>
      <c r="M153" s="36" t="s">
        <v>231</v>
      </c>
      <c r="N153" s="154" t="s">
        <v>325</v>
      </c>
      <c r="O153" s="36" t="s">
        <v>231</v>
      </c>
      <c r="P153" s="36" t="s">
        <v>231</v>
      </c>
      <c r="Q153" s="36" t="s">
        <v>329</v>
      </c>
      <c r="R153" s="155" t="s">
        <v>330</v>
      </c>
      <c r="S153" s="156" t="s">
        <v>267</v>
      </c>
    </row>
    <row r="154" spans="1:19" ht="12">
      <c r="A154" s="145">
        <v>0.75</v>
      </c>
      <c r="B154" s="146" t="s">
        <v>257</v>
      </c>
      <c r="C154" s="147" t="s">
        <v>252</v>
      </c>
      <c r="D154" s="40" t="s">
        <v>258</v>
      </c>
      <c r="E154" s="40" t="s">
        <v>259</v>
      </c>
      <c r="F154" s="36" t="s">
        <v>260</v>
      </c>
      <c r="G154" s="36" t="s">
        <v>261</v>
      </c>
      <c r="H154" s="36" t="s">
        <v>262</v>
      </c>
      <c r="I154" s="36" t="s">
        <v>263</v>
      </c>
      <c r="J154" s="36">
        <v>16</v>
      </c>
      <c r="K154" s="36">
        <v>50</v>
      </c>
      <c r="L154" s="36" t="s">
        <v>264</v>
      </c>
      <c r="M154" s="36" t="s">
        <v>231</v>
      </c>
      <c r="N154" s="154" t="s">
        <v>326</v>
      </c>
      <c r="O154" s="36" t="s">
        <v>231</v>
      </c>
      <c r="P154" s="36" t="s">
        <v>231</v>
      </c>
      <c r="Q154" s="36" t="s">
        <v>329</v>
      </c>
      <c r="R154" s="155" t="s">
        <v>330</v>
      </c>
      <c r="S154" s="156" t="s">
        <v>267</v>
      </c>
    </row>
    <row r="155" spans="1:19" ht="12">
      <c r="A155" s="145">
        <v>0.75</v>
      </c>
      <c r="B155" s="146" t="s">
        <v>257</v>
      </c>
      <c r="C155" s="147" t="s">
        <v>253</v>
      </c>
      <c r="D155" s="40" t="s">
        <v>258</v>
      </c>
      <c r="E155" s="40" t="s">
        <v>259</v>
      </c>
      <c r="F155" s="36" t="s">
        <v>260</v>
      </c>
      <c r="G155" s="36" t="s">
        <v>261</v>
      </c>
      <c r="H155" s="36" t="s">
        <v>262</v>
      </c>
      <c r="I155" s="36" t="s">
        <v>263</v>
      </c>
      <c r="J155" s="36">
        <v>16</v>
      </c>
      <c r="K155" s="36">
        <v>50</v>
      </c>
      <c r="L155" s="36" t="s">
        <v>264</v>
      </c>
      <c r="M155" s="36" t="s">
        <v>231</v>
      </c>
      <c r="N155" s="154" t="s">
        <v>327</v>
      </c>
      <c r="O155" s="36" t="s">
        <v>231</v>
      </c>
      <c r="P155" s="36" t="s">
        <v>231</v>
      </c>
      <c r="Q155" s="36" t="s">
        <v>329</v>
      </c>
      <c r="R155" s="155" t="s">
        <v>330</v>
      </c>
      <c r="S155" s="156" t="s">
        <v>267</v>
      </c>
    </row>
    <row r="156" spans="1:19" ht="12">
      <c r="A156" s="145">
        <v>0.75</v>
      </c>
      <c r="B156" s="146" t="s">
        <v>257</v>
      </c>
      <c r="C156" s="147" t="s">
        <v>255</v>
      </c>
      <c r="D156" s="40" t="s">
        <v>258</v>
      </c>
      <c r="E156" s="40" t="s">
        <v>259</v>
      </c>
      <c r="F156" s="36" t="s">
        <v>260</v>
      </c>
      <c r="G156" s="36" t="s">
        <v>261</v>
      </c>
      <c r="H156" s="36" t="s">
        <v>262</v>
      </c>
      <c r="I156" s="36" t="s">
        <v>263</v>
      </c>
      <c r="J156" s="36">
        <v>16</v>
      </c>
      <c r="K156" s="36">
        <v>50</v>
      </c>
      <c r="L156" s="36" t="s">
        <v>264</v>
      </c>
      <c r="M156" s="36" t="s">
        <v>231</v>
      </c>
      <c r="N156" s="154" t="s">
        <v>328</v>
      </c>
      <c r="O156" s="36" t="s">
        <v>231</v>
      </c>
      <c r="P156" s="36" t="s">
        <v>231</v>
      </c>
      <c r="Q156" s="36" t="s">
        <v>329</v>
      </c>
      <c r="R156" s="155" t="s">
        <v>330</v>
      </c>
      <c r="S156" s="156" t="s">
        <v>267</v>
      </c>
    </row>
    <row r="157" spans="1:19" ht="12">
      <c r="A157" s="145">
        <v>0.75</v>
      </c>
      <c r="B157" s="146" t="s">
        <v>276</v>
      </c>
      <c r="C157" s="147" t="s">
        <v>234</v>
      </c>
      <c r="D157" s="36" t="s">
        <v>277</v>
      </c>
      <c r="E157" s="36" t="s">
        <v>278</v>
      </c>
      <c r="F157" s="40" t="s">
        <v>258</v>
      </c>
      <c r="G157" s="40" t="s">
        <v>279</v>
      </c>
      <c r="H157" s="40" t="s">
        <v>228</v>
      </c>
      <c r="I157" s="40" t="s">
        <v>229</v>
      </c>
      <c r="J157" s="157" t="s">
        <v>280</v>
      </c>
      <c r="K157" s="36">
        <v>45</v>
      </c>
      <c r="L157" s="36" t="s">
        <v>230</v>
      </c>
      <c r="M157" s="36" t="s">
        <v>231</v>
      </c>
      <c r="N157" s="158">
        <v>21193</v>
      </c>
      <c r="O157" s="36" t="s">
        <v>315</v>
      </c>
      <c r="P157" s="36" t="s">
        <v>317</v>
      </c>
      <c r="Q157" s="36" t="s">
        <v>329</v>
      </c>
      <c r="R157" s="155" t="s">
        <v>330</v>
      </c>
      <c r="S157" s="156" t="s">
        <v>283</v>
      </c>
    </row>
    <row r="158" spans="1:19" ht="12">
      <c r="A158" s="145">
        <v>0.75</v>
      </c>
      <c r="B158" s="146" t="s">
        <v>276</v>
      </c>
      <c r="C158" s="147" t="s">
        <v>243</v>
      </c>
      <c r="D158" s="36" t="s">
        <v>277</v>
      </c>
      <c r="E158" s="36" t="s">
        <v>278</v>
      </c>
      <c r="F158" s="40" t="s">
        <v>258</v>
      </c>
      <c r="G158" s="40" t="s">
        <v>279</v>
      </c>
      <c r="H158" s="40" t="s">
        <v>228</v>
      </c>
      <c r="I158" s="40" t="s">
        <v>229</v>
      </c>
      <c r="J158" s="157" t="s">
        <v>280</v>
      </c>
      <c r="K158" s="36">
        <v>45</v>
      </c>
      <c r="L158" s="36" t="s">
        <v>230</v>
      </c>
      <c r="M158" s="36" t="s">
        <v>231</v>
      </c>
      <c r="N158" s="158">
        <v>17840</v>
      </c>
      <c r="O158" s="36" t="s">
        <v>315</v>
      </c>
      <c r="P158" s="36" t="s">
        <v>317</v>
      </c>
      <c r="Q158" s="36" t="s">
        <v>329</v>
      </c>
      <c r="R158" s="155" t="s">
        <v>330</v>
      </c>
      <c r="S158" s="156" t="s">
        <v>283</v>
      </c>
    </row>
    <row r="159" spans="1:19" ht="12">
      <c r="A159" s="145">
        <v>0.75</v>
      </c>
      <c r="B159" s="146" t="s">
        <v>276</v>
      </c>
      <c r="C159" s="147" t="s">
        <v>244</v>
      </c>
      <c r="D159" s="36" t="s">
        <v>277</v>
      </c>
      <c r="E159" s="36" t="s">
        <v>278</v>
      </c>
      <c r="F159" s="40" t="s">
        <v>258</v>
      </c>
      <c r="G159" s="40" t="s">
        <v>279</v>
      </c>
      <c r="H159" s="40" t="s">
        <v>228</v>
      </c>
      <c r="I159" s="40" t="s">
        <v>229</v>
      </c>
      <c r="J159" s="157" t="s">
        <v>280</v>
      </c>
      <c r="K159" s="36">
        <v>45</v>
      </c>
      <c r="L159" s="36" t="s">
        <v>230</v>
      </c>
      <c r="M159" s="36" t="s">
        <v>231</v>
      </c>
      <c r="N159" s="36" t="s">
        <v>322</v>
      </c>
      <c r="O159" s="36" t="s">
        <v>315</v>
      </c>
      <c r="P159" s="36" t="s">
        <v>317</v>
      </c>
      <c r="Q159" s="36" t="s">
        <v>329</v>
      </c>
      <c r="R159" s="155" t="s">
        <v>330</v>
      </c>
      <c r="S159" s="156" t="s">
        <v>283</v>
      </c>
    </row>
    <row r="160" spans="1:19" ht="12">
      <c r="A160" s="145">
        <v>0.75</v>
      </c>
      <c r="B160" s="146" t="s">
        <v>276</v>
      </c>
      <c r="C160" s="147" t="s">
        <v>246</v>
      </c>
      <c r="D160" s="36" t="s">
        <v>277</v>
      </c>
      <c r="E160" s="36" t="s">
        <v>278</v>
      </c>
      <c r="F160" s="40" t="s">
        <v>258</v>
      </c>
      <c r="G160" s="40" t="s">
        <v>279</v>
      </c>
      <c r="H160" s="40" t="s">
        <v>228</v>
      </c>
      <c r="I160" s="40" t="s">
        <v>229</v>
      </c>
      <c r="J160" s="157" t="s">
        <v>280</v>
      </c>
      <c r="K160" s="36">
        <v>45</v>
      </c>
      <c r="L160" s="36" t="s">
        <v>230</v>
      </c>
      <c r="M160" s="36" t="s">
        <v>231</v>
      </c>
      <c r="N160" s="36" t="s">
        <v>323</v>
      </c>
      <c r="O160" s="36" t="s">
        <v>315</v>
      </c>
      <c r="P160" s="36" t="s">
        <v>317</v>
      </c>
      <c r="Q160" s="36" t="s">
        <v>329</v>
      </c>
      <c r="R160" s="155" t="s">
        <v>330</v>
      </c>
      <c r="S160" s="156" t="s">
        <v>283</v>
      </c>
    </row>
    <row r="161" spans="1:19" ht="12">
      <c r="A161" s="145">
        <v>0.75</v>
      </c>
      <c r="B161" s="146" t="s">
        <v>276</v>
      </c>
      <c r="C161" s="147" t="s">
        <v>248</v>
      </c>
      <c r="D161" s="36" t="s">
        <v>277</v>
      </c>
      <c r="E161" s="36" t="s">
        <v>278</v>
      </c>
      <c r="F161" s="40" t="s">
        <v>258</v>
      </c>
      <c r="G161" s="40" t="s">
        <v>279</v>
      </c>
      <c r="H161" s="40" t="s">
        <v>228</v>
      </c>
      <c r="I161" s="40" t="s">
        <v>229</v>
      </c>
      <c r="J161" s="157" t="s">
        <v>280</v>
      </c>
      <c r="K161" s="36">
        <v>45</v>
      </c>
      <c r="L161" s="36" t="s">
        <v>230</v>
      </c>
      <c r="M161" s="36" t="s">
        <v>231</v>
      </c>
      <c r="N161" s="36" t="s">
        <v>324</v>
      </c>
      <c r="O161" s="36" t="s">
        <v>315</v>
      </c>
      <c r="P161" s="36" t="s">
        <v>317</v>
      </c>
      <c r="Q161" s="36" t="s">
        <v>329</v>
      </c>
      <c r="R161" s="155" t="s">
        <v>330</v>
      </c>
      <c r="S161" s="156" t="s">
        <v>283</v>
      </c>
    </row>
    <row r="162" spans="1:19" ht="12">
      <c r="A162" s="145">
        <v>0.75</v>
      </c>
      <c r="B162" s="146" t="s">
        <v>276</v>
      </c>
      <c r="C162" s="147" t="s">
        <v>250</v>
      </c>
      <c r="D162" s="36" t="s">
        <v>277</v>
      </c>
      <c r="E162" s="36" t="s">
        <v>278</v>
      </c>
      <c r="F162" s="40" t="s">
        <v>258</v>
      </c>
      <c r="G162" s="40" t="s">
        <v>279</v>
      </c>
      <c r="H162" s="40" t="s">
        <v>228</v>
      </c>
      <c r="I162" s="40" t="s">
        <v>229</v>
      </c>
      <c r="J162" s="157" t="s">
        <v>280</v>
      </c>
      <c r="K162" s="36">
        <v>45</v>
      </c>
      <c r="L162" s="36" t="s">
        <v>230</v>
      </c>
      <c r="M162" s="36" t="s">
        <v>231</v>
      </c>
      <c r="N162" s="158" t="s">
        <v>325</v>
      </c>
      <c r="O162" s="36" t="s">
        <v>315</v>
      </c>
      <c r="P162" s="36" t="s">
        <v>317</v>
      </c>
      <c r="Q162" s="36" t="s">
        <v>329</v>
      </c>
      <c r="R162" s="155" t="s">
        <v>330</v>
      </c>
      <c r="S162" s="156" t="s">
        <v>283</v>
      </c>
    </row>
    <row r="163" spans="1:19" ht="12">
      <c r="A163" s="145">
        <v>0.75</v>
      </c>
      <c r="B163" s="146" t="s">
        <v>276</v>
      </c>
      <c r="C163" s="147" t="s">
        <v>252</v>
      </c>
      <c r="D163" s="36" t="s">
        <v>277</v>
      </c>
      <c r="E163" s="36" t="s">
        <v>278</v>
      </c>
      <c r="F163" s="40" t="s">
        <v>258</v>
      </c>
      <c r="G163" s="40" t="s">
        <v>279</v>
      </c>
      <c r="H163" s="40" t="s">
        <v>228</v>
      </c>
      <c r="I163" s="40" t="s">
        <v>229</v>
      </c>
      <c r="J163" s="157" t="s">
        <v>280</v>
      </c>
      <c r="K163" s="36">
        <v>45</v>
      </c>
      <c r="L163" s="36" t="s">
        <v>230</v>
      </c>
      <c r="M163" s="36" t="s">
        <v>231</v>
      </c>
      <c r="N163" s="158" t="s">
        <v>326</v>
      </c>
      <c r="O163" s="36" t="s">
        <v>315</v>
      </c>
      <c r="P163" s="36" t="s">
        <v>317</v>
      </c>
      <c r="Q163" s="36" t="s">
        <v>329</v>
      </c>
      <c r="R163" s="155" t="s">
        <v>330</v>
      </c>
      <c r="S163" s="156" t="s">
        <v>283</v>
      </c>
    </row>
    <row r="164" spans="1:19" ht="12">
      <c r="A164" s="145">
        <v>0.75</v>
      </c>
      <c r="B164" s="146" t="s">
        <v>276</v>
      </c>
      <c r="C164" s="147" t="s">
        <v>253</v>
      </c>
      <c r="D164" s="36" t="s">
        <v>277</v>
      </c>
      <c r="E164" s="36" t="s">
        <v>278</v>
      </c>
      <c r="F164" s="40" t="s">
        <v>258</v>
      </c>
      <c r="G164" s="40" t="s">
        <v>279</v>
      </c>
      <c r="H164" s="40" t="s">
        <v>228</v>
      </c>
      <c r="I164" s="40" t="s">
        <v>229</v>
      </c>
      <c r="J164" s="157" t="s">
        <v>280</v>
      </c>
      <c r="K164" s="36">
        <v>45</v>
      </c>
      <c r="L164" s="36" t="s">
        <v>230</v>
      </c>
      <c r="M164" s="36" t="s">
        <v>231</v>
      </c>
      <c r="N164" s="36" t="s">
        <v>327</v>
      </c>
      <c r="O164" s="36" t="s">
        <v>315</v>
      </c>
      <c r="P164" s="36" t="s">
        <v>317</v>
      </c>
      <c r="Q164" s="36" t="s">
        <v>329</v>
      </c>
      <c r="R164" s="155" t="s">
        <v>330</v>
      </c>
      <c r="S164" s="156" t="s">
        <v>283</v>
      </c>
    </row>
    <row r="165" spans="1:19" ht="12">
      <c r="A165" s="145">
        <v>0.75</v>
      </c>
      <c r="B165" s="146" t="s">
        <v>276</v>
      </c>
      <c r="C165" s="147" t="s">
        <v>255</v>
      </c>
      <c r="D165" s="36" t="s">
        <v>277</v>
      </c>
      <c r="E165" s="36" t="s">
        <v>278</v>
      </c>
      <c r="F165" s="40" t="s">
        <v>258</v>
      </c>
      <c r="G165" s="40" t="s">
        <v>279</v>
      </c>
      <c r="H165" s="40" t="s">
        <v>228</v>
      </c>
      <c r="I165" s="40" t="s">
        <v>229</v>
      </c>
      <c r="J165" s="157" t="s">
        <v>280</v>
      </c>
      <c r="K165" s="36">
        <v>45</v>
      </c>
      <c r="L165" s="36" t="s">
        <v>230</v>
      </c>
      <c r="M165" s="36" t="s">
        <v>231</v>
      </c>
      <c r="N165" s="36" t="s">
        <v>328</v>
      </c>
      <c r="O165" s="36" t="s">
        <v>315</v>
      </c>
      <c r="P165" s="36" t="s">
        <v>317</v>
      </c>
      <c r="Q165" s="36" t="s">
        <v>329</v>
      </c>
      <c r="R165" s="155" t="s">
        <v>330</v>
      </c>
      <c r="S165" s="156" t="s">
        <v>283</v>
      </c>
    </row>
    <row r="166" spans="1:19" ht="12">
      <c r="A166" s="145">
        <v>0.75</v>
      </c>
      <c r="B166" s="146" t="s">
        <v>222</v>
      </c>
      <c r="C166" s="147" t="s">
        <v>234</v>
      </c>
      <c r="D166" s="36" t="s">
        <v>277</v>
      </c>
      <c r="E166" s="36" t="s">
        <v>278</v>
      </c>
      <c r="F166" s="40" t="s">
        <v>284</v>
      </c>
      <c r="G166" s="40" t="s">
        <v>227</v>
      </c>
      <c r="H166" s="40" t="s">
        <v>228</v>
      </c>
      <c r="I166" s="40" t="s">
        <v>229</v>
      </c>
      <c r="J166" s="157" t="s">
        <v>280</v>
      </c>
      <c r="K166" s="36">
        <v>45</v>
      </c>
      <c r="L166" s="36" t="s">
        <v>230</v>
      </c>
      <c r="M166" s="36" t="s">
        <v>231</v>
      </c>
      <c r="N166" s="154">
        <v>21.19</v>
      </c>
      <c r="O166" s="36" t="s">
        <v>315</v>
      </c>
      <c r="P166" s="36" t="s">
        <v>317</v>
      </c>
      <c r="Q166" s="36" t="s">
        <v>329</v>
      </c>
      <c r="R166" s="155" t="s">
        <v>330</v>
      </c>
      <c r="S166" s="156" t="s">
        <v>285</v>
      </c>
    </row>
    <row r="167" spans="1:19" ht="12">
      <c r="A167" s="145">
        <v>0.75</v>
      </c>
      <c r="B167" s="146" t="s">
        <v>222</v>
      </c>
      <c r="C167" s="147" t="s">
        <v>243</v>
      </c>
      <c r="D167" s="36" t="s">
        <v>277</v>
      </c>
      <c r="E167" s="36" t="s">
        <v>278</v>
      </c>
      <c r="F167" s="40" t="s">
        <v>284</v>
      </c>
      <c r="G167" s="40" t="s">
        <v>227</v>
      </c>
      <c r="H167" s="40" t="s">
        <v>228</v>
      </c>
      <c r="I167" s="40" t="s">
        <v>229</v>
      </c>
      <c r="J167" s="157" t="s">
        <v>280</v>
      </c>
      <c r="K167" s="36">
        <v>45</v>
      </c>
      <c r="L167" s="36" t="s">
        <v>230</v>
      </c>
      <c r="M167" s="36" t="s">
        <v>231</v>
      </c>
      <c r="N167" s="154">
        <v>17.84</v>
      </c>
      <c r="O167" s="36" t="s">
        <v>315</v>
      </c>
      <c r="P167" s="36" t="s">
        <v>317</v>
      </c>
      <c r="Q167" s="36" t="s">
        <v>329</v>
      </c>
      <c r="R167" s="155" t="s">
        <v>330</v>
      </c>
      <c r="S167" s="156" t="s">
        <v>285</v>
      </c>
    </row>
    <row r="168" spans="1:19" ht="12">
      <c r="A168" s="145">
        <v>0.75</v>
      </c>
      <c r="B168" s="146" t="s">
        <v>222</v>
      </c>
      <c r="C168" s="147" t="s">
        <v>244</v>
      </c>
      <c r="D168" s="36" t="s">
        <v>277</v>
      </c>
      <c r="E168" s="36" t="s">
        <v>278</v>
      </c>
      <c r="F168" s="40" t="s">
        <v>284</v>
      </c>
      <c r="G168" s="40" t="s">
        <v>227</v>
      </c>
      <c r="H168" s="40" t="s">
        <v>228</v>
      </c>
      <c r="I168" s="40" t="s">
        <v>229</v>
      </c>
      <c r="J168" s="157" t="s">
        <v>280</v>
      </c>
      <c r="K168" s="36">
        <v>45</v>
      </c>
      <c r="L168" s="36" t="s">
        <v>230</v>
      </c>
      <c r="M168" s="36" t="s">
        <v>231</v>
      </c>
      <c r="N168" s="154" t="s">
        <v>322</v>
      </c>
      <c r="O168" s="36" t="s">
        <v>315</v>
      </c>
      <c r="P168" s="36" t="s">
        <v>317</v>
      </c>
      <c r="Q168" s="36" t="s">
        <v>329</v>
      </c>
      <c r="R168" s="155" t="s">
        <v>330</v>
      </c>
      <c r="S168" s="156" t="s">
        <v>285</v>
      </c>
    </row>
    <row r="169" spans="1:19" ht="12">
      <c r="A169" s="145">
        <v>0.75</v>
      </c>
      <c r="B169" s="146" t="s">
        <v>222</v>
      </c>
      <c r="C169" s="147" t="s">
        <v>246</v>
      </c>
      <c r="D169" s="36" t="s">
        <v>277</v>
      </c>
      <c r="E169" s="36" t="s">
        <v>278</v>
      </c>
      <c r="F169" s="40" t="s">
        <v>284</v>
      </c>
      <c r="G169" s="40" t="s">
        <v>227</v>
      </c>
      <c r="H169" s="40" t="s">
        <v>228</v>
      </c>
      <c r="I169" s="40" t="s">
        <v>229</v>
      </c>
      <c r="J169" s="157" t="s">
        <v>280</v>
      </c>
      <c r="K169" s="36">
        <v>45</v>
      </c>
      <c r="L169" s="36" t="s">
        <v>230</v>
      </c>
      <c r="M169" s="36" t="s">
        <v>231</v>
      </c>
      <c r="N169" s="154" t="s">
        <v>323</v>
      </c>
      <c r="O169" s="36" t="s">
        <v>315</v>
      </c>
      <c r="P169" s="36" t="s">
        <v>317</v>
      </c>
      <c r="Q169" s="36" t="s">
        <v>329</v>
      </c>
      <c r="R169" s="155" t="s">
        <v>330</v>
      </c>
      <c r="S169" s="156" t="s">
        <v>285</v>
      </c>
    </row>
    <row r="170" spans="1:19" ht="12">
      <c r="A170" s="145">
        <v>0.75</v>
      </c>
      <c r="B170" s="146" t="s">
        <v>222</v>
      </c>
      <c r="C170" s="147" t="s">
        <v>248</v>
      </c>
      <c r="D170" s="36" t="s">
        <v>277</v>
      </c>
      <c r="E170" s="36" t="s">
        <v>278</v>
      </c>
      <c r="F170" s="40" t="s">
        <v>284</v>
      </c>
      <c r="G170" s="40" t="s">
        <v>227</v>
      </c>
      <c r="H170" s="40" t="s">
        <v>228</v>
      </c>
      <c r="I170" s="40" t="s">
        <v>229</v>
      </c>
      <c r="J170" s="157" t="s">
        <v>280</v>
      </c>
      <c r="K170" s="36">
        <v>45</v>
      </c>
      <c r="L170" s="36" t="s">
        <v>230</v>
      </c>
      <c r="M170" s="36" t="s">
        <v>231</v>
      </c>
      <c r="N170" s="154" t="s">
        <v>324</v>
      </c>
      <c r="O170" s="36" t="s">
        <v>315</v>
      </c>
      <c r="P170" s="36" t="s">
        <v>317</v>
      </c>
      <c r="Q170" s="36" t="s">
        <v>329</v>
      </c>
      <c r="R170" s="155" t="s">
        <v>330</v>
      </c>
      <c r="S170" s="156" t="s">
        <v>285</v>
      </c>
    </row>
    <row r="171" spans="1:19" ht="12">
      <c r="A171" s="145">
        <v>0.75</v>
      </c>
      <c r="B171" s="146" t="s">
        <v>222</v>
      </c>
      <c r="C171" s="147" t="s">
        <v>250</v>
      </c>
      <c r="D171" s="36" t="s">
        <v>277</v>
      </c>
      <c r="E171" s="36" t="s">
        <v>278</v>
      </c>
      <c r="F171" s="40" t="s">
        <v>284</v>
      </c>
      <c r="G171" s="40" t="s">
        <v>227</v>
      </c>
      <c r="H171" s="40" t="s">
        <v>228</v>
      </c>
      <c r="I171" s="40" t="s">
        <v>229</v>
      </c>
      <c r="J171" s="157" t="s">
        <v>280</v>
      </c>
      <c r="K171" s="36">
        <v>45</v>
      </c>
      <c r="L171" s="36" t="s">
        <v>230</v>
      </c>
      <c r="M171" s="36" t="s">
        <v>231</v>
      </c>
      <c r="N171" s="154" t="s">
        <v>325</v>
      </c>
      <c r="O171" s="36" t="s">
        <v>315</v>
      </c>
      <c r="P171" s="36" t="s">
        <v>317</v>
      </c>
      <c r="Q171" s="36" t="s">
        <v>329</v>
      </c>
      <c r="R171" s="155" t="s">
        <v>330</v>
      </c>
      <c r="S171" s="156" t="s">
        <v>285</v>
      </c>
    </row>
    <row r="172" spans="1:19" ht="12">
      <c r="A172" s="145">
        <v>0.75</v>
      </c>
      <c r="B172" s="146" t="s">
        <v>222</v>
      </c>
      <c r="C172" s="147" t="s">
        <v>252</v>
      </c>
      <c r="D172" s="36" t="s">
        <v>277</v>
      </c>
      <c r="E172" s="36" t="s">
        <v>278</v>
      </c>
      <c r="F172" s="40" t="s">
        <v>284</v>
      </c>
      <c r="G172" s="40" t="s">
        <v>227</v>
      </c>
      <c r="H172" s="40" t="s">
        <v>228</v>
      </c>
      <c r="I172" s="40" t="s">
        <v>229</v>
      </c>
      <c r="J172" s="157" t="s">
        <v>280</v>
      </c>
      <c r="K172" s="36">
        <v>45</v>
      </c>
      <c r="L172" s="36" t="s">
        <v>230</v>
      </c>
      <c r="M172" s="36" t="s">
        <v>231</v>
      </c>
      <c r="N172" s="154" t="s">
        <v>326</v>
      </c>
      <c r="O172" s="36" t="s">
        <v>315</v>
      </c>
      <c r="P172" s="36" t="s">
        <v>317</v>
      </c>
      <c r="Q172" s="36" t="s">
        <v>329</v>
      </c>
      <c r="R172" s="155" t="s">
        <v>330</v>
      </c>
      <c r="S172" s="156" t="s">
        <v>285</v>
      </c>
    </row>
    <row r="173" spans="1:19" ht="12">
      <c r="A173" s="145">
        <v>0.75</v>
      </c>
      <c r="B173" s="146" t="s">
        <v>222</v>
      </c>
      <c r="C173" s="147" t="s">
        <v>253</v>
      </c>
      <c r="D173" s="36" t="s">
        <v>277</v>
      </c>
      <c r="E173" s="36" t="s">
        <v>278</v>
      </c>
      <c r="F173" s="40" t="s">
        <v>284</v>
      </c>
      <c r="G173" s="40" t="s">
        <v>227</v>
      </c>
      <c r="H173" s="40" t="s">
        <v>228</v>
      </c>
      <c r="I173" s="40" t="s">
        <v>229</v>
      </c>
      <c r="J173" s="157" t="s">
        <v>280</v>
      </c>
      <c r="K173" s="36">
        <v>45</v>
      </c>
      <c r="L173" s="36" t="s">
        <v>230</v>
      </c>
      <c r="M173" s="36" t="s">
        <v>231</v>
      </c>
      <c r="N173" s="154" t="s">
        <v>327</v>
      </c>
      <c r="O173" s="36" t="s">
        <v>315</v>
      </c>
      <c r="P173" s="36" t="s">
        <v>317</v>
      </c>
      <c r="Q173" s="36" t="s">
        <v>329</v>
      </c>
      <c r="R173" s="155" t="s">
        <v>330</v>
      </c>
      <c r="S173" s="156" t="s">
        <v>285</v>
      </c>
    </row>
    <row r="174" spans="1:19" ht="12">
      <c r="A174" s="145">
        <v>0.75</v>
      </c>
      <c r="B174" s="146" t="s">
        <v>222</v>
      </c>
      <c r="C174" s="147" t="s">
        <v>255</v>
      </c>
      <c r="D174" s="36" t="s">
        <v>277</v>
      </c>
      <c r="E174" s="36" t="s">
        <v>278</v>
      </c>
      <c r="F174" s="40" t="s">
        <v>284</v>
      </c>
      <c r="G174" s="40" t="s">
        <v>227</v>
      </c>
      <c r="H174" s="40" t="s">
        <v>228</v>
      </c>
      <c r="I174" s="40" t="s">
        <v>229</v>
      </c>
      <c r="J174" s="157" t="s">
        <v>280</v>
      </c>
      <c r="K174" s="36">
        <v>45</v>
      </c>
      <c r="L174" s="36" t="s">
        <v>230</v>
      </c>
      <c r="M174" s="36" t="s">
        <v>231</v>
      </c>
      <c r="N174" s="154" t="s">
        <v>328</v>
      </c>
      <c r="O174" s="36" t="s">
        <v>315</v>
      </c>
      <c r="P174" s="36" t="s">
        <v>317</v>
      </c>
      <c r="Q174" s="36" t="s">
        <v>329</v>
      </c>
      <c r="R174" s="155" t="s">
        <v>330</v>
      </c>
      <c r="S174" s="156" t="s">
        <v>285</v>
      </c>
    </row>
    <row r="175" spans="1:19" ht="12">
      <c r="A175" s="145">
        <v>0.75</v>
      </c>
      <c r="B175" s="146" t="s">
        <v>286</v>
      </c>
      <c r="C175" s="147" t="s">
        <v>234</v>
      </c>
      <c r="D175" s="40" t="s">
        <v>258</v>
      </c>
      <c r="E175" s="40" t="s">
        <v>279</v>
      </c>
      <c r="F175" s="36" t="s">
        <v>287</v>
      </c>
      <c r="G175" s="36" t="s">
        <v>288</v>
      </c>
      <c r="H175" s="36" t="s">
        <v>289</v>
      </c>
      <c r="I175" s="36" t="s">
        <v>290</v>
      </c>
      <c r="J175" s="36">
        <v>18</v>
      </c>
      <c r="K175" s="36">
        <v>40</v>
      </c>
      <c r="L175" s="36" t="s">
        <v>291</v>
      </c>
      <c r="M175" s="36" t="s">
        <v>231</v>
      </c>
      <c r="N175" s="154">
        <v>21.19</v>
      </c>
      <c r="O175" s="36" t="s">
        <v>231</v>
      </c>
      <c r="P175" s="36" t="s">
        <v>231</v>
      </c>
      <c r="Q175" s="36" t="s">
        <v>329</v>
      </c>
      <c r="R175" s="155" t="s">
        <v>330</v>
      </c>
      <c r="S175" s="156" t="s">
        <v>292</v>
      </c>
    </row>
    <row r="176" spans="1:19" ht="12">
      <c r="A176" s="145">
        <v>0.75</v>
      </c>
      <c r="B176" s="146" t="s">
        <v>286</v>
      </c>
      <c r="C176" s="147" t="s">
        <v>243</v>
      </c>
      <c r="D176" s="40" t="s">
        <v>258</v>
      </c>
      <c r="E176" s="40" t="s">
        <v>279</v>
      </c>
      <c r="F176" s="36" t="s">
        <v>287</v>
      </c>
      <c r="G176" s="36" t="s">
        <v>288</v>
      </c>
      <c r="H176" s="36" t="s">
        <v>289</v>
      </c>
      <c r="I176" s="36" t="s">
        <v>290</v>
      </c>
      <c r="J176" s="36">
        <v>18</v>
      </c>
      <c r="K176" s="36">
        <v>40</v>
      </c>
      <c r="L176" s="36" t="s">
        <v>291</v>
      </c>
      <c r="M176" s="36" t="s">
        <v>231</v>
      </c>
      <c r="N176" s="154">
        <v>17.84</v>
      </c>
      <c r="O176" s="36" t="s">
        <v>231</v>
      </c>
      <c r="P176" s="36" t="s">
        <v>231</v>
      </c>
      <c r="Q176" s="36" t="s">
        <v>329</v>
      </c>
      <c r="R176" s="155" t="s">
        <v>330</v>
      </c>
      <c r="S176" s="156" t="s">
        <v>292</v>
      </c>
    </row>
    <row r="177" spans="1:19" ht="12">
      <c r="A177" s="145">
        <v>0.75</v>
      </c>
      <c r="B177" s="146" t="s">
        <v>286</v>
      </c>
      <c r="C177" s="147" t="s">
        <v>244</v>
      </c>
      <c r="D177" s="40" t="s">
        <v>258</v>
      </c>
      <c r="E177" s="40" t="s">
        <v>279</v>
      </c>
      <c r="F177" s="36" t="s">
        <v>287</v>
      </c>
      <c r="G177" s="36" t="s">
        <v>288</v>
      </c>
      <c r="H177" s="36" t="s">
        <v>289</v>
      </c>
      <c r="I177" s="36" t="s">
        <v>290</v>
      </c>
      <c r="J177" s="36">
        <v>18</v>
      </c>
      <c r="K177" s="36">
        <v>40</v>
      </c>
      <c r="L177" s="36" t="s">
        <v>291</v>
      </c>
      <c r="M177" s="36" t="s">
        <v>231</v>
      </c>
      <c r="N177" s="154" t="s">
        <v>322</v>
      </c>
      <c r="O177" s="36" t="s">
        <v>231</v>
      </c>
      <c r="P177" s="36" t="s">
        <v>231</v>
      </c>
      <c r="Q177" s="36" t="s">
        <v>329</v>
      </c>
      <c r="R177" s="155" t="s">
        <v>330</v>
      </c>
      <c r="S177" s="156" t="s">
        <v>292</v>
      </c>
    </row>
    <row r="178" spans="1:19" ht="12">
      <c r="A178" s="145">
        <v>0.75</v>
      </c>
      <c r="B178" s="146" t="s">
        <v>286</v>
      </c>
      <c r="C178" s="147" t="s">
        <v>246</v>
      </c>
      <c r="D178" s="40" t="s">
        <v>258</v>
      </c>
      <c r="E178" s="40" t="s">
        <v>279</v>
      </c>
      <c r="F178" s="36" t="s">
        <v>287</v>
      </c>
      <c r="G178" s="36" t="s">
        <v>288</v>
      </c>
      <c r="H178" s="36" t="s">
        <v>289</v>
      </c>
      <c r="I178" s="36" t="s">
        <v>290</v>
      </c>
      <c r="J178" s="36">
        <v>18</v>
      </c>
      <c r="K178" s="36">
        <v>40</v>
      </c>
      <c r="L178" s="36" t="s">
        <v>291</v>
      </c>
      <c r="M178" s="36" t="s">
        <v>231</v>
      </c>
      <c r="N178" s="154" t="s">
        <v>323</v>
      </c>
      <c r="O178" s="36" t="s">
        <v>231</v>
      </c>
      <c r="P178" s="36" t="s">
        <v>231</v>
      </c>
      <c r="Q178" s="36" t="s">
        <v>329</v>
      </c>
      <c r="R178" s="155" t="s">
        <v>330</v>
      </c>
      <c r="S178" s="156" t="s">
        <v>292</v>
      </c>
    </row>
    <row r="179" spans="1:19" ht="12">
      <c r="A179" s="145">
        <v>0.75</v>
      </c>
      <c r="B179" s="146" t="s">
        <v>286</v>
      </c>
      <c r="C179" s="147" t="s">
        <v>248</v>
      </c>
      <c r="D179" s="40" t="s">
        <v>258</v>
      </c>
      <c r="E179" s="40" t="s">
        <v>279</v>
      </c>
      <c r="F179" s="36" t="s">
        <v>287</v>
      </c>
      <c r="G179" s="36" t="s">
        <v>288</v>
      </c>
      <c r="H179" s="36" t="s">
        <v>289</v>
      </c>
      <c r="I179" s="36" t="s">
        <v>290</v>
      </c>
      <c r="J179" s="36">
        <v>18</v>
      </c>
      <c r="K179" s="36">
        <v>40</v>
      </c>
      <c r="L179" s="36" t="s">
        <v>291</v>
      </c>
      <c r="M179" s="36" t="s">
        <v>231</v>
      </c>
      <c r="N179" s="154" t="s">
        <v>324</v>
      </c>
      <c r="O179" s="36" t="s">
        <v>231</v>
      </c>
      <c r="P179" s="36" t="s">
        <v>231</v>
      </c>
      <c r="Q179" s="36" t="s">
        <v>329</v>
      </c>
      <c r="R179" s="155" t="s">
        <v>330</v>
      </c>
      <c r="S179" s="156" t="s">
        <v>292</v>
      </c>
    </row>
    <row r="180" spans="1:19" ht="12">
      <c r="A180" s="145">
        <v>0.75</v>
      </c>
      <c r="B180" s="146" t="s">
        <v>286</v>
      </c>
      <c r="C180" s="147" t="s">
        <v>250</v>
      </c>
      <c r="D180" s="40" t="s">
        <v>258</v>
      </c>
      <c r="E180" s="40" t="s">
        <v>279</v>
      </c>
      <c r="F180" s="36" t="s">
        <v>287</v>
      </c>
      <c r="G180" s="36" t="s">
        <v>288</v>
      </c>
      <c r="H180" s="36" t="s">
        <v>289</v>
      </c>
      <c r="I180" s="36" t="s">
        <v>290</v>
      </c>
      <c r="J180" s="36">
        <v>18</v>
      </c>
      <c r="K180" s="36">
        <v>40</v>
      </c>
      <c r="L180" s="36" t="s">
        <v>291</v>
      </c>
      <c r="M180" s="36" t="s">
        <v>231</v>
      </c>
      <c r="N180" s="154" t="s">
        <v>325</v>
      </c>
      <c r="O180" s="36" t="s">
        <v>231</v>
      </c>
      <c r="P180" s="36" t="s">
        <v>231</v>
      </c>
      <c r="Q180" s="36" t="s">
        <v>329</v>
      </c>
      <c r="R180" s="155" t="s">
        <v>330</v>
      </c>
      <c r="S180" s="156" t="s">
        <v>292</v>
      </c>
    </row>
    <row r="181" spans="1:19" ht="12">
      <c r="A181" s="145">
        <v>0.75</v>
      </c>
      <c r="B181" s="146" t="s">
        <v>286</v>
      </c>
      <c r="C181" s="147" t="s">
        <v>252</v>
      </c>
      <c r="D181" s="40" t="s">
        <v>258</v>
      </c>
      <c r="E181" s="40" t="s">
        <v>279</v>
      </c>
      <c r="F181" s="36" t="s">
        <v>287</v>
      </c>
      <c r="G181" s="36" t="s">
        <v>288</v>
      </c>
      <c r="H181" s="36" t="s">
        <v>289</v>
      </c>
      <c r="I181" s="36" t="s">
        <v>290</v>
      </c>
      <c r="J181" s="36">
        <v>18</v>
      </c>
      <c r="K181" s="36">
        <v>40</v>
      </c>
      <c r="L181" s="36" t="s">
        <v>291</v>
      </c>
      <c r="M181" s="36" t="s">
        <v>231</v>
      </c>
      <c r="N181" s="154" t="s">
        <v>326</v>
      </c>
      <c r="O181" s="36" t="s">
        <v>231</v>
      </c>
      <c r="P181" s="36" t="s">
        <v>231</v>
      </c>
      <c r="Q181" s="36" t="s">
        <v>329</v>
      </c>
      <c r="R181" s="155" t="s">
        <v>330</v>
      </c>
      <c r="S181" s="156" t="s">
        <v>292</v>
      </c>
    </row>
    <row r="182" spans="1:19" ht="12">
      <c r="A182" s="145">
        <v>0.75</v>
      </c>
      <c r="B182" s="146" t="s">
        <v>286</v>
      </c>
      <c r="C182" s="147" t="s">
        <v>253</v>
      </c>
      <c r="D182" s="40" t="s">
        <v>258</v>
      </c>
      <c r="E182" s="40" t="s">
        <v>279</v>
      </c>
      <c r="F182" s="36" t="s">
        <v>287</v>
      </c>
      <c r="G182" s="36" t="s">
        <v>288</v>
      </c>
      <c r="H182" s="36" t="s">
        <v>289</v>
      </c>
      <c r="I182" s="36" t="s">
        <v>290</v>
      </c>
      <c r="J182" s="36">
        <v>18</v>
      </c>
      <c r="K182" s="36">
        <v>40</v>
      </c>
      <c r="L182" s="36" t="s">
        <v>291</v>
      </c>
      <c r="M182" s="36" t="s">
        <v>231</v>
      </c>
      <c r="N182" s="154" t="s">
        <v>327</v>
      </c>
      <c r="O182" s="36" t="s">
        <v>231</v>
      </c>
      <c r="P182" s="36" t="s">
        <v>231</v>
      </c>
      <c r="Q182" s="36" t="s">
        <v>329</v>
      </c>
      <c r="R182" s="155" t="s">
        <v>330</v>
      </c>
      <c r="S182" s="156" t="s">
        <v>292</v>
      </c>
    </row>
    <row r="183" spans="1:19" ht="12">
      <c r="A183" s="145">
        <v>0.75</v>
      </c>
      <c r="B183" s="146" t="s">
        <v>286</v>
      </c>
      <c r="C183" s="147" t="s">
        <v>255</v>
      </c>
      <c r="D183" s="40" t="s">
        <v>258</v>
      </c>
      <c r="E183" s="40" t="s">
        <v>279</v>
      </c>
      <c r="F183" s="36" t="s">
        <v>287</v>
      </c>
      <c r="G183" s="36" t="s">
        <v>288</v>
      </c>
      <c r="H183" s="36" t="s">
        <v>289</v>
      </c>
      <c r="I183" s="36" t="s">
        <v>290</v>
      </c>
      <c r="J183" s="36">
        <v>18</v>
      </c>
      <c r="K183" s="36">
        <v>40</v>
      </c>
      <c r="L183" s="36" t="s">
        <v>291</v>
      </c>
      <c r="M183" s="36" t="s">
        <v>231</v>
      </c>
      <c r="N183" s="154" t="s">
        <v>328</v>
      </c>
      <c r="O183" s="36" t="s">
        <v>231</v>
      </c>
      <c r="P183" s="36" t="s">
        <v>231</v>
      </c>
      <c r="Q183" s="36" t="s">
        <v>329</v>
      </c>
      <c r="R183" s="155" t="s">
        <v>330</v>
      </c>
      <c r="S183" s="156" t="s">
        <v>292</v>
      </c>
    </row>
    <row r="184" spans="1:19" ht="12">
      <c r="A184" s="145">
        <v>0.625</v>
      </c>
      <c r="B184" s="146" t="s">
        <v>233</v>
      </c>
      <c r="C184" s="152" t="s">
        <v>234</v>
      </c>
      <c r="D184" s="40">
        <v>106</v>
      </c>
      <c r="E184" s="40">
        <v>150</v>
      </c>
      <c r="F184" s="36" t="s">
        <v>231</v>
      </c>
      <c r="G184" s="36" t="s">
        <v>231</v>
      </c>
      <c r="H184" s="36">
        <v>50</v>
      </c>
      <c r="I184" s="36" t="s">
        <v>236</v>
      </c>
      <c r="J184" s="36" t="s">
        <v>231</v>
      </c>
      <c r="K184" s="36" t="s">
        <v>231</v>
      </c>
      <c r="L184" s="36" t="s">
        <v>231</v>
      </c>
      <c r="M184" s="153" t="s">
        <v>237</v>
      </c>
      <c r="N184" s="154">
        <v>14.67</v>
      </c>
      <c r="O184" s="36" t="s">
        <v>331</v>
      </c>
      <c r="P184" s="36" t="s">
        <v>321</v>
      </c>
      <c r="Q184" s="36" t="s">
        <v>332</v>
      </c>
      <c r="R184" s="155" t="s">
        <v>333</v>
      </c>
      <c r="S184" s="156" t="s">
        <v>242</v>
      </c>
    </row>
    <row r="185" spans="1:19" ht="12">
      <c r="A185" s="145">
        <v>0.625</v>
      </c>
      <c r="B185" s="146" t="s">
        <v>233</v>
      </c>
      <c r="C185" s="152" t="s">
        <v>243</v>
      </c>
      <c r="D185" s="40">
        <v>106</v>
      </c>
      <c r="E185" s="40">
        <v>150</v>
      </c>
      <c r="F185" s="36" t="s">
        <v>231</v>
      </c>
      <c r="G185" s="36" t="s">
        <v>231</v>
      </c>
      <c r="H185" s="36">
        <v>50</v>
      </c>
      <c r="I185" s="36" t="s">
        <v>236</v>
      </c>
      <c r="J185" s="36" t="s">
        <v>231</v>
      </c>
      <c r="K185" s="36" t="s">
        <v>231</v>
      </c>
      <c r="L185" s="36" t="s">
        <v>231</v>
      </c>
      <c r="M185" s="153" t="s">
        <v>237</v>
      </c>
      <c r="N185" s="154">
        <v>12.3</v>
      </c>
      <c r="O185" s="36" t="s">
        <v>331</v>
      </c>
      <c r="P185" s="36" t="s">
        <v>321</v>
      </c>
      <c r="Q185" s="36" t="s">
        <v>332</v>
      </c>
      <c r="R185" s="155" t="s">
        <v>333</v>
      </c>
      <c r="S185" s="156" t="s">
        <v>242</v>
      </c>
    </row>
    <row r="186" spans="1:19" ht="12">
      <c r="A186" s="145">
        <v>0.625</v>
      </c>
      <c r="B186" s="146" t="s">
        <v>233</v>
      </c>
      <c r="C186" s="152" t="s">
        <v>244</v>
      </c>
      <c r="D186" s="40">
        <v>106</v>
      </c>
      <c r="E186" s="40">
        <v>150</v>
      </c>
      <c r="F186" s="36" t="s">
        <v>231</v>
      </c>
      <c r="G186" s="36" t="s">
        <v>231</v>
      </c>
      <c r="H186" s="36">
        <v>50</v>
      </c>
      <c r="I186" s="36" t="s">
        <v>236</v>
      </c>
      <c r="J186" s="36" t="s">
        <v>231</v>
      </c>
      <c r="K186" s="36" t="s">
        <v>231</v>
      </c>
      <c r="L186" s="36" t="s">
        <v>231</v>
      </c>
      <c r="M186" s="153" t="s">
        <v>237</v>
      </c>
      <c r="N186" s="154" t="s">
        <v>334</v>
      </c>
      <c r="O186" s="36" t="s">
        <v>331</v>
      </c>
      <c r="P186" s="36" t="s">
        <v>321</v>
      </c>
      <c r="Q186" s="36" t="s">
        <v>332</v>
      </c>
      <c r="R186" s="155" t="s">
        <v>333</v>
      </c>
      <c r="S186" s="156" t="s">
        <v>242</v>
      </c>
    </row>
    <row r="187" spans="1:19" ht="12">
      <c r="A187" s="145">
        <v>0.625</v>
      </c>
      <c r="B187" s="146" t="s">
        <v>233</v>
      </c>
      <c r="C187" s="152" t="s">
        <v>246</v>
      </c>
      <c r="D187" s="40">
        <v>106</v>
      </c>
      <c r="E187" s="40">
        <v>150</v>
      </c>
      <c r="F187" s="36" t="s">
        <v>231</v>
      </c>
      <c r="G187" s="36" t="s">
        <v>231</v>
      </c>
      <c r="H187" s="36">
        <v>50</v>
      </c>
      <c r="I187" s="36" t="s">
        <v>236</v>
      </c>
      <c r="J187" s="36" t="s">
        <v>231</v>
      </c>
      <c r="K187" s="36" t="s">
        <v>231</v>
      </c>
      <c r="L187" s="36" t="s">
        <v>231</v>
      </c>
      <c r="M187" s="153" t="s">
        <v>237</v>
      </c>
      <c r="N187" s="154" t="s">
        <v>335</v>
      </c>
      <c r="O187" s="36" t="s">
        <v>331</v>
      </c>
      <c r="P187" s="36" t="s">
        <v>321</v>
      </c>
      <c r="Q187" s="36" t="s">
        <v>332</v>
      </c>
      <c r="R187" s="155" t="s">
        <v>333</v>
      </c>
      <c r="S187" s="156" t="s">
        <v>242</v>
      </c>
    </row>
    <row r="188" spans="1:19" ht="12">
      <c r="A188" s="145">
        <v>0.625</v>
      </c>
      <c r="B188" s="146" t="s">
        <v>233</v>
      </c>
      <c r="C188" s="152" t="s">
        <v>248</v>
      </c>
      <c r="D188" s="40">
        <v>106</v>
      </c>
      <c r="E188" s="40">
        <v>150</v>
      </c>
      <c r="F188" s="36" t="s">
        <v>231</v>
      </c>
      <c r="G188" s="36" t="s">
        <v>231</v>
      </c>
      <c r="H188" s="36">
        <v>50</v>
      </c>
      <c r="I188" s="36" t="s">
        <v>236</v>
      </c>
      <c r="J188" s="36" t="s">
        <v>231</v>
      </c>
      <c r="K188" s="36" t="s">
        <v>231</v>
      </c>
      <c r="L188" s="36" t="s">
        <v>231</v>
      </c>
      <c r="M188" s="153" t="s">
        <v>237</v>
      </c>
      <c r="N188" s="154" t="s">
        <v>336</v>
      </c>
      <c r="O188" s="36" t="s">
        <v>331</v>
      </c>
      <c r="P188" s="36" t="s">
        <v>321</v>
      </c>
      <c r="Q188" s="36" t="s">
        <v>332</v>
      </c>
      <c r="R188" s="155" t="s">
        <v>333</v>
      </c>
      <c r="S188" s="156" t="s">
        <v>242</v>
      </c>
    </row>
    <row r="189" spans="1:19" ht="12">
      <c r="A189" s="145">
        <v>0.625</v>
      </c>
      <c r="B189" s="146" t="s">
        <v>233</v>
      </c>
      <c r="C189" s="152" t="s">
        <v>250</v>
      </c>
      <c r="D189" s="40">
        <v>106</v>
      </c>
      <c r="E189" s="40">
        <v>150</v>
      </c>
      <c r="F189" s="36" t="s">
        <v>231</v>
      </c>
      <c r="G189" s="36" t="s">
        <v>231</v>
      </c>
      <c r="H189" s="36">
        <v>50</v>
      </c>
      <c r="I189" s="36" t="s">
        <v>236</v>
      </c>
      <c r="J189" s="36" t="s">
        <v>231</v>
      </c>
      <c r="K189" s="36" t="s">
        <v>231</v>
      </c>
      <c r="L189" s="36" t="s">
        <v>231</v>
      </c>
      <c r="M189" s="153" t="s">
        <v>237</v>
      </c>
      <c r="N189" s="154" t="s">
        <v>337</v>
      </c>
      <c r="O189" s="36" t="s">
        <v>331</v>
      </c>
      <c r="P189" s="36" t="s">
        <v>321</v>
      </c>
      <c r="Q189" s="36" t="s">
        <v>332</v>
      </c>
      <c r="R189" s="155" t="s">
        <v>333</v>
      </c>
      <c r="S189" s="156" t="s">
        <v>242</v>
      </c>
    </row>
    <row r="190" spans="1:19" ht="12">
      <c r="A190" s="145">
        <v>0.625</v>
      </c>
      <c r="B190" s="146" t="s">
        <v>233</v>
      </c>
      <c r="C190" s="152" t="s">
        <v>252</v>
      </c>
      <c r="D190" s="40">
        <v>106</v>
      </c>
      <c r="E190" s="40">
        <v>150</v>
      </c>
      <c r="F190" s="36" t="s">
        <v>231</v>
      </c>
      <c r="G190" s="36" t="s">
        <v>231</v>
      </c>
      <c r="H190" s="36">
        <v>50</v>
      </c>
      <c r="I190" s="36" t="s">
        <v>236</v>
      </c>
      <c r="J190" s="36" t="s">
        <v>231</v>
      </c>
      <c r="K190" s="36" t="s">
        <v>231</v>
      </c>
      <c r="L190" s="36" t="s">
        <v>231</v>
      </c>
      <c r="M190" s="153" t="s">
        <v>237</v>
      </c>
      <c r="N190" s="154" t="s">
        <v>338</v>
      </c>
      <c r="O190" s="36" t="s">
        <v>331</v>
      </c>
      <c r="P190" s="36" t="s">
        <v>321</v>
      </c>
      <c r="Q190" s="36" t="s">
        <v>332</v>
      </c>
      <c r="R190" s="155" t="s">
        <v>333</v>
      </c>
      <c r="S190" s="156" t="s">
        <v>242</v>
      </c>
    </row>
    <row r="191" spans="1:19" ht="12">
      <c r="A191" s="145">
        <v>0.625</v>
      </c>
      <c r="B191" s="146" t="s">
        <v>233</v>
      </c>
      <c r="C191" s="152" t="s">
        <v>253</v>
      </c>
      <c r="D191" s="40">
        <v>106</v>
      </c>
      <c r="E191" s="40">
        <v>150</v>
      </c>
      <c r="F191" s="36" t="s">
        <v>231</v>
      </c>
      <c r="G191" s="36" t="s">
        <v>231</v>
      </c>
      <c r="H191" s="36">
        <v>50</v>
      </c>
      <c r="I191" s="36" t="s">
        <v>236</v>
      </c>
      <c r="J191" s="36" t="s">
        <v>231</v>
      </c>
      <c r="K191" s="36" t="s">
        <v>231</v>
      </c>
      <c r="L191" s="36" t="s">
        <v>231</v>
      </c>
      <c r="M191" s="153" t="s">
        <v>237</v>
      </c>
      <c r="N191" s="154" t="s">
        <v>339</v>
      </c>
      <c r="O191" s="36" t="s">
        <v>331</v>
      </c>
      <c r="P191" s="36" t="s">
        <v>321</v>
      </c>
      <c r="Q191" s="36" t="s">
        <v>332</v>
      </c>
      <c r="R191" s="155" t="s">
        <v>333</v>
      </c>
      <c r="S191" s="156" t="s">
        <v>242</v>
      </c>
    </row>
    <row r="192" spans="1:19" ht="12">
      <c r="A192" s="145">
        <v>0.625</v>
      </c>
      <c r="B192" s="146" t="s">
        <v>233</v>
      </c>
      <c r="C192" s="152" t="s">
        <v>255</v>
      </c>
      <c r="D192" s="40">
        <v>106</v>
      </c>
      <c r="E192" s="40">
        <v>150</v>
      </c>
      <c r="F192" s="36" t="s">
        <v>231</v>
      </c>
      <c r="G192" s="36" t="s">
        <v>231</v>
      </c>
      <c r="H192" s="36">
        <v>50</v>
      </c>
      <c r="I192" s="36" t="s">
        <v>236</v>
      </c>
      <c r="J192" s="36" t="s">
        <v>231</v>
      </c>
      <c r="K192" s="36" t="s">
        <v>231</v>
      </c>
      <c r="L192" s="36" t="s">
        <v>231</v>
      </c>
      <c r="M192" s="153" t="s">
        <v>237</v>
      </c>
      <c r="N192" s="154" t="s">
        <v>340</v>
      </c>
      <c r="O192" s="36" t="s">
        <v>331</v>
      </c>
      <c r="P192" s="36" t="s">
        <v>321</v>
      </c>
      <c r="Q192" s="36" t="s">
        <v>332</v>
      </c>
      <c r="R192" s="155" t="s">
        <v>333</v>
      </c>
      <c r="S192" s="156" t="s">
        <v>242</v>
      </c>
    </row>
    <row r="193" spans="1:19" ht="12">
      <c r="A193" s="145">
        <v>0.625</v>
      </c>
      <c r="B193" s="146" t="s">
        <v>257</v>
      </c>
      <c r="C193" s="147" t="s">
        <v>234</v>
      </c>
      <c r="D193" s="40" t="s">
        <v>258</v>
      </c>
      <c r="E193" s="40" t="s">
        <v>259</v>
      </c>
      <c r="F193" s="36" t="s">
        <v>260</v>
      </c>
      <c r="G193" s="36" t="s">
        <v>261</v>
      </c>
      <c r="H193" s="36" t="s">
        <v>262</v>
      </c>
      <c r="I193" s="36" t="s">
        <v>263</v>
      </c>
      <c r="J193" s="36">
        <v>16</v>
      </c>
      <c r="K193" s="36">
        <v>50</v>
      </c>
      <c r="L193" s="36" t="s">
        <v>264</v>
      </c>
      <c r="M193" s="36" t="s">
        <v>231</v>
      </c>
      <c r="N193" s="154">
        <v>14.67</v>
      </c>
      <c r="O193" s="36" t="s">
        <v>231</v>
      </c>
      <c r="P193" s="36" t="s">
        <v>231</v>
      </c>
      <c r="Q193" s="36" t="s">
        <v>341</v>
      </c>
      <c r="R193" s="155" t="s">
        <v>342</v>
      </c>
      <c r="S193" s="156" t="s">
        <v>267</v>
      </c>
    </row>
    <row r="194" spans="1:19" ht="12">
      <c r="A194" s="145">
        <v>0.625</v>
      </c>
      <c r="B194" s="146" t="s">
        <v>257</v>
      </c>
      <c r="C194" s="147" t="s">
        <v>243</v>
      </c>
      <c r="D194" s="40" t="s">
        <v>258</v>
      </c>
      <c r="E194" s="40" t="s">
        <v>259</v>
      </c>
      <c r="F194" s="36" t="s">
        <v>260</v>
      </c>
      <c r="G194" s="36" t="s">
        <v>261</v>
      </c>
      <c r="H194" s="36" t="s">
        <v>262</v>
      </c>
      <c r="I194" s="36" t="s">
        <v>263</v>
      </c>
      <c r="J194" s="36">
        <v>16</v>
      </c>
      <c r="K194" s="36">
        <v>50</v>
      </c>
      <c r="L194" s="36" t="s">
        <v>264</v>
      </c>
      <c r="M194" s="36" t="s">
        <v>231</v>
      </c>
      <c r="N194" s="154">
        <v>12.3</v>
      </c>
      <c r="O194" s="36" t="s">
        <v>231</v>
      </c>
      <c r="P194" s="36" t="s">
        <v>231</v>
      </c>
      <c r="Q194" s="36" t="s">
        <v>341</v>
      </c>
      <c r="R194" s="155" t="s">
        <v>342</v>
      </c>
      <c r="S194" s="156" t="s">
        <v>267</v>
      </c>
    </row>
    <row r="195" spans="1:19" ht="12">
      <c r="A195" s="145">
        <v>0.625</v>
      </c>
      <c r="B195" s="146" t="s">
        <v>257</v>
      </c>
      <c r="C195" s="147" t="s">
        <v>244</v>
      </c>
      <c r="D195" s="40" t="s">
        <v>258</v>
      </c>
      <c r="E195" s="40" t="s">
        <v>259</v>
      </c>
      <c r="F195" s="36" t="s">
        <v>260</v>
      </c>
      <c r="G195" s="36" t="s">
        <v>261</v>
      </c>
      <c r="H195" s="36" t="s">
        <v>262</v>
      </c>
      <c r="I195" s="36" t="s">
        <v>263</v>
      </c>
      <c r="J195" s="36">
        <v>16</v>
      </c>
      <c r="K195" s="36">
        <v>50</v>
      </c>
      <c r="L195" s="36" t="s">
        <v>264</v>
      </c>
      <c r="M195" s="36" t="s">
        <v>231</v>
      </c>
      <c r="N195" s="154" t="s">
        <v>334</v>
      </c>
      <c r="O195" s="36" t="s">
        <v>231</v>
      </c>
      <c r="P195" s="36" t="s">
        <v>231</v>
      </c>
      <c r="Q195" s="36" t="s">
        <v>341</v>
      </c>
      <c r="R195" s="155" t="s">
        <v>342</v>
      </c>
      <c r="S195" s="156" t="s">
        <v>267</v>
      </c>
    </row>
    <row r="196" spans="1:19" ht="12">
      <c r="A196" s="145">
        <v>0.625</v>
      </c>
      <c r="B196" s="146" t="s">
        <v>257</v>
      </c>
      <c r="C196" s="147" t="s">
        <v>246</v>
      </c>
      <c r="D196" s="40" t="s">
        <v>258</v>
      </c>
      <c r="E196" s="40" t="s">
        <v>259</v>
      </c>
      <c r="F196" s="36" t="s">
        <v>260</v>
      </c>
      <c r="G196" s="36" t="s">
        <v>261</v>
      </c>
      <c r="H196" s="36" t="s">
        <v>262</v>
      </c>
      <c r="I196" s="36" t="s">
        <v>263</v>
      </c>
      <c r="J196" s="36">
        <v>16</v>
      </c>
      <c r="K196" s="36">
        <v>50</v>
      </c>
      <c r="L196" s="36" t="s">
        <v>264</v>
      </c>
      <c r="M196" s="36" t="s">
        <v>231</v>
      </c>
      <c r="N196" s="154" t="s">
        <v>335</v>
      </c>
      <c r="O196" s="36" t="s">
        <v>231</v>
      </c>
      <c r="P196" s="36" t="s">
        <v>231</v>
      </c>
      <c r="Q196" s="36" t="s">
        <v>341</v>
      </c>
      <c r="R196" s="155" t="s">
        <v>342</v>
      </c>
      <c r="S196" s="156" t="s">
        <v>267</v>
      </c>
    </row>
    <row r="197" spans="1:19" ht="12">
      <c r="A197" s="145">
        <v>0.625</v>
      </c>
      <c r="B197" s="146" t="s">
        <v>257</v>
      </c>
      <c r="C197" s="147" t="s">
        <v>248</v>
      </c>
      <c r="D197" s="40" t="s">
        <v>258</v>
      </c>
      <c r="E197" s="40" t="s">
        <v>259</v>
      </c>
      <c r="F197" s="36" t="s">
        <v>260</v>
      </c>
      <c r="G197" s="36" t="s">
        <v>261</v>
      </c>
      <c r="H197" s="36" t="s">
        <v>262</v>
      </c>
      <c r="I197" s="36" t="s">
        <v>263</v>
      </c>
      <c r="J197" s="36">
        <v>16</v>
      </c>
      <c r="K197" s="36">
        <v>50</v>
      </c>
      <c r="L197" s="36" t="s">
        <v>264</v>
      </c>
      <c r="M197" s="36" t="s">
        <v>231</v>
      </c>
      <c r="N197" s="154" t="s">
        <v>336</v>
      </c>
      <c r="O197" s="36" t="s">
        <v>231</v>
      </c>
      <c r="P197" s="36" t="s">
        <v>231</v>
      </c>
      <c r="Q197" s="36" t="s">
        <v>341</v>
      </c>
      <c r="R197" s="155" t="s">
        <v>342</v>
      </c>
      <c r="S197" s="156" t="s">
        <v>267</v>
      </c>
    </row>
    <row r="198" spans="1:19" ht="12">
      <c r="A198" s="145">
        <v>0.625</v>
      </c>
      <c r="B198" s="146" t="s">
        <v>257</v>
      </c>
      <c r="C198" s="147" t="s">
        <v>250</v>
      </c>
      <c r="D198" s="40" t="s">
        <v>258</v>
      </c>
      <c r="E198" s="40" t="s">
        <v>259</v>
      </c>
      <c r="F198" s="36" t="s">
        <v>260</v>
      </c>
      <c r="G198" s="36" t="s">
        <v>261</v>
      </c>
      <c r="H198" s="36" t="s">
        <v>262</v>
      </c>
      <c r="I198" s="36" t="s">
        <v>263</v>
      </c>
      <c r="J198" s="36">
        <v>16</v>
      </c>
      <c r="K198" s="36">
        <v>50</v>
      </c>
      <c r="L198" s="36" t="s">
        <v>264</v>
      </c>
      <c r="M198" s="36" t="s">
        <v>231</v>
      </c>
      <c r="N198" s="154" t="s">
        <v>337</v>
      </c>
      <c r="O198" s="36" t="s">
        <v>231</v>
      </c>
      <c r="P198" s="36" t="s">
        <v>231</v>
      </c>
      <c r="Q198" s="36" t="s">
        <v>341</v>
      </c>
      <c r="R198" s="155" t="s">
        <v>342</v>
      </c>
      <c r="S198" s="156" t="s">
        <v>267</v>
      </c>
    </row>
    <row r="199" spans="1:19" ht="12">
      <c r="A199" s="145">
        <v>0.625</v>
      </c>
      <c r="B199" s="146" t="s">
        <v>257</v>
      </c>
      <c r="C199" s="147" t="s">
        <v>252</v>
      </c>
      <c r="D199" s="40" t="s">
        <v>258</v>
      </c>
      <c r="E199" s="40" t="s">
        <v>259</v>
      </c>
      <c r="F199" s="36" t="s">
        <v>260</v>
      </c>
      <c r="G199" s="36" t="s">
        <v>261</v>
      </c>
      <c r="H199" s="36" t="s">
        <v>262</v>
      </c>
      <c r="I199" s="36" t="s">
        <v>263</v>
      </c>
      <c r="J199" s="36">
        <v>16</v>
      </c>
      <c r="K199" s="36">
        <v>50</v>
      </c>
      <c r="L199" s="36" t="s">
        <v>264</v>
      </c>
      <c r="M199" s="36" t="s">
        <v>231</v>
      </c>
      <c r="N199" s="154" t="s">
        <v>338</v>
      </c>
      <c r="O199" s="36" t="s">
        <v>231</v>
      </c>
      <c r="P199" s="36" t="s">
        <v>231</v>
      </c>
      <c r="Q199" s="36" t="s">
        <v>341</v>
      </c>
      <c r="R199" s="155" t="s">
        <v>342</v>
      </c>
      <c r="S199" s="156" t="s">
        <v>267</v>
      </c>
    </row>
    <row r="200" spans="1:19" ht="12">
      <c r="A200" s="145">
        <v>0.625</v>
      </c>
      <c r="B200" s="146" t="s">
        <v>257</v>
      </c>
      <c r="C200" s="147" t="s">
        <v>253</v>
      </c>
      <c r="D200" s="40" t="s">
        <v>258</v>
      </c>
      <c r="E200" s="40" t="s">
        <v>259</v>
      </c>
      <c r="F200" s="36" t="s">
        <v>260</v>
      </c>
      <c r="G200" s="36" t="s">
        <v>261</v>
      </c>
      <c r="H200" s="36" t="s">
        <v>262</v>
      </c>
      <c r="I200" s="36" t="s">
        <v>263</v>
      </c>
      <c r="J200" s="36">
        <v>16</v>
      </c>
      <c r="K200" s="36">
        <v>50</v>
      </c>
      <c r="L200" s="36" t="s">
        <v>264</v>
      </c>
      <c r="M200" s="36" t="s">
        <v>231</v>
      </c>
      <c r="N200" s="154" t="s">
        <v>339</v>
      </c>
      <c r="O200" s="36" t="s">
        <v>231</v>
      </c>
      <c r="P200" s="36" t="s">
        <v>231</v>
      </c>
      <c r="Q200" s="36" t="s">
        <v>341</v>
      </c>
      <c r="R200" s="155" t="s">
        <v>342</v>
      </c>
      <c r="S200" s="156" t="s">
        <v>267</v>
      </c>
    </row>
    <row r="201" spans="1:19" ht="12">
      <c r="A201" s="145">
        <v>0.625</v>
      </c>
      <c r="B201" s="146" t="s">
        <v>257</v>
      </c>
      <c r="C201" s="147" t="s">
        <v>255</v>
      </c>
      <c r="D201" s="40" t="s">
        <v>258</v>
      </c>
      <c r="E201" s="40" t="s">
        <v>259</v>
      </c>
      <c r="F201" s="36" t="s">
        <v>260</v>
      </c>
      <c r="G201" s="36" t="s">
        <v>261</v>
      </c>
      <c r="H201" s="36" t="s">
        <v>262</v>
      </c>
      <c r="I201" s="36" t="s">
        <v>263</v>
      </c>
      <c r="J201" s="36">
        <v>16</v>
      </c>
      <c r="K201" s="36">
        <v>50</v>
      </c>
      <c r="L201" s="36" t="s">
        <v>264</v>
      </c>
      <c r="M201" s="36" t="s">
        <v>231</v>
      </c>
      <c r="N201" s="154" t="s">
        <v>340</v>
      </c>
      <c r="O201" s="36" t="s">
        <v>231</v>
      </c>
      <c r="P201" s="36" t="s">
        <v>231</v>
      </c>
      <c r="Q201" s="36" t="s">
        <v>341</v>
      </c>
      <c r="R201" s="155" t="s">
        <v>342</v>
      </c>
      <c r="S201" s="156" t="s">
        <v>267</v>
      </c>
    </row>
    <row r="202" spans="1:19" ht="12">
      <c r="A202" s="145">
        <v>0.625</v>
      </c>
      <c r="B202" s="146" t="s">
        <v>276</v>
      </c>
      <c r="C202" s="147" t="s">
        <v>234</v>
      </c>
      <c r="D202" s="36" t="s">
        <v>277</v>
      </c>
      <c r="E202" s="36" t="s">
        <v>278</v>
      </c>
      <c r="F202" s="40" t="s">
        <v>258</v>
      </c>
      <c r="G202" s="40" t="s">
        <v>279</v>
      </c>
      <c r="H202" s="40" t="s">
        <v>228</v>
      </c>
      <c r="I202" s="40" t="s">
        <v>229</v>
      </c>
      <c r="J202" s="157" t="s">
        <v>280</v>
      </c>
      <c r="K202" s="36">
        <v>45</v>
      </c>
      <c r="L202" s="36" t="s">
        <v>230</v>
      </c>
      <c r="M202" s="36" t="s">
        <v>231</v>
      </c>
      <c r="N202" s="158">
        <v>14674</v>
      </c>
      <c r="O202" s="36" t="s">
        <v>342</v>
      </c>
      <c r="P202" s="36" t="s">
        <v>315</v>
      </c>
      <c r="Q202" s="36" t="s">
        <v>341</v>
      </c>
      <c r="R202" s="155" t="s">
        <v>342</v>
      </c>
      <c r="S202" s="156" t="s">
        <v>283</v>
      </c>
    </row>
    <row r="203" spans="1:19" ht="12">
      <c r="A203" s="145">
        <v>0.625</v>
      </c>
      <c r="B203" s="146" t="s">
        <v>276</v>
      </c>
      <c r="C203" s="147" t="s">
        <v>243</v>
      </c>
      <c r="D203" s="36" t="s">
        <v>277</v>
      </c>
      <c r="E203" s="36" t="s">
        <v>278</v>
      </c>
      <c r="F203" s="40" t="s">
        <v>258</v>
      </c>
      <c r="G203" s="40" t="s">
        <v>279</v>
      </c>
      <c r="H203" s="40" t="s">
        <v>228</v>
      </c>
      <c r="I203" s="40" t="s">
        <v>229</v>
      </c>
      <c r="J203" s="157" t="s">
        <v>280</v>
      </c>
      <c r="K203" s="36">
        <v>45</v>
      </c>
      <c r="L203" s="36" t="s">
        <v>230</v>
      </c>
      <c r="M203" s="36" t="s">
        <v>231</v>
      </c>
      <c r="N203" s="158">
        <v>12307</v>
      </c>
      <c r="O203" s="36" t="s">
        <v>342</v>
      </c>
      <c r="P203" s="36" t="s">
        <v>315</v>
      </c>
      <c r="Q203" s="36" t="s">
        <v>341</v>
      </c>
      <c r="R203" s="155" t="s">
        <v>342</v>
      </c>
      <c r="S203" s="156" t="s">
        <v>283</v>
      </c>
    </row>
    <row r="204" spans="1:19" ht="12">
      <c r="A204" s="145">
        <v>0.625</v>
      </c>
      <c r="B204" s="146" t="s">
        <v>276</v>
      </c>
      <c r="C204" s="147" t="s">
        <v>244</v>
      </c>
      <c r="D204" s="36" t="s">
        <v>277</v>
      </c>
      <c r="E204" s="36" t="s">
        <v>278</v>
      </c>
      <c r="F204" s="40" t="s">
        <v>258</v>
      </c>
      <c r="G204" s="40" t="s">
        <v>279</v>
      </c>
      <c r="H204" s="40" t="s">
        <v>228</v>
      </c>
      <c r="I204" s="40" t="s">
        <v>229</v>
      </c>
      <c r="J204" s="157" t="s">
        <v>280</v>
      </c>
      <c r="K204" s="36">
        <v>45</v>
      </c>
      <c r="L204" s="36" t="s">
        <v>230</v>
      </c>
      <c r="M204" s="36" t="s">
        <v>231</v>
      </c>
      <c r="N204" s="36" t="s">
        <v>334</v>
      </c>
      <c r="O204" s="36" t="s">
        <v>342</v>
      </c>
      <c r="P204" s="36" t="s">
        <v>315</v>
      </c>
      <c r="Q204" s="36" t="s">
        <v>341</v>
      </c>
      <c r="R204" s="155" t="s">
        <v>342</v>
      </c>
      <c r="S204" s="156" t="s">
        <v>283</v>
      </c>
    </row>
    <row r="205" spans="1:19" ht="12">
      <c r="A205" s="145">
        <v>0.625</v>
      </c>
      <c r="B205" s="146" t="s">
        <v>276</v>
      </c>
      <c r="C205" s="147" t="s">
        <v>246</v>
      </c>
      <c r="D205" s="36" t="s">
        <v>277</v>
      </c>
      <c r="E205" s="36" t="s">
        <v>278</v>
      </c>
      <c r="F205" s="40" t="s">
        <v>258</v>
      </c>
      <c r="G205" s="40" t="s">
        <v>279</v>
      </c>
      <c r="H205" s="40" t="s">
        <v>228</v>
      </c>
      <c r="I205" s="40" t="s">
        <v>229</v>
      </c>
      <c r="J205" s="157" t="s">
        <v>280</v>
      </c>
      <c r="K205" s="36">
        <v>45</v>
      </c>
      <c r="L205" s="36" t="s">
        <v>230</v>
      </c>
      <c r="M205" s="36" t="s">
        <v>231</v>
      </c>
      <c r="N205" s="36" t="s">
        <v>335</v>
      </c>
      <c r="O205" s="36" t="s">
        <v>342</v>
      </c>
      <c r="P205" s="36" t="s">
        <v>315</v>
      </c>
      <c r="Q205" s="36" t="s">
        <v>341</v>
      </c>
      <c r="R205" s="155" t="s">
        <v>342</v>
      </c>
      <c r="S205" s="156" t="s">
        <v>283</v>
      </c>
    </row>
    <row r="206" spans="1:19" ht="12">
      <c r="A206" s="145">
        <v>0.625</v>
      </c>
      <c r="B206" s="146" t="s">
        <v>276</v>
      </c>
      <c r="C206" s="147" t="s">
        <v>248</v>
      </c>
      <c r="D206" s="36" t="s">
        <v>277</v>
      </c>
      <c r="E206" s="36" t="s">
        <v>278</v>
      </c>
      <c r="F206" s="40" t="s">
        <v>258</v>
      </c>
      <c r="G206" s="40" t="s">
        <v>279</v>
      </c>
      <c r="H206" s="40" t="s">
        <v>228</v>
      </c>
      <c r="I206" s="40" t="s">
        <v>229</v>
      </c>
      <c r="J206" s="157" t="s">
        <v>280</v>
      </c>
      <c r="K206" s="36">
        <v>45</v>
      </c>
      <c r="L206" s="36" t="s">
        <v>230</v>
      </c>
      <c r="M206" s="36" t="s">
        <v>231</v>
      </c>
      <c r="N206" s="36" t="s">
        <v>336</v>
      </c>
      <c r="O206" s="36" t="s">
        <v>342</v>
      </c>
      <c r="P206" s="36" t="s">
        <v>315</v>
      </c>
      <c r="Q206" s="36" t="s">
        <v>341</v>
      </c>
      <c r="R206" s="155" t="s">
        <v>342</v>
      </c>
      <c r="S206" s="156" t="s">
        <v>283</v>
      </c>
    </row>
    <row r="207" spans="1:19" ht="12">
      <c r="A207" s="145">
        <v>0.625</v>
      </c>
      <c r="B207" s="146" t="s">
        <v>276</v>
      </c>
      <c r="C207" s="147" t="s">
        <v>250</v>
      </c>
      <c r="D207" s="36" t="s">
        <v>277</v>
      </c>
      <c r="E207" s="36" t="s">
        <v>278</v>
      </c>
      <c r="F207" s="40" t="s">
        <v>258</v>
      </c>
      <c r="G207" s="40" t="s">
        <v>279</v>
      </c>
      <c r="H207" s="40" t="s">
        <v>228</v>
      </c>
      <c r="I207" s="40" t="s">
        <v>229</v>
      </c>
      <c r="J207" s="157" t="s">
        <v>280</v>
      </c>
      <c r="K207" s="36">
        <v>45</v>
      </c>
      <c r="L207" s="36" t="s">
        <v>230</v>
      </c>
      <c r="M207" s="36" t="s">
        <v>231</v>
      </c>
      <c r="N207" s="158" t="s">
        <v>337</v>
      </c>
      <c r="O207" s="36" t="s">
        <v>342</v>
      </c>
      <c r="P207" s="36" t="s">
        <v>315</v>
      </c>
      <c r="Q207" s="36" t="s">
        <v>341</v>
      </c>
      <c r="R207" s="155" t="s">
        <v>342</v>
      </c>
      <c r="S207" s="156" t="s">
        <v>283</v>
      </c>
    </row>
    <row r="208" spans="1:19" ht="12">
      <c r="A208" s="145">
        <v>0.625</v>
      </c>
      <c r="B208" s="146" t="s">
        <v>276</v>
      </c>
      <c r="C208" s="147" t="s">
        <v>252</v>
      </c>
      <c r="D208" s="36" t="s">
        <v>277</v>
      </c>
      <c r="E208" s="36" t="s">
        <v>278</v>
      </c>
      <c r="F208" s="40" t="s">
        <v>258</v>
      </c>
      <c r="G208" s="40" t="s">
        <v>279</v>
      </c>
      <c r="H208" s="40" t="s">
        <v>228</v>
      </c>
      <c r="I208" s="40" t="s">
        <v>229</v>
      </c>
      <c r="J208" s="157" t="s">
        <v>280</v>
      </c>
      <c r="K208" s="36">
        <v>45</v>
      </c>
      <c r="L208" s="36" t="s">
        <v>230</v>
      </c>
      <c r="M208" s="36" t="s">
        <v>231</v>
      </c>
      <c r="N208" s="158" t="s">
        <v>338</v>
      </c>
      <c r="O208" s="36" t="s">
        <v>342</v>
      </c>
      <c r="P208" s="36" t="s">
        <v>315</v>
      </c>
      <c r="Q208" s="36" t="s">
        <v>341</v>
      </c>
      <c r="R208" s="155" t="s">
        <v>342</v>
      </c>
      <c r="S208" s="156" t="s">
        <v>283</v>
      </c>
    </row>
    <row r="209" spans="1:19" ht="12">
      <c r="A209" s="145">
        <v>0.625</v>
      </c>
      <c r="B209" s="146" t="s">
        <v>276</v>
      </c>
      <c r="C209" s="147" t="s">
        <v>253</v>
      </c>
      <c r="D209" s="36" t="s">
        <v>277</v>
      </c>
      <c r="E209" s="36" t="s">
        <v>278</v>
      </c>
      <c r="F209" s="40" t="s">
        <v>258</v>
      </c>
      <c r="G209" s="40" t="s">
        <v>279</v>
      </c>
      <c r="H209" s="40" t="s">
        <v>228</v>
      </c>
      <c r="I209" s="40" t="s">
        <v>229</v>
      </c>
      <c r="J209" s="157" t="s">
        <v>280</v>
      </c>
      <c r="K209" s="36">
        <v>45</v>
      </c>
      <c r="L209" s="36" t="s">
        <v>230</v>
      </c>
      <c r="M209" s="36" t="s">
        <v>231</v>
      </c>
      <c r="N209" s="36" t="s">
        <v>339</v>
      </c>
      <c r="O209" s="36" t="s">
        <v>342</v>
      </c>
      <c r="P209" s="36" t="s">
        <v>315</v>
      </c>
      <c r="Q209" s="36" t="s">
        <v>341</v>
      </c>
      <c r="R209" s="155" t="s">
        <v>342</v>
      </c>
      <c r="S209" s="156" t="s">
        <v>283</v>
      </c>
    </row>
    <row r="210" spans="1:19" ht="12">
      <c r="A210" s="145">
        <v>0.625</v>
      </c>
      <c r="B210" s="146" t="s">
        <v>276</v>
      </c>
      <c r="C210" s="147" t="s">
        <v>255</v>
      </c>
      <c r="D210" s="36" t="s">
        <v>277</v>
      </c>
      <c r="E210" s="36" t="s">
        <v>278</v>
      </c>
      <c r="F210" s="40" t="s">
        <v>258</v>
      </c>
      <c r="G210" s="40" t="s">
        <v>279</v>
      </c>
      <c r="H210" s="40" t="s">
        <v>228</v>
      </c>
      <c r="I210" s="40" t="s">
        <v>229</v>
      </c>
      <c r="J210" s="157" t="s">
        <v>280</v>
      </c>
      <c r="K210" s="36">
        <v>45</v>
      </c>
      <c r="L210" s="36" t="s">
        <v>230</v>
      </c>
      <c r="M210" s="36" t="s">
        <v>231</v>
      </c>
      <c r="N210" s="36" t="s">
        <v>340</v>
      </c>
      <c r="O210" s="36" t="s">
        <v>342</v>
      </c>
      <c r="P210" s="36" t="s">
        <v>315</v>
      </c>
      <c r="Q210" s="36" t="s">
        <v>341</v>
      </c>
      <c r="R210" s="155" t="s">
        <v>342</v>
      </c>
      <c r="S210" s="156" t="s">
        <v>283</v>
      </c>
    </row>
    <row r="211" spans="1:19" ht="12">
      <c r="A211" s="145">
        <v>0.625</v>
      </c>
      <c r="B211" s="146" t="s">
        <v>222</v>
      </c>
      <c r="C211" s="147" t="s">
        <v>234</v>
      </c>
      <c r="D211" s="36" t="s">
        <v>277</v>
      </c>
      <c r="E211" s="36" t="s">
        <v>278</v>
      </c>
      <c r="F211" s="40" t="s">
        <v>284</v>
      </c>
      <c r="G211" s="40" t="s">
        <v>227</v>
      </c>
      <c r="H211" s="40" t="s">
        <v>228</v>
      </c>
      <c r="I211" s="40" t="s">
        <v>229</v>
      </c>
      <c r="J211" s="157" t="s">
        <v>280</v>
      </c>
      <c r="K211" s="36">
        <v>45</v>
      </c>
      <c r="L211" s="36" t="s">
        <v>230</v>
      </c>
      <c r="M211" s="36" t="s">
        <v>231</v>
      </c>
      <c r="N211" s="154">
        <v>14.67</v>
      </c>
      <c r="O211" s="36" t="s">
        <v>342</v>
      </c>
      <c r="P211" s="36" t="s">
        <v>315</v>
      </c>
      <c r="Q211" s="36" t="s">
        <v>341</v>
      </c>
      <c r="R211" s="155" t="s">
        <v>342</v>
      </c>
      <c r="S211" s="156" t="s">
        <v>285</v>
      </c>
    </row>
    <row r="212" spans="1:19" ht="12">
      <c r="A212" s="145">
        <v>0.625</v>
      </c>
      <c r="B212" s="146" t="s">
        <v>222</v>
      </c>
      <c r="C212" s="147" t="s">
        <v>243</v>
      </c>
      <c r="D212" s="36" t="s">
        <v>277</v>
      </c>
      <c r="E212" s="36" t="s">
        <v>278</v>
      </c>
      <c r="F212" s="40" t="s">
        <v>284</v>
      </c>
      <c r="G212" s="40" t="s">
        <v>227</v>
      </c>
      <c r="H212" s="40" t="s">
        <v>228</v>
      </c>
      <c r="I212" s="40" t="s">
        <v>229</v>
      </c>
      <c r="J212" s="157" t="s">
        <v>280</v>
      </c>
      <c r="K212" s="36">
        <v>45</v>
      </c>
      <c r="L212" s="36" t="s">
        <v>230</v>
      </c>
      <c r="M212" s="36" t="s">
        <v>231</v>
      </c>
      <c r="N212" s="154">
        <v>12.3</v>
      </c>
      <c r="O212" s="36" t="s">
        <v>342</v>
      </c>
      <c r="P212" s="36" t="s">
        <v>315</v>
      </c>
      <c r="Q212" s="36" t="s">
        <v>341</v>
      </c>
      <c r="R212" s="155" t="s">
        <v>342</v>
      </c>
      <c r="S212" s="156" t="s">
        <v>285</v>
      </c>
    </row>
    <row r="213" spans="1:19" ht="12">
      <c r="A213" s="145">
        <v>0.625</v>
      </c>
      <c r="B213" s="146" t="s">
        <v>222</v>
      </c>
      <c r="C213" s="147" t="s">
        <v>244</v>
      </c>
      <c r="D213" s="36" t="s">
        <v>277</v>
      </c>
      <c r="E213" s="36" t="s">
        <v>278</v>
      </c>
      <c r="F213" s="40" t="s">
        <v>284</v>
      </c>
      <c r="G213" s="40" t="s">
        <v>227</v>
      </c>
      <c r="H213" s="40" t="s">
        <v>228</v>
      </c>
      <c r="I213" s="40" t="s">
        <v>229</v>
      </c>
      <c r="J213" s="157" t="s">
        <v>280</v>
      </c>
      <c r="K213" s="36">
        <v>45</v>
      </c>
      <c r="L213" s="36" t="s">
        <v>230</v>
      </c>
      <c r="M213" s="36" t="s">
        <v>231</v>
      </c>
      <c r="N213" s="154" t="s">
        <v>334</v>
      </c>
      <c r="O213" s="36" t="s">
        <v>342</v>
      </c>
      <c r="P213" s="36" t="s">
        <v>315</v>
      </c>
      <c r="Q213" s="36" t="s">
        <v>341</v>
      </c>
      <c r="R213" s="155" t="s">
        <v>342</v>
      </c>
      <c r="S213" s="156" t="s">
        <v>285</v>
      </c>
    </row>
    <row r="214" spans="1:19" ht="12">
      <c r="A214" s="145">
        <v>0.625</v>
      </c>
      <c r="B214" s="146" t="s">
        <v>222</v>
      </c>
      <c r="C214" s="147" t="s">
        <v>246</v>
      </c>
      <c r="D214" s="36" t="s">
        <v>277</v>
      </c>
      <c r="E214" s="36" t="s">
        <v>278</v>
      </c>
      <c r="F214" s="40" t="s">
        <v>284</v>
      </c>
      <c r="G214" s="40" t="s">
        <v>227</v>
      </c>
      <c r="H214" s="40" t="s">
        <v>228</v>
      </c>
      <c r="I214" s="40" t="s">
        <v>229</v>
      </c>
      <c r="J214" s="157" t="s">
        <v>280</v>
      </c>
      <c r="K214" s="36">
        <v>45</v>
      </c>
      <c r="L214" s="36" t="s">
        <v>230</v>
      </c>
      <c r="M214" s="36" t="s">
        <v>231</v>
      </c>
      <c r="N214" s="154" t="s">
        <v>335</v>
      </c>
      <c r="O214" s="36" t="s">
        <v>342</v>
      </c>
      <c r="P214" s="36" t="s">
        <v>315</v>
      </c>
      <c r="Q214" s="36" t="s">
        <v>341</v>
      </c>
      <c r="R214" s="155" t="s">
        <v>342</v>
      </c>
      <c r="S214" s="156" t="s">
        <v>285</v>
      </c>
    </row>
    <row r="215" spans="1:19" ht="12">
      <c r="A215" s="145">
        <v>0.625</v>
      </c>
      <c r="B215" s="146" t="s">
        <v>222</v>
      </c>
      <c r="C215" s="147" t="s">
        <v>248</v>
      </c>
      <c r="D215" s="36" t="s">
        <v>277</v>
      </c>
      <c r="E215" s="36" t="s">
        <v>278</v>
      </c>
      <c r="F215" s="40" t="s">
        <v>284</v>
      </c>
      <c r="G215" s="40" t="s">
        <v>227</v>
      </c>
      <c r="H215" s="40" t="s">
        <v>228</v>
      </c>
      <c r="I215" s="40" t="s">
        <v>229</v>
      </c>
      <c r="J215" s="157" t="s">
        <v>280</v>
      </c>
      <c r="K215" s="36">
        <v>45</v>
      </c>
      <c r="L215" s="36" t="s">
        <v>230</v>
      </c>
      <c r="M215" s="36" t="s">
        <v>231</v>
      </c>
      <c r="N215" s="154" t="s">
        <v>336</v>
      </c>
      <c r="O215" s="36" t="s">
        <v>342</v>
      </c>
      <c r="P215" s="36" t="s">
        <v>315</v>
      </c>
      <c r="Q215" s="36" t="s">
        <v>341</v>
      </c>
      <c r="R215" s="155" t="s">
        <v>342</v>
      </c>
      <c r="S215" s="156" t="s">
        <v>285</v>
      </c>
    </row>
    <row r="216" spans="1:19" ht="12">
      <c r="A216" s="145">
        <v>0.625</v>
      </c>
      <c r="B216" s="146" t="s">
        <v>222</v>
      </c>
      <c r="C216" s="147" t="s">
        <v>250</v>
      </c>
      <c r="D216" s="36" t="s">
        <v>277</v>
      </c>
      <c r="E216" s="36" t="s">
        <v>278</v>
      </c>
      <c r="F216" s="40" t="s">
        <v>284</v>
      </c>
      <c r="G216" s="40" t="s">
        <v>227</v>
      </c>
      <c r="H216" s="40" t="s">
        <v>228</v>
      </c>
      <c r="I216" s="40" t="s">
        <v>229</v>
      </c>
      <c r="J216" s="157" t="s">
        <v>280</v>
      </c>
      <c r="K216" s="36">
        <v>45</v>
      </c>
      <c r="L216" s="36" t="s">
        <v>230</v>
      </c>
      <c r="M216" s="36" t="s">
        <v>231</v>
      </c>
      <c r="N216" s="154" t="s">
        <v>337</v>
      </c>
      <c r="O216" s="36" t="s">
        <v>342</v>
      </c>
      <c r="P216" s="36" t="s">
        <v>315</v>
      </c>
      <c r="Q216" s="36" t="s">
        <v>341</v>
      </c>
      <c r="R216" s="155" t="s">
        <v>342</v>
      </c>
      <c r="S216" s="156" t="s">
        <v>285</v>
      </c>
    </row>
    <row r="217" spans="1:19" ht="12">
      <c r="A217" s="145">
        <v>0.625</v>
      </c>
      <c r="B217" s="146" t="s">
        <v>222</v>
      </c>
      <c r="C217" s="147" t="s">
        <v>252</v>
      </c>
      <c r="D217" s="36" t="s">
        <v>277</v>
      </c>
      <c r="E217" s="36" t="s">
        <v>278</v>
      </c>
      <c r="F217" s="40" t="s">
        <v>284</v>
      </c>
      <c r="G217" s="40" t="s">
        <v>227</v>
      </c>
      <c r="H217" s="40" t="s">
        <v>228</v>
      </c>
      <c r="I217" s="40" t="s">
        <v>229</v>
      </c>
      <c r="J217" s="157" t="s">
        <v>280</v>
      </c>
      <c r="K217" s="36">
        <v>45</v>
      </c>
      <c r="L217" s="36" t="s">
        <v>230</v>
      </c>
      <c r="M217" s="36" t="s">
        <v>231</v>
      </c>
      <c r="N217" s="154" t="s">
        <v>338</v>
      </c>
      <c r="O217" s="36" t="s">
        <v>342</v>
      </c>
      <c r="P217" s="36" t="s">
        <v>315</v>
      </c>
      <c r="Q217" s="36" t="s">
        <v>341</v>
      </c>
      <c r="R217" s="155" t="s">
        <v>342</v>
      </c>
      <c r="S217" s="156" t="s">
        <v>285</v>
      </c>
    </row>
    <row r="218" spans="1:19" ht="12">
      <c r="A218" s="145">
        <v>0.625</v>
      </c>
      <c r="B218" s="146" t="s">
        <v>222</v>
      </c>
      <c r="C218" s="147" t="s">
        <v>253</v>
      </c>
      <c r="D218" s="36" t="s">
        <v>277</v>
      </c>
      <c r="E218" s="36" t="s">
        <v>278</v>
      </c>
      <c r="F218" s="40" t="s">
        <v>284</v>
      </c>
      <c r="G218" s="40" t="s">
        <v>227</v>
      </c>
      <c r="H218" s="40" t="s">
        <v>228</v>
      </c>
      <c r="I218" s="40" t="s">
        <v>229</v>
      </c>
      <c r="J218" s="157" t="s">
        <v>280</v>
      </c>
      <c r="K218" s="36">
        <v>45</v>
      </c>
      <c r="L218" s="36" t="s">
        <v>230</v>
      </c>
      <c r="M218" s="36" t="s">
        <v>231</v>
      </c>
      <c r="N218" s="154" t="s">
        <v>339</v>
      </c>
      <c r="O218" s="36" t="s">
        <v>342</v>
      </c>
      <c r="P218" s="36" t="s">
        <v>315</v>
      </c>
      <c r="Q218" s="36" t="s">
        <v>341</v>
      </c>
      <c r="R218" s="155" t="s">
        <v>342</v>
      </c>
      <c r="S218" s="156" t="s">
        <v>285</v>
      </c>
    </row>
    <row r="219" spans="1:19" ht="12">
      <c r="A219" s="145">
        <v>0.625</v>
      </c>
      <c r="B219" s="146" t="s">
        <v>222</v>
      </c>
      <c r="C219" s="147" t="s">
        <v>255</v>
      </c>
      <c r="D219" s="36" t="s">
        <v>277</v>
      </c>
      <c r="E219" s="36" t="s">
        <v>278</v>
      </c>
      <c r="F219" s="40" t="s">
        <v>284</v>
      </c>
      <c r="G219" s="40" t="s">
        <v>227</v>
      </c>
      <c r="H219" s="40" t="s">
        <v>228</v>
      </c>
      <c r="I219" s="40" t="s">
        <v>229</v>
      </c>
      <c r="J219" s="157" t="s">
        <v>280</v>
      </c>
      <c r="K219" s="36">
        <v>45</v>
      </c>
      <c r="L219" s="36" t="s">
        <v>230</v>
      </c>
      <c r="M219" s="36" t="s">
        <v>231</v>
      </c>
      <c r="N219" s="154" t="s">
        <v>340</v>
      </c>
      <c r="O219" s="36" t="s">
        <v>342</v>
      </c>
      <c r="P219" s="36" t="s">
        <v>315</v>
      </c>
      <c r="Q219" s="36" t="s">
        <v>341</v>
      </c>
      <c r="R219" s="155" t="s">
        <v>342</v>
      </c>
      <c r="S219" s="156" t="s">
        <v>285</v>
      </c>
    </row>
    <row r="220" spans="1:19" ht="12">
      <c r="A220" s="145">
        <v>0.625</v>
      </c>
      <c r="B220" s="146" t="s">
        <v>286</v>
      </c>
      <c r="C220" s="147" t="s">
        <v>234</v>
      </c>
      <c r="D220" s="40" t="s">
        <v>258</v>
      </c>
      <c r="E220" s="40" t="s">
        <v>279</v>
      </c>
      <c r="F220" s="36" t="s">
        <v>287</v>
      </c>
      <c r="G220" s="36" t="s">
        <v>288</v>
      </c>
      <c r="H220" s="36" t="s">
        <v>289</v>
      </c>
      <c r="I220" s="36" t="s">
        <v>290</v>
      </c>
      <c r="J220" s="36">
        <v>18</v>
      </c>
      <c r="K220" s="36">
        <v>40</v>
      </c>
      <c r="L220" s="36" t="s">
        <v>291</v>
      </c>
      <c r="M220" s="36" t="s">
        <v>231</v>
      </c>
      <c r="N220" s="154">
        <v>14.67</v>
      </c>
      <c r="O220" s="36" t="s">
        <v>231</v>
      </c>
      <c r="P220" s="36" t="s">
        <v>231</v>
      </c>
      <c r="Q220" s="36" t="s">
        <v>341</v>
      </c>
      <c r="R220" s="155" t="s">
        <v>342</v>
      </c>
      <c r="S220" s="156" t="s">
        <v>292</v>
      </c>
    </row>
    <row r="221" spans="1:19" ht="12">
      <c r="A221" s="145">
        <v>0.625</v>
      </c>
      <c r="B221" s="146" t="s">
        <v>286</v>
      </c>
      <c r="C221" s="147" t="s">
        <v>243</v>
      </c>
      <c r="D221" s="40" t="s">
        <v>258</v>
      </c>
      <c r="E221" s="40" t="s">
        <v>279</v>
      </c>
      <c r="F221" s="36" t="s">
        <v>287</v>
      </c>
      <c r="G221" s="36" t="s">
        <v>288</v>
      </c>
      <c r="H221" s="36" t="s">
        <v>289</v>
      </c>
      <c r="I221" s="36" t="s">
        <v>290</v>
      </c>
      <c r="J221" s="36">
        <v>18</v>
      </c>
      <c r="K221" s="36">
        <v>40</v>
      </c>
      <c r="L221" s="36" t="s">
        <v>291</v>
      </c>
      <c r="M221" s="36" t="s">
        <v>231</v>
      </c>
      <c r="N221" s="154">
        <v>12.3</v>
      </c>
      <c r="O221" s="36" t="s">
        <v>231</v>
      </c>
      <c r="P221" s="36" t="s">
        <v>231</v>
      </c>
      <c r="Q221" s="36" t="s">
        <v>341</v>
      </c>
      <c r="R221" s="155" t="s">
        <v>342</v>
      </c>
      <c r="S221" s="156" t="s">
        <v>292</v>
      </c>
    </row>
    <row r="222" spans="1:19" ht="12">
      <c r="A222" s="145">
        <v>0.625</v>
      </c>
      <c r="B222" s="146" t="s">
        <v>286</v>
      </c>
      <c r="C222" s="147" t="s">
        <v>244</v>
      </c>
      <c r="D222" s="40" t="s">
        <v>258</v>
      </c>
      <c r="E222" s="40" t="s">
        <v>279</v>
      </c>
      <c r="F222" s="36" t="s">
        <v>287</v>
      </c>
      <c r="G222" s="36" t="s">
        <v>288</v>
      </c>
      <c r="H222" s="36" t="s">
        <v>289</v>
      </c>
      <c r="I222" s="36" t="s">
        <v>290</v>
      </c>
      <c r="J222" s="36">
        <v>18</v>
      </c>
      <c r="K222" s="36">
        <v>40</v>
      </c>
      <c r="L222" s="36" t="s">
        <v>291</v>
      </c>
      <c r="M222" s="36" t="s">
        <v>231</v>
      </c>
      <c r="N222" s="154" t="s">
        <v>334</v>
      </c>
      <c r="O222" s="36" t="s">
        <v>231</v>
      </c>
      <c r="P222" s="36" t="s">
        <v>231</v>
      </c>
      <c r="Q222" s="36" t="s">
        <v>341</v>
      </c>
      <c r="R222" s="155" t="s">
        <v>342</v>
      </c>
      <c r="S222" s="156" t="s">
        <v>292</v>
      </c>
    </row>
    <row r="223" spans="1:19" ht="12">
      <c r="A223" s="145">
        <v>0.625</v>
      </c>
      <c r="B223" s="146" t="s">
        <v>286</v>
      </c>
      <c r="C223" s="147" t="s">
        <v>246</v>
      </c>
      <c r="D223" s="40" t="s">
        <v>258</v>
      </c>
      <c r="E223" s="40" t="s">
        <v>279</v>
      </c>
      <c r="F223" s="36" t="s">
        <v>287</v>
      </c>
      <c r="G223" s="36" t="s">
        <v>288</v>
      </c>
      <c r="H223" s="36" t="s">
        <v>289</v>
      </c>
      <c r="I223" s="36" t="s">
        <v>290</v>
      </c>
      <c r="J223" s="36">
        <v>18</v>
      </c>
      <c r="K223" s="36">
        <v>40</v>
      </c>
      <c r="L223" s="36" t="s">
        <v>291</v>
      </c>
      <c r="M223" s="36" t="s">
        <v>231</v>
      </c>
      <c r="N223" s="154" t="s">
        <v>335</v>
      </c>
      <c r="O223" s="36" t="s">
        <v>231</v>
      </c>
      <c r="P223" s="36" t="s">
        <v>231</v>
      </c>
      <c r="Q223" s="36" t="s">
        <v>341</v>
      </c>
      <c r="R223" s="155" t="s">
        <v>342</v>
      </c>
      <c r="S223" s="156" t="s">
        <v>292</v>
      </c>
    </row>
    <row r="224" spans="1:19" ht="12">
      <c r="A224" s="145">
        <v>0.625</v>
      </c>
      <c r="B224" s="146" t="s">
        <v>286</v>
      </c>
      <c r="C224" s="147" t="s">
        <v>248</v>
      </c>
      <c r="D224" s="40" t="s">
        <v>258</v>
      </c>
      <c r="E224" s="40" t="s">
        <v>279</v>
      </c>
      <c r="F224" s="36" t="s">
        <v>287</v>
      </c>
      <c r="G224" s="36" t="s">
        <v>288</v>
      </c>
      <c r="H224" s="36" t="s">
        <v>289</v>
      </c>
      <c r="I224" s="36" t="s">
        <v>290</v>
      </c>
      <c r="J224" s="36">
        <v>18</v>
      </c>
      <c r="K224" s="36">
        <v>40</v>
      </c>
      <c r="L224" s="36" t="s">
        <v>291</v>
      </c>
      <c r="M224" s="36" t="s">
        <v>231</v>
      </c>
      <c r="N224" s="154" t="s">
        <v>336</v>
      </c>
      <c r="O224" s="36" t="s">
        <v>231</v>
      </c>
      <c r="P224" s="36" t="s">
        <v>231</v>
      </c>
      <c r="Q224" s="36" t="s">
        <v>341</v>
      </c>
      <c r="R224" s="155" t="s">
        <v>342</v>
      </c>
      <c r="S224" s="156" t="s">
        <v>292</v>
      </c>
    </row>
    <row r="225" spans="1:19" ht="12">
      <c r="A225" s="145">
        <v>0.625</v>
      </c>
      <c r="B225" s="146" t="s">
        <v>286</v>
      </c>
      <c r="C225" s="147" t="s">
        <v>250</v>
      </c>
      <c r="D225" s="40" t="s">
        <v>258</v>
      </c>
      <c r="E225" s="40" t="s">
        <v>279</v>
      </c>
      <c r="F225" s="36" t="s">
        <v>287</v>
      </c>
      <c r="G225" s="36" t="s">
        <v>288</v>
      </c>
      <c r="H225" s="36" t="s">
        <v>289</v>
      </c>
      <c r="I225" s="36" t="s">
        <v>290</v>
      </c>
      <c r="J225" s="36">
        <v>18</v>
      </c>
      <c r="K225" s="36">
        <v>40</v>
      </c>
      <c r="L225" s="36" t="s">
        <v>291</v>
      </c>
      <c r="M225" s="36" t="s">
        <v>231</v>
      </c>
      <c r="N225" s="154" t="s">
        <v>337</v>
      </c>
      <c r="O225" s="36" t="s">
        <v>231</v>
      </c>
      <c r="P225" s="36" t="s">
        <v>231</v>
      </c>
      <c r="Q225" s="36" t="s">
        <v>341</v>
      </c>
      <c r="R225" s="155" t="s">
        <v>342</v>
      </c>
      <c r="S225" s="156" t="s">
        <v>292</v>
      </c>
    </row>
    <row r="226" spans="1:19" ht="12">
      <c r="A226" s="145">
        <v>0.625</v>
      </c>
      <c r="B226" s="146" t="s">
        <v>286</v>
      </c>
      <c r="C226" s="147" t="s">
        <v>252</v>
      </c>
      <c r="D226" s="40" t="s">
        <v>258</v>
      </c>
      <c r="E226" s="40" t="s">
        <v>279</v>
      </c>
      <c r="F226" s="36" t="s">
        <v>287</v>
      </c>
      <c r="G226" s="36" t="s">
        <v>288</v>
      </c>
      <c r="H226" s="36" t="s">
        <v>289</v>
      </c>
      <c r="I226" s="36" t="s">
        <v>290</v>
      </c>
      <c r="J226" s="36">
        <v>18</v>
      </c>
      <c r="K226" s="36">
        <v>40</v>
      </c>
      <c r="L226" s="36" t="s">
        <v>291</v>
      </c>
      <c r="M226" s="36" t="s">
        <v>231</v>
      </c>
      <c r="N226" s="154" t="s">
        <v>338</v>
      </c>
      <c r="O226" s="36" t="s">
        <v>231</v>
      </c>
      <c r="P226" s="36" t="s">
        <v>231</v>
      </c>
      <c r="Q226" s="36" t="s">
        <v>341</v>
      </c>
      <c r="R226" s="155" t="s">
        <v>342</v>
      </c>
      <c r="S226" s="156" t="s">
        <v>292</v>
      </c>
    </row>
    <row r="227" spans="1:19" ht="12">
      <c r="A227" s="145">
        <v>0.625</v>
      </c>
      <c r="B227" s="146" t="s">
        <v>286</v>
      </c>
      <c r="C227" s="147" t="s">
        <v>253</v>
      </c>
      <c r="D227" s="40" t="s">
        <v>258</v>
      </c>
      <c r="E227" s="40" t="s">
        <v>279</v>
      </c>
      <c r="F227" s="36" t="s">
        <v>287</v>
      </c>
      <c r="G227" s="36" t="s">
        <v>288</v>
      </c>
      <c r="H227" s="36" t="s">
        <v>289</v>
      </c>
      <c r="I227" s="36" t="s">
        <v>290</v>
      </c>
      <c r="J227" s="36">
        <v>18</v>
      </c>
      <c r="K227" s="36">
        <v>40</v>
      </c>
      <c r="L227" s="36" t="s">
        <v>291</v>
      </c>
      <c r="M227" s="36" t="s">
        <v>231</v>
      </c>
      <c r="N227" s="154" t="s">
        <v>339</v>
      </c>
      <c r="O227" s="36" t="s">
        <v>231</v>
      </c>
      <c r="P227" s="36" t="s">
        <v>231</v>
      </c>
      <c r="Q227" s="36" t="s">
        <v>341</v>
      </c>
      <c r="R227" s="155" t="s">
        <v>342</v>
      </c>
      <c r="S227" s="156" t="s">
        <v>292</v>
      </c>
    </row>
    <row r="228" spans="1:19" ht="12.75" thickBot="1">
      <c r="A228" s="159">
        <v>0.625</v>
      </c>
      <c r="B228" s="160" t="s">
        <v>286</v>
      </c>
      <c r="C228" s="161" t="s">
        <v>255</v>
      </c>
      <c r="D228" s="40" t="s">
        <v>258</v>
      </c>
      <c r="E228" s="40" t="s">
        <v>279</v>
      </c>
      <c r="F228" s="36" t="s">
        <v>287</v>
      </c>
      <c r="G228" s="36" t="s">
        <v>288</v>
      </c>
      <c r="H228" s="162" t="s">
        <v>289</v>
      </c>
      <c r="I228" s="162" t="s">
        <v>290</v>
      </c>
      <c r="J228" s="36">
        <v>18</v>
      </c>
      <c r="K228" s="36">
        <v>40</v>
      </c>
      <c r="L228" s="36" t="s">
        <v>291</v>
      </c>
      <c r="M228" s="162" t="s">
        <v>231</v>
      </c>
      <c r="N228" s="163" t="s">
        <v>340</v>
      </c>
      <c r="O228" s="36" t="s">
        <v>231</v>
      </c>
      <c r="P228" s="36" t="s">
        <v>231</v>
      </c>
      <c r="Q228" s="36" t="s">
        <v>341</v>
      </c>
      <c r="R228" s="155" t="s">
        <v>342</v>
      </c>
      <c r="S228" s="156" t="s">
        <v>292</v>
      </c>
    </row>
    <row r="229" ht="12.75" thickTop="1"/>
  </sheetData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66"/>
  <sheetViews>
    <sheetView zoomScalePageLayoutView="0" workbookViewId="0" topLeftCell="A25">
      <selection activeCell="Q16" sqref="Q16"/>
    </sheetView>
  </sheetViews>
  <sheetFormatPr defaultColWidth="11.421875" defaultRowHeight="12"/>
  <cols>
    <col min="1" max="1" width="4.00390625" style="0" customWidth="1"/>
    <col min="7" max="7" width="5.7109375" style="0" customWidth="1"/>
    <col min="8" max="8" width="7.140625" style="0" customWidth="1"/>
    <col min="9" max="9" width="3.421875" style="0" customWidth="1"/>
    <col min="10" max="10" width="7.140625" style="0" customWidth="1"/>
    <col min="11" max="11" width="4.8515625" style="0" customWidth="1"/>
    <col min="12" max="33" width="11.421875" style="0" customWidth="1"/>
  </cols>
  <sheetData>
    <row r="1" spans="1:33" ht="12.75" thickTop="1">
      <c r="A1" s="166"/>
      <c r="B1" s="167"/>
      <c r="C1" s="167"/>
      <c r="D1" s="167"/>
      <c r="E1" s="167"/>
      <c r="F1" s="167"/>
      <c r="G1" s="167"/>
      <c r="H1" s="167"/>
      <c r="I1" s="167"/>
      <c r="J1" s="167"/>
      <c r="K1" s="168"/>
      <c r="L1" s="169"/>
      <c r="M1" s="169"/>
      <c r="N1" s="169"/>
      <c r="O1" s="170"/>
      <c r="P1" s="171"/>
      <c r="Q1" s="171"/>
      <c r="R1" s="171"/>
      <c r="S1" s="171"/>
      <c r="T1" s="171"/>
      <c r="U1" s="171"/>
      <c r="V1" s="172"/>
      <c r="W1" s="169"/>
      <c r="X1" s="170"/>
      <c r="Y1" s="171"/>
      <c r="Z1" s="171"/>
      <c r="AA1" s="171"/>
      <c r="AB1" s="171"/>
      <c r="AC1" s="171"/>
      <c r="AD1" s="171"/>
      <c r="AE1" s="172"/>
      <c r="AF1" s="169"/>
      <c r="AG1" s="169"/>
    </row>
    <row r="2" spans="1:33" ht="23.25">
      <c r="A2" s="173"/>
      <c r="B2" s="174" t="s">
        <v>350</v>
      </c>
      <c r="C2" s="175"/>
      <c r="D2" s="175"/>
      <c r="E2" s="175"/>
      <c r="F2" s="175"/>
      <c r="G2" s="175"/>
      <c r="H2" s="175"/>
      <c r="I2" s="175"/>
      <c r="J2" s="175"/>
      <c r="K2" s="176"/>
      <c r="L2" s="169"/>
      <c r="M2" s="169"/>
      <c r="N2" s="169"/>
      <c r="O2" s="177"/>
      <c r="P2" s="178"/>
      <c r="Q2" s="178"/>
      <c r="R2" s="179" t="s">
        <v>351</v>
      </c>
      <c r="S2" s="178"/>
      <c r="T2" s="178"/>
      <c r="U2" s="178"/>
      <c r="V2" s="180"/>
      <c r="W2" s="169"/>
      <c r="X2" s="177"/>
      <c r="Y2" s="178"/>
      <c r="Z2" s="178"/>
      <c r="AA2" s="179" t="s">
        <v>351</v>
      </c>
      <c r="AB2" s="178"/>
      <c r="AC2" s="178"/>
      <c r="AD2" s="178"/>
      <c r="AE2" s="180"/>
      <c r="AF2" s="169"/>
      <c r="AG2" s="169"/>
    </row>
    <row r="3" spans="1:33" ht="12">
      <c r="A3" s="181"/>
      <c r="B3" s="175"/>
      <c r="C3" s="175"/>
      <c r="D3" s="175"/>
      <c r="E3" s="175"/>
      <c r="F3" s="175"/>
      <c r="G3" s="175"/>
      <c r="H3" s="175"/>
      <c r="I3" s="175"/>
      <c r="J3" s="175"/>
      <c r="K3" s="176"/>
      <c r="L3" s="169"/>
      <c r="M3" s="169"/>
      <c r="N3" s="169"/>
      <c r="O3" s="177"/>
      <c r="P3" s="182"/>
      <c r="Q3" s="182"/>
      <c r="R3" s="182"/>
      <c r="S3" s="182"/>
      <c r="T3" s="182"/>
      <c r="U3" s="182"/>
      <c r="V3" s="183"/>
      <c r="W3" s="169"/>
      <c r="X3" s="177"/>
      <c r="Y3" s="182"/>
      <c r="Z3" s="182"/>
      <c r="AA3" s="182"/>
      <c r="AB3" s="182"/>
      <c r="AC3" s="182"/>
      <c r="AD3" s="182"/>
      <c r="AE3" s="183"/>
      <c r="AF3" s="169"/>
      <c r="AG3" s="169"/>
    </row>
    <row r="4" spans="1:33" ht="16.5" thickBot="1">
      <c r="A4" s="181"/>
      <c r="B4" s="184" t="s">
        <v>204</v>
      </c>
      <c r="C4" s="175"/>
      <c r="D4" s="175"/>
      <c r="E4" s="175"/>
      <c r="F4" s="175"/>
      <c r="G4" s="175"/>
      <c r="H4" s="175"/>
      <c r="I4" s="175"/>
      <c r="J4" s="175"/>
      <c r="K4" s="176"/>
      <c r="L4" s="169"/>
      <c r="M4" s="169"/>
      <c r="N4" s="169"/>
      <c r="O4" s="177"/>
      <c r="P4" s="182"/>
      <c r="Q4" s="182"/>
      <c r="R4" s="182"/>
      <c r="S4" s="182"/>
      <c r="T4" s="182"/>
      <c r="U4" s="182"/>
      <c r="V4" s="183"/>
      <c r="W4" s="169"/>
      <c r="X4" s="177"/>
      <c r="Y4" s="182"/>
      <c r="Z4" s="182"/>
      <c r="AA4" s="182"/>
      <c r="AB4" s="182"/>
      <c r="AC4" s="182"/>
      <c r="AD4" s="182"/>
      <c r="AE4" s="183"/>
      <c r="AF4" s="169"/>
      <c r="AG4" s="169"/>
    </row>
    <row r="5" spans="1:33" ht="19.5" thickBot="1" thickTop="1">
      <c r="A5" s="181"/>
      <c r="B5" s="175" t="s">
        <v>352</v>
      </c>
      <c r="C5" s="175"/>
      <c r="D5" s="175"/>
      <c r="E5" s="175"/>
      <c r="F5" s="175"/>
      <c r="G5" s="175"/>
      <c r="H5" s="185" t="s">
        <v>180</v>
      </c>
      <c r="I5" s="175"/>
      <c r="J5" s="186" t="s">
        <v>353</v>
      </c>
      <c r="K5" s="176"/>
      <c r="L5" s="169"/>
      <c r="M5" s="169"/>
      <c r="N5" s="169"/>
      <c r="O5" s="177"/>
      <c r="P5" s="187" t="s">
        <v>354</v>
      </c>
      <c r="Q5" s="182"/>
      <c r="R5" s="182"/>
      <c r="S5" s="182"/>
      <c r="T5" s="182"/>
      <c r="U5" s="182"/>
      <c r="V5" s="183"/>
      <c r="W5" s="169"/>
      <c r="X5" s="177"/>
      <c r="Y5" s="187" t="s">
        <v>354</v>
      </c>
      <c r="Z5" s="182"/>
      <c r="AA5" s="182"/>
      <c r="AB5" s="182"/>
      <c r="AC5" s="182"/>
      <c r="AD5" s="182"/>
      <c r="AE5" s="183"/>
      <c r="AF5" s="169"/>
      <c r="AG5" s="169"/>
    </row>
    <row r="6" spans="1:33" ht="14.25" thickBot="1" thickTop="1">
      <c r="A6" s="181"/>
      <c r="B6" s="175" t="s">
        <v>355</v>
      </c>
      <c r="C6" s="175"/>
      <c r="D6" s="175"/>
      <c r="E6" s="175"/>
      <c r="F6" s="175"/>
      <c r="G6" s="175"/>
      <c r="H6" s="188">
        <v>1997</v>
      </c>
      <c r="I6" s="175"/>
      <c r="J6" s="189">
        <v>3000</v>
      </c>
      <c r="K6" s="176"/>
      <c r="L6" s="169"/>
      <c r="M6" s="169"/>
      <c r="N6" s="169"/>
      <c r="O6" s="177"/>
      <c r="P6" s="182"/>
      <c r="Q6" s="182"/>
      <c r="R6" s="182"/>
      <c r="S6" s="182"/>
      <c r="T6" s="182"/>
      <c r="U6" s="182"/>
      <c r="V6" s="183"/>
      <c r="W6" s="169"/>
      <c r="X6" s="177"/>
      <c r="Y6" s="182"/>
      <c r="Z6" s="182"/>
      <c r="AA6" s="182"/>
      <c r="AB6" s="182"/>
      <c r="AC6" s="182"/>
      <c r="AD6" s="182"/>
      <c r="AE6" s="183"/>
      <c r="AF6" s="169"/>
      <c r="AG6" s="169"/>
    </row>
    <row r="7" spans="1:33" ht="14.25" thickBot="1" thickTop="1">
      <c r="A7" s="181"/>
      <c r="B7" s="175" t="s">
        <v>356</v>
      </c>
      <c r="C7" s="175"/>
      <c r="D7" s="175"/>
      <c r="E7" s="175"/>
      <c r="F7" s="175"/>
      <c r="G7" s="175"/>
      <c r="H7" s="188">
        <v>1600</v>
      </c>
      <c r="I7" s="175"/>
      <c r="J7" s="189">
        <v>2000</v>
      </c>
      <c r="K7" s="176"/>
      <c r="L7" s="169"/>
      <c r="M7" s="169"/>
      <c r="N7" s="169"/>
      <c r="O7" s="177"/>
      <c r="P7" s="190" t="s">
        <v>357</v>
      </c>
      <c r="Q7" s="182"/>
      <c r="R7" s="182"/>
      <c r="S7" s="182"/>
      <c r="T7" s="182"/>
      <c r="U7" s="182"/>
      <c r="V7" s="183"/>
      <c r="W7" s="169"/>
      <c r="X7" s="177"/>
      <c r="Y7" s="190" t="s">
        <v>357</v>
      </c>
      <c r="Z7" s="182"/>
      <c r="AA7" s="182"/>
      <c r="AB7" s="182"/>
      <c r="AC7" s="182"/>
      <c r="AD7" s="182"/>
      <c r="AE7" s="183"/>
      <c r="AF7" s="169"/>
      <c r="AG7" s="169"/>
    </row>
    <row r="8" spans="1:33" ht="14.25" thickBot="1" thickTop="1">
      <c r="A8" s="181"/>
      <c r="B8" s="175" t="s">
        <v>358</v>
      </c>
      <c r="C8" s="175"/>
      <c r="D8" s="175"/>
      <c r="E8" s="175"/>
      <c r="F8" s="175"/>
      <c r="G8" s="175"/>
      <c r="H8" s="188">
        <v>1000</v>
      </c>
      <c r="I8" s="175"/>
      <c r="J8" s="189">
        <v>800</v>
      </c>
      <c r="K8" s="176"/>
      <c r="L8" s="169"/>
      <c r="M8" s="169"/>
      <c r="N8" s="169"/>
      <c r="O8" s="177"/>
      <c r="P8" s="182"/>
      <c r="Q8" s="182"/>
      <c r="R8" s="182"/>
      <c r="S8" s="182"/>
      <c r="T8" s="182"/>
      <c r="U8" s="182"/>
      <c r="V8" s="183"/>
      <c r="W8" s="169"/>
      <c r="X8" s="177"/>
      <c r="Y8" s="182"/>
      <c r="Z8" s="182"/>
      <c r="AA8" s="182"/>
      <c r="AB8" s="182"/>
      <c r="AC8" s="182"/>
      <c r="AD8" s="182"/>
      <c r="AE8" s="183"/>
      <c r="AF8" s="169"/>
      <c r="AG8" s="169"/>
    </row>
    <row r="9" spans="1:33" ht="14.25" thickBot="1" thickTop="1">
      <c r="A9" s="181"/>
      <c r="B9" s="175" t="s">
        <v>359</v>
      </c>
      <c r="C9" s="175"/>
      <c r="D9" s="175"/>
      <c r="E9" s="175"/>
      <c r="F9" s="175"/>
      <c r="G9" s="175"/>
      <c r="H9" s="188">
        <v>62</v>
      </c>
      <c r="I9" s="175"/>
      <c r="J9" s="189">
        <v>60</v>
      </c>
      <c r="K9" s="176"/>
      <c r="L9" s="169"/>
      <c r="M9" s="169"/>
      <c r="N9" s="169"/>
      <c r="O9" s="177"/>
      <c r="P9" s="182" t="s">
        <v>360</v>
      </c>
      <c r="Q9" s="182"/>
      <c r="R9" s="182"/>
      <c r="S9" s="182"/>
      <c r="T9" s="182"/>
      <c r="U9" s="191">
        <v>6.49</v>
      </c>
      <c r="V9" s="183" t="s">
        <v>361</v>
      </c>
      <c r="W9" s="169"/>
      <c r="X9" s="177"/>
      <c r="Y9" s="182" t="s">
        <v>360</v>
      </c>
      <c r="Z9" s="182"/>
      <c r="AA9" s="182"/>
      <c r="AB9" s="182"/>
      <c r="AC9" s="182"/>
      <c r="AD9" s="191">
        <v>9.62</v>
      </c>
      <c r="AE9" s="183" t="s">
        <v>361</v>
      </c>
      <c r="AF9" s="169"/>
      <c r="AG9" s="169"/>
    </row>
    <row r="10" spans="1:33" ht="14.25" thickBot="1" thickTop="1">
      <c r="A10" s="181"/>
      <c r="B10" s="175" t="s">
        <v>362</v>
      </c>
      <c r="C10" s="175"/>
      <c r="D10" s="175"/>
      <c r="E10" s="175"/>
      <c r="F10" s="175"/>
      <c r="G10" s="175"/>
      <c r="H10" s="188">
        <v>0.433</v>
      </c>
      <c r="I10" s="175"/>
      <c r="J10" s="189">
        <v>0.433</v>
      </c>
      <c r="K10" s="176"/>
      <c r="L10" s="169"/>
      <c r="M10" s="169"/>
      <c r="N10" s="169"/>
      <c r="O10" s="177"/>
      <c r="P10" s="182" t="s">
        <v>363</v>
      </c>
      <c r="Q10" s="182"/>
      <c r="R10" s="182"/>
      <c r="S10" s="182" t="s">
        <v>364</v>
      </c>
      <c r="T10" s="182"/>
      <c r="U10" s="191">
        <f>(H10)</f>
        <v>0.433</v>
      </c>
      <c r="V10" s="183" t="s">
        <v>365</v>
      </c>
      <c r="W10" s="169"/>
      <c r="X10" s="177"/>
      <c r="Y10" s="182" t="s">
        <v>363</v>
      </c>
      <c r="Z10" s="182"/>
      <c r="AA10" s="182"/>
      <c r="AB10" s="182" t="s">
        <v>364</v>
      </c>
      <c r="AC10" s="182"/>
      <c r="AD10" s="191">
        <f>J10</f>
        <v>0.433</v>
      </c>
      <c r="AE10" s="183" t="s">
        <v>365</v>
      </c>
      <c r="AF10" s="169"/>
      <c r="AG10" s="169"/>
    </row>
    <row r="11" spans="1:33" ht="13.5" thickTop="1">
      <c r="A11" s="181"/>
      <c r="B11" s="175"/>
      <c r="C11" s="192" t="s">
        <v>366</v>
      </c>
      <c r="D11" s="175"/>
      <c r="E11" s="175"/>
      <c r="F11" s="175"/>
      <c r="G11" s="175"/>
      <c r="H11" s="193"/>
      <c r="I11" s="175"/>
      <c r="J11" s="193"/>
      <c r="K11" s="176"/>
      <c r="L11" s="169"/>
      <c r="M11" s="169"/>
      <c r="N11" s="169"/>
      <c r="O11" s="177"/>
      <c r="P11" s="182" t="s">
        <v>367</v>
      </c>
      <c r="Q11" s="182"/>
      <c r="R11" s="182"/>
      <c r="S11" s="182"/>
      <c r="T11" s="182"/>
      <c r="U11" s="194">
        <f>H7/0.3048</f>
        <v>5249.343832020997</v>
      </c>
      <c r="V11" s="183" t="s">
        <v>368</v>
      </c>
      <c r="W11" s="169"/>
      <c r="X11" s="177"/>
      <c r="Y11" s="182" t="s">
        <v>367</v>
      </c>
      <c r="Z11" s="182"/>
      <c r="AA11" s="182"/>
      <c r="AB11" s="182"/>
      <c r="AC11" s="182"/>
      <c r="AD11" s="194">
        <f>J7/0.3048</f>
        <v>6561.679790026246</v>
      </c>
      <c r="AE11" s="183" t="s">
        <v>368</v>
      </c>
      <c r="AF11" s="169"/>
      <c r="AG11" s="169"/>
    </row>
    <row r="12" spans="1:33" ht="12.75">
      <c r="A12" s="181"/>
      <c r="B12" s="175"/>
      <c r="C12" s="192" t="s">
        <v>369</v>
      </c>
      <c r="D12" s="175"/>
      <c r="E12" s="175"/>
      <c r="F12" s="175"/>
      <c r="G12" s="175"/>
      <c r="H12" s="193"/>
      <c r="I12" s="175"/>
      <c r="J12" s="193"/>
      <c r="K12" s="176"/>
      <c r="L12" s="169"/>
      <c r="M12" s="169"/>
      <c r="N12" s="169"/>
      <c r="O12" s="177"/>
      <c r="P12" s="182" t="s">
        <v>370</v>
      </c>
      <c r="Q12" s="182"/>
      <c r="R12" s="182"/>
      <c r="S12" s="182"/>
      <c r="T12" s="182"/>
      <c r="U12" s="191">
        <v>0.3</v>
      </c>
      <c r="V12" s="183"/>
      <c r="W12" s="169"/>
      <c r="X12" s="177"/>
      <c r="Y12" s="182" t="s">
        <v>370</v>
      </c>
      <c r="Z12" s="182"/>
      <c r="AA12" s="182"/>
      <c r="AB12" s="182"/>
      <c r="AC12" s="182"/>
      <c r="AD12" s="191">
        <v>0.3</v>
      </c>
      <c r="AE12" s="183"/>
      <c r="AF12" s="169"/>
      <c r="AG12" s="169"/>
    </row>
    <row r="13" spans="1:33" ht="12.75">
      <c r="A13" s="181"/>
      <c r="B13" s="175"/>
      <c r="C13" s="192" t="s">
        <v>371</v>
      </c>
      <c r="D13" s="175"/>
      <c r="E13" s="175"/>
      <c r="F13" s="175"/>
      <c r="G13" s="175"/>
      <c r="H13" s="193"/>
      <c r="I13" s="175"/>
      <c r="J13" s="193"/>
      <c r="K13" s="176"/>
      <c r="L13" s="169"/>
      <c r="M13" s="169"/>
      <c r="N13" s="169"/>
      <c r="O13" s="177"/>
      <c r="P13" s="182" t="s">
        <v>372</v>
      </c>
      <c r="Q13" s="182"/>
      <c r="R13" s="182"/>
      <c r="S13" s="182"/>
      <c r="T13" s="182"/>
      <c r="U13" s="194">
        <f>H6/0.3048</f>
        <v>6551.837270341207</v>
      </c>
      <c r="V13" s="183" t="s">
        <v>368</v>
      </c>
      <c r="W13" s="169"/>
      <c r="X13" s="177"/>
      <c r="Y13" s="182" t="s">
        <v>372</v>
      </c>
      <c r="Z13" s="182"/>
      <c r="AA13" s="182"/>
      <c r="AB13" s="182"/>
      <c r="AC13" s="182"/>
      <c r="AD13" s="194">
        <f>J6/0.3048</f>
        <v>9842.51968503937</v>
      </c>
      <c r="AE13" s="183" t="s">
        <v>368</v>
      </c>
      <c r="AF13" s="169"/>
      <c r="AG13" s="169"/>
    </row>
    <row r="14" spans="1:33" ht="12.75">
      <c r="A14" s="181"/>
      <c r="B14" s="175"/>
      <c r="C14" s="175"/>
      <c r="D14" s="175"/>
      <c r="E14" s="175"/>
      <c r="F14" s="175"/>
      <c r="G14" s="175"/>
      <c r="H14" s="193"/>
      <c r="I14" s="175"/>
      <c r="J14" s="193"/>
      <c r="K14" s="176"/>
      <c r="L14" s="169"/>
      <c r="M14" s="169"/>
      <c r="N14" s="169"/>
      <c r="O14" s="177"/>
      <c r="P14" s="182"/>
      <c r="Q14" s="182"/>
      <c r="R14" s="182"/>
      <c r="S14" s="182"/>
      <c r="T14" s="182"/>
      <c r="U14" s="195"/>
      <c r="V14" s="183"/>
      <c r="W14" s="169"/>
      <c r="X14" s="177"/>
      <c r="Y14" s="182"/>
      <c r="Z14" s="182"/>
      <c r="AA14" s="182"/>
      <c r="AB14" s="182"/>
      <c r="AC14" s="182"/>
      <c r="AD14" s="195"/>
      <c r="AE14" s="183"/>
      <c r="AF14" s="169"/>
      <c r="AG14" s="169"/>
    </row>
    <row r="15" spans="1:33" ht="15.75">
      <c r="A15" s="181"/>
      <c r="B15" s="196" t="s">
        <v>373</v>
      </c>
      <c r="C15" s="175"/>
      <c r="D15" s="175"/>
      <c r="E15" s="175"/>
      <c r="F15" s="175"/>
      <c r="G15" s="175"/>
      <c r="H15" s="193"/>
      <c r="I15" s="175"/>
      <c r="J15" s="193"/>
      <c r="K15" s="176"/>
      <c r="L15" s="169"/>
      <c r="M15" s="169"/>
      <c r="N15" s="169"/>
      <c r="O15" s="177"/>
      <c r="P15" s="182"/>
      <c r="Q15" s="182"/>
      <c r="R15" s="182"/>
      <c r="S15" s="182"/>
      <c r="T15" s="182"/>
      <c r="U15" s="195"/>
      <c r="V15" s="183"/>
      <c r="W15" s="169"/>
      <c r="X15" s="177"/>
      <c r="Y15" s="182"/>
      <c r="Z15" s="182"/>
      <c r="AA15" s="182"/>
      <c r="AB15" s="182"/>
      <c r="AC15" s="182"/>
      <c r="AD15" s="195"/>
      <c r="AE15" s="183"/>
      <c r="AF15" s="169"/>
      <c r="AG15" s="169"/>
    </row>
    <row r="16" spans="1:33" ht="13.5" thickBot="1">
      <c r="A16" s="181"/>
      <c r="B16" s="175"/>
      <c r="C16" s="175"/>
      <c r="D16" s="175"/>
      <c r="E16" s="175"/>
      <c r="F16" s="175"/>
      <c r="G16" s="175"/>
      <c r="H16" s="193"/>
      <c r="I16" s="175"/>
      <c r="J16" s="193"/>
      <c r="K16" s="176"/>
      <c r="L16" s="169"/>
      <c r="M16" s="169"/>
      <c r="N16" s="169"/>
      <c r="O16" s="177"/>
      <c r="P16" s="197" t="s">
        <v>374</v>
      </c>
      <c r="Q16" s="198">
        <f>U9*U10*U11*(U12*(U11/U13)+(1-2*U12))</f>
        <v>9446.309611398727</v>
      </c>
      <c r="R16" s="190" t="s">
        <v>375</v>
      </c>
      <c r="S16" s="182"/>
      <c r="T16" s="182"/>
      <c r="U16" s="195"/>
      <c r="V16" s="183"/>
      <c r="W16" s="169"/>
      <c r="X16" s="177"/>
      <c r="Y16" s="197" t="s">
        <v>374</v>
      </c>
      <c r="Z16" s="198">
        <f>AD9*AD10*AD11*(AD12*(AD11/AD13)+(1-2*AD12))</f>
        <v>16399.448818897632</v>
      </c>
      <c r="AA16" s="190" t="s">
        <v>375</v>
      </c>
      <c r="AB16" s="182"/>
      <c r="AC16" s="182"/>
      <c r="AD16" s="195"/>
      <c r="AE16" s="183"/>
      <c r="AF16" s="169"/>
      <c r="AG16" s="169"/>
    </row>
    <row r="17" spans="1:33" ht="14.25" thickBot="1" thickTop="1">
      <c r="A17" s="181"/>
      <c r="B17" s="175" t="s">
        <v>376</v>
      </c>
      <c r="C17" s="175"/>
      <c r="D17" s="175"/>
      <c r="E17" s="175"/>
      <c r="F17" s="175"/>
      <c r="G17" s="175"/>
      <c r="H17" s="199">
        <f>(Q54)</f>
        <v>22883.655682460943</v>
      </c>
      <c r="I17" s="175"/>
      <c r="J17" s="200">
        <f>Z54</f>
        <v>35252.347598913955</v>
      </c>
      <c r="K17" s="176"/>
      <c r="L17" s="169"/>
      <c r="M17" s="169"/>
      <c r="N17" s="169"/>
      <c r="O17" s="177"/>
      <c r="P17" s="182"/>
      <c r="Q17" s="182"/>
      <c r="R17" s="182"/>
      <c r="S17" s="182"/>
      <c r="T17" s="182"/>
      <c r="U17" s="195"/>
      <c r="V17" s="183"/>
      <c r="W17" s="169"/>
      <c r="X17" s="177"/>
      <c r="Y17" s="182"/>
      <c r="Z17" s="182"/>
      <c r="AA17" s="182"/>
      <c r="AB17" s="182"/>
      <c r="AC17" s="182"/>
      <c r="AD17" s="195"/>
      <c r="AE17" s="183"/>
      <c r="AF17" s="169"/>
      <c r="AG17" s="169"/>
    </row>
    <row r="18" spans="1:35" ht="14.25" thickBot="1" thickTop="1">
      <c r="A18" s="181"/>
      <c r="B18" s="175" t="s">
        <v>377</v>
      </c>
      <c r="C18" s="175"/>
      <c r="D18" s="175"/>
      <c r="E18" s="175"/>
      <c r="F18" s="175"/>
      <c r="G18" s="175"/>
      <c r="H18" s="201">
        <f>Q62</f>
        <v>33.09712763399624</v>
      </c>
      <c r="I18" s="175"/>
      <c r="J18" s="202">
        <f>Z62</f>
        <v>53.58639771214841</v>
      </c>
      <c r="K18" s="176"/>
      <c r="L18" s="169"/>
      <c r="M18" s="169"/>
      <c r="N18" s="169"/>
      <c r="O18" s="177"/>
      <c r="P18" s="182"/>
      <c r="Q18" s="182"/>
      <c r="R18" s="182"/>
      <c r="S18" s="182"/>
      <c r="T18" s="182"/>
      <c r="U18" s="195"/>
      <c r="V18" s="183"/>
      <c r="W18" s="169"/>
      <c r="X18" s="177"/>
      <c r="Y18" s="182"/>
      <c r="Z18" s="182"/>
      <c r="AA18" s="182"/>
      <c r="AB18" s="182"/>
      <c r="AC18" s="182"/>
      <c r="AD18" s="195"/>
      <c r="AE18" s="183"/>
      <c r="AF18" s="169"/>
      <c r="AG18" s="169"/>
      <c r="AI18">
        <f>H18*2.54</f>
        <v>84.06670419035045</v>
      </c>
    </row>
    <row r="19" spans="1:33" ht="13.5" thickTop="1">
      <c r="A19" s="181"/>
      <c r="B19" s="175"/>
      <c r="C19" s="175"/>
      <c r="D19" s="175"/>
      <c r="E19" s="175"/>
      <c r="F19" s="175"/>
      <c r="G19" s="175"/>
      <c r="H19" s="175"/>
      <c r="I19" s="175"/>
      <c r="J19" s="175"/>
      <c r="K19" s="176"/>
      <c r="L19" s="169"/>
      <c r="M19" s="169"/>
      <c r="N19" s="169"/>
      <c r="O19" s="177"/>
      <c r="P19" s="182"/>
      <c r="Q19" s="182"/>
      <c r="R19" s="182"/>
      <c r="S19" s="182"/>
      <c r="T19" s="182"/>
      <c r="U19" s="195"/>
      <c r="V19" s="183"/>
      <c r="W19" s="169"/>
      <c r="X19" s="177"/>
      <c r="Y19" s="182"/>
      <c r="Z19" s="182"/>
      <c r="AA19" s="182"/>
      <c r="AB19" s="182"/>
      <c r="AC19" s="182"/>
      <c r="AD19" s="195"/>
      <c r="AE19" s="183"/>
      <c r="AF19" s="169"/>
      <c r="AG19" s="169"/>
    </row>
    <row r="20" spans="1:33" ht="12.75">
      <c r="A20" s="181"/>
      <c r="B20" s="175"/>
      <c r="C20" s="175"/>
      <c r="D20" s="175"/>
      <c r="E20" s="175"/>
      <c r="F20" s="175"/>
      <c r="G20" s="175"/>
      <c r="H20" s="175"/>
      <c r="I20" s="175"/>
      <c r="J20" s="175"/>
      <c r="K20" s="176"/>
      <c r="L20" s="169"/>
      <c r="M20" s="169"/>
      <c r="N20" s="169"/>
      <c r="O20" s="177"/>
      <c r="P20" s="190" t="s">
        <v>378</v>
      </c>
      <c r="Q20" s="182"/>
      <c r="R20" s="182"/>
      <c r="S20" s="182"/>
      <c r="T20" s="182"/>
      <c r="U20" s="195"/>
      <c r="V20" s="183"/>
      <c r="W20" s="169"/>
      <c r="X20" s="177"/>
      <c r="Y20" s="190" t="s">
        <v>378</v>
      </c>
      <c r="Z20" s="182"/>
      <c r="AA20" s="182"/>
      <c r="AB20" s="182"/>
      <c r="AC20" s="182"/>
      <c r="AD20" s="195"/>
      <c r="AE20" s="183"/>
      <c r="AF20" s="169"/>
      <c r="AG20" s="169"/>
    </row>
    <row r="21" spans="1:33" ht="12.75">
      <c r="A21" s="181"/>
      <c r="B21" s="175"/>
      <c r="C21" s="175"/>
      <c r="D21" s="175"/>
      <c r="E21" s="175"/>
      <c r="F21" s="175"/>
      <c r="G21" s="175"/>
      <c r="H21" s="175"/>
      <c r="I21" s="175"/>
      <c r="J21" s="175"/>
      <c r="K21" s="176"/>
      <c r="L21" s="169"/>
      <c r="M21" s="169"/>
      <c r="N21" s="169"/>
      <c r="O21" s="177"/>
      <c r="P21" s="182"/>
      <c r="Q21" s="182"/>
      <c r="R21" s="182"/>
      <c r="S21" s="182"/>
      <c r="T21" s="182"/>
      <c r="U21" s="195"/>
      <c r="V21" s="183"/>
      <c r="W21" s="169"/>
      <c r="X21" s="177"/>
      <c r="Y21" s="182"/>
      <c r="Z21" s="182"/>
      <c r="AA21" s="182"/>
      <c r="AB21" s="182"/>
      <c r="AC21" s="182"/>
      <c r="AD21" s="195"/>
      <c r="AE21" s="183"/>
      <c r="AF21" s="169"/>
      <c r="AG21" s="169"/>
    </row>
    <row r="22" spans="1:33" ht="13.5" thickBot="1">
      <c r="A22" s="203"/>
      <c r="B22" s="204"/>
      <c r="C22" s="204"/>
      <c r="D22" s="204"/>
      <c r="E22" s="204"/>
      <c r="F22" s="204"/>
      <c r="G22" s="204"/>
      <c r="H22" s="204"/>
      <c r="I22" s="204"/>
      <c r="J22" s="204"/>
      <c r="K22" s="205"/>
      <c r="L22" s="169"/>
      <c r="M22" s="169"/>
      <c r="N22" s="169"/>
      <c r="O22" s="177"/>
      <c r="P22" s="182" t="s">
        <v>379</v>
      </c>
      <c r="Q22" s="182"/>
      <c r="R22" s="182"/>
      <c r="S22" s="182"/>
      <c r="T22" s="182"/>
      <c r="U22" s="206">
        <v>30000000</v>
      </c>
      <c r="V22" s="183" t="s">
        <v>30</v>
      </c>
      <c r="W22" s="169"/>
      <c r="X22" s="177"/>
      <c r="Y22" s="182" t="s">
        <v>379</v>
      </c>
      <c r="Z22" s="182"/>
      <c r="AA22" s="182"/>
      <c r="AB22" s="182"/>
      <c r="AC22" s="182"/>
      <c r="AD22" s="206">
        <v>30000000</v>
      </c>
      <c r="AE22" s="183" t="s">
        <v>30</v>
      </c>
      <c r="AF22" s="169"/>
      <c r="AG22" s="169"/>
    </row>
    <row r="23" spans="1:33" ht="13.5" thickTop="1">
      <c r="A23" s="207"/>
      <c r="L23" s="169"/>
      <c r="M23" s="169"/>
      <c r="N23" s="169"/>
      <c r="O23" s="177"/>
      <c r="P23" s="182" t="s">
        <v>380</v>
      </c>
      <c r="Q23" s="182"/>
      <c r="R23" s="182"/>
      <c r="S23" s="182"/>
      <c r="T23" s="182"/>
      <c r="U23" s="206">
        <v>6.9E-06</v>
      </c>
      <c r="V23" s="183" t="s">
        <v>381</v>
      </c>
      <c r="W23" s="169"/>
      <c r="X23" s="177"/>
      <c r="Y23" s="182" t="s">
        <v>380</v>
      </c>
      <c r="Z23" s="182"/>
      <c r="AA23" s="182"/>
      <c r="AB23" s="182"/>
      <c r="AC23" s="182"/>
      <c r="AD23" s="206">
        <v>6.9E-06</v>
      </c>
      <c r="AE23" s="183" t="s">
        <v>381</v>
      </c>
      <c r="AF23" s="169"/>
      <c r="AG23" s="169"/>
    </row>
    <row r="24" spans="1:33" ht="12.75">
      <c r="A24" s="207"/>
      <c r="L24" s="169"/>
      <c r="M24" s="169"/>
      <c r="N24" s="169"/>
      <c r="O24" s="177"/>
      <c r="P24" s="182" t="s">
        <v>382</v>
      </c>
      <c r="Q24" s="182"/>
      <c r="R24" s="182"/>
      <c r="S24" s="182"/>
      <c r="T24" s="182"/>
      <c r="U24" s="195"/>
      <c r="V24" s="183"/>
      <c r="W24" s="169"/>
      <c r="X24" s="177"/>
      <c r="Y24" s="182" t="s">
        <v>382</v>
      </c>
      <c r="Z24" s="182"/>
      <c r="AA24" s="182"/>
      <c r="AB24" s="182"/>
      <c r="AC24" s="182"/>
      <c r="AD24" s="195"/>
      <c r="AE24" s="183"/>
      <c r="AF24" s="169"/>
      <c r="AG24" s="169"/>
    </row>
    <row r="25" spans="1:33" ht="12.75">
      <c r="A25" s="207"/>
      <c r="L25" s="169"/>
      <c r="M25" s="169"/>
      <c r="N25" s="169"/>
      <c r="O25" s="177"/>
      <c r="P25" s="182" t="s">
        <v>383</v>
      </c>
      <c r="Q25" s="182"/>
      <c r="R25" s="182"/>
      <c r="S25" s="182"/>
      <c r="T25" s="182"/>
      <c r="U25" s="195">
        <f>((H9+32)*9/5)-90</f>
        <v>79.19999999999999</v>
      </c>
      <c r="V25" s="183" t="s">
        <v>384</v>
      </c>
      <c r="W25" s="169"/>
      <c r="X25" s="177"/>
      <c r="Y25" s="182" t="s">
        <v>383</v>
      </c>
      <c r="Z25" s="182"/>
      <c r="AA25" s="182"/>
      <c r="AB25" s="182"/>
      <c r="AC25" s="182"/>
      <c r="AD25" s="195">
        <f>((J9+32)*9/5)-90</f>
        <v>75.6</v>
      </c>
      <c r="AE25" s="183" t="s">
        <v>384</v>
      </c>
      <c r="AF25" s="169"/>
      <c r="AG25" s="169"/>
    </row>
    <row r="26" spans="1:33" ht="12.75">
      <c r="A26" s="207"/>
      <c r="L26" s="169"/>
      <c r="M26" s="169"/>
      <c r="N26" s="169"/>
      <c r="O26" s="177"/>
      <c r="P26" s="182" t="s">
        <v>385</v>
      </c>
      <c r="Q26" s="182"/>
      <c r="R26" s="182"/>
      <c r="S26" s="182"/>
      <c r="T26" s="182"/>
      <c r="U26" s="195">
        <v>1.812</v>
      </c>
      <c r="V26" s="183" t="s">
        <v>361</v>
      </c>
      <c r="W26" s="169"/>
      <c r="X26" s="177"/>
      <c r="Y26" s="182" t="s">
        <v>385</v>
      </c>
      <c r="Z26" s="182"/>
      <c r="AA26" s="182"/>
      <c r="AB26" s="182"/>
      <c r="AC26" s="182"/>
      <c r="AD26" s="195">
        <v>2.59</v>
      </c>
      <c r="AE26" s="183" t="s">
        <v>361</v>
      </c>
      <c r="AF26" s="169"/>
      <c r="AG26" s="169"/>
    </row>
    <row r="27" spans="1:33" ht="12.75">
      <c r="A27" s="207"/>
      <c r="L27" s="169"/>
      <c r="M27" s="169"/>
      <c r="N27" s="169"/>
      <c r="O27" s="177"/>
      <c r="P27" s="182" t="s">
        <v>386</v>
      </c>
      <c r="Q27" s="182"/>
      <c r="R27" s="182"/>
      <c r="S27" s="182"/>
      <c r="T27" s="182"/>
      <c r="U27" s="195"/>
      <c r="V27" s="183"/>
      <c r="W27" s="169"/>
      <c r="X27" s="177"/>
      <c r="Y27" s="182" t="s">
        <v>386</v>
      </c>
      <c r="Z27" s="182"/>
      <c r="AA27" s="182"/>
      <c r="AB27" s="182"/>
      <c r="AC27" s="182"/>
      <c r="AD27" s="195"/>
      <c r="AE27" s="183"/>
      <c r="AF27" s="169"/>
      <c r="AG27" s="169"/>
    </row>
    <row r="28" spans="1:33" ht="12.75">
      <c r="A28" s="207"/>
      <c r="L28" s="169"/>
      <c r="M28" s="169"/>
      <c r="N28" s="169"/>
      <c r="O28" s="177"/>
      <c r="P28" s="208"/>
      <c r="Q28" s="182"/>
      <c r="R28" s="209"/>
      <c r="S28" s="182"/>
      <c r="T28" s="182"/>
      <c r="U28" s="195"/>
      <c r="V28" s="183"/>
      <c r="W28" s="169"/>
      <c r="X28" s="177"/>
      <c r="Y28" s="182"/>
      <c r="Z28" s="182"/>
      <c r="AA28" s="182"/>
      <c r="AB28" s="182"/>
      <c r="AC28" s="182"/>
      <c r="AD28" s="195"/>
      <c r="AE28" s="183"/>
      <c r="AF28" s="169"/>
      <c r="AG28" s="169"/>
    </row>
    <row r="29" spans="1:33" ht="12.75">
      <c r="A29" s="207"/>
      <c r="L29" s="169"/>
      <c r="M29" s="169"/>
      <c r="N29" s="169"/>
      <c r="O29" s="177"/>
      <c r="P29" s="197" t="s">
        <v>387</v>
      </c>
      <c r="Q29" s="198">
        <f>U22*U23*(U25/2)*U26</f>
        <v>14853.326399999998</v>
      </c>
      <c r="R29" s="190" t="s">
        <v>375</v>
      </c>
      <c r="S29" s="182"/>
      <c r="T29" s="182"/>
      <c r="U29" s="195"/>
      <c r="V29" s="183"/>
      <c r="W29" s="169"/>
      <c r="X29" s="177"/>
      <c r="Y29" s="197" t="s">
        <v>387</v>
      </c>
      <c r="Z29" s="198">
        <f>AD22*AD23*(AD25/2)*AD26</f>
        <v>20265.713999999996</v>
      </c>
      <c r="AA29" s="190" t="s">
        <v>375</v>
      </c>
      <c r="AB29" s="182"/>
      <c r="AC29" s="182"/>
      <c r="AD29" s="195"/>
      <c r="AE29" s="183"/>
      <c r="AF29" s="169"/>
      <c r="AG29" s="169"/>
    </row>
    <row r="30" spans="1:33" ht="12.75">
      <c r="A30" s="207"/>
      <c r="L30" s="169"/>
      <c r="M30" s="169"/>
      <c r="N30" s="169"/>
      <c r="O30" s="177"/>
      <c r="P30" s="182"/>
      <c r="Q30" s="182"/>
      <c r="R30" s="182"/>
      <c r="S30" s="182"/>
      <c r="T30" s="182"/>
      <c r="U30" s="195"/>
      <c r="V30" s="183"/>
      <c r="W30" s="169"/>
      <c r="X30" s="177"/>
      <c r="Y30" s="182"/>
      <c r="Z30" s="182"/>
      <c r="AA30" s="182"/>
      <c r="AB30" s="182"/>
      <c r="AC30" s="182"/>
      <c r="AD30" s="195"/>
      <c r="AE30" s="183"/>
      <c r="AF30" s="169"/>
      <c r="AG30" s="169"/>
    </row>
    <row r="31" spans="1:33" ht="12.75">
      <c r="A31" s="207"/>
      <c r="L31" s="169"/>
      <c r="M31" s="169"/>
      <c r="N31" s="169"/>
      <c r="O31" s="177"/>
      <c r="P31" s="182"/>
      <c r="Q31" s="182"/>
      <c r="R31" s="182"/>
      <c r="S31" s="182"/>
      <c r="T31" s="182"/>
      <c r="U31" s="195"/>
      <c r="V31" s="183"/>
      <c r="W31" s="169"/>
      <c r="X31" s="177"/>
      <c r="Y31" s="182"/>
      <c r="Z31" s="182"/>
      <c r="AA31" s="182"/>
      <c r="AB31" s="182"/>
      <c r="AC31" s="182"/>
      <c r="AD31" s="195"/>
      <c r="AE31" s="183"/>
      <c r="AF31" s="169"/>
      <c r="AG31" s="169"/>
    </row>
    <row r="32" spans="1:33" ht="12.75">
      <c r="A32" s="207"/>
      <c r="L32" s="169"/>
      <c r="M32" s="169"/>
      <c r="N32" s="169"/>
      <c r="O32" s="177"/>
      <c r="P32" s="182"/>
      <c r="Q32" s="182"/>
      <c r="R32" s="182"/>
      <c r="S32" s="182"/>
      <c r="T32" s="182"/>
      <c r="U32" s="195"/>
      <c r="V32" s="183"/>
      <c r="W32" s="169"/>
      <c r="X32" s="177"/>
      <c r="Y32" s="182"/>
      <c r="Z32" s="182"/>
      <c r="AA32" s="182"/>
      <c r="AB32" s="182"/>
      <c r="AC32" s="182"/>
      <c r="AD32" s="195"/>
      <c r="AE32" s="183"/>
      <c r="AF32" s="169"/>
      <c r="AG32" s="169"/>
    </row>
    <row r="33" spans="1:33" ht="12.75">
      <c r="A33" s="207"/>
      <c r="L33" s="169"/>
      <c r="M33" s="169"/>
      <c r="N33" s="169"/>
      <c r="O33" s="177"/>
      <c r="P33" s="190" t="s">
        <v>388</v>
      </c>
      <c r="Q33" s="182"/>
      <c r="R33" s="182"/>
      <c r="S33" s="182"/>
      <c r="T33" s="182"/>
      <c r="U33" s="195"/>
      <c r="V33" s="183"/>
      <c r="W33" s="169"/>
      <c r="X33" s="177"/>
      <c r="Y33" s="190" t="s">
        <v>388</v>
      </c>
      <c r="Z33" s="182"/>
      <c r="AA33" s="182"/>
      <c r="AB33" s="182"/>
      <c r="AC33" s="182"/>
      <c r="AD33" s="195"/>
      <c r="AE33" s="183"/>
      <c r="AF33" s="169"/>
      <c r="AG33" s="169"/>
    </row>
    <row r="34" spans="1:33" ht="12.75">
      <c r="A34" s="207"/>
      <c r="L34" s="169"/>
      <c r="M34" s="169"/>
      <c r="N34" s="169"/>
      <c r="O34" s="177"/>
      <c r="P34" s="182"/>
      <c r="Q34" s="182"/>
      <c r="R34" s="182"/>
      <c r="S34" s="182"/>
      <c r="T34" s="182"/>
      <c r="U34" s="195"/>
      <c r="V34" s="183"/>
      <c r="W34" s="169"/>
      <c r="X34" s="177"/>
      <c r="Y34" s="182"/>
      <c r="Z34" s="182"/>
      <c r="AA34" s="182"/>
      <c r="AB34" s="182"/>
      <c r="AC34" s="182"/>
      <c r="AD34" s="195"/>
      <c r="AE34" s="183"/>
      <c r="AF34" s="169"/>
      <c r="AG34" s="169"/>
    </row>
    <row r="35" spans="1:33" ht="12.75">
      <c r="A35" s="207"/>
      <c r="L35" s="169"/>
      <c r="M35" s="169"/>
      <c r="N35" s="169"/>
      <c r="O35" s="177"/>
      <c r="P35" s="182"/>
      <c r="Q35" s="182"/>
      <c r="R35" s="182"/>
      <c r="S35" s="182"/>
      <c r="T35" s="182"/>
      <c r="U35" s="195"/>
      <c r="V35" s="183"/>
      <c r="W35" s="169"/>
      <c r="X35" s="177"/>
      <c r="Y35" s="182"/>
      <c r="Z35" s="182"/>
      <c r="AA35" s="182"/>
      <c r="AB35" s="182"/>
      <c r="AC35" s="182"/>
      <c r="AD35" s="195"/>
      <c r="AE35" s="183"/>
      <c r="AF35" s="169"/>
      <c r="AG35" s="169"/>
    </row>
    <row r="36" spans="1:33" ht="12.75">
      <c r="A36" s="207"/>
      <c r="L36" s="169"/>
      <c r="M36" s="169"/>
      <c r="N36" s="169"/>
      <c r="O36" s="177"/>
      <c r="P36" s="182" t="s">
        <v>389</v>
      </c>
      <c r="Q36" s="182"/>
      <c r="R36" s="182"/>
      <c r="S36" s="182"/>
      <c r="T36" s="182"/>
      <c r="U36" s="195">
        <v>6.49</v>
      </c>
      <c r="V36" s="183" t="s">
        <v>361</v>
      </c>
      <c r="W36" s="169"/>
      <c r="X36" s="177"/>
      <c r="Y36" s="182" t="s">
        <v>389</v>
      </c>
      <c r="Z36" s="182"/>
      <c r="AA36" s="182"/>
      <c r="AB36" s="182"/>
      <c r="AC36" s="182"/>
      <c r="AD36" s="195">
        <v>9.62</v>
      </c>
      <c r="AE36" s="183" t="s">
        <v>361</v>
      </c>
      <c r="AF36" s="169"/>
      <c r="AG36" s="169"/>
    </row>
    <row r="37" spans="1:33" ht="12.75">
      <c r="A37" s="207"/>
      <c r="L37" s="169"/>
      <c r="M37" s="169"/>
      <c r="N37" s="169"/>
      <c r="O37" s="177"/>
      <c r="P37" s="182" t="s">
        <v>390</v>
      </c>
      <c r="Q37" s="182"/>
      <c r="R37" s="182"/>
      <c r="S37" s="182"/>
      <c r="T37" s="182"/>
      <c r="U37" s="195">
        <f>(H10)</f>
        <v>0.433</v>
      </c>
      <c r="V37" s="183" t="s">
        <v>365</v>
      </c>
      <c r="W37" s="169"/>
      <c r="X37" s="177"/>
      <c r="Y37" s="182" t="s">
        <v>390</v>
      </c>
      <c r="Z37" s="182"/>
      <c r="AA37" s="182"/>
      <c r="AB37" s="182"/>
      <c r="AC37" s="182"/>
      <c r="AD37" s="195">
        <f>J10</f>
        <v>0.433</v>
      </c>
      <c r="AE37" s="183" t="s">
        <v>365</v>
      </c>
      <c r="AF37" s="169"/>
      <c r="AG37" s="169"/>
    </row>
    <row r="38" spans="1:33" ht="12.75">
      <c r="A38" s="207"/>
      <c r="L38" s="169"/>
      <c r="M38" s="169"/>
      <c r="N38" s="169"/>
      <c r="O38" s="177"/>
      <c r="P38" s="182" t="s">
        <v>391</v>
      </c>
      <c r="Q38" s="182"/>
      <c r="R38" s="182"/>
      <c r="S38" s="182"/>
      <c r="T38" s="182"/>
      <c r="U38" s="195">
        <v>2.875</v>
      </c>
      <c r="V38" s="183" t="s">
        <v>392</v>
      </c>
      <c r="W38" s="169"/>
      <c r="X38" s="177"/>
      <c r="Y38" s="182" t="s">
        <v>391</v>
      </c>
      <c r="Z38" s="182"/>
      <c r="AA38" s="182"/>
      <c r="AB38" s="182"/>
      <c r="AC38" s="182"/>
      <c r="AD38" s="195">
        <v>3.5</v>
      </c>
      <c r="AE38" s="183" t="s">
        <v>392</v>
      </c>
      <c r="AF38" s="169"/>
      <c r="AG38" s="169"/>
    </row>
    <row r="39" spans="1:33" ht="12.75">
      <c r="A39" s="207"/>
      <c r="L39" s="169"/>
      <c r="M39" s="169"/>
      <c r="N39" s="169"/>
      <c r="O39" s="177"/>
      <c r="P39" s="182" t="s">
        <v>393</v>
      </c>
      <c r="Q39" s="182"/>
      <c r="R39" s="182"/>
      <c r="S39" s="182"/>
      <c r="T39" s="182"/>
      <c r="U39" s="195">
        <v>2.441</v>
      </c>
      <c r="V39" s="183" t="s">
        <v>392</v>
      </c>
      <c r="W39" s="169"/>
      <c r="X39" s="177"/>
      <c r="Y39" s="182" t="s">
        <v>393</v>
      </c>
      <c r="Z39" s="182"/>
      <c r="AA39" s="182"/>
      <c r="AB39" s="182"/>
      <c r="AC39" s="182"/>
      <c r="AD39" s="195">
        <v>2.992</v>
      </c>
      <c r="AE39" s="183" t="s">
        <v>392</v>
      </c>
      <c r="AF39" s="169"/>
      <c r="AG39" s="169"/>
    </row>
    <row r="40" spans="1:33" ht="12.75">
      <c r="A40" s="207"/>
      <c r="L40" s="169"/>
      <c r="M40" s="169"/>
      <c r="N40" s="169"/>
      <c r="O40" s="177"/>
      <c r="P40" s="182" t="s">
        <v>394</v>
      </c>
      <c r="Q40" s="182"/>
      <c r="R40" s="182"/>
      <c r="S40" s="182"/>
      <c r="T40" s="182"/>
      <c r="U40" s="210">
        <f>(H8)/0.3048</f>
        <v>3280.839895013123</v>
      </c>
      <c r="V40" s="183" t="s">
        <v>368</v>
      </c>
      <c r="W40" s="169"/>
      <c r="X40" s="177"/>
      <c r="Y40" s="182" t="s">
        <v>394</v>
      </c>
      <c r="Z40" s="182"/>
      <c r="AA40" s="182"/>
      <c r="AB40" s="182"/>
      <c r="AC40" s="182"/>
      <c r="AD40" s="210">
        <f>J8/0.3048</f>
        <v>2624.6719160104985</v>
      </c>
      <c r="AE40" s="183" t="s">
        <v>368</v>
      </c>
      <c r="AF40" s="169"/>
      <c r="AG40" s="169"/>
    </row>
    <row r="41" spans="1:33" ht="12.75">
      <c r="A41" s="207"/>
      <c r="L41" s="169"/>
      <c r="M41" s="169"/>
      <c r="N41" s="169"/>
      <c r="O41" s="177"/>
      <c r="P41" s="182" t="s">
        <v>395</v>
      </c>
      <c r="Q41" s="182"/>
      <c r="R41" s="182"/>
      <c r="S41" s="182"/>
      <c r="T41" s="182"/>
      <c r="U41" s="210">
        <f>U13</f>
        <v>6551.837270341207</v>
      </c>
      <c r="V41" s="183" t="s">
        <v>368</v>
      </c>
      <c r="W41" s="169"/>
      <c r="X41" s="177"/>
      <c r="Y41" s="182" t="s">
        <v>395</v>
      </c>
      <c r="Z41" s="182"/>
      <c r="AA41" s="182"/>
      <c r="AB41" s="182"/>
      <c r="AC41" s="182"/>
      <c r="AD41" s="210">
        <f>J6/0.3048</f>
        <v>9842.51968503937</v>
      </c>
      <c r="AE41" s="183" t="s">
        <v>368</v>
      </c>
      <c r="AF41" s="169"/>
      <c r="AG41" s="169"/>
    </row>
    <row r="42" spans="1:33" ht="12.75">
      <c r="A42" s="207"/>
      <c r="L42" s="169"/>
      <c r="M42" s="169"/>
      <c r="N42" s="169"/>
      <c r="O42" s="177"/>
      <c r="P42" s="182" t="s">
        <v>396</v>
      </c>
      <c r="Q42" s="182"/>
      <c r="R42" s="182"/>
      <c r="S42" s="182"/>
      <c r="T42" s="182"/>
      <c r="U42" s="195">
        <v>0.3</v>
      </c>
      <c r="V42" s="183"/>
      <c r="W42" s="169"/>
      <c r="X42" s="177"/>
      <c r="Y42" s="182" t="s">
        <v>396</v>
      </c>
      <c r="Z42" s="182"/>
      <c r="AA42" s="182"/>
      <c r="AB42" s="182"/>
      <c r="AC42" s="182"/>
      <c r="AD42" s="195">
        <v>0.3</v>
      </c>
      <c r="AE42" s="183"/>
      <c r="AF42" s="169"/>
      <c r="AG42" s="169"/>
    </row>
    <row r="43" spans="1:33" ht="12">
      <c r="A43" s="207"/>
      <c r="L43" s="169"/>
      <c r="M43" s="169"/>
      <c r="N43" s="169"/>
      <c r="O43" s="177"/>
      <c r="P43" s="182"/>
      <c r="Q43" s="182"/>
      <c r="R43" s="182"/>
      <c r="S43" s="182"/>
      <c r="T43" s="182"/>
      <c r="U43" s="182"/>
      <c r="V43" s="183"/>
      <c r="W43" s="169"/>
      <c r="X43" s="177"/>
      <c r="Y43" s="182"/>
      <c r="Z43" s="182"/>
      <c r="AA43" s="182"/>
      <c r="AB43" s="182"/>
      <c r="AC43" s="182"/>
      <c r="AD43" s="182"/>
      <c r="AE43" s="183"/>
      <c r="AF43" s="169"/>
      <c r="AG43" s="169"/>
    </row>
    <row r="44" spans="1:33" ht="12">
      <c r="A44" s="207"/>
      <c r="L44" s="169"/>
      <c r="M44" s="169"/>
      <c r="N44" s="169"/>
      <c r="O44" s="177"/>
      <c r="P44" s="182"/>
      <c r="Q44" s="182"/>
      <c r="R44" s="182"/>
      <c r="S44" s="182"/>
      <c r="T44" s="182"/>
      <c r="U44" s="182"/>
      <c r="V44" s="183"/>
      <c r="W44" s="169"/>
      <c r="X44" s="177"/>
      <c r="Y44" s="182"/>
      <c r="Z44" s="182"/>
      <c r="AA44" s="182"/>
      <c r="AB44" s="182"/>
      <c r="AC44" s="182"/>
      <c r="AD44" s="182"/>
      <c r="AE44" s="183"/>
      <c r="AF44" s="169"/>
      <c r="AG44" s="169"/>
    </row>
    <row r="45" spans="1:33" ht="12">
      <c r="A45" s="207"/>
      <c r="L45" s="169"/>
      <c r="M45" s="169"/>
      <c r="N45" s="169"/>
      <c r="O45" s="177"/>
      <c r="P45" s="182"/>
      <c r="Q45" s="182"/>
      <c r="R45" s="182"/>
      <c r="S45" s="182"/>
      <c r="T45" s="182"/>
      <c r="U45" s="182"/>
      <c r="V45" s="183"/>
      <c r="W45" s="169"/>
      <c r="X45" s="177"/>
      <c r="Y45" s="182"/>
      <c r="Z45" s="182"/>
      <c r="AA45" s="182"/>
      <c r="AB45" s="182"/>
      <c r="AC45" s="182"/>
      <c r="AD45" s="182"/>
      <c r="AE45" s="183"/>
      <c r="AF45" s="169"/>
      <c r="AG45" s="169"/>
    </row>
    <row r="46" spans="1:33" ht="12.75">
      <c r="A46" s="207"/>
      <c r="L46" s="169"/>
      <c r="M46" s="169"/>
      <c r="N46" s="169"/>
      <c r="O46" s="177"/>
      <c r="P46" s="197" t="s">
        <v>397</v>
      </c>
      <c r="Q46" s="211">
        <f>U9*U10*(POWER(U38,2)-POWER(U39,2))*U40*(U42*(U40/U13)+(1-2*U12))/POWER(U38,2)</f>
        <v>1415.9803289377805</v>
      </c>
      <c r="R46" s="212" t="s">
        <v>375</v>
      </c>
      <c r="S46" s="182"/>
      <c r="T46" s="182"/>
      <c r="U46" s="182"/>
      <c r="V46" s="183"/>
      <c r="W46" s="169"/>
      <c r="X46" s="177"/>
      <c r="Y46" s="197" t="s">
        <v>397</v>
      </c>
      <c r="Z46" s="211">
        <f>AD9*AD10*(POWER(AD38,2)-POWER(AD39,2))*AD40*(AD42*(AD40/AD13)+(1-2*AD12))/POWER(AD38,2)</f>
        <v>1412.8152199836732</v>
      </c>
      <c r="AA46" s="212" t="s">
        <v>375</v>
      </c>
      <c r="AB46" s="182"/>
      <c r="AC46" s="182"/>
      <c r="AD46" s="182"/>
      <c r="AE46" s="183"/>
      <c r="AF46" s="169"/>
      <c r="AG46" s="169"/>
    </row>
    <row r="47" spans="1:33" ht="12">
      <c r="A47" s="207"/>
      <c r="L47" s="169"/>
      <c r="M47" s="169"/>
      <c r="N47" s="169"/>
      <c r="O47" s="177"/>
      <c r="P47" s="182"/>
      <c r="Q47" s="182"/>
      <c r="R47" s="182"/>
      <c r="S47" s="182"/>
      <c r="T47" s="182"/>
      <c r="U47" s="182"/>
      <c r="V47" s="183"/>
      <c r="W47" s="169"/>
      <c r="X47" s="177"/>
      <c r="Y47" s="182"/>
      <c r="Z47" s="182"/>
      <c r="AA47" s="182"/>
      <c r="AB47" s="182"/>
      <c r="AC47" s="182"/>
      <c r="AD47" s="182"/>
      <c r="AE47" s="183"/>
      <c r="AF47" s="169"/>
      <c r="AG47" s="169"/>
    </row>
    <row r="48" spans="1:33" ht="12">
      <c r="A48" s="207"/>
      <c r="L48" s="169"/>
      <c r="M48" s="169"/>
      <c r="N48" s="169"/>
      <c r="O48" s="177"/>
      <c r="P48" s="182"/>
      <c r="Q48" s="182"/>
      <c r="R48" s="182"/>
      <c r="S48" s="182"/>
      <c r="T48" s="182"/>
      <c r="U48" s="182"/>
      <c r="V48" s="183"/>
      <c r="W48" s="169"/>
      <c r="X48" s="177"/>
      <c r="Y48" s="182"/>
      <c r="Z48" s="182"/>
      <c r="AA48" s="182"/>
      <c r="AB48" s="182"/>
      <c r="AC48" s="182"/>
      <c r="AD48" s="182"/>
      <c r="AE48" s="183"/>
      <c r="AF48" s="169"/>
      <c r="AG48" s="169"/>
    </row>
    <row r="49" spans="1:33" ht="12">
      <c r="A49" s="207"/>
      <c r="L49" s="169"/>
      <c r="M49" s="169"/>
      <c r="N49" s="169"/>
      <c r="O49" s="177"/>
      <c r="P49" s="182"/>
      <c r="Q49" s="182"/>
      <c r="R49" s="182"/>
      <c r="S49" s="182"/>
      <c r="T49" s="182"/>
      <c r="U49" s="182"/>
      <c r="V49" s="183"/>
      <c r="W49" s="169"/>
      <c r="X49" s="177"/>
      <c r="Y49" s="182"/>
      <c r="Z49" s="182"/>
      <c r="AA49" s="182"/>
      <c r="AB49" s="182"/>
      <c r="AC49" s="182"/>
      <c r="AD49" s="182"/>
      <c r="AE49" s="183"/>
      <c r="AF49" s="169"/>
      <c r="AG49" s="169"/>
    </row>
    <row r="50" spans="1:33" ht="12.75">
      <c r="A50" s="207"/>
      <c r="L50" s="169"/>
      <c r="M50" s="169"/>
      <c r="N50" s="169"/>
      <c r="O50" s="177"/>
      <c r="P50" s="190" t="s">
        <v>398</v>
      </c>
      <c r="Q50" s="182"/>
      <c r="R50" s="182"/>
      <c r="S50" s="182"/>
      <c r="T50" s="182"/>
      <c r="U50" s="182"/>
      <c r="V50" s="183"/>
      <c r="W50" s="169"/>
      <c r="X50" s="177"/>
      <c r="Y50" s="190" t="s">
        <v>398</v>
      </c>
      <c r="Z50" s="182"/>
      <c r="AA50" s="182"/>
      <c r="AB50" s="182"/>
      <c r="AC50" s="182"/>
      <c r="AD50" s="182"/>
      <c r="AE50" s="183"/>
      <c r="AF50" s="169"/>
      <c r="AG50" s="169"/>
    </row>
    <row r="51" spans="1:33" ht="12">
      <c r="A51" s="207"/>
      <c r="L51" s="169"/>
      <c r="M51" s="169"/>
      <c r="N51" s="169"/>
      <c r="O51" s="177"/>
      <c r="P51" s="182"/>
      <c r="Q51" s="182"/>
      <c r="R51" s="182"/>
      <c r="S51" s="182"/>
      <c r="T51" s="182"/>
      <c r="U51" s="182"/>
      <c r="V51" s="183"/>
      <c r="W51" s="169"/>
      <c r="X51" s="177"/>
      <c r="Y51" s="182"/>
      <c r="Z51" s="182"/>
      <c r="AA51" s="182"/>
      <c r="AB51" s="182"/>
      <c r="AC51" s="182"/>
      <c r="AD51" s="182"/>
      <c r="AE51" s="183"/>
      <c r="AF51" s="169"/>
      <c r="AG51" s="169"/>
    </row>
    <row r="52" spans="1:33" ht="12">
      <c r="A52" s="207"/>
      <c r="L52" s="169"/>
      <c r="M52" s="169"/>
      <c r="N52" s="169"/>
      <c r="O52" s="177"/>
      <c r="P52" s="182" t="s">
        <v>399</v>
      </c>
      <c r="Q52" s="182"/>
      <c r="R52" s="182"/>
      <c r="S52" s="182"/>
      <c r="T52" s="182"/>
      <c r="U52" s="182"/>
      <c r="V52" s="183"/>
      <c r="W52" s="169"/>
      <c r="X52" s="177"/>
      <c r="Y52" s="182" t="s">
        <v>399</v>
      </c>
      <c r="Z52" s="182"/>
      <c r="AA52" s="182"/>
      <c r="AB52" s="182"/>
      <c r="AC52" s="182"/>
      <c r="AD52" s="182"/>
      <c r="AE52" s="183"/>
      <c r="AF52" s="169"/>
      <c r="AG52" s="169"/>
    </row>
    <row r="53" spans="1:33" ht="12">
      <c r="A53" s="207"/>
      <c r="L53" s="169"/>
      <c r="M53" s="169"/>
      <c r="N53" s="169"/>
      <c r="O53" s="177"/>
      <c r="P53" s="182"/>
      <c r="Q53" s="182"/>
      <c r="R53" s="182"/>
      <c r="S53" s="182"/>
      <c r="T53" s="182"/>
      <c r="U53" s="182"/>
      <c r="V53" s="183"/>
      <c r="W53" s="169"/>
      <c r="X53" s="177"/>
      <c r="Y53" s="182"/>
      <c r="Z53" s="182"/>
      <c r="AA53" s="182"/>
      <c r="AB53" s="182"/>
      <c r="AC53" s="182"/>
      <c r="AD53" s="182"/>
      <c r="AE53" s="183"/>
      <c r="AF53" s="169"/>
      <c r="AG53" s="169"/>
    </row>
    <row r="54" spans="1:33" ht="12.75">
      <c r="A54" s="207"/>
      <c r="L54" s="169"/>
      <c r="M54" s="169"/>
      <c r="N54" s="169"/>
      <c r="O54" s="177"/>
      <c r="P54" s="197" t="s">
        <v>400</v>
      </c>
      <c r="Q54" s="211">
        <f>Q16+Q29-Q46</f>
        <v>22883.655682460943</v>
      </c>
      <c r="R54" s="190" t="s">
        <v>375</v>
      </c>
      <c r="S54" s="182"/>
      <c r="T54" s="182"/>
      <c r="U54" s="182"/>
      <c r="V54" s="183"/>
      <c r="W54" s="169"/>
      <c r="X54" s="177"/>
      <c r="Y54" s="197" t="s">
        <v>400</v>
      </c>
      <c r="Z54" s="211">
        <f>Z16+Z29-Z46</f>
        <v>35252.347598913955</v>
      </c>
      <c r="AA54" s="190" t="s">
        <v>375</v>
      </c>
      <c r="AB54" s="182"/>
      <c r="AC54" s="182"/>
      <c r="AD54" s="182"/>
      <c r="AE54" s="183"/>
      <c r="AF54" s="169"/>
      <c r="AG54" s="169"/>
    </row>
    <row r="55" spans="1:33" ht="12">
      <c r="A55" s="175"/>
      <c r="L55" s="169"/>
      <c r="M55" s="169"/>
      <c r="N55" s="169"/>
      <c r="O55" s="177"/>
      <c r="P55" s="182"/>
      <c r="Q55" s="182"/>
      <c r="R55" s="182"/>
      <c r="S55" s="182"/>
      <c r="T55" s="182"/>
      <c r="U55" s="182"/>
      <c r="V55" s="183"/>
      <c r="W55" s="169"/>
      <c r="X55" s="177"/>
      <c r="Y55" s="182"/>
      <c r="Z55" s="182"/>
      <c r="AA55" s="182"/>
      <c r="AB55" s="182"/>
      <c r="AC55" s="182"/>
      <c r="AD55" s="182"/>
      <c r="AE55" s="183"/>
      <c r="AF55" s="169"/>
      <c r="AG55" s="169"/>
    </row>
    <row r="56" spans="12:33" ht="12">
      <c r="L56" s="169"/>
      <c r="M56" s="169"/>
      <c r="N56" s="169"/>
      <c r="O56" s="177"/>
      <c r="P56" s="182"/>
      <c r="Q56" s="182"/>
      <c r="R56" s="182"/>
      <c r="S56" s="182"/>
      <c r="T56" s="182"/>
      <c r="U56" s="182"/>
      <c r="V56" s="183"/>
      <c r="W56" s="169"/>
      <c r="X56" s="177"/>
      <c r="Y56" s="182"/>
      <c r="Z56" s="182"/>
      <c r="AA56" s="182"/>
      <c r="AB56" s="182"/>
      <c r="AC56" s="182"/>
      <c r="AD56" s="182"/>
      <c r="AE56" s="183"/>
      <c r="AF56" s="169"/>
      <c r="AG56" s="169"/>
    </row>
    <row r="57" spans="12:33" ht="12">
      <c r="L57" s="169"/>
      <c r="M57" s="169"/>
      <c r="N57" s="169"/>
      <c r="O57" s="177"/>
      <c r="P57" s="182"/>
      <c r="Q57" s="182"/>
      <c r="R57" s="182"/>
      <c r="S57" s="182"/>
      <c r="T57" s="182"/>
      <c r="U57" s="182"/>
      <c r="V57" s="183"/>
      <c r="W57" s="169"/>
      <c r="X57" s="177"/>
      <c r="Y57" s="182"/>
      <c r="Z57" s="182"/>
      <c r="AA57" s="182"/>
      <c r="AB57" s="182"/>
      <c r="AC57" s="182"/>
      <c r="AD57" s="182"/>
      <c r="AE57" s="183"/>
      <c r="AF57" s="169"/>
      <c r="AG57" s="169"/>
    </row>
    <row r="58" spans="12:33" ht="12.75">
      <c r="L58" s="169"/>
      <c r="M58" s="169"/>
      <c r="N58" s="169"/>
      <c r="O58" s="177"/>
      <c r="P58" s="190" t="s">
        <v>401</v>
      </c>
      <c r="Q58" s="182"/>
      <c r="R58" s="182"/>
      <c r="S58" s="182"/>
      <c r="T58" s="182"/>
      <c r="U58" s="182"/>
      <c r="V58" s="183"/>
      <c r="W58" s="169"/>
      <c r="X58" s="177"/>
      <c r="Y58" s="190" t="s">
        <v>401</v>
      </c>
      <c r="Z58" s="182"/>
      <c r="AA58" s="182"/>
      <c r="AB58" s="182"/>
      <c r="AC58" s="182"/>
      <c r="AD58" s="182"/>
      <c r="AE58" s="183"/>
      <c r="AF58" s="169"/>
      <c r="AG58" s="169"/>
    </row>
    <row r="59" spans="12:33" ht="12">
      <c r="L59" s="169"/>
      <c r="M59" s="169"/>
      <c r="N59" s="169"/>
      <c r="O59" s="177"/>
      <c r="P59" s="182"/>
      <c r="Q59" s="182"/>
      <c r="R59" s="182"/>
      <c r="S59" s="182"/>
      <c r="T59" s="182"/>
      <c r="U59" s="182"/>
      <c r="V59" s="183"/>
      <c r="W59" s="169"/>
      <c r="X59" s="177"/>
      <c r="Y59" s="182"/>
      <c r="Z59" s="182"/>
      <c r="AA59" s="182"/>
      <c r="AB59" s="182"/>
      <c r="AC59" s="182"/>
      <c r="AD59" s="182"/>
      <c r="AE59" s="183"/>
      <c r="AF59" s="169"/>
      <c r="AG59" s="169"/>
    </row>
    <row r="60" spans="12:33" ht="12">
      <c r="L60" s="169"/>
      <c r="M60" s="169"/>
      <c r="N60" s="169"/>
      <c r="O60" s="177"/>
      <c r="P60" s="208" t="s">
        <v>402</v>
      </c>
      <c r="Q60" s="209" t="s">
        <v>403</v>
      </c>
      <c r="R60" s="182"/>
      <c r="S60" s="182"/>
      <c r="T60" s="182"/>
      <c r="U60" s="182"/>
      <c r="V60" s="183"/>
      <c r="W60" s="169"/>
      <c r="X60" s="177"/>
      <c r="Y60" s="208" t="s">
        <v>402</v>
      </c>
      <c r="Z60" s="209" t="s">
        <v>403</v>
      </c>
      <c r="AA60" s="182"/>
      <c r="AB60" s="182"/>
      <c r="AC60" s="182"/>
      <c r="AD60" s="182"/>
      <c r="AE60" s="183"/>
      <c r="AF60" s="169"/>
      <c r="AG60" s="169"/>
    </row>
    <row r="61" spans="12:33" ht="12">
      <c r="L61" s="169"/>
      <c r="M61" s="169"/>
      <c r="N61" s="169"/>
      <c r="O61" s="177"/>
      <c r="P61" s="182"/>
      <c r="Q61" s="182"/>
      <c r="R61" s="182"/>
      <c r="S61" s="182"/>
      <c r="T61" s="182"/>
      <c r="U61" s="182"/>
      <c r="V61" s="183"/>
      <c r="W61" s="169"/>
      <c r="X61" s="177"/>
      <c r="Y61" s="182"/>
      <c r="Z61" s="182"/>
      <c r="AA61" s="182"/>
      <c r="AB61" s="182"/>
      <c r="AC61" s="182"/>
      <c r="AD61" s="182"/>
      <c r="AE61" s="183"/>
      <c r="AF61" s="169"/>
      <c r="AG61" s="169"/>
    </row>
    <row r="62" spans="12:33" ht="12.75">
      <c r="L62" s="169"/>
      <c r="M62" s="169"/>
      <c r="N62" s="169"/>
      <c r="O62" s="177"/>
      <c r="P62" s="197" t="s">
        <v>402</v>
      </c>
      <c r="Q62" s="211">
        <f>((Q16+Q29-Q46)*(U13)/((U22)*(U26)))*12</f>
        <v>33.09712763399624</v>
      </c>
      <c r="R62" s="212" t="s">
        <v>392</v>
      </c>
      <c r="S62" s="182"/>
      <c r="T62" s="182"/>
      <c r="U62" s="182"/>
      <c r="V62" s="183"/>
      <c r="W62" s="169"/>
      <c r="X62" s="177"/>
      <c r="Y62" s="197" t="s">
        <v>402</v>
      </c>
      <c r="Z62" s="211">
        <f>((Z16+Z29-Z46)*(AD13)/((AD22)*(AD26)))*12</f>
        <v>53.58639771214841</v>
      </c>
      <c r="AA62" s="212" t="s">
        <v>392</v>
      </c>
      <c r="AB62" s="182"/>
      <c r="AC62" s="182"/>
      <c r="AD62" s="182"/>
      <c r="AE62" s="183"/>
      <c r="AF62" s="169"/>
      <c r="AG62" s="169"/>
    </row>
    <row r="63" spans="12:33" ht="12">
      <c r="L63" s="169"/>
      <c r="M63" s="169"/>
      <c r="N63" s="169"/>
      <c r="O63" s="177"/>
      <c r="P63" s="182"/>
      <c r="Q63" s="182"/>
      <c r="R63" s="182"/>
      <c r="S63" s="182"/>
      <c r="T63" s="182"/>
      <c r="U63" s="182"/>
      <c r="V63" s="183"/>
      <c r="W63" s="169"/>
      <c r="X63" s="177"/>
      <c r="Y63" s="182"/>
      <c r="Z63" s="182"/>
      <c r="AA63" s="182"/>
      <c r="AB63" s="182"/>
      <c r="AC63" s="182"/>
      <c r="AD63" s="182"/>
      <c r="AE63" s="183"/>
      <c r="AF63" s="169"/>
      <c r="AG63" s="169"/>
    </row>
    <row r="64" spans="12:33" ht="12.75" thickBot="1">
      <c r="L64" s="169"/>
      <c r="M64" s="169"/>
      <c r="N64" s="169"/>
      <c r="O64" s="213"/>
      <c r="P64" s="214"/>
      <c r="Q64" s="214"/>
      <c r="R64" s="214"/>
      <c r="S64" s="214"/>
      <c r="T64" s="214"/>
      <c r="U64" s="214"/>
      <c r="V64" s="215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</row>
    <row r="65" spans="12:33" ht="12.75" thickTop="1"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</row>
    <row r="66" spans="12:33" ht="12"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</row>
  </sheetData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B52"/>
  <sheetViews>
    <sheetView zoomScalePageLayoutView="0" workbookViewId="0" topLeftCell="A1">
      <selection activeCell="A2" sqref="A2"/>
    </sheetView>
  </sheetViews>
  <sheetFormatPr defaultColWidth="11.421875" defaultRowHeight="12"/>
  <cols>
    <col min="1" max="1" width="47.28125" style="0" customWidth="1"/>
    <col min="2" max="2" width="59.7109375" style="0" customWidth="1"/>
  </cols>
  <sheetData>
    <row r="2" spans="1:2" ht="15">
      <c r="A2" s="165" t="s">
        <v>11</v>
      </c>
      <c r="B2" s="165" t="s">
        <v>343</v>
      </c>
    </row>
    <row r="3" spans="1:2" ht="15">
      <c r="A3" s="164"/>
      <c r="B3" s="165"/>
    </row>
    <row r="4" spans="1:2" ht="15">
      <c r="A4" s="165" t="s">
        <v>344</v>
      </c>
      <c r="B4" s="165" t="s">
        <v>345</v>
      </c>
    </row>
    <row r="6" spans="1:2" ht="15">
      <c r="A6" s="165" t="s">
        <v>346</v>
      </c>
      <c r="B6" s="165" t="s">
        <v>347</v>
      </c>
    </row>
    <row r="8" spans="1:2" ht="15">
      <c r="A8" s="165" t="s">
        <v>51</v>
      </c>
      <c r="B8" s="165" t="s">
        <v>348</v>
      </c>
    </row>
    <row r="10" spans="1:2" ht="15">
      <c r="A10" s="165" t="s">
        <v>53</v>
      </c>
      <c r="B10" s="165" t="s">
        <v>349</v>
      </c>
    </row>
    <row r="12" spans="1:2" ht="15">
      <c r="A12" s="165" t="s">
        <v>406</v>
      </c>
      <c r="B12" s="165" t="s">
        <v>405</v>
      </c>
    </row>
    <row r="13" ht="15">
      <c r="A13" s="165"/>
    </row>
    <row r="14" spans="1:2" ht="15">
      <c r="A14" s="165" t="s">
        <v>197</v>
      </c>
      <c r="B14" s="165" t="s">
        <v>414</v>
      </c>
    </row>
    <row r="15" ht="15">
      <c r="A15" s="165"/>
    </row>
    <row r="16" spans="1:2" ht="15">
      <c r="A16" s="165" t="s">
        <v>415</v>
      </c>
      <c r="B16" s="165" t="s">
        <v>416</v>
      </c>
    </row>
    <row r="17" ht="15">
      <c r="A17" s="165"/>
    </row>
    <row r="18" spans="1:2" ht="15">
      <c r="A18" s="165" t="s">
        <v>448</v>
      </c>
      <c r="B18" s="165" t="s">
        <v>459</v>
      </c>
    </row>
    <row r="19" ht="15">
      <c r="A19" s="165"/>
    </row>
    <row r="20" spans="1:2" ht="15">
      <c r="A20" s="165" t="s">
        <v>82</v>
      </c>
      <c r="B20" s="165" t="s">
        <v>460</v>
      </c>
    </row>
    <row r="21" ht="15">
      <c r="A21" s="165"/>
    </row>
    <row r="22" spans="1:2" ht="15">
      <c r="A22" s="165" t="s">
        <v>407</v>
      </c>
      <c r="B22" s="165" t="s">
        <v>461</v>
      </c>
    </row>
    <row r="24" spans="1:2" ht="15">
      <c r="A24" s="165" t="s">
        <v>88</v>
      </c>
      <c r="B24" s="165" t="s">
        <v>408</v>
      </c>
    </row>
    <row r="26" spans="1:2" ht="15">
      <c r="A26" s="165" t="s">
        <v>89</v>
      </c>
      <c r="B26" s="165" t="s">
        <v>411</v>
      </c>
    </row>
    <row r="28" spans="1:2" ht="15">
      <c r="A28" s="165" t="s">
        <v>90</v>
      </c>
      <c r="B28" s="165" t="s">
        <v>409</v>
      </c>
    </row>
    <row r="30" spans="1:2" ht="15">
      <c r="A30" s="165" t="s">
        <v>91</v>
      </c>
      <c r="B30" s="165" t="s">
        <v>410</v>
      </c>
    </row>
    <row r="32" spans="1:2" ht="15">
      <c r="A32" s="165" t="s">
        <v>412</v>
      </c>
      <c r="B32" s="165" t="s">
        <v>413</v>
      </c>
    </row>
    <row r="34" spans="1:2" ht="15">
      <c r="A34" s="165" t="s">
        <v>417</v>
      </c>
      <c r="B34" s="165" t="s">
        <v>418</v>
      </c>
    </row>
    <row r="36" spans="1:2" ht="15">
      <c r="A36" s="165" t="s">
        <v>94</v>
      </c>
      <c r="B36" s="165" t="s">
        <v>462</v>
      </c>
    </row>
    <row r="38" spans="1:2" ht="15">
      <c r="A38" s="165" t="s">
        <v>95</v>
      </c>
      <c r="B38" s="165" t="s">
        <v>463</v>
      </c>
    </row>
    <row r="40" spans="1:2" ht="15">
      <c r="A40" s="165" t="s">
        <v>419</v>
      </c>
      <c r="B40" s="165" t="s">
        <v>431</v>
      </c>
    </row>
    <row r="42" spans="1:2" ht="15">
      <c r="A42" s="165" t="s">
        <v>423</v>
      </c>
      <c r="B42" s="165" t="s">
        <v>424</v>
      </c>
    </row>
    <row r="44" spans="1:2" ht="15">
      <c r="A44" s="165" t="s">
        <v>420</v>
      </c>
      <c r="B44" s="165" t="s">
        <v>425</v>
      </c>
    </row>
    <row r="46" spans="1:2" ht="15">
      <c r="A46" s="165" t="s">
        <v>426</v>
      </c>
      <c r="B46" s="165" t="s">
        <v>427</v>
      </c>
    </row>
    <row r="48" spans="1:2" ht="15">
      <c r="A48" s="165" t="s">
        <v>422</v>
      </c>
      <c r="B48" s="165" t="s">
        <v>428</v>
      </c>
    </row>
    <row r="50" spans="1:2" ht="15">
      <c r="A50" s="165" t="s">
        <v>433</v>
      </c>
      <c r="B50" s="165" t="s">
        <v>464</v>
      </c>
    </row>
    <row r="52" spans="1:2" ht="15">
      <c r="A52" s="165" t="s">
        <v>434</v>
      </c>
      <c r="B52" s="165" t="s">
        <v>435</v>
      </c>
    </row>
  </sheetData>
  <sheetProtection/>
  <printOptions horizontalCentered="1" verticalCentered="1"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Springfield Nuclear Plant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Homer J. Simpson</dc:creator>
  <cp:keywords/>
  <dc:description/>
  <cp:lastModifiedBy>Mariano Lopez Garcia</cp:lastModifiedBy>
  <cp:lastPrinted>2001-05-01T21:10:46Z</cp:lastPrinted>
  <dcterms:created xsi:type="dcterms:W3CDTF">1999-04-10T15:33:45Z</dcterms:created>
  <dcterms:modified xsi:type="dcterms:W3CDTF">2016-08-30T18:44:27Z</dcterms:modified>
  <cp:category/>
  <cp:version/>
  <cp:contentType/>
  <cp:contentStatus/>
</cp:coreProperties>
</file>