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1_9.bin" ContentType="application/vnd.openxmlformats-officedocument.oleObject"/>
  <Override PartName="/xl/embeddings/oleObject_1_10.bin" ContentType="application/vnd.openxmlformats-officedocument.oleObject"/>
  <Override PartName="/xl/embeddings/oleObject_1_11.bin" ContentType="application/vnd.openxmlformats-officedocument.oleObject"/>
  <Override PartName="/xl/embeddings/oleObject_1_12.bin" ContentType="application/vnd.openxmlformats-officedocument.oleObject"/>
  <Override PartName="/xl/embeddings/oleObject_1_13.bin" ContentType="application/vnd.openxmlformats-officedocument.oleObject"/>
  <Override PartName="/xl/embeddings/oleObject_1_14.bin" ContentType="application/vnd.openxmlformats-officedocument.oleObject"/>
  <Override PartName="/xl/embeddings/oleObject_1_15.bin" ContentType="application/vnd.openxmlformats-officedocument.oleObject"/>
  <Override PartName="/xl/embeddings/oleObject_1_16.bin" ContentType="application/vnd.openxmlformats-officedocument.oleObject"/>
  <Override PartName="/xl/embeddings/oleObject_1_17.bin" ContentType="application/vnd.openxmlformats-officedocument.oleObject"/>
  <Override PartName="/xl/embeddings/oleObject_1_18.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6075" windowHeight="5895" tabRatio="884" firstSheet="1" activeTab="1"/>
  </bookViews>
  <sheets>
    <sheet name="I y II-Cálculos" sheetId="1" r:id="rId1"/>
    <sheet name="Presentación" sheetId="2" r:id="rId2"/>
    <sheet name="Z" sheetId="3" r:id="rId3"/>
    <sheet name="1º IPR" sheetId="4" r:id="rId4"/>
    <sheet name="Separador de gas" sheetId="5" r:id="rId5"/>
    <sheet name="Columna" sheetId="6" r:id="rId6"/>
    <sheet name="Presiones de casing" sheetId="7" r:id="rId7"/>
    <sheet name="Volumen de gas" sheetId="8" r:id="rId8"/>
    <sheet name="Tabla" sheetId="9" r:id="rId9"/>
    <sheet name="Gráfico presiones" sheetId="10" r:id="rId10"/>
    <sheet name="tubing" sheetId="11" r:id="rId11"/>
    <sheet name="formulas" sheetId="12" r:id="rId12"/>
  </sheets>
  <definedNames/>
  <calcPr fullCalcOnLoad="1"/>
</workbook>
</file>

<file path=xl/comments5.xml><?xml version="1.0" encoding="utf-8"?>
<comments xmlns="http://schemas.openxmlformats.org/spreadsheetml/2006/main">
  <authors>
    <author>MANERA</author>
  </authors>
  <commentList>
    <comment ref="B3" authorId="0">
      <text>
        <r>
          <rPr>
            <sz val="8"/>
            <rFont val="Tahoma"/>
            <family val="2"/>
          </rPr>
          <t>Colocamos la entrada al tubing al nivel inferior de los punzados.</t>
        </r>
      </text>
    </comment>
  </commentList>
</comments>
</file>

<file path=xl/sharedStrings.xml><?xml version="1.0" encoding="utf-8"?>
<sst xmlns="http://schemas.openxmlformats.org/spreadsheetml/2006/main" count="813" uniqueCount="566">
  <si>
    <t>Selección de libraje y grado de acero</t>
  </si>
  <si>
    <t>Teniendo en cuenta criterios de resistencia de materiales se verificó que la sarta de tubing seleccionada soportará los esfuerzos de tracción y de colapso a los cuales estará sometido. Teniendo presente que el tubing más solicitado a tracción es el que se encuentra en boca de pozo, se calculó el peso máximo que éste debía soportar en base a datos de tabla y profundidades y peso de tubing por unidad de longitud. Para verificar que la sarta soportará los esfuerzos de colapso, se verificó que la resistencia al colapso del tubing inferior (frente a los punzados) sea inferior a la presión hidrostática por entre columna. Los resultados se pueden observar en la siguiente tabla:</t>
  </si>
  <si>
    <t>Prof final de punzados</t>
  </si>
  <si>
    <t>Rsb=GOR</t>
  </si>
  <si>
    <t>Características del tubing</t>
  </si>
  <si>
    <t>Diámetro interior</t>
  </si>
  <si>
    <t>Diámetro Nominal</t>
  </si>
  <si>
    <t>Diámetro Interior</t>
  </si>
  <si>
    <t>libraje</t>
  </si>
  <si>
    <t>Longitud de la columna</t>
  </si>
  <si>
    <t>Cantidad de tubing</t>
  </si>
  <si>
    <t>Esfuerzo del tubing más solicitado</t>
  </si>
  <si>
    <t>Conclusión</t>
  </si>
  <si>
    <t>Resistencia al colapso</t>
  </si>
  <si>
    <t>lb/pie</t>
  </si>
  <si>
    <t>pulg2</t>
  </si>
  <si>
    <t>Área anular</t>
  </si>
  <si>
    <t>psi</t>
  </si>
  <si>
    <t>lbf</t>
  </si>
  <si>
    <t>área exterior</t>
  </si>
  <si>
    <t>área interior</t>
  </si>
  <si>
    <t xml:space="preserve">Diámetro nominal </t>
  </si>
  <si>
    <t>Diseño de la columna de tubing</t>
  </si>
  <si>
    <t>Long. de la columna</t>
  </si>
  <si>
    <t>Como se menciona en los anexos teóricos, un pozo será considerado autónomo para ser producido por un sistema plunger-lift, cuando la energía requerida la provee el gas que el propio pozo produce, la relación gas-líquido producida sea la adecuada y la recuperación de presión en el casing alcance los valores requeridos en un tiempo tal que la cantidad de ciclos a realizar por día permita obtener la producción prevista. Con este criterio, se ingresa a la siguiente tabla, con la presión de casing máxima que es capaz de levantar el pozo y la RGL del pozo (mínima para producir sin asistencia).</t>
  </si>
  <si>
    <t>Energía del yacimiento</t>
  </si>
  <si>
    <t>Asistencia con gas del yacimiento</t>
  </si>
  <si>
    <t>Pp</t>
  </si>
  <si>
    <t>Pls</t>
  </si>
  <si>
    <t>Plh</t>
  </si>
  <si>
    <t>XL</t>
  </si>
  <si>
    <t>D</t>
  </si>
  <si>
    <t>L</t>
  </si>
  <si>
    <t>psi/bbl</t>
  </si>
  <si>
    <t>pies</t>
  </si>
  <si>
    <t>Presión debida al pistón</t>
  </si>
  <si>
    <t>Presión de línea de salida</t>
  </si>
  <si>
    <t>Presión debida a la columna de líquido</t>
  </si>
  <si>
    <t>Altura de un barril de líquido en el tubing</t>
  </si>
  <si>
    <t>Tamaño del taco de líquido en fracción de barriles</t>
  </si>
  <si>
    <t>Profundidad del tubing</t>
  </si>
  <si>
    <t>Plf</t>
  </si>
  <si>
    <t>Presión debida a la fricción del líquido en el tubing</t>
  </si>
  <si>
    <t>pie/bbl</t>
  </si>
  <si>
    <t>stb/ciclo</t>
  </si>
  <si>
    <t>Coeficiente de fricción según Darcy-Weisbach</t>
  </si>
  <si>
    <t>f1</t>
  </si>
  <si>
    <t>V</t>
  </si>
  <si>
    <t>pie/seg</t>
  </si>
  <si>
    <t>d</t>
  </si>
  <si>
    <t>Factor debido a la fricción del gas en el tubing</t>
  </si>
  <si>
    <t>K</t>
  </si>
  <si>
    <t>fg</t>
  </si>
  <si>
    <t>Temperatura promedio del tubing</t>
  </si>
  <si>
    <t>Densidad específica del gas</t>
  </si>
  <si>
    <t>Gg</t>
  </si>
  <si>
    <t>T</t>
  </si>
  <si>
    <t>Factor de compresibilidad del gas</t>
  </si>
  <si>
    <t>R</t>
  </si>
  <si>
    <t>Constante universal del gas</t>
  </si>
  <si>
    <t>lb ft / °R lbm</t>
  </si>
  <si>
    <t>1/K</t>
  </si>
  <si>
    <t>Peso del pistón</t>
  </si>
  <si>
    <t>Y1</t>
  </si>
  <si>
    <t>m</t>
  </si>
  <si>
    <t>Datos de ensayo</t>
  </si>
  <si>
    <t>Porcentaje de agua</t>
  </si>
  <si>
    <t>%</t>
  </si>
  <si>
    <t>Presion de burbuja</t>
  </si>
  <si>
    <t>kg/cm2</t>
  </si>
  <si>
    <t>Caudal</t>
  </si>
  <si>
    <t>Nivel Dinam.</t>
  </si>
  <si>
    <t>Pwf</t>
  </si>
  <si>
    <t>mcd</t>
  </si>
  <si>
    <t>Indice de productividad</t>
  </si>
  <si>
    <t>mcd/kg/cm2</t>
  </si>
  <si>
    <t xml:space="preserve"> </t>
  </si>
  <si>
    <t>Presion estática</t>
  </si>
  <si>
    <t>Caudal a presion de saturacion</t>
  </si>
  <si>
    <t>m3/d</t>
  </si>
  <si>
    <t>Caudal maximo</t>
  </si>
  <si>
    <t>Intervalo</t>
  </si>
  <si>
    <t>TDH</t>
  </si>
  <si>
    <t>Q</t>
  </si>
  <si>
    <t>pwf</t>
  </si>
  <si>
    <t>pb</t>
  </si>
  <si>
    <t>adim</t>
  </si>
  <si>
    <t>Nivel dinámico</t>
  </si>
  <si>
    <t>m3/m3</t>
  </si>
  <si>
    <t>Factor volumetrico del gas</t>
  </si>
  <si>
    <t>Factor volumetrico del petroleo</t>
  </si>
  <si>
    <t>Peso de fluido</t>
  </si>
  <si>
    <t>Sobrerrecorrido del piston</t>
  </si>
  <si>
    <t>Estiramiento de  la sarta</t>
  </si>
  <si>
    <t>Estiramiento de  Tubing</t>
  </si>
  <si>
    <t>Carrera neta del piston</t>
  </si>
  <si>
    <t>Peso de la sarta en el aire</t>
  </si>
  <si>
    <t>Carga maxima</t>
  </si>
  <si>
    <t>Carga minima</t>
  </si>
  <si>
    <t>Efecto de contrapeso teórico</t>
  </si>
  <si>
    <t>Momento maximo del contrapeso</t>
  </si>
  <si>
    <t>Torque neto sobre el reductor</t>
  </si>
  <si>
    <t>Dimensional Data and Minimun Performance of Tubing Properties Made To  API</t>
  </si>
  <si>
    <t>Peso Nominal</t>
  </si>
  <si>
    <t>Wall</t>
  </si>
  <si>
    <t>Threaded and Coupled</t>
  </si>
  <si>
    <t>Col-</t>
  </si>
  <si>
    <t>Internal</t>
  </si>
  <si>
    <t>Joint Yield Strenght</t>
  </si>
  <si>
    <t>T &amp; C</t>
  </si>
  <si>
    <t>Thik-</t>
  </si>
  <si>
    <t>Cross</t>
  </si>
  <si>
    <t>Ca</t>
  </si>
  <si>
    <t>Drift</t>
  </si>
  <si>
    <t>Coupling OD</t>
  </si>
  <si>
    <t>lapse</t>
  </si>
  <si>
    <t>Yield</t>
  </si>
  <si>
    <t>In-</t>
  </si>
  <si>
    <t>Make-</t>
  </si>
  <si>
    <t>OD</t>
  </si>
  <si>
    <t>Non-</t>
  </si>
  <si>
    <t>ness</t>
  </si>
  <si>
    <t>ID</t>
  </si>
  <si>
    <t>section</t>
  </si>
  <si>
    <t>pa</t>
  </si>
  <si>
    <t>Dia.</t>
  </si>
  <si>
    <t>Upset</t>
  </si>
  <si>
    <t>Resis-</t>
  </si>
  <si>
    <t>Pres-</t>
  </si>
  <si>
    <t>tegral</t>
  </si>
  <si>
    <t>up</t>
  </si>
  <si>
    <t>(in.)</t>
  </si>
  <si>
    <t>Up</t>
  </si>
  <si>
    <t>area</t>
  </si>
  <si>
    <t>city</t>
  </si>
  <si>
    <t>Reg.</t>
  </si>
  <si>
    <t>Spec.</t>
  </si>
  <si>
    <t>tance</t>
  </si>
  <si>
    <t>sure</t>
  </si>
  <si>
    <t>Non-Up</t>
  </si>
  <si>
    <t>Joint</t>
  </si>
  <si>
    <t>torque</t>
  </si>
  <si>
    <t>(mm)</t>
  </si>
  <si>
    <t>(lb/ft)</t>
  </si>
  <si>
    <t>(lb/pie)</t>
  </si>
  <si>
    <t>(mm²)</t>
  </si>
  <si>
    <t>(gal/pie)</t>
  </si>
  <si>
    <t>Grade</t>
  </si>
  <si>
    <t>(psi)</t>
  </si>
  <si>
    <t>(lb)</t>
  </si>
  <si>
    <t>(lb x pie)</t>
  </si>
  <si>
    <t>(lt/m)</t>
  </si>
  <si>
    <t>OPTIMO</t>
  </si>
  <si>
    <t>H-40</t>
  </si>
  <si>
    <t>0,170</t>
  </si>
  <si>
    <t>J-55</t>
  </si>
  <si>
    <t>2,111</t>
  </si>
  <si>
    <t>C-75</t>
  </si>
  <si>
    <t>2.3/8"</t>
  </si>
  <si>
    <t>N-80</t>
  </si>
  <si>
    <t>(2,375")</t>
  </si>
  <si>
    <t>60.3</t>
  </si>
  <si>
    <t>0,162</t>
  </si>
  <si>
    <t>2,012</t>
  </si>
  <si>
    <t>P-105</t>
  </si>
  <si>
    <t>0,142</t>
  </si>
  <si>
    <t>1,763</t>
  </si>
  <si>
    <t>0,243</t>
  </si>
  <si>
    <t>2.7/8"</t>
  </si>
  <si>
    <t>3,018</t>
  </si>
  <si>
    <t>(2,875")</t>
  </si>
  <si>
    <t>0,384</t>
  </si>
  <si>
    <t>4,769</t>
  </si>
  <si>
    <t>3.1/2"</t>
  </si>
  <si>
    <t>(3.50")</t>
  </si>
  <si>
    <t>0,365</t>
  </si>
  <si>
    <t>4,533</t>
  </si>
  <si>
    <t>0,348</t>
  </si>
  <si>
    <t>4,322</t>
  </si>
  <si>
    <t>°F</t>
  </si>
  <si>
    <t>IP= Q / (Pws-Pwf)</t>
  </si>
  <si>
    <t>Inflow Perfomance Relationship    IPR</t>
  </si>
  <si>
    <t>Q/Qmax = 1- 0.2(Pwf/Pws) - 0.8(Pwf/Pws)^2</t>
  </si>
  <si>
    <t>Relacion gas en solucion/petroleo (Standing)</t>
  </si>
  <si>
    <t>Rs =0.1342 Dg (Pwf *10^.0125 °API / 10^.0091 T°F)^(1/.83)</t>
  </si>
  <si>
    <t>Bg = 0,00378 Z T/P</t>
  </si>
  <si>
    <t>Bo = 0.972 + 0,000147 (5.61 Rs (Dg/Do)^.5 + 1.25 T°F)^1.175</t>
  </si>
  <si>
    <t>Pf =( ND .DF/10 + THP).( Pi . DPB^2 / 4)</t>
  </si>
  <si>
    <t>Regimen de bombeo aproximado</t>
  </si>
  <si>
    <t>GPM(aprox) = Qnec / ( Area Piston . Carrera)</t>
  </si>
  <si>
    <t>Factor de aceleración (Mills)</t>
  </si>
  <si>
    <t>FA = Acel. Centr. /  Acel. Grav. = S. GPM^2 / 70500</t>
  </si>
  <si>
    <t>Sp = 1,55 . FA .( L /1000 )^2</t>
  </si>
  <si>
    <t>Ev = Pf . Lt1 / ( E.A1 ) + Pf . Lt2 / ( E.A2 ) + ...</t>
  </si>
  <si>
    <t>Et = Pf . Ltbg / (  E . Atbg )</t>
  </si>
  <si>
    <t>Sn = S + Sp - Ev - Et</t>
  </si>
  <si>
    <t>Desplazamiento real del piston</t>
  </si>
  <si>
    <t>Qreal = Ap . Sn . GPM</t>
  </si>
  <si>
    <t>Wr  = Nv1 . w1 + Nv2 .w2 + ...</t>
  </si>
  <si>
    <t>Efecto de Flotación</t>
  </si>
  <si>
    <t>Ef = Wr . (Ds/Df)</t>
  </si>
  <si>
    <t>Fuerzas dinámicas</t>
  </si>
  <si>
    <t>Fd = Wr . FA</t>
  </si>
  <si>
    <t>Fvmax = Wr - Ef + Fd + Pf</t>
  </si>
  <si>
    <t xml:space="preserve">Fvmin = Wr - Ef - Fd </t>
  </si>
  <si>
    <t>Tension maxima de fatiga (Goodman)</t>
  </si>
  <si>
    <t>Tmax = (Tfl / 4 + .5625 Tmin) . FS</t>
  </si>
  <si>
    <t>ECP = ( Fvmax + Fvmin ) / 2</t>
  </si>
  <si>
    <t>MCP = ECP . S / 2</t>
  </si>
  <si>
    <t>Torque producido por la carga maxima</t>
  </si>
  <si>
    <t>Tpmax =Fvmax . S / 2</t>
  </si>
  <si>
    <t>Tn = Tpmax - MCP</t>
  </si>
  <si>
    <t>Potencia necesaria (hidráulica)</t>
  </si>
  <si>
    <t>HP = Qn  . TDH / ( 8810 . Rend )</t>
  </si>
  <si>
    <t>Potencia necesaria (mecánica)</t>
  </si>
  <si>
    <t>HP = Tn  . GPM / 716</t>
  </si>
  <si>
    <t>Dg</t>
  </si>
  <si>
    <t>Pozo</t>
  </si>
  <si>
    <t>Dens. Relat. oil</t>
  </si>
  <si>
    <t>Nivel dinámico [mbbp]</t>
  </si>
  <si>
    <t>Y2</t>
  </si>
  <si>
    <t>Y3</t>
  </si>
  <si>
    <t>Y4</t>
  </si>
  <si>
    <t>Y5</t>
  </si>
  <si>
    <t>Y6</t>
  </si>
  <si>
    <t>Y7</t>
  </si>
  <si>
    <t>Y8</t>
  </si>
  <si>
    <t>Y9</t>
  </si>
  <si>
    <t>Temp. Fondo [ºF]</t>
  </si>
  <si>
    <t>Sistema de Bombeo</t>
  </si>
  <si>
    <t>Y10</t>
  </si>
  <si>
    <t>Y11</t>
  </si>
  <si>
    <t>Y12</t>
  </si>
  <si>
    <t>Y13</t>
  </si>
  <si>
    <t>Y14</t>
  </si>
  <si>
    <t>Y15</t>
  </si>
  <si>
    <t>Y16</t>
  </si>
  <si>
    <t>Y17</t>
  </si>
  <si>
    <t>Y18</t>
  </si>
  <si>
    <t>Y19</t>
  </si>
  <si>
    <t>Y20</t>
  </si>
  <si>
    <t>Y21</t>
  </si>
  <si>
    <t>Y22</t>
  </si>
  <si>
    <t>Y23</t>
  </si>
  <si>
    <t>Y24</t>
  </si>
  <si>
    <t>Y25</t>
  </si>
  <si>
    <r>
      <t>Qw [m</t>
    </r>
    <r>
      <rPr>
        <b/>
        <vertAlign val="superscript"/>
        <sz val="10"/>
        <color indexed="18"/>
        <rFont val="Arial"/>
        <family val="2"/>
      </rPr>
      <t>3</t>
    </r>
    <r>
      <rPr>
        <b/>
        <sz val="10"/>
        <color indexed="18"/>
        <rFont val="Arial"/>
        <family val="2"/>
      </rPr>
      <t>/d]</t>
    </r>
  </si>
  <si>
    <r>
      <t>Caudal [m</t>
    </r>
    <r>
      <rPr>
        <b/>
        <vertAlign val="superscript"/>
        <sz val="10"/>
        <color indexed="18"/>
        <rFont val="Arial"/>
        <family val="2"/>
      </rPr>
      <t>3</t>
    </r>
    <r>
      <rPr>
        <b/>
        <sz val="10"/>
        <color indexed="18"/>
        <rFont val="Arial"/>
        <family val="2"/>
      </rPr>
      <t>/d]</t>
    </r>
  </si>
  <si>
    <t>% agua</t>
  </si>
  <si>
    <r>
      <t>Pe [kg/cm</t>
    </r>
    <r>
      <rPr>
        <b/>
        <vertAlign val="superscript"/>
        <sz val="10"/>
        <color indexed="18"/>
        <rFont val="Arial"/>
        <family val="2"/>
      </rPr>
      <t>2</t>
    </r>
    <r>
      <rPr>
        <b/>
        <sz val="10"/>
        <color indexed="18"/>
        <rFont val="Arial"/>
        <family val="2"/>
      </rPr>
      <t>]</t>
    </r>
  </si>
  <si>
    <t>°API</t>
  </si>
  <si>
    <r>
      <t>Pwf [kg/cm</t>
    </r>
    <r>
      <rPr>
        <b/>
        <vertAlign val="superscript"/>
        <sz val="10"/>
        <color indexed="18"/>
        <rFont val="Arial"/>
        <family val="2"/>
      </rPr>
      <t>2</t>
    </r>
    <r>
      <rPr>
        <b/>
        <sz val="10"/>
        <color indexed="18"/>
        <rFont val="Arial"/>
        <family val="2"/>
      </rPr>
      <t>]</t>
    </r>
  </si>
  <si>
    <t>Pto. Escurr. [°C]</t>
  </si>
  <si>
    <t>Salin. Agua [grs/lts]</t>
  </si>
  <si>
    <r>
      <t>RGL [m</t>
    </r>
    <r>
      <rPr>
        <b/>
        <vertAlign val="superscript"/>
        <sz val="10"/>
        <color indexed="18"/>
        <rFont val="Arial"/>
        <family val="2"/>
      </rPr>
      <t>3</t>
    </r>
    <r>
      <rPr>
        <b/>
        <sz val="10"/>
        <color indexed="18"/>
        <rFont val="Arial"/>
        <family val="2"/>
      </rPr>
      <t>/m</t>
    </r>
    <r>
      <rPr>
        <b/>
        <vertAlign val="superscript"/>
        <sz val="10"/>
        <color indexed="18"/>
        <rFont val="Arial"/>
        <family val="2"/>
      </rPr>
      <t>3</t>
    </r>
    <r>
      <rPr>
        <b/>
        <sz val="10"/>
        <color indexed="18"/>
        <rFont val="Arial"/>
        <family val="2"/>
      </rPr>
      <t>]</t>
    </r>
  </si>
  <si>
    <t>Viscosidad [cp]</t>
  </si>
  <si>
    <t>Prof. [mbbp]</t>
  </si>
  <si>
    <t>Prof. Punz inicial [mbbp]</t>
  </si>
  <si>
    <t>Prof. Punz final [mbbp]</t>
  </si>
  <si>
    <t>Prof. Punz media [mbbp]</t>
  </si>
  <si>
    <t>Nivel estático [mbbp]</t>
  </si>
  <si>
    <t>Casing [pulg]</t>
  </si>
  <si>
    <t>POZO N°</t>
  </si>
  <si>
    <t>Electrosumergible</t>
  </si>
  <si>
    <t>Plunger Lift</t>
  </si>
  <si>
    <t>Bombeo Mecánico</t>
  </si>
  <si>
    <t>Dens. Relat. Agua</t>
  </si>
  <si>
    <t>mbbp</t>
  </si>
  <si>
    <t>Dens. Relat. De la Mezcla</t>
  </si>
  <si>
    <t>Densidad de la Mezcla</t>
  </si>
  <si>
    <r>
      <t>GOR [m</t>
    </r>
    <r>
      <rPr>
        <vertAlign val="superscript"/>
        <sz val="10"/>
        <color indexed="58"/>
        <rFont val="Arial"/>
        <family val="0"/>
      </rPr>
      <t>3</t>
    </r>
    <r>
      <rPr>
        <sz val="10"/>
        <color indexed="58"/>
        <rFont val="Arial"/>
        <family val="0"/>
      </rPr>
      <t>/m</t>
    </r>
    <r>
      <rPr>
        <vertAlign val="superscript"/>
        <sz val="10"/>
        <color indexed="58"/>
        <rFont val="Arial"/>
        <family val="0"/>
      </rPr>
      <t>3</t>
    </r>
    <r>
      <rPr>
        <sz val="10"/>
        <color indexed="58"/>
        <rFont val="Arial"/>
        <family val="0"/>
      </rPr>
      <t>]</t>
    </r>
  </si>
  <si>
    <r>
      <t>Pburbuja [kg/cm</t>
    </r>
    <r>
      <rPr>
        <vertAlign val="superscript"/>
        <sz val="10"/>
        <color indexed="58"/>
        <rFont val="Arial"/>
        <family val="0"/>
      </rPr>
      <t>2</t>
    </r>
    <r>
      <rPr>
        <sz val="10"/>
        <color indexed="58"/>
        <rFont val="Arial"/>
        <family val="0"/>
      </rPr>
      <t>]</t>
    </r>
  </si>
  <si>
    <r>
      <t>Rs [m</t>
    </r>
    <r>
      <rPr>
        <vertAlign val="superscript"/>
        <sz val="10"/>
        <color indexed="58"/>
        <rFont val="Arial"/>
        <family val="0"/>
      </rPr>
      <t>3</t>
    </r>
    <r>
      <rPr>
        <sz val="10"/>
        <color indexed="58"/>
        <rFont val="Arial"/>
        <family val="0"/>
      </rPr>
      <t>/m</t>
    </r>
    <r>
      <rPr>
        <vertAlign val="superscript"/>
        <sz val="10"/>
        <color indexed="58"/>
        <rFont val="Arial"/>
        <family val="0"/>
      </rPr>
      <t>3</t>
    </r>
    <r>
      <rPr>
        <sz val="10"/>
        <color indexed="58"/>
        <rFont val="Arial"/>
        <family val="0"/>
      </rPr>
      <t>]</t>
    </r>
  </si>
  <si>
    <r>
      <t>IP [(m</t>
    </r>
    <r>
      <rPr>
        <vertAlign val="superscript"/>
        <sz val="10"/>
        <color indexed="58"/>
        <rFont val="Arial"/>
        <family val="0"/>
      </rPr>
      <t>3</t>
    </r>
    <r>
      <rPr>
        <sz val="10"/>
        <color indexed="58"/>
        <rFont val="Arial"/>
        <family val="0"/>
      </rPr>
      <t>/d)/(kg/cm</t>
    </r>
    <r>
      <rPr>
        <vertAlign val="superscript"/>
        <sz val="10"/>
        <color indexed="58"/>
        <rFont val="Arial"/>
        <family val="0"/>
      </rPr>
      <t>2</t>
    </r>
    <r>
      <rPr>
        <sz val="10"/>
        <color indexed="58"/>
        <rFont val="Arial"/>
        <family val="0"/>
      </rPr>
      <t>)]</t>
    </r>
  </si>
  <si>
    <r>
      <t>Qmáx Vogel [m</t>
    </r>
    <r>
      <rPr>
        <vertAlign val="superscript"/>
        <sz val="10"/>
        <color indexed="58"/>
        <rFont val="Arial"/>
        <family val="0"/>
      </rPr>
      <t>3</t>
    </r>
    <r>
      <rPr>
        <sz val="10"/>
        <color indexed="58"/>
        <rFont val="Arial"/>
        <family val="0"/>
      </rPr>
      <t>/d]</t>
    </r>
  </si>
  <si>
    <t>Prof fijación bomba</t>
  </si>
  <si>
    <t>Columna de fluido</t>
  </si>
  <si>
    <r>
      <t>kg/cm</t>
    </r>
    <r>
      <rPr>
        <vertAlign val="superscript"/>
        <sz val="10"/>
        <rFont val="Arial"/>
        <family val="2"/>
      </rPr>
      <t>2</t>
    </r>
  </si>
  <si>
    <t>Temperatura de Fondo</t>
  </si>
  <si>
    <t>°K</t>
  </si>
  <si>
    <t>Z</t>
  </si>
  <si>
    <t>PIP (presión de sumergencia)</t>
  </si>
  <si>
    <t>Bg</t>
  </si>
  <si>
    <r>
      <t>m</t>
    </r>
    <r>
      <rPr>
        <vertAlign val="superscript"/>
        <sz val="10"/>
        <rFont val="Arial"/>
        <family val="2"/>
      </rPr>
      <t>3</t>
    </r>
    <r>
      <rPr>
        <sz val="10"/>
        <rFont val="Arial"/>
        <family val="0"/>
      </rPr>
      <t>/m</t>
    </r>
    <r>
      <rPr>
        <vertAlign val="superscript"/>
        <sz val="10"/>
        <rFont val="Arial"/>
        <family val="2"/>
      </rPr>
      <t>3</t>
    </r>
  </si>
  <si>
    <t xml:space="preserve">F </t>
  </si>
  <si>
    <t>adimensional</t>
  </si>
  <si>
    <t>Densidad relativa del petróleo</t>
  </si>
  <si>
    <t>Densidad rel. del gas</t>
  </si>
  <si>
    <t>Densidad rel. del petróleo</t>
  </si>
  <si>
    <t>Bo</t>
  </si>
  <si>
    <r>
      <t>Qo [m</t>
    </r>
    <r>
      <rPr>
        <b/>
        <vertAlign val="superscript"/>
        <sz val="10"/>
        <color indexed="18"/>
        <rFont val="Arial"/>
        <family val="2"/>
      </rPr>
      <t>3</t>
    </r>
    <r>
      <rPr>
        <b/>
        <sz val="10"/>
        <color indexed="18"/>
        <rFont val="Arial"/>
        <family val="2"/>
      </rPr>
      <t>/d]</t>
    </r>
  </si>
  <si>
    <t>GOR</t>
  </si>
  <si>
    <t>Caudal deseado</t>
  </si>
  <si>
    <t>Volumen total de fluidos</t>
  </si>
  <si>
    <t>RGL</t>
  </si>
  <si>
    <t xml:space="preserve">Viscosidad </t>
  </si>
  <si>
    <t>Salinidad</t>
  </si>
  <si>
    <t>Profundidad tope de punzados</t>
  </si>
  <si>
    <t>Profundidad base de punzados</t>
  </si>
  <si>
    <t>Profundidad media de punzados</t>
  </si>
  <si>
    <t>Diámetro de Casing</t>
  </si>
  <si>
    <t>Presión estática</t>
  </si>
  <si>
    <t>Presión dinámica</t>
  </si>
  <si>
    <t>Temperatura de boca</t>
  </si>
  <si>
    <t>cp</t>
  </si>
  <si>
    <t>grs/lt</t>
  </si>
  <si>
    <t>°C</t>
  </si>
  <si>
    <t>pulg</t>
  </si>
  <si>
    <t>Densidad relativa del agua</t>
  </si>
  <si>
    <t>Densidad relativa del gas</t>
  </si>
  <si>
    <t>Caudal máximo</t>
  </si>
  <si>
    <t>Temperatura de fondo</t>
  </si>
  <si>
    <t>Nivel estático</t>
  </si>
  <si>
    <t>Densidad relativa de la mezcla</t>
  </si>
  <si>
    <t>Temp a la prof de fijación de la bomba</t>
  </si>
  <si>
    <t>Temperatura a prof de bomba</t>
  </si>
  <si>
    <t>Punto de escurrimiento</t>
  </si>
  <si>
    <t>Densidad del petróleo</t>
  </si>
  <si>
    <t>Psc</t>
  </si>
  <si>
    <t>Tsc</t>
  </si>
  <si>
    <t>Grav espe</t>
  </si>
  <si>
    <t>T res [ºR]</t>
  </si>
  <si>
    <t>iteración</t>
  </si>
  <si>
    <t>zn</t>
  </si>
  <si>
    <r>
      <t>r</t>
    </r>
    <r>
      <rPr>
        <sz val="10"/>
        <rFont val="Arial"/>
        <family val="0"/>
      </rPr>
      <t>n</t>
    </r>
  </si>
  <si>
    <t>zn-1</t>
  </si>
  <si>
    <r>
      <t>r</t>
    </r>
    <r>
      <rPr>
        <sz val="10"/>
        <rFont val="Arial"/>
        <family val="0"/>
      </rPr>
      <t>n-1</t>
    </r>
  </si>
  <si>
    <t>fn</t>
  </si>
  <si>
    <t>fn-1</t>
  </si>
  <si>
    <t>zn+1</t>
  </si>
  <si>
    <r>
      <t>D</t>
    </r>
    <r>
      <rPr>
        <sz val="10"/>
        <rFont val="Arial"/>
        <family val="0"/>
      </rPr>
      <t>z%</t>
    </r>
  </si>
  <si>
    <t>P res [psi]</t>
  </si>
  <si>
    <t>inicial</t>
  </si>
  <si>
    <t>Ppr</t>
  </si>
  <si>
    <t>Tpr</t>
  </si>
  <si>
    <t>A1</t>
  </si>
  <si>
    <t>A2</t>
  </si>
  <si>
    <t>A3</t>
  </si>
  <si>
    <t>A4</t>
  </si>
  <si>
    <t>A5</t>
  </si>
  <si>
    <t>A6</t>
  </si>
  <si>
    <t>A7</t>
  </si>
  <si>
    <t>A8</t>
  </si>
  <si>
    <t>A9</t>
  </si>
  <si>
    <t>A10</t>
  </si>
  <si>
    <t>A11</t>
  </si>
  <si>
    <t>c1</t>
  </si>
  <si>
    <t>c2</t>
  </si>
  <si>
    <t>c3</t>
  </si>
  <si>
    <t>Diámetro de Tubing</t>
  </si>
  <si>
    <t>Peso del Casing</t>
  </si>
  <si>
    <t>Peso del Tubing</t>
  </si>
  <si>
    <t>kg/m</t>
  </si>
  <si>
    <t>Se elige dicho sistema de extracción debido a las características de producción del pozo:</t>
  </si>
  <si>
    <t>Para la selección del equipo adecuado se llevan a cabo los siguientes pasos:</t>
  </si>
  <si>
    <t>Prof de instalación de la bomba</t>
  </si>
  <si>
    <t>PASO I. Características del pozo.</t>
  </si>
  <si>
    <t>Diámetro del casing</t>
  </si>
  <si>
    <t>Datos de Producción</t>
  </si>
  <si>
    <t>Datos generales del pozo</t>
  </si>
  <si>
    <t>Profundidad perforada</t>
  </si>
  <si>
    <t xml:space="preserve">m </t>
  </si>
  <si>
    <t>Presión de burbuja</t>
  </si>
  <si>
    <r>
      <t>kg/cm</t>
    </r>
    <r>
      <rPr>
        <vertAlign val="superscript"/>
        <sz val="12"/>
        <rFont val="Times New Roman"/>
        <family val="1"/>
      </rPr>
      <t>2</t>
    </r>
  </si>
  <si>
    <r>
      <t>m</t>
    </r>
    <r>
      <rPr>
        <vertAlign val="superscript"/>
        <sz val="12"/>
        <rFont val="Times New Roman"/>
        <family val="1"/>
      </rPr>
      <t>3</t>
    </r>
    <r>
      <rPr>
        <sz val="12"/>
        <rFont val="Times New Roman"/>
        <family val="1"/>
      </rPr>
      <t>/m</t>
    </r>
    <r>
      <rPr>
        <vertAlign val="superscript"/>
        <sz val="12"/>
        <rFont val="Times New Roman"/>
        <family val="1"/>
      </rPr>
      <t>3</t>
    </r>
  </si>
  <si>
    <r>
      <t>m</t>
    </r>
    <r>
      <rPr>
        <vertAlign val="superscript"/>
        <sz val="12"/>
        <rFont val="Times New Roman"/>
        <family val="1"/>
      </rPr>
      <t>3</t>
    </r>
    <r>
      <rPr>
        <sz val="12"/>
        <rFont val="Times New Roman"/>
        <family val="1"/>
      </rPr>
      <t>/d</t>
    </r>
  </si>
  <si>
    <t>PASO II. Capacidad de Producción</t>
  </si>
  <si>
    <t>En el cálculo de la productividad del pozo se asume una eficiencia de flujo igual a 1. Daños del pozo u otros factores como pseudodaños afectarán esta eficiencia, cambiando el régimen de producción.</t>
  </si>
  <si>
    <t>Relación gas disuelto/petróleo</t>
  </si>
  <si>
    <t>Pwf a nivel de los punzados</t>
  </si>
  <si>
    <r>
      <t>m</t>
    </r>
    <r>
      <rPr>
        <b/>
        <vertAlign val="superscript"/>
        <sz val="12"/>
        <rFont val="Times New Roman"/>
        <family val="1"/>
      </rPr>
      <t>3</t>
    </r>
    <r>
      <rPr>
        <b/>
        <sz val="12"/>
        <rFont val="Times New Roman"/>
        <family val="1"/>
      </rPr>
      <t>/m</t>
    </r>
    <r>
      <rPr>
        <b/>
        <vertAlign val="superscript"/>
        <sz val="12"/>
        <rFont val="Times New Roman"/>
        <family val="1"/>
      </rPr>
      <t>3</t>
    </r>
  </si>
  <si>
    <t>Factor de volumen de gas</t>
  </si>
  <si>
    <t>Se puede calcular con la siguiente expresión:</t>
  </si>
  <si>
    <t>Factor volumétrico de petróleo</t>
  </si>
  <si>
    <t>Tipo</t>
  </si>
  <si>
    <t>Z puede estimarse por un método iterativo (método de la secante), utilizando la ecuación de Hall-Yarborough como sigue:</t>
  </si>
  <si>
    <t>kg</t>
  </si>
  <si>
    <t>Caudal de producción actual</t>
  </si>
  <si>
    <t xml:space="preserve"> Agua</t>
  </si>
  <si>
    <t>Condiciones del fluido del pozo</t>
  </si>
  <si>
    <t>Fuente de Energía</t>
  </si>
  <si>
    <t>GOR=Rsb</t>
  </si>
  <si>
    <t>Presión de descarga requerida</t>
  </si>
  <si>
    <t>IP [mcd/(kg/cm2)]</t>
  </si>
  <si>
    <t>Índice de Productividad (IP). Inflow Performance Relationship (IPR).</t>
  </si>
  <si>
    <r>
      <t>Si la P</t>
    </r>
    <r>
      <rPr>
        <vertAlign val="subscript"/>
        <sz val="12"/>
        <rFont val="Times New Roman"/>
        <family val="1"/>
      </rPr>
      <t>wf</t>
    </r>
    <r>
      <rPr>
        <sz val="12"/>
        <rFont val="Times New Roman"/>
        <family val="1"/>
      </rPr>
      <t>&gt;P</t>
    </r>
    <r>
      <rPr>
        <vertAlign val="subscript"/>
        <sz val="12"/>
        <rFont val="Times New Roman"/>
        <family val="1"/>
      </rPr>
      <t>b</t>
    </r>
    <r>
      <rPr>
        <sz val="12"/>
        <rFont val="Times New Roman"/>
        <family val="1"/>
      </rPr>
      <t xml:space="preserve"> se usará el método del IP, donde la gráfica P vs Q será una línea recta. Por debajo de la P</t>
    </r>
    <r>
      <rPr>
        <vertAlign val="subscript"/>
        <sz val="12"/>
        <rFont val="Times New Roman"/>
        <family val="1"/>
      </rPr>
      <t>b</t>
    </r>
    <r>
      <rPr>
        <sz val="12"/>
        <rFont val="Times New Roman"/>
        <family val="1"/>
      </rPr>
      <t xml:space="preserve"> se utilizará el método de Vogel, el cual tiene una aproximación de 2º grado al comportamiento P vs Q. Los datos para la construcción de estas curvas se obtienen de ensayos de producción, y la curva que se construye se denomina I.P.R.(inflow performance relationship).</t>
    </r>
  </si>
  <si>
    <r>
      <t>El método que utilizaremos en este caso es el de Vogel debido a que P</t>
    </r>
    <r>
      <rPr>
        <vertAlign val="subscript"/>
        <sz val="12"/>
        <rFont val="Times New Roman"/>
        <family val="1"/>
      </rPr>
      <t>wf</t>
    </r>
    <r>
      <rPr>
        <sz val="12"/>
        <rFont val="Times New Roman"/>
        <family val="1"/>
      </rPr>
      <t>&lt;P</t>
    </r>
    <r>
      <rPr>
        <vertAlign val="subscript"/>
        <sz val="12"/>
        <rFont val="Times New Roman"/>
        <family val="1"/>
      </rPr>
      <t>b</t>
    </r>
    <r>
      <rPr>
        <sz val="12"/>
        <rFont val="Times New Roman"/>
        <family val="1"/>
      </rPr>
      <t xml:space="preserve"> . Este método considera que se está liberando gas del petróleo y el flujo en la conducción es bifásica (líq-gas).</t>
    </r>
  </si>
  <si>
    <r>
      <t>Con los datos consignados en el paso I y con los valores de las tablas mostradas aquí, construimos la curva del IPR, la cual nos arrojará el valor de caudal deseado, se toma normalmente como un 90% del potencial del pozo, o caudal que se obtendría si P</t>
    </r>
    <r>
      <rPr>
        <vertAlign val="subscript"/>
        <sz val="12"/>
        <rFont val="Times New Roman"/>
        <family val="1"/>
      </rPr>
      <t>wf</t>
    </r>
    <r>
      <rPr>
        <sz val="12"/>
        <rFont val="Times New Roman"/>
        <family val="1"/>
      </rPr>
      <t xml:space="preserve">  fuese igual a cero.</t>
    </r>
  </si>
  <si>
    <t>Dens.relat.</t>
  </si>
  <si>
    <t>Grado de acero de Casing</t>
  </si>
  <si>
    <t>A fin de seleccionar el equipo adecuado se realizan los siguientes cálculos.</t>
  </si>
  <si>
    <t>Para contribuir a la eficiencia del sistema, se intentará hacer producir el pozo con el nivel dinámico lo más cercano posible a la profundidad inicial de punzados. Además se colocará la entrada al tubing en la profundidad final de punzados. Cabe destacar, que todo esto traerá aparejado una mayor separación de gas por un efecto de separación natural y, además, una menor cantidad de gas libre a nivel de punzados (Rs mayor).</t>
  </si>
  <si>
    <t>Selección de diámetro</t>
  </si>
  <si>
    <t>Resistencia a la tracción</t>
  </si>
  <si>
    <t>N° de Reynolds</t>
  </si>
  <si>
    <t>Re</t>
  </si>
  <si>
    <t>Velocidad (valor práctico)</t>
  </si>
  <si>
    <t>Viscosidad de la mezcla</t>
  </si>
  <si>
    <t>Coeficiente de fricción según Darcy-Weisbach (líq)</t>
  </si>
  <si>
    <t>Presión mínima de casing para que el taco llegue a la sup.</t>
  </si>
  <si>
    <t>Pc mín</t>
  </si>
  <si>
    <t>Presión necesaria para iniciar el movimiento del taco la apertura</t>
  </si>
  <si>
    <t>Pc máx</t>
  </si>
  <si>
    <t>Volumen de tubing</t>
  </si>
  <si>
    <t>Vt</t>
  </si>
  <si>
    <t>Temperatura promedio</t>
  </si>
  <si>
    <t>pie3</t>
  </si>
  <si>
    <t>°R</t>
  </si>
  <si>
    <t>C</t>
  </si>
  <si>
    <t>Pc mín [psi]</t>
  </si>
  <si>
    <t>Pc máx [psi]</t>
  </si>
  <si>
    <t>P tubing [psi]</t>
  </si>
  <si>
    <t>Vg [SCF/ciclo]</t>
  </si>
  <si>
    <t>RGL mín [SCF/stb]</t>
  </si>
  <si>
    <t>Características del casing</t>
  </si>
  <si>
    <t>Diámetro exterior</t>
  </si>
  <si>
    <t>mm</t>
  </si>
  <si>
    <t>Sección anular</t>
  </si>
  <si>
    <t>Área del casing</t>
  </si>
  <si>
    <t>RGL del pozo</t>
  </si>
  <si>
    <t>SCF/bbl</t>
  </si>
  <si>
    <t xml:space="preserve">Máxima presión de casing </t>
  </si>
  <si>
    <t>RGL mínima del pozo</t>
  </si>
  <si>
    <r>
      <t>kg/cm</t>
    </r>
    <r>
      <rPr>
        <b/>
        <vertAlign val="superscript"/>
        <sz val="12"/>
        <rFont val="Times New Roman"/>
        <family val="1"/>
      </rPr>
      <t>2</t>
    </r>
  </si>
  <si>
    <t>Tamaño de taco seleccionado</t>
  </si>
  <si>
    <t>Tiempo disponible para cada ciclo</t>
  </si>
  <si>
    <t>Tamaño del taco</t>
  </si>
  <si>
    <t>Cantidad de ciclos diarios</t>
  </si>
  <si>
    <t>n</t>
  </si>
  <si>
    <t>tciclo</t>
  </si>
  <si>
    <t>ciclos/día</t>
  </si>
  <si>
    <t>minutos</t>
  </si>
  <si>
    <t>Tiempo máximo de subida del pistón</t>
  </si>
  <si>
    <t>tsubmáx</t>
  </si>
  <si>
    <t>Tiempo máximo de cierre del pozo</t>
  </si>
  <si>
    <t>tcerr</t>
  </si>
  <si>
    <t>STB/ciclo</t>
  </si>
  <si>
    <t>XL         [STB/ciclo]</t>
  </si>
  <si>
    <t>Cantidad de ciclos (n)</t>
  </si>
  <si>
    <r>
      <t>Tiempo disponible para cada ciclo (t</t>
    </r>
    <r>
      <rPr>
        <vertAlign val="subscript"/>
        <sz val="12"/>
        <rFont val="Times New Roman"/>
        <family val="1"/>
      </rPr>
      <t>ciclo</t>
    </r>
    <r>
      <rPr>
        <sz val="12"/>
        <rFont val="Times New Roman"/>
        <family val="1"/>
      </rPr>
      <t>)</t>
    </r>
  </si>
  <si>
    <r>
      <t>Tiempo máximo de subida del pistón (t</t>
    </r>
    <r>
      <rPr>
        <vertAlign val="subscript"/>
        <sz val="12"/>
        <rFont val="Times New Roman"/>
        <family val="1"/>
      </rPr>
      <t>sub máx</t>
    </r>
    <r>
      <rPr>
        <sz val="12"/>
        <rFont val="Times New Roman"/>
        <family val="1"/>
      </rPr>
      <t>)</t>
    </r>
  </si>
  <si>
    <r>
      <t>Tiempo máximo de cierre de pozo (t</t>
    </r>
    <r>
      <rPr>
        <vertAlign val="subscript"/>
        <sz val="12"/>
        <rFont val="Times New Roman"/>
        <family val="1"/>
      </rPr>
      <t>cierre</t>
    </r>
    <r>
      <rPr>
        <sz val="12"/>
        <rFont val="Times New Roman"/>
        <family val="1"/>
      </rPr>
      <t>)</t>
    </r>
  </si>
  <si>
    <r>
      <t>Tiempo de descenso del pistón (t</t>
    </r>
    <r>
      <rPr>
        <vertAlign val="subscript"/>
        <sz val="12"/>
        <rFont val="Times New Roman"/>
        <family val="1"/>
      </rPr>
      <t>desc</t>
    </r>
    <r>
      <rPr>
        <sz val="12"/>
        <rFont val="Times New Roman"/>
        <family val="1"/>
      </rPr>
      <t>)</t>
    </r>
  </si>
  <si>
    <t>El tiempo de descenso del pistón debe ser inferior al tiempo de cierre disponible para cada ciclo, condición fundamental para el funcionamiento del sistema plunger lift.</t>
  </si>
  <si>
    <t>Tiempo de descenso del pistón</t>
  </si>
  <si>
    <t>tdesc</t>
  </si>
  <si>
    <t>PASO III. Diseño de Columna de Tubing</t>
  </si>
  <si>
    <t>En este paso se seleccionará el caudal requerido en superficie, el cual se intentará que se aproxime lo máximo posible al caudal máximo de Vogel. Para esto, se deberá procurar tener en punzados una cantidad de líquidos mayor debido a que a medida que el petróleo asciende a superficie comenzará a perder livianos, reduciendo su volumen considerablemente y por lo tanto el caudal diario será menor al requerido. Para analizar lo anterior se realizan los sigiuentes cálculos:</t>
  </si>
  <si>
    <r>
      <t>Se calculan a la presión de reservorio P</t>
    </r>
    <r>
      <rPr>
        <vertAlign val="subscript"/>
        <sz val="12"/>
        <rFont val="Times New Roman"/>
        <family val="1"/>
      </rPr>
      <t>e</t>
    </r>
    <r>
      <rPr>
        <sz val="12"/>
        <rFont val="Times New Roman"/>
        <family val="1"/>
      </rPr>
      <t xml:space="preserve"> y a la dinámica de fondo para así determinar cuanto gas permanece solubilizado en el petróleo en la zona de los punzados, y así determinar por diferencia el gas que se desprendió al ingreso al pozo donde P=P</t>
    </r>
    <r>
      <rPr>
        <vertAlign val="subscript"/>
        <sz val="12"/>
        <rFont val="Times New Roman"/>
        <family val="1"/>
      </rPr>
      <t>ht</t>
    </r>
    <r>
      <rPr>
        <sz val="12"/>
        <rFont val="Times New Roman"/>
        <family val="1"/>
      </rPr>
      <t xml:space="preserve">. </t>
    </r>
  </si>
  <si>
    <t>La presión hidrostática se toma considerando la altura de fluido sobre el final de la sarta de tubing como la diferencia entre ésta y el nivel dinámico del fluido con densidad media (en función del contenido de agua y de sales). Además se le adiciona la presión hidrostática media (entre la presión de casing mínima y la máxima) debido al gas inyectado para asistirlo.</t>
  </si>
  <si>
    <t>Presión media de casing</t>
  </si>
  <si>
    <t>Pc media</t>
  </si>
  <si>
    <t>Rs a Pht</t>
  </si>
  <si>
    <t>Rs a Pe</t>
  </si>
  <si>
    <t>Densidad API</t>
  </si>
  <si>
    <t>Pht</t>
  </si>
  <si>
    <r>
      <t>Luego el valor de B</t>
    </r>
    <r>
      <rPr>
        <vertAlign val="subscript"/>
        <sz val="12"/>
        <rFont val="Times New Roman"/>
        <family val="1"/>
      </rPr>
      <t>g</t>
    </r>
    <r>
      <rPr>
        <sz val="12"/>
        <rFont val="Times New Roman"/>
        <family val="1"/>
      </rPr>
      <t xml:space="preserve"> para este valor de Z, T[°K] de fondo, y P[Kg/cm</t>
    </r>
    <r>
      <rPr>
        <vertAlign val="superscript"/>
        <sz val="12"/>
        <rFont val="Times New Roman"/>
        <family val="1"/>
      </rPr>
      <t>2</t>
    </r>
    <r>
      <rPr>
        <sz val="12"/>
        <rFont val="Times New Roman"/>
        <family val="1"/>
      </rPr>
      <t>] que es la Pht, es:</t>
    </r>
  </si>
  <si>
    <r>
      <t>Presión media de casing (P</t>
    </r>
    <r>
      <rPr>
        <vertAlign val="subscript"/>
        <sz val="12"/>
        <rFont val="Times New Roman"/>
        <family val="1"/>
      </rPr>
      <t>c med</t>
    </r>
    <r>
      <rPr>
        <sz val="12"/>
        <rFont val="Times New Roman"/>
        <family val="1"/>
      </rPr>
      <t>)</t>
    </r>
  </si>
  <si>
    <r>
      <t>Presión hidrostática (P</t>
    </r>
    <r>
      <rPr>
        <vertAlign val="subscript"/>
        <sz val="12"/>
        <rFont val="Times New Roman"/>
        <family val="1"/>
      </rPr>
      <t>hp</t>
    </r>
    <r>
      <rPr>
        <sz val="12"/>
        <rFont val="Times New Roman"/>
        <family val="1"/>
      </rPr>
      <t>)</t>
    </r>
  </si>
  <si>
    <r>
      <t>Presión hidrostática total (P</t>
    </r>
    <r>
      <rPr>
        <vertAlign val="subscript"/>
        <sz val="12"/>
        <rFont val="Times New Roman"/>
        <family val="1"/>
      </rPr>
      <t>ht</t>
    </r>
    <r>
      <rPr>
        <sz val="12"/>
        <rFont val="Times New Roman"/>
        <family val="1"/>
      </rPr>
      <t>)</t>
    </r>
  </si>
  <si>
    <t>Se selecciona el equipamiento adecuado de acuerdo a las características del pozo, utilizando el catálogo Camco.</t>
  </si>
  <si>
    <t>Plunger</t>
  </si>
  <si>
    <t>BN-64</t>
  </si>
  <si>
    <t>Lubricador</t>
  </si>
  <si>
    <t>Catcher</t>
  </si>
  <si>
    <t>Amortiguador (Bumper String)</t>
  </si>
  <si>
    <t>Controlador                     de tiempo</t>
  </si>
  <si>
    <t>Serie B</t>
  </si>
  <si>
    <t>Tamaño     2 1/2</t>
  </si>
  <si>
    <t>Diámetro metal</t>
  </si>
  <si>
    <t>Diámetro aletas</t>
  </si>
  <si>
    <t>Longitud</t>
  </si>
  <si>
    <t xml:space="preserve">Tamaño    </t>
  </si>
  <si>
    <t xml:space="preserve">TIPO B </t>
  </si>
  <si>
    <t>TIPO B-1</t>
  </si>
  <si>
    <t>Esf. del tubing más solicitado</t>
  </si>
  <si>
    <t>PASO V. Determinación de pozo autónomo o asistido</t>
  </si>
  <si>
    <t>PASO VI. Determinación de caudales.</t>
  </si>
  <si>
    <t>Paso VII. Sistema.</t>
  </si>
  <si>
    <t>Paso VIII. Equipamiento</t>
  </si>
  <si>
    <r>
      <t>Presión de casing mínima:</t>
    </r>
    <r>
      <rPr>
        <sz val="12"/>
        <rFont val="Times New Roman"/>
        <family val="1"/>
      </rPr>
      <t xml:space="preserve"> es la presión mínima de casing para que el taco de líquido llegue a la superficie.</t>
    </r>
  </si>
  <si>
    <r>
      <t>Presión de casing máxima:</t>
    </r>
    <r>
      <rPr>
        <sz val="12"/>
        <rFont val="Times New Roman"/>
        <family val="1"/>
      </rPr>
      <t xml:space="preserve"> es el valor de presión necesario para iniciar el movimiento del taco de líquido en el momento de la apertura del pozo.</t>
    </r>
  </si>
  <si>
    <t>Siendo:</t>
  </si>
  <si>
    <t>Pp: presión debida al pistón</t>
  </si>
  <si>
    <t>Pls: presión de la línea de salida</t>
  </si>
  <si>
    <t>XL: tamaño del taco de líquido en fracción de barriles</t>
  </si>
  <si>
    <t>Plh: presión debida a la columna de líquido</t>
  </si>
  <si>
    <t>D: profundidad del tubing</t>
  </si>
  <si>
    <t>Se adopta un peso de pistón aproximado considerando que generalmente tienen 24 pulgadas de longitud y son de metal, por lo tanto se supone un peso de 12 kg. Luego se calcula la presión que ejerce en el interior del tubing.</t>
  </si>
  <si>
    <r>
      <t>P</t>
    </r>
    <r>
      <rPr>
        <vertAlign val="subscript"/>
        <sz val="12"/>
        <rFont val="Times New Roman"/>
        <family val="1"/>
      </rPr>
      <t>p</t>
    </r>
  </si>
  <si>
    <t>Se adopta un valor de presión tal que asegure la llegada del fluido al tanque, venciendo las pérdidas de carga generadas por las líneas de producción, separador, etc.</t>
  </si>
  <si>
    <r>
      <t>P</t>
    </r>
    <r>
      <rPr>
        <vertAlign val="subscript"/>
        <sz val="12"/>
        <rFont val="Times New Roman"/>
        <family val="1"/>
      </rPr>
      <t>ls</t>
    </r>
  </si>
  <si>
    <t>S: peso específico del fluido a elevar</t>
  </si>
  <si>
    <t>L: altura de un barril de líquido en el tubing</t>
  </si>
  <si>
    <r>
      <t>P</t>
    </r>
    <r>
      <rPr>
        <vertAlign val="subscript"/>
        <sz val="12"/>
        <rFont val="Times New Roman"/>
        <family val="1"/>
      </rPr>
      <t>lh</t>
    </r>
  </si>
  <si>
    <t>pies/bbl</t>
  </si>
  <si>
    <t>Plf: presión debida a la fricción del líquido en el tubing</t>
  </si>
  <si>
    <r>
      <t>P</t>
    </r>
    <r>
      <rPr>
        <vertAlign val="subscript"/>
        <sz val="12"/>
        <rFont val="Times New Roman"/>
        <family val="1"/>
      </rPr>
      <t>lf</t>
    </r>
  </si>
  <si>
    <t>diámetro interior del  tubing</t>
  </si>
  <si>
    <t>f: coeficiente de fricción de Darcy-Weisbach</t>
  </si>
  <si>
    <t>V: velocidad de ascenso del fluido</t>
  </si>
  <si>
    <t>d: diámetro interior del tubing</t>
  </si>
  <si>
    <t>pies/seg</t>
  </si>
  <si>
    <t>R: constante universal de los gases</t>
  </si>
  <si>
    <t>fg: coeficiente de fricción de Darcy-Weisbach</t>
  </si>
  <si>
    <t>lbf ft/°R lbm</t>
  </si>
  <si>
    <t>T: temperatura promedio del tubing</t>
  </si>
  <si>
    <t>K: factor debido a la fricción del gas en el tubing</t>
  </si>
  <si>
    <t>Aa: área anular</t>
  </si>
  <si>
    <t>At: área interior del tubing</t>
  </si>
  <si>
    <t>Volumen de gas producido en cada ciclo</t>
  </si>
  <si>
    <t>Paso IV. Determinación de presiones.</t>
  </si>
  <si>
    <t>Vtbg: volumen de tubing</t>
  </si>
  <si>
    <r>
      <t>pies</t>
    </r>
    <r>
      <rPr>
        <vertAlign val="superscript"/>
        <sz val="12"/>
        <rFont val="Times New Roman"/>
        <family val="1"/>
      </rPr>
      <t>3</t>
    </r>
  </si>
  <si>
    <t>Aa</t>
  </si>
  <si>
    <t>At</t>
  </si>
  <si>
    <t>Vtbg</t>
  </si>
  <si>
    <t>C: factor de corrección debido al gas que pasa a través del sello hidroneumático entre el pistón y el tubing, se asume 2% cada 1000 pies según Foss y Gaul.</t>
  </si>
  <si>
    <t>Determinación de la relación gas-líquido mínima (RGLmín)</t>
  </si>
  <si>
    <t>PASO V. Cálculos de volumen de gas (Vg) y RGL mínima.</t>
  </si>
  <si>
    <t>Gas libre en los punzados</t>
  </si>
  <si>
    <t>Caudal de líquido en los punzados</t>
  </si>
  <si>
    <t>Gg: peso específico del gas</t>
  </si>
  <si>
    <r>
      <t>Rs</t>
    </r>
    <r>
      <rPr>
        <b/>
        <vertAlign val="subscript"/>
        <sz val="12"/>
        <rFont val="Times New Roman"/>
        <family val="1"/>
      </rPr>
      <t xml:space="preserve"> </t>
    </r>
    <r>
      <rPr>
        <b/>
        <sz val="12"/>
        <rFont val="Times New Roman"/>
        <family val="1"/>
      </rPr>
      <t>a P</t>
    </r>
    <r>
      <rPr>
        <b/>
        <vertAlign val="subscript"/>
        <sz val="12"/>
        <rFont val="Times New Roman"/>
        <family val="1"/>
      </rPr>
      <t>ht</t>
    </r>
  </si>
  <si>
    <r>
      <t>Rs a P</t>
    </r>
    <r>
      <rPr>
        <vertAlign val="subscript"/>
        <sz val="12"/>
        <rFont val="Times New Roman"/>
        <family val="1"/>
      </rPr>
      <t>e</t>
    </r>
  </si>
  <si>
    <t>Rsb</t>
  </si>
  <si>
    <t>Caudal de gas en superficie</t>
  </si>
  <si>
    <t>Caudal de petróleo en superficie</t>
  </si>
  <si>
    <t>Caudal de agua en superficie</t>
  </si>
  <si>
    <t>Mscf/d</t>
  </si>
  <si>
    <t>Todos los parámetros anteriormente obtenidos, nos permiten calcular ahora los caudales que obtedremos en superficie, tanto de gas como de agua y petróleo.</t>
  </si>
  <si>
    <t>t</t>
  </si>
  <si>
    <t>Presión</t>
  </si>
  <si>
    <t>[psi]</t>
  </si>
  <si>
    <t>[minutos]</t>
  </si>
  <si>
    <t>El tiempo de cierre máximo debe compararse con la presión que es capaz de recuperar el reservorio. Para ello se supone una curva de recuperación de presión para un pozo cualquiera haciendo las modificaciones correspondientes para el caso dado. Para este pozo supondremos la siguiente recuperación de presión.</t>
  </si>
  <si>
    <t>Cantidad de líquido</t>
  </si>
  <si>
    <t>Bbl/d</t>
  </si>
  <si>
    <t>- Una fuente externa que provea gas con suficiente caudal y presión</t>
  </si>
  <si>
    <t>- Una válvula de superficie conectada al casing para la entrada del gas de asistencia</t>
  </si>
  <si>
    <t>- El controlador del sistema plunger-lift, debe ser capaz de comandar la válvula de producción y la válvula de asistencia.</t>
  </si>
  <si>
    <t>Para el dimensionamiento de este método se deben llevar a cabo los siguientes cálculos:</t>
  </si>
  <si>
    <t>RGL seleccionada</t>
  </si>
  <si>
    <t>scf/stb</t>
  </si>
  <si>
    <t>Volumen necesario para asistirlo</t>
  </si>
  <si>
    <t>Presión necesaria para asitir</t>
  </si>
  <si>
    <t>Seleccionar taco</t>
  </si>
  <si>
    <t>Resumiendo podemos decir que cuando un pozo no posee la cantidad de gas requerida o su recuperación de presión en casing es insuficiente, se debe recurrir a la asistencia de gas proveniente de una fuente externa, lo cual da el nombre de asistido a este método. En este caso se requiere:</t>
  </si>
  <si>
    <t>TIPO Arribo Magnético</t>
  </si>
  <si>
    <t>Cuando el sistema es autónomo (línea de Pc máxima por debajo de RGL mínima) el taco de líquido a seleccionar debe estar comprendido dentro de la ventana operativa que queda determinada por las líneas de presión de casing máxima (Pc máx) y de relación gas-líquido mínima (RGL mín)</t>
  </si>
  <si>
    <t>Si la línea de Pc máxima queda por encima de la línea de RGL mínima del pozo debe adoptarse el sistema asistido, esta situación ocurre en este caso donde se observa la Pc máx y la RGL mín excede la tabla.</t>
  </si>
  <si>
    <t>Vemos como el volumen de fluidos producidos es inferior al caudal máximo de la IPR, dejando una presión dinámica de ingreso al intake mayor  a cero, y el caudal producido es más de un 90% del máximo.</t>
  </si>
  <si>
    <t>Para la elección del tamaño del taco de líquido más adecuado que el sistema funcione correctamente, se considera que mientras menos ciclos por día realice el pistón, la vida útil del mismo será mayor y requerirá menor cantidad de mantenimiento. Así mismo, la cantidad de petróleo producido por día no cambia, sólo se modifica la cantidad de barriles elevados a superficie por ciclo. Esta elección puede resultar perjudicial, desde el punto de vista que a mayor tamaño de XL se necesitará inyectar mayores volúmenes de gas y a mayor presión. En primer lugar, con respecto a los volúmenes de gas, no habría problema debido a que el yacimiento cuenta con la suficiente cantidad de gas como para asistir a los pozos con plunger. En segundo lugar, valores de presión más elevados nos podrían llevar a un consumo de potencia mayor en los compresores, lo cual debe ser evaluado económicamente.</t>
  </si>
  <si>
    <r>
      <t xml:space="preserve">Del gráfico de recuperación de presión, observamos que el pozo no alcanza a recuperar la presión necesaria para elevar el taco seleccionado en el tiempo disponible para el cierre, por lo tanto el diseño del sistema será </t>
    </r>
    <r>
      <rPr>
        <b/>
        <sz val="12"/>
        <rFont val="Times New Roman"/>
        <family val="1"/>
      </rPr>
      <t>asistido</t>
    </r>
    <r>
      <rPr>
        <sz val="12"/>
        <rFont val="Times New Roman"/>
        <family val="1"/>
      </rPr>
      <t>, corroborando lo determinado por la tabla de Pc máx y RGL mín.</t>
    </r>
  </si>
  <si>
    <t>En pozos asistidos es conveniente inyectar gas a la menor presión posible a los efectos de no perjudicar el aporte  de petróleo de la formación.</t>
  </si>
  <si>
    <t>Cálculo de Rs</t>
  </si>
  <si>
    <t>T: temp. promedio del tubing</t>
  </si>
  <si>
    <t>Z: factor de compres. del gas</t>
  </si>
  <si>
    <t xml:space="preserve">Debido a la gran disminución de presión que se produciría al intentar producir el pozo a su máximo potencial, habrá una gran cantidad de gas que pase de estar disuelto a formar parte del gas libre en la zona cercana a los punzados. Este gas, se expandirá provocando una disminución de volumen de líquidos y por lo tanto de los caudales a producir, lo que nos dará un caudal a producir de líquido menor que el predicho por la correlación de Vogel. Se deberá recalcular para una extracción o caudal requerido mayor, hasta que el caudal total sea el adecuado (menor o igual al caudal máximo de Vogel). El proceso iterativo no se indica pero se muestran los caudales finales que se obtuvieron. </t>
  </si>
  <si>
    <t>Libraje</t>
  </si>
  <si>
    <t>- Bajo caudal de producción</t>
  </si>
  <si>
    <t>- Bajo corte de agua</t>
  </si>
  <si>
    <t>- Alta relación gas-líquido (RGL)</t>
  </si>
  <si>
    <t>Uno de los primeros y más importantes pasos en el diseño de un sistema de Plunger Lift, es el de determinar o estimar la productividad del pozo a la profundidad de fijación del tubing.</t>
  </si>
  <si>
    <t>Ptbg: presión de tubing, la cual puede calcularse a partir de la ecuación que corresponde al estado de equilibrio inicial que incluye la Pc mín.</t>
  </si>
  <si>
    <t xml:space="preserve">Para diseñar la sarta de tubing a utilizar, se seleccionó un diámetro que no ocasionará demasiadas pérdidas de carga. Cabe recordar,  que las pérdidas de carga son inversamente proporcionales al diámetro elevado a la quinta potencia, esto podría llegar a ocasionar presiones de casing, para elevar el taco de líquido, muy elevadas. Esto, traería aparejado que el pozo no pueda producir por su propia energía y debamos asistirlo y con presiones elevadas.  Luego veremos, que la RGL del pozo es insuficiente para que el pozo produzca por sí mismo y que por lo tanto se lo tendrá que asistir, pero con la ventaja de que deberemos usar presiones no tan elevadas como las que hubiésemos necesitado si hubiéramos elegido un diámetro de tubing más pequeño. </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</si>
</sst>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
    <numFmt numFmtId="186" formatCode="0.00000"/>
    <numFmt numFmtId="187" formatCode="0.000E+00"/>
    <numFmt numFmtId="188" formatCode="0.0%"/>
    <numFmt numFmtId="189" formatCode="0.00000%"/>
    <numFmt numFmtId="190" formatCode="_-* #,##0.0_-;\-* #,##0.0_-;_-* &quot;-&quot;??_-;_-@_-"/>
    <numFmt numFmtId="191" formatCode="0.0000"/>
    <numFmt numFmtId="192" formatCode="0.0000000"/>
    <numFmt numFmtId="193" formatCode="0.000000"/>
    <numFmt numFmtId="194" formatCode="&quot;$&quot;#,##0;\-&quot;$&quot;#,##0"/>
    <numFmt numFmtId="195" formatCode="&quot;$&quot;#,##0;[Red]\-&quot;$&quot;#,##0"/>
    <numFmt numFmtId="196" formatCode="&quot;$&quot;#,##0.00;\-&quot;$&quot;#,##0.00"/>
    <numFmt numFmtId="197" formatCode="&quot;$&quot;#,##0.00;[Red]\-&quot;$&quot;#,##0.00"/>
    <numFmt numFmtId="198" formatCode="0.00000000"/>
    <numFmt numFmtId="199" formatCode="0\°\C"/>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General\ \p\u\lg"/>
    <numFmt numFmtId="205" formatCode="General\ "/>
    <numFmt numFmtId="206" formatCode="0\ \A"/>
    <numFmt numFmtId="207" formatCode="0\ \V"/>
  </numFmts>
  <fonts count="55">
    <font>
      <sz val="10"/>
      <name val="Arial"/>
      <family val="0"/>
    </font>
    <font>
      <u val="single"/>
      <sz val="10"/>
      <color indexed="12"/>
      <name val="Arial"/>
      <family val="0"/>
    </font>
    <font>
      <u val="single"/>
      <sz val="10"/>
      <color indexed="36"/>
      <name val="Arial"/>
      <family val="0"/>
    </font>
    <font>
      <sz val="9"/>
      <name val="Arial"/>
      <family val="0"/>
    </font>
    <font>
      <b/>
      <sz val="9"/>
      <name val="Arial"/>
      <family val="0"/>
    </font>
    <font>
      <b/>
      <sz val="9"/>
      <color indexed="10"/>
      <name val="Arial"/>
      <family val="2"/>
    </font>
    <font>
      <b/>
      <sz val="10"/>
      <name val="Arial"/>
      <family val="2"/>
    </font>
    <font>
      <sz val="8"/>
      <name val="Arial"/>
      <family val="0"/>
    </font>
    <font>
      <b/>
      <sz val="9"/>
      <color indexed="12"/>
      <name val="Arial"/>
      <family val="2"/>
    </font>
    <font>
      <b/>
      <sz val="10"/>
      <name val="MS Sans Serif"/>
      <family val="0"/>
    </font>
    <font>
      <b/>
      <sz val="12"/>
      <color indexed="18"/>
      <name val="Arial"/>
      <family val="0"/>
    </font>
    <font>
      <sz val="10"/>
      <color indexed="18"/>
      <name val="Arial"/>
      <family val="0"/>
    </font>
    <font>
      <b/>
      <sz val="10"/>
      <color indexed="18"/>
      <name val="Arial"/>
      <family val="0"/>
    </font>
    <font>
      <b/>
      <sz val="10"/>
      <color indexed="12"/>
      <name val="Arial"/>
      <family val="2"/>
    </font>
    <font>
      <b/>
      <sz val="11"/>
      <name val="Arial"/>
      <family val="2"/>
    </font>
    <font>
      <sz val="8"/>
      <name val="Tahoma"/>
      <family val="2"/>
    </font>
    <font>
      <b/>
      <sz val="9"/>
      <color indexed="20"/>
      <name val="Arial"/>
      <family val="2"/>
    </font>
    <font>
      <b/>
      <sz val="12"/>
      <color indexed="12"/>
      <name val="Copperplate Gothic Bold"/>
      <family val="2"/>
    </font>
    <font>
      <b/>
      <sz val="12"/>
      <name val="Arial"/>
      <family val="2"/>
    </font>
    <font>
      <vertAlign val="superscript"/>
      <sz val="10"/>
      <name val="Arial"/>
      <family val="2"/>
    </font>
    <font>
      <b/>
      <vertAlign val="superscript"/>
      <sz val="10"/>
      <color indexed="18"/>
      <name val="Arial"/>
      <family val="2"/>
    </font>
    <font>
      <b/>
      <sz val="10"/>
      <color indexed="18"/>
      <name val="Copperplate Gothic Bold"/>
      <family val="2"/>
    </font>
    <font>
      <sz val="22"/>
      <name val="Arial"/>
      <family val="0"/>
    </font>
    <font>
      <b/>
      <u val="single"/>
      <sz val="16"/>
      <name val="Arial"/>
      <family val="2"/>
    </font>
    <font>
      <sz val="10"/>
      <color indexed="58"/>
      <name val="Arial"/>
      <family val="0"/>
    </font>
    <font>
      <vertAlign val="superscript"/>
      <sz val="10"/>
      <color indexed="58"/>
      <name val="Arial"/>
      <family val="0"/>
    </font>
    <font>
      <sz val="10"/>
      <name val="Symbol"/>
      <family val="1"/>
    </font>
    <font>
      <b/>
      <sz val="10"/>
      <color indexed="20"/>
      <name val="Arial"/>
      <family val="2"/>
    </font>
    <font>
      <b/>
      <sz val="10"/>
      <color indexed="62"/>
      <name val="Arial"/>
      <family val="2"/>
    </font>
    <font>
      <sz val="16"/>
      <name val="Arial"/>
      <family val="2"/>
    </font>
    <font>
      <sz val="12"/>
      <name val="Times New Roman"/>
      <family val="1"/>
    </font>
    <font>
      <b/>
      <sz val="12"/>
      <name val="Times New Roman"/>
      <family val="1"/>
    </font>
    <font>
      <u val="single"/>
      <sz val="12"/>
      <name val="Times New Roman"/>
      <family val="1"/>
    </font>
    <font>
      <vertAlign val="superscript"/>
      <sz val="12"/>
      <name val="Times New Roman"/>
      <family val="1"/>
    </font>
    <font>
      <vertAlign val="subscript"/>
      <sz val="12"/>
      <name val="Times New Roman"/>
      <family val="1"/>
    </font>
    <font>
      <b/>
      <sz val="20"/>
      <name val="Times New Roman"/>
      <family val="1"/>
    </font>
    <font>
      <b/>
      <u val="single"/>
      <sz val="20"/>
      <name val="Times New Roman"/>
      <family val="1"/>
    </font>
    <font>
      <b/>
      <sz val="12"/>
      <name val="Copperplate Gothic Bold"/>
      <family val="2"/>
    </font>
    <font>
      <b/>
      <vertAlign val="superscript"/>
      <sz val="12"/>
      <name val="Times New Roman"/>
      <family val="1"/>
    </font>
    <font>
      <sz val="11"/>
      <name val="Arial Narrow"/>
      <family val="2"/>
    </font>
    <font>
      <u val="single"/>
      <sz val="10"/>
      <name val="Arial"/>
      <family val="0"/>
    </font>
    <font>
      <b/>
      <u val="single"/>
      <sz val="20"/>
      <name val="Arial"/>
      <family val="2"/>
    </font>
    <font>
      <sz val="10.75"/>
      <name val="Arial"/>
      <family val="0"/>
    </font>
    <font>
      <b/>
      <sz val="15"/>
      <name val="Arial"/>
      <family val="2"/>
    </font>
    <font>
      <b/>
      <sz val="16"/>
      <name val="Arial"/>
      <family val="2"/>
    </font>
    <font>
      <sz val="14"/>
      <name val="Arial"/>
      <family val="2"/>
    </font>
    <font>
      <sz val="4.25"/>
      <name val="Arial"/>
      <family val="0"/>
    </font>
    <font>
      <b/>
      <vertAlign val="subscript"/>
      <sz val="12"/>
      <name val="Times New Roman"/>
      <family val="1"/>
    </font>
    <font>
      <i/>
      <sz val="12"/>
      <name val="Times New Roman"/>
      <family val="1"/>
    </font>
    <font>
      <b/>
      <sz val="8"/>
      <name val="Arial"/>
      <family val="2"/>
    </font>
    <font>
      <sz val="9.5"/>
      <name val="Arial"/>
      <family val="2"/>
    </font>
    <font>
      <b/>
      <sz val="8.5"/>
      <name val="Arial"/>
      <family val="0"/>
    </font>
    <font>
      <sz val="8.5"/>
      <name val="Arial"/>
      <family val="0"/>
    </font>
    <font>
      <sz val="12"/>
      <name val="Arial"/>
      <family val="2"/>
    </font>
    <font>
      <b/>
      <sz val="10.5"/>
      <name val="Arial"/>
      <family val="2"/>
    </font>
  </fonts>
  <fills count="14">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6"/>
        <bgColor indexed="64"/>
      </patternFill>
    </fill>
    <fill>
      <patternFill patternType="solid">
        <fgColor indexed="49"/>
        <bgColor indexed="64"/>
      </patternFill>
    </fill>
    <fill>
      <patternFill patternType="solid">
        <fgColor indexed="13"/>
        <bgColor indexed="64"/>
      </patternFill>
    </fill>
    <fill>
      <patternFill patternType="solid">
        <fgColor indexed="50"/>
        <bgColor indexed="64"/>
      </patternFill>
    </fill>
    <fill>
      <patternFill patternType="solid">
        <fgColor indexed="19"/>
        <bgColor indexed="64"/>
      </patternFill>
    </fill>
    <fill>
      <patternFill patternType="solid">
        <fgColor indexed="40"/>
        <bgColor indexed="64"/>
      </patternFill>
    </fill>
    <fill>
      <patternFill patternType="solid">
        <fgColor indexed="57"/>
        <bgColor indexed="64"/>
      </patternFill>
    </fill>
    <fill>
      <patternFill patternType="solid">
        <fgColor indexed="51"/>
        <bgColor indexed="64"/>
      </patternFill>
    </fill>
    <fill>
      <patternFill patternType="solid">
        <fgColor indexed="9"/>
        <bgColor indexed="64"/>
      </patternFill>
    </fill>
  </fills>
  <borders count="94">
    <border>
      <left/>
      <right/>
      <top/>
      <bottom/>
      <diagonal/>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medium">
        <color indexed="10"/>
      </left>
      <right style="thin"/>
      <top style="medium">
        <color indexed="10"/>
      </top>
      <bottom>
        <color indexed="63"/>
      </bottom>
    </border>
    <border>
      <left>
        <color indexed="63"/>
      </left>
      <right>
        <color indexed="63"/>
      </right>
      <top style="medium">
        <color indexed="10"/>
      </top>
      <bottom>
        <color indexed="63"/>
      </bottom>
    </border>
    <border>
      <left style="thin"/>
      <right style="thin"/>
      <top style="medium">
        <color indexed="10"/>
      </top>
      <bottom>
        <color indexed="63"/>
      </bottom>
    </border>
    <border>
      <left>
        <color indexed="63"/>
      </left>
      <right style="thin"/>
      <top style="medium">
        <color indexed="10"/>
      </top>
      <bottom>
        <color indexed="63"/>
      </bottom>
    </border>
    <border>
      <left style="medium"/>
      <right style="thin"/>
      <top style="medium">
        <color indexed="10"/>
      </top>
      <bottom>
        <color indexed="63"/>
      </bottom>
    </border>
    <border>
      <left style="thin"/>
      <right style="medium">
        <color indexed="10"/>
      </right>
      <top style="medium">
        <color indexed="10"/>
      </top>
      <bottom>
        <color indexed="63"/>
      </bottom>
    </border>
    <border>
      <left style="medium">
        <color indexed="10"/>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medium"/>
      <right style="thin"/>
      <top>
        <color indexed="63"/>
      </top>
      <bottom>
        <color indexed="63"/>
      </bottom>
    </border>
    <border>
      <left style="thin"/>
      <right style="medium">
        <color indexed="10"/>
      </right>
      <top>
        <color indexed="63"/>
      </top>
      <bottom>
        <color indexed="63"/>
      </bottom>
    </border>
    <border>
      <left style="medium">
        <color indexed="10"/>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medium"/>
      <right style="thin"/>
      <top>
        <color indexed="63"/>
      </top>
      <bottom style="medium"/>
    </border>
    <border>
      <left style="thin"/>
      <right style="medium">
        <color indexed="10"/>
      </right>
      <top>
        <color indexed="63"/>
      </top>
      <bottom style="medium"/>
    </border>
    <border>
      <left style="medium">
        <color indexed="10"/>
      </left>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style="medium">
        <color indexed="10"/>
      </right>
      <top style="medium"/>
      <bottom>
        <color indexed="63"/>
      </bottom>
    </border>
    <border>
      <left style="medium">
        <color indexed="10"/>
      </left>
      <right>
        <color indexed="63"/>
      </right>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medium">
        <color indexed="10"/>
      </right>
      <top style="thin"/>
      <bottom>
        <color indexed="63"/>
      </bottom>
    </border>
    <border>
      <left style="medium">
        <color indexed="10"/>
      </left>
      <right>
        <color indexed="63"/>
      </right>
      <top>
        <color indexed="63"/>
      </top>
      <bottom style="medium"/>
    </border>
    <border>
      <left style="medium"/>
      <right>
        <color indexed="63"/>
      </right>
      <top>
        <color indexed="63"/>
      </top>
      <bottom style="medium"/>
    </border>
    <border>
      <left style="medium">
        <color indexed="10"/>
      </left>
      <right>
        <color indexed="63"/>
      </right>
      <top>
        <color indexed="63"/>
      </top>
      <bottom style="medium">
        <color indexed="10"/>
      </bottom>
    </border>
    <border>
      <left style="thin"/>
      <right style="thin"/>
      <top>
        <color indexed="63"/>
      </top>
      <bottom style="medium">
        <color indexed="10"/>
      </bottom>
    </border>
    <border>
      <left>
        <color indexed="63"/>
      </left>
      <right>
        <color indexed="63"/>
      </right>
      <top>
        <color indexed="63"/>
      </top>
      <bottom style="medium">
        <color indexed="10"/>
      </bottom>
    </border>
    <border>
      <left>
        <color indexed="63"/>
      </left>
      <right style="thin"/>
      <top>
        <color indexed="63"/>
      </top>
      <bottom style="medium">
        <color indexed="10"/>
      </bottom>
    </border>
    <border>
      <left style="medium"/>
      <right>
        <color indexed="63"/>
      </right>
      <top>
        <color indexed="63"/>
      </top>
      <bottom style="medium">
        <color indexed="10"/>
      </bottom>
    </border>
    <border>
      <left style="thin"/>
      <right style="medium">
        <color indexed="10"/>
      </right>
      <top>
        <color indexed="63"/>
      </top>
      <bottom style="medium">
        <color indexed="10"/>
      </bottom>
    </border>
    <border>
      <left style="thin"/>
      <right style="thin"/>
      <top style="thin"/>
      <bottom style="thin"/>
    </border>
    <border>
      <left style="thin"/>
      <right style="thin"/>
      <top>
        <color indexed="63"/>
      </top>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style="medium"/>
      <right style="medium"/>
      <top>
        <color indexed="63"/>
      </top>
      <bottom style="thin"/>
    </border>
    <border>
      <left style="medium"/>
      <right style="medium"/>
      <top style="thin"/>
      <bottom style="thin"/>
    </border>
    <border>
      <left style="thin"/>
      <right style="thin"/>
      <top style="thin"/>
      <bottom style="medium"/>
    </border>
    <border>
      <left style="medium"/>
      <right style="thin"/>
      <top style="thin"/>
      <bottom style="medium"/>
    </border>
    <border>
      <left style="thin"/>
      <right>
        <color indexed="63"/>
      </right>
      <top style="medium"/>
      <bottom style="thin"/>
    </border>
    <border>
      <left>
        <color indexed="63"/>
      </left>
      <right style="medium"/>
      <top style="thin"/>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style="medium"/>
      <top style="thin"/>
      <bottom style="medium"/>
    </border>
    <border>
      <left>
        <color indexed="63"/>
      </left>
      <right style="thin"/>
      <top style="medium"/>
      <bottom style="medium"/>
    </border>
    <border>
      <left>
        <color indexed="63"/>
      </left>
      <right style="medium"/>
      <top>
        <color indexed="63"/>
      </top>
      <bottom style="thin"/>
    </border>
    <border>
      <left style="thin"/>
      <right>
        <color indexed="63"/>
      </right>
      <top>
        <color indexed="63"/>
      </top>
      <bottom style="thin"/>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605">
    <xf numFmtId="0" fontId="0" fillId="0" borderId="0" xfId="0" applyAlignment="1">
      <alignment/>
    </xf>
    <xf numFmtId="0" fontId="3" fillId="0" borderId="0" xfId="21">
      <alignment/>
      <protection/>
    </xf>
    <xf numFmtId="0" fontId="9" fillId="0" borderId="0" xfId="21" applyFont="1">
      <alignment/>
      <protection/>
    </xf>
    <xf numFmtId="0" fontId="10" fillId="0" borderId="1" xfId="21" applyFont="1" applyBorder="1" applyAlignment="1">
      <alignment horizontal="centerContinuous"/>
      <protection/>
    </xf>
    <xf numFmtId="0" fontId="10" fillId="0" borderId="2" xfId="21" applyFont="1" applyBorder="1" applyAlignment="1">
      <alignment horizontal="centerContinuous"/>
      <protection/>
    </xf>
    <xf numFmtId="0" fontId="11" fillId="0" borderId="2" xfId="21" applyFont="1" applyBorder="1" applyAlignment="1">
      <alignment horizontal="centerContinuous"/>
      <protection/>
    </xf>
    <xf numFmtId="0" fontId="10" fillId="0" borderId="3" xfId="21" applyFont="1" applyBorder="1" applyAlignment="1">
      <alignment horizontal="centerContinuous"/>
      <protection/>
    </xf>
    <xf numFmtId="0" fontId="12" fillId="0" borderId="4" xfId="21" applyFont="1" applyBorder="1" applyAlignment="1">
      <alignment horizontal="center"/>
      <protection/>
    </xf>
    <xf numFmtId="0" fontId="12" fillId="0" borderId="5" xfId="21" applyFont="1" applyBorder="1" applyAlignment="1">
      <alignment horizontal="centerContinuous"/>
      <protection/>
    </xf>
    <xf numFmtId="0" fontId="12" fillId="0" borderId="6" xfId="21" applyFont="1" applyBorder="1" applyAlignment="1">
      <alignment horizontal="center"/>
      <protection/>
    </xf>
    <xf numFmtId="0" fontId="12" fillId="0" borderId="7" xfId="21" applyFont="1" applyBorder="1" applyAlignment="1">
      <alignment horizontal="center"/>
      <protection/>
    </xf>
    <xf numFmtId="1" fontId="12" fillId="0" borderId="7" xfId="21" applyNumberFormat="1" applyFont="1" applyBorder="1" applyAlignment="1">
      <alignment horizontal="center"/>
      <protection/>
    </xf>
    <xf numFmtId="0" fontId="12" fillId="0" borderId="8" xfId="21" applyFont="1" applyBorder="1">
      <alignment/>
      <protection/>
    </xf>
    <xf numFmtId="0" fontId="12" fillId="0" borderId="5" xfId="21" applyFont="1" applyBorder="1" applyAlignment="1">
      <alignment horizontal="center"/>
      <protection/>
    </xf>
    <xf numFmtId="1" fontId="12" fillId="0" borderId="9" xfId="21" applyNumberFormat="1" applyFont="1" applyBorder="1" applyAlignment="1">
      <alignment horizontal="center"/>
      <protection/>
    </xf>
    <xf numFmtId="0" fontId="12" fillId="0" borderId="10" xfId="21" applyFont="1" applyBorder="1" applyAlignment="1">
      <alignment horizontal="center"/>
      <protection/>
    </xf>
    <xf numFmtId="0" fontId="12" fillId="0" borderId="11" xfId="21" applyFont="1" applyBorder="1" applyAlignment="1">
      <alignment horizontal="center"/>
      <protection/>
    </xf>
    <xf numFmtId="0" fontId="12" fillId="0" borderId="12" xfId="21" applyFont="1" applyBorder="1" applyAlignment="1">
      <alignment horizontal="center"/>
      <protection/>
    </xf>
    <xf numFmtId="0" fontId="12" fillId="0" borderId="13" xfId="21" applyFont="1" applyBorder="1" applyAlignment="1">
      <alignment horizontal="center"/>
      <protection/>
    </xf>
    <xf numFmtId="0" fontId="12" fillId="0" borderId="14" xfId="21" applyFont="1" applyBorder="1" applyAlignment="1">
      <alignment horizontal="center"/>
      <protection/>
    </xf>
    <xf numFmtId="1" fontId="12" fillId="0" borderId="14" xfId="21" applyNumberFormat="1" applyFont="1" applyBorder="1" applyAlignment="1">
      <alignment horizontal="center"/>
      <protection/>
    </xf>
    <xf numFmtId="0" fontId="12" fillId="0" borderId="15" xfId="21" applyFont="1" applyBorder="1" applyAlignment="1">
      <alignment horizontal="center"/>
      <protection/>
    </xf>
    <xf numFmtId="0" fontId="12" fillId="0" borderId="11" xfId="21" applyFont="1" applyBorder="1" applyAlignment="1">
      <alignment horizontal="centerContinuous"/>
      <protection/>
    </xf>
    <xf numFmtId="0" fontId="12" fillId="0" borderId="16" xfId="21" applyFont="1" applyBorder="1">
      <alignment/>
      <protection/>
    </xf>
    <xf numFmtId="0" fontId="12" fillId="0" borderId="0" xfId="21" applyFont="1" applyBorder="1" applyAlignment="1">
      <alignment horizontal="center"/>
      <protection/>
    </xf>
    <xf numFmtId="1" fontId="12" fillId="0" borderId="17" xfId="21" applyNumberFormat="1" applyFont="1" applyBorder="1" applyAlignment="1">
      <alignment horizontal="center"/>
      <protection/>
    </xf>
    <xf numFmtId="0" fontId="12" fillId="0" borderId="16" xfId="21" applyFont="1" applyBorder="1" applyAlignment="1">
      <alignment horizontal="center"/>
      <protection/>
    </xf>
    <xf numFmtId="0" fontId="12" fillId="0" borderId="18" xfId="21" applyFont="1" applyBorder="1" applyAlignment="1">
      <alignment horizontal="center"/>
      <protection/>
    </xf>
    <xf numFmtId="0" fontId="12" fillId="0" borderId="19" xfId="21" applyFont="1" applyBorder="1" applyAlignment="1">
      <alignment horizontal="center"/>
      <protection/>
    </xf>
    <xf numFmtId="0" fontId="12" fillId="0" borderId="20" xfId="21" applyFont="1" applyBorder="1" applyAlignment="1">
      <alignment horizontal="center"/>
      <protection/>
    </xf>
    <xf numFmtId="0" fontId="12" fillId="0" borderId="21" xfId="21" applyFont="1" applyBorder="1" applyAlignment="1">
      <alignment horizontal="center"/>
      <protection/>
    </xf>
    <xf numFmtId="1" fontId="12" fillId="0" borderId="21" xfId="21" applyNumberFormat="1" applyFont="1" applyBorder="1" applyAlignment="1">
      <alignment horizontal="center"/>
      <protection/>
    </xf>
    <xf numFmtId="0" fontId="12" fillId="0" borderId="22" xfId="21" applyFont="1" applyBorder="1">
      <alignment/>
      <protection/>
    </xf>
    <xf numFmtId="1" fontId="12" fillId="0" borderId="23" xfId="21" applyNumberFormat="1" applyFont="1" applyBorder="1" applyAlignment="1">
      <alignment horizontal="center"/>
      <protection/>
    </xf>
    <xf numFmtId="2" fontId="9" fillId="0" borderId="24" xfId="21" applyNumberFormat="1" applyFont="1" applyBorder="1" applyAlignment="1">
      <alignment horizontal="center"/>
      <protection/>
    </xf>
    <xf numFmtId="2" fontId="9" fillId="0" borderId="25" xfId="21" applyNumberFormat="1" applyFont="1" applyBorder="1" applyAlignment="1">
      <alignment horizontal="center"/>
      <protection/>
    </xf>
    <xf numFmtId="2" fontId="9" fillId="0" borderId="26" xfId="21" applyNumberFormat="1" applyFont="1" applyBorder="1" applyAlignment="1">
      <alignment horizontal="center"/>
      <protection/>
    </xf>
    <xf numFmtId="1" fontId="9" fillId="0" borderId="25" xfId="21" applyNumberFormat="1" applyFont="1" applyBorder="1" applyAlignment="1">
      <alignment horizontal="center"/>
      <protection/>
    </xf>
    <xf numFmtId="3" fontId="9" fillId="0" borderId="27" xfId="21" applyNumberFormat="1" applyFont="1" applyBorder="1" applyAlignment="1">
      <alignment horizontal="center"/>
      <protection/>
    </xf>
    <xf numFmtId="0" fontId="9" fillId="0" borderId="28" xfId="21" applyFont="1" applyBorder="1" applyAlignment="1">
      <alignment horizontal="center"/>
      <protection/>
    </xf>
    <xf numFmtId="1" fontId="9" fillId="0" borderId="26" xfId="21" applyNumberFormat="1" applyFont="1" applyBorder="1" applyAlignment="1">
      <alignment horizontal="center"/>
      <protection/>
    </xf>
    <xf numFmtId="1" fontId="9" fillId="0" borderId="29" xfId="21" applyNumberFormat="1" applyFont="1" applyBorder="1" applyAlignment="1">
      <alignment horizontal="center"/>
      <protection/>
    </xf>
    <xf numFmtId="2" fontId="9" fillId="0" borderId="30" xfId="21" applyNumberFormat="1" applyFont="1" applyBorder="1" applyAlignment="1">
      <alignment horizontal="center"/>
      <protection/>
    </xf>
    <xf numFmtId="2" fontId="9" fillId="0" borderId="13" xfId="21" applyNumberFormat="1" applyFont="1" applyBorder="1" applyAlignment="1">
      <alignment horizontal="center"/>
      <protection/>
    </xf>
    <xf numFmtId="2" fontId="9" fillId="0" borderId="0" xfId="21" applyNumberFormat="1" applyFont="1" applyBorder="1" applyAlignment="1">
      <alignment horizontal="center"/>
      <protection/>
    </xf>
    <xf numFmtId="1" fontId="9" fillId="0" borderId="13" xfId="21" applyNumberFormat="1" applyFont="1" applyBorder="1" applyAlignment="1">
      <alignment horizontal="center"/>
      <protection/>
    </xf>
    <xf numFmtId="3" fontId="9" fillId="0" borderId="14" xfId="21" applyNumberFormat="1" applyFont="1" applyBorder="1" applyAlignment="1" quotePrefix="1">
      <alignment horizontal="center"/>
      <protection/>
    </xf>
    <xf numFmtId="0" fontId="9" fillId="0" borderId="31" xfId="21" applyFont="1" applyBorder="1" applyAlignment="1">
      <alignment horizontal="center"/>
      <protection/>
    </xf>
    <xf numFmtId="1" fontId="9" fillId="0" borderId="0" xfId="21" applyNumberFormat="1" applyFont="1" applyBorder="1" applyAlignment="1">
      <alignment horizontal="center"/>
      <protection/>
    </xf>
    <xf numFmtId="1" fontId="9" fillId="0" borderId="17" xfId="21" applyNumberFormat="1" applyFont="1" applyBorder="1" applyAlignment="1">
      <alignment horizontal="center"/>
      <protection/>
    </xf>
    <xf numFmtId="0" fontId="9" fillId="0" borderId="13" xfId="21" applyFont="1" applyBorder="1" applyAlignment="1">
      <alignment horizontal="center"/>
      <protection/>
    </xf>
    <xf numFmtId="3" fontId="9" fillId="0" borderId="30" xfId="21" applyNumberFormat="1" applyFont="1" applyBorder="1" applyAlignment="1">
      <alignment horizontal="center"/>
      <protection/>
    </xf>
    <xf numFmtId="3" fontId="9" fillId="0" borderId="14" xfId="21" applyNumberFormat="1" applyFont="1" applyBorder="1" applyAlignment="1">
      <alignment horizontal="center"/>
      <protection/>
    </xf>
    <xf numFmtId="3" fontId="9" fillId="0" borderId="30" xfId="21" applyNumberFormat="1" applyFont="1" applyBorder="1" applyAlignment="1" quotePrefix="1">
      <alignment horizontal="center"/>
      <protection/>
    </xf>
    <xf numFmtId="2" fontId="9" fillId="0" borderId="12" xfId="21" applyNumberFormat="1" applyFont="1" applyBorder="1" applyAlignment="1">
      <alignment horizontal="center"/>
      <protection/>
    </xf>
    <xf numFmtId="2" fontId="9" fillId="0" borderId="11" xfId="21" applyNumberFormat="1" applyFont="1" applyBorder="1" applyAlignment="1">
      <alignment horizontal="center"/>
      <protection/>
    </xf>
    <xf numFmtId="1" fontId="9" fillId="0" borderId="12" xfId="21" applyNumberFormat="1" applyFont="1" applyBorder="1" applyAlignment="1">
      <alignment horizontal="center"/>
      <protection/>
    </xf>
    <xf numFmtId="3" fontId="9" fillId="0" borderId="15" xfId="21" applyNumberFormat="1" applyFont="1" applyBorder="1" applyAlignment="1">
      <alignment horizontal="center"/>
      <protection/>
    </xf>
    <xf numFmtId="3" fontId="9" fillId="0" borderId="32" xfId="21" applyNumberFormat="1" applyFont="1" applyBorder="1" applyAlignment="1">
      <alignment horizontal="center"/>
      <protection/>
    </xf>
    <xf numFmtId="1" fontId="9" fillId="0" borderId="11" xfId="21" applyNumberFormat="1" applyFont="1" applyBorder="1" applyAlignment="1">
      <alignment horizontal="center"/>
      <protection/>
    </xf>
    <xf numFmtId="1" fontId="9" fillId="0" borderId="33" xfId="21" applyNumberFormat="1" applyFont="1" applyBorder="1" applyAlignment="1">
      <alignment horizontal="center"/>
      <protection/>
    </xf>
    <xf numFmtId="0" fontId="9" fillId="0" borderId="30" xfId="21" applyFont="1" applyBorder="1" applyAlignment="1">
      <alignment horizontal="center"/>
      <protection/>
    </xf>
    <xf numFmtId="0" fontId="9" fillId="0" borderId="30" xfId="21" applyFont="1" applyBorder="1">
      <alignment/>
      <protection/>
    </xf>
    <xf numFmtId="0" fontId="9" fillId="0" borderId="12" xfId="21" applyFont="1" applyBorder="1" applyAlignment="1">
      <alignment horizontal="center"/>
      <protection/>
    </xf>
    <xf numFmtId="3" fontId="9" fillId="0" borderId="15" xfId="21" applyNumberFormat="1" applyFont="1" applyBorder="1" applyAlignment="1" quotePrefix="1">
      <alignment horizontal="center"/>
      <protection/>
    </xf>
    <xf numFmtId="0" fontId="9" fillId="0" borderId="32" xfId="21" applyFont="1" applyBorder="1" applyAlignment="1">
      <alignment horizontal="center"/>
      <protection/>
    </xf>
    <xf numFmtId="0" fontId="9" fillId="0" borderId="34" xfId="21" applyFont="1" applyBorder="1">
      <alignment/>
      <protection/>
    </xf>
    <xf numFmtId="0" fontId="9" fillId="0" borderId="20" xfId="21" applyFont="1" applyBorder="1" applyAlignment="1">
      <alignment horizontal="center"/>
      <protection/>
    </xf>
    <xf numFmtId="2" fontId="9" fillId="0" borderId="20" xfId="21" applyNumberFormat="1" applyFont="1" applyBorder="1" applyAlignment="1">
      <alignment horizontal="center"/>
      <protection/>
    </xf>
    <xf numFmtId="2" fontId="9" fillId="0" borderId="19" xfId="21" applyNumberFormat="1" applyFont="1" applyBorder="1" applyAlignment="1">
      <alignment horizontal="center"/>
      <protection/>
    </xf>
    <xf numFmtId="1" fontId="9" fillId="0" borderId="20" xfId="21" applyNumberFormat="1" applyFont="1" applyBorder="1" applyAlignment="1">
      <alignment horizontal="center"/>
      <protection/>
    </xf>
    <xf numFmtId="3" fontId="9" fillId="0" borderId="21" xfId="21" applyNumberFormat="1" applyFont="1" applyBorder="1" applyAlignment="1">
      <alignment horizontal="center"/>
      <protection/>
    </xf>
    <xf numFmtId="0" fontId="9" fillId="0" borderId="35" xfId="21" applyFont="1" applyBorder="1" applyAlignment="1">
      <alignment horizontal="center"/>
      <protection/>
    </xf>
    <xf numFmtId="1" fontId="9" fillId="0" borderId="19" xfId="21" applyNumberFormat="1" applyFont="1" applyBorder="1" applyAlignment="1">
      <alignment horizontal="center"/>
      <protection/>
    </xf>
    <xf numFmtId="1" fontId="9" fillId="0" borderId="23" xfId="21" applyNumberFormat="1" applyFont="1" applyBorder="1" applyAlignment="1">
      <alignment horizontal="center"/>
      <protection/>
    </xf>
    <xf numFmtId="0" fontId="9" fillId="0" borderId="24" xfId="21" applyFont="1" applyBorder="1" applyAlignment="1">
      <alignment horizontal="center"/>
      <protection/>
    </xf>
    <xf numFmtId="3" fontId="9" fillId="0" borderId="28" xfId="21" applyNumberFormat="1" applyFont="1" applyBorder="1" applyAlignment="1">
      <alignment horizontal="center"/>
      <protection/>
    </xf>
    <xf numFmtId="0" fontId="9" fillId="0" borderId="30" xfId="21" applyFont="1" applyBorder="1" applyAlignment="1" quotePrefix="1">
      <alignment horizontal="center"/>
      <protection/>
    </xf>
    <xf numFmtId="0" fontId="9" fillId="0" borderId="34" xfId="21" applyFont="1" applyBorder="1" applyAlignment="1">
      <alignment horizontal="center"/>
      <protection/>
    </xf>
    <xf numFmtId="0" fontId="9" fillId="0" borderId="24" xfId="21" applyFont="1" applyBorder="1">
      <alignment/>
      <protection/>
    </xf>
    <xf numFmtId="2" fontId="9" fillId="0" borderId="30" xfId="21" applyNumberFormat="1" applyFont="1" applyBorder="1" applyAlignment="1" quotePrefix="1">
      <alignment horizontal="center"/>
      <protection/>
    </xf>
    <xf numFmtId="0" fontId="9" fillId="0" borderId="36" xfId="21" applyFont="1" applyBorder="1">
      <alignment/>
      <protection/>
    </xf>
    <xf numFmtId="2" fontId="9" fillId="0" borderId="37" xfId="21" applyNumberFormat="1" applyFont="1" applyBorder="1" applyAlignment="1">
      <alignment horizontal="center"/>
      <protection/>
    </xf>
    <xf numFmtId="2" fontId="9" fillId="0" borderId="38" xfId="21" applyNumberFormat="1" applyFont="1" applyBorder="1" applyAlignment="1">
      <alignment horizontal="center"/>
      <protection/>
    </xf>
    <xf numFmtId="1" fontId="9" fillId="0" borderId="37" xfId="21" applyNumberFormat="1" applyFont="1" applyBorder="1" applyAlignment="1">
      <alignment horizontal="center"/>
      <protection/>
    </xf>
    <xf numFmtId="3" fontId="9" fillId="0" borderId="39" xfId="21" applyNumberFormat="1" applyFont="1" applyBorder="1" applyAlignment="1">
      <alignment horizontal="center"/>
      <protection/>
    </xf>
    <xf numFmtId="0" fontId="9" fillId="0" borderId="40" xfId="21" applyFont="1" applyBorder="1" applyAlignment="1">
      <alignment horizontal="center"/>
      <protection/>
    </xf>
    <xf numFmtId="1" fontId="9" fillId="0" borderId="38" xfId="21" applyNumberFormat="1" applyFont="1" applyBorder="1" applyAlignment="1">
      <alignment horizontal="center"/>
      <protection/>
    </xf>
    <xf numFmtId="1" fontId="9" fillId="0" borderId="41" xfId="21" applyNumberFormat="1" applyFont="1" applyBorder="1" applyAlignment="1">
      <alignment horizontal="center"/>
      <protection/>
    </xf>
    <xf numFmtId="0" fontId="14" fillId="0" borderId="0" xfId="21" applyFont="1">
      <alignment/>
      <protection/>
    </xf>
    <xf numFmtId="0" fontId="6" fillId="0" borderId="0" xfId="21" applyFont="1">
      <alignment/>
      <protection/>
    </xf>
    <xf numFmtId="0" fontId="0" fillId="0" borderId="0" xfId="0" applyAlignment="1">
      <alignment horizontal="center" vertical="center"/>
    </xf>
    <xf numFmtId="2" fontId="0" fillId="0" borderId="0" xfId="0" applyNumberFormat="1" applyAlignment="1">
      <alignment horizontal="center" vertical="center"/>
    </xf>
    <xf numFmtId="0" fontId="0" fillId="0" borderId="0" xfId="0" applyBorder="1" applyAlignment="1">
      <alignment horizontal="center" vertical="center"/>
    </xf>
    <xf numFmtId="0" fontId="3" fillId="0" borderId="0" xfId="21" applyAlignment="1">
      <alignment vertical="center"/>
      <protection/>
    </xf>
    <xf numFmtId="0" fontId="4" fillId="0" borderId="0" xfId="21" applyFont="1" applyAlignment="1">
      <alignment horizontal="centerContinuous" vertical="center"/>
      <protection/>
    </xf>
    <xf numFmtId="0" fontId="3" fillId="0" borderId="0" xfId="21" applyAlignment="1">
      <alignment horizontal="centerContinuous" vertical="center"/>
      <protection/>
    </xf>
    <xf numFmtId="0" fontId="3" fillId="0" borderId="0" xfId="21" applyAlignment="1">
      <alignment horizontal="right" vertical="center"/>
      <protection/>
    </xf>
    <xf numFmtId="1" fontId="4" fillId="0" borderId="0" xfId="21" applyNumberFormat="1" applyFont="1" applyAlignment="1">
      <alignment horizontal="centerContinuous" vertical="center"/>
      <protection/>
    </xf>
    <xf numFmtId="1" fontId="3" fillId="0" borderId="42" xfId="21" applyNumberFormat="1" applyBorder="1" applyAlignment="1">
      <alignment horizontal="centerContinuous" vertical="center"/>
      <protection/>
    </xf>
    <xf numFmtId="184" fontId="3" fillId="0" borderId="42" xfId="21" applyNumberFormat="1" applyBorder="1" applyAlignment="1">
      <alignment horizontal="centerContinuous" vertical="center"/>
      <protection/>
    </xf>
    <xf numFmtId="184" fontId="3" fillId="0" borderId="0" xfId="21" applyNumberFormat="1" applyAlignment="1">
      <alignment vertical="center"/>
      <protection/>
    </xf>
    <xf numFmtId="1" fontId="3" fillId="0" borderId="0" xfId="21" applyNumberFormat="1" applyAlignment="1">
      <alignment vertical="center"/>
      <protection/>
    </xf>
    <xf numFmtId="0" fontId="3" fillId="0" borderId="0" xfId="21" applyFont="1" applyAlignment="1">
      <alignment vertical="center"/>
      <protection/>
    </xf>
    <xf numFmtId="2" fontId="5" fillId="2" borderId="42" xfId="21" applyNumberFormat="1" applyFont="1" applyFill="1" applyBorder="1" applyAlignment="1">
      <alignment horizontal="center" vertical="center"/>
      <protection/>
    </xf>
    <xf numFmtId="0" fontId="8" fillId="0" borderId="43" xfId="21" applyFont="1" applyBorder="1" applyAlignment="1">
      <alignment horizontal="centerContinuous" vertical="center"/>
      <protection/>
    </xf>
    <xf numFmtId="0" fontId="0" fillId="0" borderId="0" xfId="0" applyFont="1" applyAlignment="1">
      <alignment horizontal="center" vertical="center"/>
    </xf>
    <xf numFmtId="0" fontId="12" fillId="3" borderId="44"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0" fillId="0" borderId="0" xfId="0" applyBorder="1" applyAlignment="1">
      <alignment horizontal="center" vertical="center" wrapText="1"/>
    </xf>
    <xf numFmtId="0" fontId="12" fillId="5" borderId="45" xfId="0" applyFont="1" applyFill="1" applyBorder="1" applyAlignment="1">
      <alignment horizontal="center" vertical="center"/>
    </xf>
    <xf numFmtId="0" fontId="0" fillId="0" borderId="45" xfId="0" applyFill="1" applyBorder="1" applyAlignment="1">
      <alignment horizontal="center" vertical="center"/>
    </xf>
    <xf numFmtId="184" fontId="0" fillId="0" borderId="45" xfId="0" applyNumberFormat="1" applyFill="1" applyBorder="1" applyAlignment="1">
      <alignment horizontal="center" vertical="center"/>
    </xf>
    <xf numFmtId="1" fontId="0" fillId="0" borderId="45" xfId="0" applyNumberFormat="1" applyFill="1" applyBorder="1" applyAlignment="1">
      <alignment horizontal="center" vertical="center"/>
    </xf>
    <xf numFmtId="185" fontId="0" fillId="0" borderId="45" xfId="0" applyNumberFormat="1" applyFill="1" applyBorder="1" applyAlignment="1">
      <alignment horizontal="center" vertical="center"/>
    </xf>
    <xf numFmtId="2" fontId="0" fillId="0" borderId="45" xfId="0" applyNumberFormat="1" applyFill="1" applyBorder="1" applyAlignment="1">
      <alignment horizontal="center" vertical="center"/>
    </xf>
    <xf numFmtId="0" fontId="0" fillId="0" borderId="0" xfId="0" applyFill="1" applyAlignment="1">
      <alignment horizontal="center" vertical="center"/>
    </xf>
    <xf numFmtId="0" fontId="12" fillId="5" borderId="46" xfId="0" applyFont="1" applyFill="1" applyBorder="1" applyAlignment="1">
      <alignment horizontal="center" vertical="center"/>
    </xf>
    <xf numFmtId="0" fontId="0" fillId="0" borderId="46" xfId="0" applyFill="1" applyBorder="1" applyAlignment="1">
      <alignment horizontal="center" vertical="center"/>
    </xf>
    <xf numFmtId="1" fontId="0" fillId="0" borderId="46" xfId="0" applyNumberFormat="1" applyFill="1" applyBorder="1" applyAlignment="1">
      <alignment horizontal="center" vertical="center"/>
    </xf>
    <xf numFmtId="185" fontId="0" fillId="0" borderId="46" xfId="0" applyNumberFormat="1" applyFill="1" applyBorder="1" applyAlignment="1">
      <alignment horizontal="center" vertical="center"/>
    </xf>
    <xf numFmtId="2" fontId="0" fillId="0" borderId="46" xfId="0" applyNumberFormat="1" applyFill="1" applyBorder="1" applyAlignment="1">
      <alignment horizontal="center" vertical="center"/>
    </xf>
    <xf numFmtId="184" fontId="0" fillId="0" borderId="46" xfId="0" applyNumberFormat="1" applyFill="1" applyBorder="1" applyAlignment="1">
      <alignment horizontal="center" vertical="center"/>
    </xf>
    <xf numFmtId="2" fontId="3" fillId="0" borderId="42" xfId="21" applyNumberFormat="1" applyBorder="1" applyAlignment="1">
      <alignment horizontal="centerContinuous" vertical="center"/>
      <protection/>
    </xf>
    <xf numFmtId="2" fontId="5" fillId="2" borderId="47" xfId="21" applyNumberFormat="1" applyFont="1" applyFill="1" applyBorder="1" applyAlignment="1">
      <alignment horizontal="center" vertical="center"/>
      <protection/>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12" fontId="0" fillId="0" borderId="45" xfId="0" applyNumberFormat="1" applyFill="1" applyBorder="1" applyAlignment="1">
      <alignment horizontal="center" vertical="center"/>
    </xf>
    <xf numFmtId="2" fontId="0" fillId="0" borderId="31" xfId="0" applyNumberFormat="1" applyFill="1" applyBorder="1" applyAlignment="1">
      <alignment horizontal="center" vertical="center"/>
    </xf>
    <xf numFmtId="2" fontId="12" fillId="5" borderId="52" xfId="0" applyNumberFormat="1" applyFont="1" applyFill="1" applyBorder="1" applyAlignment="1">
      <alignment horizontal="center" vertical="center"/>
    </xf>
    <xf numFmtId="2" fontId="0" fillId="0" borderId="35" xfId="0" applyNumberFormat="1" applyFill="1" applyBorder="1" applyAlignment="1">
      <alignment horizontal="center" vertical="center"/>
    </xf>
    <xf numFmtId="2" fontId="12" fillId="5" borderId="53" xfId="0" applyNumberFormat="1" applyFont="1" applyFill="1" applyBorder="1" applyAlignment="1">
      <alignment horizontal="center" vertical="center"/>
    </xf>
    <xf numFmtId="2" fontId="0" fillId="0" borderId="54" xfId="0" applyNumberFormat="1" applyFill="1" applyBorder="1" applyAlignment="1">
      <alignment horizontal="center" vertical="center"/>
    </xf>
    <xf numFmtId="0" fontId="21" fillId="0" borderId="0" xfId="21" applyFont="1" applyFill="1" applyBorder="1" applyAlignment="1">
      <alignment vertical="center"/>
      <protection/>
    </xf>
    <xf numFmtId="0" fontId="0" fillId="0" borderId="0" xfId="21" applyFont="1" applyFill="1" applyBorder="1" applyAlignment="1">
      <alignment vertical="center"/>
      <protection/>
    </xf>
    <xf numFmtId="0" fontId="22" fillId="0" borderId="55" xfId="21" applyFont="1" applyFill="1" applyBorder="1" applyAlignment="1">
      <alignment horizontal="center" vertical="center"/>
      <protection/>
    </xf>
    <xf numFmtId="0" fontId="22" fillId="0" borderId="56" xfId="21" applyFont="1" applyFill="1" applyBorder="1" applyAlignment="1">
      <alignment horizontal="center" vertical="center"/>
      <protection/>
    </xf>
    <xf numFmtId="0" fontId="8" fillId="0" borderId="57" xfId="21" applyFont="1" applyBorder="1" applyAlignment="1">
      <alignment horizontal="centerContinuous" vertical="center"/>
      <protection/>
    </xf>
    <xf numFmtId="0" fontId="8" fillId="0" borderId="25" xfId="21" applyFont="1" applyBorder="1" applyAlignment="1">
      <alignment horizontal="centerContinuous" vertical="center"/>
      <protection/>
    </xf>
    <xf numFmtId="0" fontId="8" fillId="0" borderId="58" xfId="21" applyFont="1" applyBorder="1" applyAlignment="1">
      <alignment horizontal="centerContinuous" vertical="center"/>
      <protection/>
    </xf>
    <xf numFmtId="0" fontId="8" fillId="0" borderId="59" xfId="21" applyFont="1" applyBorder="1" applyAlignment="1">
      <alignment horizontal="centerContinuous" vertical="center"/>
      <protection/>
    </xf>
    <xf numFmtId="0" fontId="8" fillId="0" borderId="60" xfId="21" applyFont="1" applyBorder="1" applyAlignment="1">
      <alignment horizontal="centerContinuous" vertical="center"/>
      <protection/>
    </xf>
    <xf numFmtId="0" fontId="5" fillId="2" borderId="61" xfId="21" applyFont="1" applyFill="1" applyBorder="1" applyAlignment="1">
      <alignment horizontal="center" vertical="center"/>
      <protection/>
    </xf>
    <xf numFmtId="184" fontId="5" fillId="2" borderId="62" xfId="21" applyNumberFormat="1" applyFont="1" applyFill="1" applyBorder="1" applyAlignment="1">
      <alignment horizontal="centerContinuous" vertical="center"/>
      <protection/>
    </xf>
    <xf numFmtId="1" fontId="5" fillId="2" borderId="63" xfId="21" applyNumberFormat="1" applyFont="1" applyFill="1" applyBorder="1" applyAlignment="1">
      <alignment horizontal="center" vertical="center"/>
      <protection/>
    </xf>
    <xf numFmtId="2" fontId="5" fillId="2" borderId="64" xfId="21" applyNumberFormat="1" applyFont="1" applyFill="1" applyBorder="1" applyAlignment="1">
      <alignment horizontal="center" vertical="center"/>
      <protection/>
    </xf>
    <xf numFmtId="2" fontId="5" fillId="2" borderId="65" xfId="21" applyNumberFormat="1" applyFont="1" applyFill="1" applyBorder="1" applyAlignment="1">
      <alignment horizontal="center" vertical="center"/>
      <protection/>
    </xf>
    <xf numFmtId="0" fontId="16" fillId="2" borderId="66" xfId="21" applyFont="1" applyFill="1" applyBorder="1">
      <alignment/>
      <protection/>
    </xf>
    <xf numFmtId="0" fontId="16" fillId="2" borderId="61" xfId="21" applyFont="1" applyFill="1" applyBorder="1">
      <alignment/>
      <protection/>
    </xf>
    <xf numFmtId="0" fontId="8" fillId="0" borderId="61" xfId="21" applyFont="1" applyBorder="1" applyAlignment="1">
      <alignment vertical="center"/>
      <protection/>
    </xf>
    <xf numFmtId="184" fontId="8" fillId="0" borderId="42" xfId="21" applyNumberFormat="1" applyFont="1" applyBorder="1" applyAlignment="1">
      <alignment horizontal="centerContinuous" vertical="center"/>
      <protection/>
    </xf>
    <xf numFmtId="0" fontId="5" fillId="2" borderId="67" xfId="21" applyFont="1" applyFill="1" applyBorder="1" applyAlignment="1">
      <alignment horizontal="center" vertical="center"/>
      <protection/>
    </xf>
    <xf numFmtId="0" fontId="16" fillId="2" borderId="68" xfId="21" applyFont="1" applyFill="1" applyBorder="1">
      <alignment/>
      <protection/>
    </xf>
    <xf numFmtId="0" fontId="16" fillId="2" borderId="62" xfId="21" applyFont="1" applyFill="1" applyBorder="1">
      <alignment/>
      <protection/>
    </xf>
    <xf numFmtId="0" fontId="8" fillId="0" borderId="62" xfId="21" applyFont="1" applyBorder="1" applyAlignment="1">
      <alignment horizontal="left" vertical="center"/>
      <protection/>
    </xf>
    <xf numFmtId="185" fontId="5" fillId="2" borderId="42" xfId="21" applyNumberFormat="1" applyFont="1" applyFill="1" applyBorder="1" applyAlignment="1">
      <alignment horizontal="center" vertical="center"/>
      <protection/>
    </xf>
    <xf numFmtId="0" fontId="24" fillId="6" borderId="44" xfId="0" applyFont="1" applyFill="1" applyBorder="1" applyAlignment="1">
      <alignment horizontal="center" vertical="center" wrapText="1"/>
    </xf>
    <xf numFmtId="2" fontId="24" fillId="6" borderId="44" xfId="0" applyNumberFormat="1" applyFont="1" applyFill="1" applyBorder="1" applyAlignment="1">
      <alignment horizontal="center" vertical="center" wrapText="1"/>
    </xf>
    <xf numFmtId="2" fontId="0" fillId="7" borderId="42" xfId="0" applyNumberFormat="1" applyFill="1" applyBorder="1" applyAlignment="1">
      <alignment/>
    </xf>
    <xf numFmtId="0" fontId="0" fillId="7" borderId="42" xfId="0" applyFill="1" applyBorder="1" applyAlignment="1">
      <alignment/>
    </xf>
    <xf numFmtId="0" fontId="0" fillId="0" borderId="61" xfId="0" applyBorder="1" applyAlignment="1">
      <alignment/>
    </xf>
    <xf numFmtId="0" fontId="0" fillId="0" borderId="62" xfId="0" applyBorder="1" applyAlignment="1">
      <alignment/>
    </xf>
    <xf numFmtId="2" fontId="0" fillId="7" borderId="12" xfId="0" applyNumberFormat="1" applyFill="1" applyBorder="1" applyAlignment="1">
      <alignment/>
    </xf>
    <xf numFmtId="2" fontId="0" fillId="7" borderId="43" xfId="0" applyNumberFormat="1" applyFill="1" applyBorder="1" applyAlignment="1">
      <alignment/>
    </xf>
    <xf numFmtId="1" fontId="5" fillId="2" borderId="42" xfId="21" applyNumberFormat="1" applyFont="1" applyFill="1" applyBorder="1" applyAlignment="1">
      <alignment horizontal="center" vertical="center"/>
      <protection/>
    </xf>
    <xf numFmtId="185" fontId="0" fillId="7" borderId="42" xfId="0" applyNumberFormat="1" applyFill="1" applyBorder="1" applyAlignment="1">
      <alignment/>
    </xf>
    <xf numFmtId="0" fontId="0" fillId="0" borderId="61" xfId="0" applyFill="1" applyBorder="1" applyAlignment="1">
      <alignment/>
    </xf>
    <xf numFmtId="0" fontId="0" fillId="0" borderId="62" xfId="0" applyFill="1" applyBorder="1" applyAlignment="1">
      <alignment/>
    </xf>
    <xf numFmtId="0" fontId="0" fillId="0" borderId="49" xfId="0" applyFill="1" applyBorder="1" applyAlignment="1">
      <alignment/>
    </xf>
    <xf numFmtId="0" fontId="6" fillId="8" borderId="61" xfId="0" applyFont="1" applyFill="1" applyBorder="1" applyAlignment="1">
      <alignment/>
    </xf>
    <xf numFmtId="0" fontId="0" fillId="8" borderId="62" xfId="0" applyFill="1" applyBorder="1" applyAlignment="1">
      <alignment/>
    </xf>
    <xf numFmtId="186" fontId="6" fillId="8" borderId="43" xfId="0" applyNumberFormat="1" applyFont="1" applyFill="1" applyBorder="1" applyAlignment="1">
      <alignment/>
    </xf>
    <xf numFmtId="0" fontId="0" fillId="0" borderId="54" xfId="0" applyFill="1" applyBorder="1" applyAlignment="1">
      <alignment horizontal="center" vertical="center"/>
    </xf>
    <xf numFmtId="0" fontId="5" fillId="2" borderId="43" xfId="21" applyFont="1" applyFill="1" applyBorder="1" applyAlignment="1">
      <alignment horizontal="center" vertical="center"/>
      <protection/>
    </xf>
    <xf numFmtId="0" fontId="0" fillId="0" borderId="0" xfId="0" applyFill="1" applyAlignment="1">
      <alignment/>
    </xf>
    <xf numFmtId="0" fontId="6" fillId="0" borderId="0" xfId="0" applyFont="1" applyAlignment="1">
      <alignment/>
    </xf>
    <xf numFmtId="0" fontId="6" fillId="0" borderId="0" xfId="0" applyFont="1" applyFill="1" applyAlignment="1">
      <alignment/>
    </xf>
    <xf numFmtId="0" fontId="0" fillId="0" borderId="0" xfId="0" applyBorder="1" applyAlignment="1">
      <alignment/>
    </xf>
    <xf numFmtId="2" fontId="0" fillId="7" borderId="13" xfId="0" applyNumberFormat="1" applyFill="1" applyBorder="1" applyAlignment="1">
      <alignment/>
    </xf>
    <xf numFmtId="0" fontId="0" fillId="0" borderId="44" xfId="0" applyBorder="1" applyAlignment="1">
      <alignment horizontal="center"/>
    </xf>
    <xf numFmtId="0" fontId="0" fillId="0" borderId="0" xfId="0" applyFont="1" applyAlignment="1">
      <alignment/>
    </xf>
    <xf numFmtId="2" fontId="0" fillId="0" borderId="0" xfId="0" applyNumberFormat="1" applyFill="1" applyBorder="1" applyAlignment="1">
      <alignment horizontal="center" vertical="center"/>
    </xf>
    <xf numFmtId="2" fontId="0" fillId="0" borderId="19" xfId="0" applyNumberFormat="1" applyFill="1" applyBorder="1" applyAlignment="1">
      <alignment horizontal="center" vertical="center"/>
    </xf>
    <xf numFmtId="0" fontId="0" fillId="0" borderId="0" xfId="0" applyAlignment="1">
      <alignment horizontal="center"/>
    </xf>
    <xf numFmtId="0" fontId="12" fillId="4" borderId="28" xfId="0" applyFont="1" applyFill="1" applyBorder="1" applyAlignment="1">
      <alignment horizontal="center"/>
    </xf>
    <xf numFmtId="2" fontId="12" fillId="4" borderId="69" xfId="22" applyNumberFormat="1" applyFont="1" applyFill="1" applyBorder="1" applyAlignment="1">
      <alignment horizontal="center" vertical="center"/>
    </xf>
    <xf numFmtId="0" fontId="12" fillId="4" borderId="31" xfId="0" applyFont="1" applyFill="1" applyBorder="1" applyAlignment="1">
      <alignment horizontal="center"/>
    </xf>
    <xf numFmtId="2" fontId="12" fillId="4" borderId="52" xfId="0" applyNumberFormat="1" applyFont="1" applyFill="1" applyBorder="1" applyAlignment="1">
      <alignment horizontal="center" vertical="center"/>
    </xf>
    <xf numFmtId="0" fontId="12" fillId="4" borderId="52" xfId="0" applyFont="1" applyFill="1" applyBorder="1" applyAlignment="1">
      <alignment horizontal="center"/>
    </xf>
    <xf numFmtId="1" fontId="12" fillId="4" borderId="52" xfId="0" applyNumberFormat="1" applyFont="1" applyFill="1" applyBorder="1" applyAlignment="1">
      <alignment horizontal="center"/>
    </xf>
    <xf numFmtId="0" fontId="26" fillId="0" borderId="0" xfId="0" applyFont="1" applyAlignment="1">
      <alignment horizontal="center"/>
    </xf>
    <xf numFmtId="0" fontId="27" fillId="3" borderId="44" xfId="0" applyFont="1" applyFill="1" applyBorder="1" applyAlignment="1">
      <alignment horizontal="center"/>
    </xf>
    <xf numFmtId="186" fontId="0" fillId="0" borderId="0" xfId="0" applyNumberFormat="1" applyAlignment="1">
      <alignment horizontal="center"/>
    </xf>
    <xf numFmtId="186" fontId="0" fillId="0" borderId="70" xfId="0" applyNumberFormat="1" applyBorder="1" applyAlignment="1">
      <alignment horizontal="center"/>
    </xf>
    <xf numFmtId="189" fontId="0" fillId="0" borderId="0" xfId="22" applyNumberFormat="1" applyAlignment="1">
      <alignment horizontal="center"/>
    </xf>
    <xf numFmtId="2" fontId="12" fillId="4" borderId="52" xfId="0" applyNumberFormat="1" applyFont="1" applyFill="1" applyBorder="1" applyAlignment="1">
      <alignment horizontal="center"/>
    </xf>
    <xf numFmtId="186" fontId="0" fillId="0" borderId="71" xfId="0" applyNumberFormat="1" applyBorder="1" applyAlignment="1">
      <alignment horizontal="center"/>
    </xf>
    <xf numFmtId="0" fontId="12" fillId="4" borderId="35" xfId="0" applyFont="1" applyFill="1" applyBorder="1" applyAlignment="1">
      <alignment horizontal="center"/>
    </xf>
    <xf numFmtId="2" fontId="12" fillId="4" borderId="53" xfId="0" applyNumberFormat="1" applyFont="1" applyFill="1" applyBorder="1" applyAlignment="1">
      <alignment horizontal="center"/>
    </xf>
    <xf numFmtId="186" fontId="28" fillId="3" borderId="46" xfId="0" applyNumberFormat="1" applyFont="1" applyFill="1" applyBorder="1" applyAlignment="1">
      <alignment horizontal="center"/>
    </xf>
    <xf numFmtId="49" fontId="30" fillId="0" borderId="0" xfId="0" applyNumberFormat="1" applyFont="1" applyAlignment="1">
      <alignment/>
    </xf>
    <xf numFmtId="49" fontId="31" fillId="0" borderId="0" xfId="0" applyNumberFormat="1" applyFont="1" applyAlignment="1">
      <alignment/>
    </xf>
    <xf numFmtId="49" fontId="32" fillId="0" borderId="0" xfId="0" applyNumberFormat="1" applyFont="1" applyAlignment="1">
      <alignment/>
    </xf>
    <xf numFmtId="49" fontId="30" fillId="0" borderId="0" xfId="0" applyNumberFormat="1" applyFont="1" applyAlignment="1">
      <alignment/>
    </xf>
    <xf numFmtId="12" fontId="5" fillId="2" borderId="42" xfId="21" applyNumberFormat="1" applyFont="1" applyFill="1" applyBorder="1" applyAlignment="1">
      <alignment vertical="center"/>
      <protection/>
    </xf>
    <xf numFmtId="0" fontId="30" fillId="0" borderId="66" xfId="0" applyFont="1" applyBorder="1" applyAlignment="1">
      <alignment horizontal="left"/>
    </xf>
    <xf numFmtId="0" fontId="30" fillId="0" borderId="67" xfId="0" applyFont="1" applyBorder="1" applyAlignment="1">
      <alignment/>
    </xf>
    <xf numFmtId="0" fontId="30" fillId="0" borderId="61" xfId="0" applyFont="1" applyBorder="1" applyAlignment="1">
      <alignment horizontal="left"/>
    </xf>
    <xf numFmtId="0" fontId="30" fillId="0" borderId="42" xfId="0" applyFont="1" applyBorder="1" applyAlignment="1">
      <alignment/>
    </xf>
    <xf numFmtId="0" fontId="30" fillId="0" borderId="72" xfId="0" applyFont="1" applyBorder="1" applyAlignment="1">
      <alignment/>
    </xf>
    <xf numFmtId="0" fontId="30" fillId="0" borderId="73" xfId="0" applyFont="1" applyBorder="1" applyAlignment="1">
      <alignment horizontal="left"/>
    </xf>
    <xf numFmtId="0" fontId="30" fillId="0" borderId="74" xfId="0" applyFont="1" applyBorder="1" applyAlignment="1">
      <alignment/>
    </xf>
    <xf numFmtId="0" fontId="30" fillId="0" borderId="51" xfId="0" applyFont="1" applyBorder="1" applyAlignment="1">
      <alignment/>
    </xf>
    <xf numFmtId="0" fontId="30" fillId="0" borderId="50" xfId="0" applyFont="1" applyBorder="1" applyAlignment="1">
      <alignment/>
    </xf>
    <xf numFmtId="0" fontId="30" fillId="0" borderId="47" xfId="0" applyFont="1" applyBorder="1" applyAlignment="1">
      <alignment/>
    </xf>
    <xf numFmtId="0" fontId="30" fillId="0" borderId="64" xfId="0" applyFont="1" applyBorder="1" applyAlignment="1">
      <alignment/>
    </xf>
    <xf numFmtId="0" fontId="30" fillId="0" borderId="75" xfId="0" applyFont="1" applyBorder="1" applyAlignment="1">
      <alignment/>
    </xf>
    <xf numFmtId="184" fontId="30" fillId="0" borderId="47" xfId="0" applyNumberFormat="1" applyFont="1" applyBorder="1" applyAlignment="1">
      <alignment/>
    </xf>
    <xf numFmtId="1" fontId="30" fillId="0" borderId="47" xfId="0" applyNumberFormat="1" applyFont="1" applyBorder="1" applyAlignment="1">
      <alignment/>
    </xf>
    <xf numFmtId="0" fontId="32" fillId="0" borderId="0" xfId="0" applyFont="1" applyAlignment="1">
      <alignment/>
    </xf>
    <xf numFmtId="0" fontId="30" fillId="0" borderId="0" xfId="0" applyFont="1" applyAlignment="1">
      <alignment/>
    </xf>
    <xf numFmtId="2" fontId="30" fillId="0" borderId="47" xfId="0" applyNumberFormat="1" applyFont="1" applyBorder="1" applyAlignment="1">
      <alignment/>
    </xf>
    <xf numFmtId="185" fontId="30" fillId="0" borderId="47" xfId="0" applyNumberFormat="1" applyFont="1" applyBorder="1" applyAlignment="1">
      <alignment/>
    </xf>
    <xf numFmtId="0" fontId="30" fillId="0" borderId="0" xfId="0" applyFont="1" applyBorder="1" applyAlignment="1">
      <alignment/>
    </xf>
    <xf numFmtId="0" fontId="31" fillId="0" borderId="0" xfId="0" applyFont="1" applyAlignment="1">
      <alignment/>
    </xf>
    <xf numFmtId="0" fontId="30" fillId="0" borderId="0" xfId="0" applyFont="1" applyAlignment="1">
      <alignment/>
    </xf>
    <xf numFmtId="0" fontId="35" fillId="0" borderId="0" xfId="0" applyFont="1" applyBorder="1" applyAlignment="1">
      <alignment horizontal="left"/>
    </xf>
    <xf numFmtId="0" fontId="35" fillId="0" borderId="0" xfId="0" applyFont="1" applyAlignment="1">
      <alignment/>
    </xf>
    <xf numFmtId="0" fontId="35" fillId="0" borderId="0" xfId="0" applyFont="1" applyBorder="1" applyAlignment="1">
      <alignment/>
    </xf>
    <xf numFmtId="0" fontId="30" fillId="0" borderId="61" xfId="0" applyFont="1" applyBorder="1" applyAlignment="1">
      <alignment/>
    </xf>
    <xf numFmtId="2" fontId="30" fillId="0" borderId="74" xfId="0" applyNumberFormat="1" applyFont="1" applyBorder="1" applyAlignment="1">
      <alignment/>
    </xf>
    <xf numFmtId="0" fontId="30" fillId="0" borderId="73" xfId="0" applyFont="1" applyBorder="1" applyAlignment="1">
      <alignment/>
    </xf>
    <xf numFmtId="0" fontId="30" fillId="0" borderId="68" xfId="0" applyFont="1" applyBorder="1" applyAlignment="1">
      <alignment horizontal="center"/>
    </xf>
    <xf numFmtId="0" fontId="30" fillId="0" borderId="62" xfId="0" applyFont="1" applyBorder="1" applyAlignment="1">
      <alignment horizontal="center"/>
    </xf>
    <xf numFmtId="0" fontId="30" fillId="0" borderId="65" xfId="0" applyFont="1" applyBorder="1" applyAlignment="1">
      <alignment horizontal="center"/>
    </xf>
    <xf numFmtId="1" fontId="30" fillId="0" borderId="74" xfId="0" applyNumberFormat="1" applyFont="1" applyBorder="1" applyAlignment="1">
      <alignment/>
    </xf>
    <xf numFmtId="2" fontId="30" fillId="0" borderId="64" xfId="0" applyNumberFormat="1" applyFont="1" applyBorder="1" applyAlignment="1">
      <alignment/>
    </xf>
    <xf numFmtId="0" fontId="24" fillId="6" borderId="54" xfId="0" applyFont="1" applyFill="1" applyBorder="1" applyAlignment="1">
      <alignment horizontal="center" vertical="center" wrapText="1"/>
    </xf>
    <xf numFmtId="49" fontId="30" fillId="0" borderId="56" xfId="0" applyNumberFormat="1" applyFont="1" applyBorder="1" applyAlignment="1">
      <alignment/>
    </xf>
    <xf numFmtId="2" fontId="30" fillId="0" borderId="76" xfId="0" applyNumberFormat="1" applyFont="1" applyBorder="1" applyAlignment="1">
      <alignment/>
    </xf>
    <xf numFmtId="49" fontId="30" fillId="0" borderId="77" xfId="0" applyNumberFormat="1" applyFont="1" applyBorder="1" applyAlignment="1">
      <alignment/>
    </xf>
    <xf numFmtId="2" fontId="30" fillId="0" borderId="78" xfId="0" applyNumberFormat="1" applyFont="1" applyBorder="1" applyAlignment="1">
      <alignment/>
    </xf>
    <xf numFmtId="0" fontId="30" fillId="0" borderId="56" xfId="0" applyFont="1" applyBorder="1" applyAlignment="1">
      <alignment/>
    </xf>
    <xf numFmtId="0" fontId="30" fillId="0" borderId="71" xfId="0" applyFont="1" applyBorder="1" applyAlignment="1">
      <alignment/>
    </xf>
    <xf numFmtId="0" fontId="30" fillId="0" borderId="70" xfId="0" applyFont="1" applyBorder="1" applyAlignment="1">
      <alignment/>
    </xf>
    <xf numFmtId="0" fontId="30" fillId="0" borderId="44" xfId="0" applyFont="1" applyBorder="1" applyAlignment="1">
      <alignment horizontal="center"/>
    </xf>
    <xf numFmtId="0" fontId="31" fillId="0" borderId="79" xfId="0" applyFont="1" applyFill="1" applyBorder="1" applyAlignment="1">
      <alignment/>
    </xf>
    <xf numFmtId="0" fontId="31" fillId="0" borderId="56" xfId="0" applyFont="1" applyFill="1" applyBorder="1" applyAlignment="1">
      <alignment/>
    </xf>
    <xf numFmtId="0" fontId="31" fillId="0" borderId="77" xfId="0" applyFont="1" applyFill="1" applyBorder="1" applyAlignment="1">
      <alignment/>
    </xf>
    <xf numFmtId="0" fontId="31" fillId="6" borderId="80" xfId="0" applyFont="1" applyFill="1" applyBorder="1" applyAlignment="1">
      <alignment/>
    </xf>
    <xf numFmtId="0" fontId="30" fillId="0" borderId="66" xfId="0" applyFont="1" applyBorder="1" applyAlignment="1">
      <alignment/>
    </xf>
    <xf numFmtId="191" fontId="31" fillId="0" borderId="76" xfId="0" applyNumberFormat="1" applyFont="1" applyFill="1" applyBorder="1" applyAlignment="1">
      <alignment/>
    </xf>
    <xf numFmtId="0" fontId="30" fillId="0" borderId="0" xfId="0" applyFont="1" applyAlignment="1">
      <alignment horizontal="justify"/>
    </xf>
    <xf numFmtId="0" fontId="30" fillId="0" borderId="61" xfId="0" applyFont="1" applyBorder="1" applyAlignment="1">
      <alignment/>
    </xf>
    <xf numFmtId="1" fontId="30" fillId="0" borderId="0" xfId="0" applyNumberFormat="1" applyFont="1" applyBorder="1" applyAlignment="1">
      <alignment horizontal="center"/>
    </xf>
    <xf numFmtId="0" fontId="30" fillId="0" borderId="51" xfId="0" applyFont="1" applyBorder="1" applyAlignment="1">
      <alignment/>
    </xf>
    <xf numFmtId="0" fontId="30" fillId="0" borderId="42" xfId="0" applyFont="1" applyBorder="1" applyAlignment="1">
      <alignment horizontal="left"/>
    </xf>
    <xf numFmtId="0" fontId="30" fillId="0" borderId="0" xfId="0" applyFont="1" applyBorder="1" applyAlignment="1">
      <alignment/>
    </xf>
    <xf numFmtId="0" fontId="30" fillId="0" borderId="72" xfId="0" applyFont="1" applyBorder="1" applyAlignment="1">
      <alignment horizontal="left"/>
    </xf>
    <xf numFmtId="2" fontId="30" fillId="0" borderId="0" xfId="0" applyNumberFormat="1" applyFont="1" applyBorder="1" applyAlignment="1">
      <alignment/>
    </xf>
    <xf numFmtId="184" fontId="30" fillId="0" borderId="0" xfId="0" applyNumberFormat="1" applyFont="1" applyBorder="1" applyAlignment="1">
      <alignment/>
    </xf>
    <xf numFmtId="0" fontId="30" fillId="0" borderId="81" xfId="0" applyFont="1" applyBorder="1" applyAlignment="1">
      <alignment/>
    </xf>
    <xf numFmtId="2" fontId="30" fillId="0" borderId="47" xfId="0" applyNumberFormat="1" applyFont="1" applyBorder="1" applyAlignment="1">
      <alignment horizontal="right"/>
    </xf>
    <xf numFmtId="49" fontId="30" fillId="0" borderId="50" xfId="0" applyNumberFormat="1" applyFont="1" applyBorder="1" applyAlignment="1">
      <alignment/>
    </xf>
    <xf numFmtId="1" fontId="30" fillId="0" borderId="82" xfId="0" applyNumberFormat="1" applyFont="1" applyBorder="1" applyAlignment="1">
      <alignment/>
    </xf>
    <xf numFmtId="0" fontId="30" fillId="0" borderId="47" xfId="0" applyNumberFormat="1" applyFont="1" applyBorder="1" applyAlignment="1">
      <alignment/>
    </xf>
    <xf numFmtId="1" fontId="0" fillId="7" borderId="42" xfId="0" applyNumberFormat="1" applyFill="1" applyBorder="1" applyAlignment="1">
      <alignment horizontal="center"/>
    </xf>
    <xf numFmtId="2" fontId="0" fillId="7" borderId="12" xfId="0" applyNumberFormat="1" applyFill="1" applyBorder="1" applyAlignment="1">
      <alignment horizontal="center"/>
    </xf>
    <xf numFmtId="0" fontId="0" fillId="0" borderId="44" xfId="0" applyFill="1" applyBorder="1" applyAlignment="1">
      <alignment horizontal="center"/>
    </xf>
    <xf numFmtId="0" fontId="0" fillId="0" borderId="0" xfId="0" applyFont="1" applyFill="1" applyAlignment="1">
      <alignment/>
    </xf>
    <xf numFmtId="186" fontId="31" fillId="0" borderId="76" xfId="0" applyNumberFormat="1" applyFont="1" applyFill="1" applyBorder="1" applyAlignment="1">
      <alignment/>
    </xf>
    <xf numFmtId="0" fontId="30" fillId="0" borderId="61" xfId="0" applyFont="1" applyBorder="1" applyAlignment="1">
      <alignment horizontal="center"/>
    </xf>
    <xf numFmtId="0" fontId="30" fillId="0" borderId="59" xfId="0" applyFont="1" applyBorder="1" applyAlignment="1">
      <alignment horizontal="center"/>
    </xf>
    <xf numFmtId="0" fontId="30" fillId="0" borderId="75" xfId="0" applyFont="1" applyBorder="1" applyAlignment="1">
      <alignment/>
    </xf>
    <xf numFmtId="12" fontId="30" fillId="0" borderId="0" xfId="0" applyNumberFormat="1" applyFont="1" applyBorder="1" applyAlignment="1">
      <alignment/>
    </xf>
    <xf numFmtId="0" fontId="30" fillId="0" borderId="35" xfId="0" applyFont="1" applyBorder="1" applyAlignment="1">
      <alignment/>
    </xf>
    <xf numFmtId="0" fontId="30" fillId="0" borderId="19" xfId="0" applyFont="1" applyBorder="1" applyAlignment="1">
      <alignment/>
    </xf>
    <xf numFmtId="0" fontId="30" fillId="0" borderId="82" xfId="0" applyFont="1" applyBorder="1" applyAlignment="1">
      <alignment/>
    </xf>
    <xf numFmtId="12" fontId="30" fillId="0" borderId="74" xfId="0" applyNumberFormat="1" applyFont="1" applyBorder="1" applyAlignment="1">
      <alignment/>
    </xf>
    <xf numFmtId="0" fontId="30" fillId="0" borderId="0" xfId="0" applyFont="1" applyAlignment="1">
      <alignment horizontal="justify" vertical="top"/>
    </xf>
    <xf numFmtId="0" fontId="30" fillId="0" borderId="0" xfId="0" applyFont="1" applyAlignment="1">
      <alignment vertical="top"/>
    </xf>
    <xf numFmtId="0" fontId="30" fillId="0" borderId="0" xfId="0" applyNumberFormat="1" applyFont="1" applyAlignment="1">
      <alignment vertical="top"/>
    </xf>
    <xf numFmtId="0" fontId="39" fillId="0" borderId="0" xfId="0" applyFont="1" applyAlignment="1">
      <alignment/>
    </xf>
    <xf numFmtId="0" fontId="32" fillId="0" borderId="0" xfId="0" applyNumberFormat="1" applyFont="1" applyAlignment="1">
      <alignment vertical="top"/>
    </xf>
    <xf numFmtId="0" fontId="32" fillId="0" borderId="0" xfId="0" applyFont="1" applyAlignment="1">
      <alignment horizontal="left" vertical="top"/>
    </xf>
    <xf numFmtId="2" fontId="5" fillId="2" borderId="42" xfId="21" applyNumberFormat="1" applyFont="1" applyFill="1" applyBorder="1" applyAlignment="1">
      <alignment vertical="center"/>
      <protection/>
    </xf>
    <xf numFmtId="2" fontId="0" fillId="9" borderId="44" xfId="0" applyNumberFormat="1" applyFill="1" applyBorder="1" applyAlignment="1">
      <alignment/>
    </xf>
    <xf numFmtId="0" fontId="40" fillId="0" borderId="0" xfId="0" applyFont="1" applyAlignment="1">
      <alignment/>
    </xf>
    <xf numFmtId="2" fontId="0" fillId="7" borderId="43" xfId="0" applyNumberFormat="1" applyFill="1" applyBorder="1" applyAlignment="1">
      <alignment horizontal="center"/>
    </xf>
    <xf numFmtId="1" fontId="9" fillId="7" borderId="25" xfId="21" applyNumberFormat="1" applyFont="1" applyFill="1" applyBorder="1" applyAlignment="1">
      <alignment horizontal="center"/>
      <protection/>
    </xf>
    <xf numFmtId="1" fontId="9" fillId="7" borderId="26" xfId="21" applyNumberFormat="1" applyFont="1" applyFill="1" applyBorder="1" applyAlignment="1">
      <alignment horizontal="center"/>
      <protection/>
    </xf>
    <xf numFmtId="0" fontId="39" fillId="0" borderId="0" xfId="0" applyFont="1" applyBorder="1" applyAlignment="1">
      <alignment horizontal="left" wrapText="1"/>
    </xf>
    <xf numFmtId="0" fontId="6" fillId="10" borderId="0" xfId="0" applyFont="1" applyFill="1" applyAlignment="1">
      <alignment horizontal="center"/>
    </xf>
    <xf numFmtId="1" fontId="9" fillId="4" borderId="25" xfId="21" applyNumberFormat="1" applyFont="1" applyFill="1" applyBorder="1" applyAlignment="1">
      <alignment horizontal="center"/>
      <protection/>
    </xf>
    <xf numFmtId="0" fontId="0" fillId="0" borderId="44" xfId="0" applyFont="1" applyBorder="1" applyAlignment="1">
      <alignment horizontal="center"/>
    </xf>
    <xf numFmtId="184" fontId="0" fillId="7" borderId="0" xfId="0" applyNumberFormat="1" applyFont="1" applyFill="1" applyAlignment="1">
      <alignment horizontal="center"/>
    </xf>
    <xf numFmtId="2" fontId="30" fillId="0" borderId="0" xfId="0" applyNumberFormat="1" applyFont="1" applyAlignment="1">
      <alignment horizontal="right" vertical="top"/>
    </xf>
    <xf numFmtId="1" fontId="30" fillId="0" borderId="0" xfId="0" applyNumberFormat="1" applyFont="1" applyAlignment="1">
      <alignment horizontal="right" vertical="top"/>
    </xf>
    <xf numFmtId="0" fontId="30" fillId="0" borderId="42" xfId="0" applyFont="1" applyBorder="1" applyAlignment="1">
      <alignment horizontal="justify" vertical="top"/>
    </xf>
    <xf numFmtId="0" fontId="30" fillId="0" borderId="72" xfId="0" applyFont="1" applyBorder="1" applyAlignment="1">
      <alignment horizontal="justify" vertical="top"/>
    </xf>
    <xf numFmtId="2" fontId="30" fillId="0" borderId="72" xfId="0" applyNumberFormat="1" applyFont="1" applyBorder="1" applyAlignment="1">
      <alignment horizontal="right" vertical="top"/>
    </xf>
    <xf numFmtId="0" fontId="30" fillId="0" borderId="65" xfId="0" applyFont="1" applyBorder="1" applyAlignment="1">
      <alignment/>
    </xf>
    <xf numFmtId="12" fontId="0" fillId="11" borderId="12" xfId="0" applyNumberFormat="1" applyFill="1" applyBorder="1" applyAlignment="1">
      <alignment horizontal="center"/>
    </xf>
    <xf numFmtId="0" fontId="30" fillId="0" borderId="66" xfId="0" applyFont="1" applyBorder="1" applyAlignment="1">
      <alignment horizontal="left" vertical="top"/>
    </xf>
    <xf numFmtId="0" fontId="30" fillId="0" borderId="67" xfId="0" applyFont="1" applyBorder="1" applyAlignment="1">
      <alignment horizontal="justify" vertical="top"/>
    </xf>
    <xf numFmtId="0" fontId="30" fillId="0" borderId="61" xfId="0" applyFont="1" applyBorder="1" applyAlignment="1">
      <alignment horizontal="left" vertical="top"/>
    </xf>
    <xf numFmtId="12" fontId="30" fillId="0" borderId="74" xfId="0" applyNumberFormat="1" applyFont="1" applyBorder="1" applyAlignment="1">
      <alignment horizontal="right" vertical="top"/>
    </xf>
    <xf numFmtId="0" fontId="30" fillId="0" borderId="51" xfId="0" applyFont="1" applyBorder="1" applyAlignment="1">
      <alignment horizontal="justify" vertical="top"/>
    </xf>
    <xf numFmtId="2" fontId="30" fillId="0" borderId="47" xfId="0" applyNumberFormat="1" applyFont="1" applyBorder="1" applyAlignment="1">
      <alignment horizontal="right" vertical="top"/>
    </xf>
    <xf numFmtId="0" fontId="30" fillId="0" borderId="50" xfId="0" applyFont="1" applyBorder="1" applyAlignment="1">
      <alignment horizontal="justify" vertical="top"/>
    </xf>
    <xf numFmtId="0" fontId="30" fillId="0" borderId="59" xfId="0" applyFont="1" applyBorder="1" applyAlignment="1">
      <alignment/>
    </xf>
    <xf numFmtId="0" fontId="30" fillId="0" borderId="43" xfId="0" applyFont="1" applyBorder="1" applyAlignment="1">
      <alignment/>
    </xf>
    <xf numFmtId="1" fontId="5" fillId="2" borderId="42" xfId="21" applyNumberFormat="1" applyFont="1" applyFill="1" applyBorder="1" applyAlignment="1">
      <alignment vertical="center"/>
      <protection/>
    </xf>
    <xf numFmtId="0" fontId="0" fillId="0" borderId="0" xfId="0" applyAlignment="1">
      <alignment horizontal="right"/>
    </xf>
    <xf numFmtId="0" fontId="0" fillId="0" borderId="42" xfId="0" applyBorder="1" applyAlignment="1">
      <alignment/>
    </xf>
    <xf numFmtId="0" fontId="0" fillId="0" borderId="42" xfId="0" applyBorder="1" applyAlignment="1">
      <alignment horizontal="center"/>
    </xf>
    <xf numFmtId="2" fontId="0" fillId="7" borderId="42" xfId="0" applyNumberFormat="1" applyFill="1" applyBorder="1" applyAlignment="1">
      <alignment horizontal="right"/>
    </xf>
    <xf numFmtId="184" fontId="0" fillId="7" borderId="42" xfId="0" applyNumberFormat="1" applyFill="1" applyBorder="1" applyAlignment="1">
      <alignment horizontal="right"/>
    </xf>
    <xf numFmtId="1" fontId="0" fillId="7" borderId="42" xfId="0" applyNumberFormat="1" applyFill="1" applyBorder="1" applyAlignment="1">
      <alignment horizontal="right"/>
    </xf>
    <xf numFmtId="191" fontId="0" fillId="7" borderId="42" xfId="0" applyNumberFormat="1" applyFill="1" applyBorder="1" applyAlignment="1">
      <alignment horizontal="right"/>
    </xf>
    <xf numFmtId="0" fontId="0" fillId="12" borderId="42" xfId="0" applyFill="1" applyBorder="1" applyAlignment="1">
      <alignment horizontal="right"/>
    </xf>
    <xf numFmtId="0" fontId="0" fillId="7" borderId="42" xfId="0" applyFill="1" applyBorder="1" applyAlignment="1">
      <alignment horizontal="right"/>
    </xf>
    <xf numFmtId="0" fontId="0" fillId="0" borderId="66" xfId="0" applyBorder="1" applyAlignment="1">
      <alignment/>
    </xf>
    <xf numFmtId="0" fontId="0" fillId="0" borderId="67" xfId="0" applyBorder="1" applyAlignment="1">
      <alignment horizontal="center"/>
    </xf>
    <xf numFmtId="0" fontId="0" fillId="0" borderId="68" xfId="0" applyBorder="1" applyAlignment="1">
      <alignment/>
    </xf>
    <xf numFmtId="0" fontId="0" fillId="0" borderId="73" xfId="0" applyBorder="1" applyAlignment="1">
      <alignment/>
    </xf>
    <xf numFmtId="0" fontId="0" fillId="0" borderId="72" xfId="0" applyBorder="1" applyAlignment="1">
      <alignment horizontal="center"/>
    </xf>
    <xf numFmtId="0" fontId="0" fillId="7" borderId="72" xfId="0" applyFill="1" applyBorder="1" applyAlignment="1">
      <alignment horizontal="right"/>
    </xf>
    <xf numFmtId="0" fontId="0" fillId="0" borderId="65" xfId="0" applyBorder="1" applyAlignment="1">
      <alignment/>
    </xf>
    <xf numFmtId="0" fontId="0" fillId="0" borderId="47" xfId="0" applyBorder="1" applyAlignment="1">
      <alignment horizontal="center"/>
    </xf>
    <xf numFmtId="2" fontId="0" fillId="7" borderId="12" xfId="0" applyNumberFormat="1" applyFill="1" applyBorder="1" applyAlignment="1">
      <alignment horizontal="right"/>
    </xf>
    <xf numFmtId="2" fontId="0" fillId="7" borderId="43" xfId="0" applyNumberFormat="1" applyFill="1" applyBorder="1" applyAlignment="1">
      <alignment horizontal="right"/>
    </xf>
    <xf numFmtId="0" fontId="0" fillId="0" borderId="77" xfId="0" applyBorder="1" applyAlignment="1">
      <alignment/>
    </xf>
    <xf numFmtId="0" fontId="0" fillId="0" borderId="83" xfId="0" applyBorder="1" applyAlignment="1">
      <alignment horizontal="center"/>
    </xf>
    <xf numFmtId="2" fontId="0" fillId="7" borderId="83" xfId="0" applyNumberFormat="1" applyFill="1" applyBorder="1" applyAlignment="1">
      <alignment horizontal="right"/>
    </xf>
    <xf numFmtId="0" fontId="0" fillId="0" borderId="84" xfId="0" applyBorder="1" applyAlignment="1">
      <alignment/>
    </xf>
    <xf numFmtId="0" fontId="0" fillId="12" borderId="67" xfId="0" applyFill="1" applyBorder="1" applyAlignment="1">
      <alignment horizontal="right"/>
    </xf>
    <xf numFmtId="1" fontId="0" fillId="0" borderId="42" xfId="0" applyNumberFormat="1" applyFill="1" applyBorder="1" applyAlignment="1">
      <alignment horizontal="center"/>
    </xf>
    <xf numFmtId="1" fontId="0" fillId="0" borderId="42" xfId="0" applyNumberFormat="1" applyBorder="1" applyAlignment="1">
      <alignment horizontal="center"/>
    </xf>
    <xf numFmtId="1" fontId="0" fillId="0" borderId="43" xfId="0" applyNumberFormat="1" applyFill="1" applyBorder="1" applyAlignment="1">
      <alignment horizontal="center"/>
    </xf>
    <xf numFmtId="0" fontId="0" fillId="0" borderId="77"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191" fontId="0" fillId="7" borderId="42" xfId="0" applyNumberFormat="1" applyFill="1" applyBorder="1" applyAlignment="1">
      <alignment/>
    </xf>
    <xf numFmtId="0" fontId="0" fillId="0" borderId="67" xfId="0" applyBorder="1" applyAlignment="1">
      <alignment/>
    </xf>
    <xf numFmtId="12" fontId="0" fillId="7" borderId="67" xfId="0" applyNumberFormat="1" applyFill="1" applyBorder="1" applyAlignment="1">
      <alignment/>
    </xf>
    <xf numFmtId="0" fontId="0" fillId="0" borderId="72" xfId="0" applyBorder="1" applyAlignment="1">
      <alignment/>
    </xf>
    <xf numFmtId="0" fontId="0" fillId="0" borderId="73" xfId="0" applyFill="1" applyBorder="1" applyAlignment="1">
      <alignment/>
    </xf>
    <xf numFmtId="0" fontId="0" fillId="0" borderId="65" xfId="0" applyFill="1" applyBorder="1" applyAlignment="1">
      <alignment/>
    </xf>
    <xf numFmtId="2" fontId="0" fillId="7" borderId="72" xfId="0" applyNumberFormat="1" applyFill="1" applyBorder="1" applyAlignment="1">
      <alignment/>
    </xf>
    <xf numFmtId="0" fontId="0" fillId="0" borderId="83" xfId="0" applyBorder="1" applyAlignment="1">
      <alignment/>
    </xf>
    <xf numFmtId="2" fontId="0" fillId="7" borderId="83" xfId="0" applyNumberFormat="1" applyFill="1" applyBorder="1" applyAlignment="1">
      <alignment/>
    </xf>
    <xf numFmtId="1" fontId="30" fillId="0" borderId="42" xfId="0" applyNumberFormat="1" applyFont="1" applyBorder="1" applyAlignment="1">
      <alignment horizontal="center"/>
    </xf>
    <xf numFmtId="1" fontId="30" fillId="0" borderId="62" xfId="0" applyNumberFormat="1" applyFont="1" applyBorder="1" applyAlignment="1">
      <alignment horizontal="center"/>
    </xf>
    <xf numFmtId="0" fontId="30" fillId="0" borderId="73" xfId="0" applyFont="1" applyBorder="1" applyAlignment="1">
      <alignment horizontal="center"/>
    </xf>
    <xf numFmtId="1" fontId="30" fillId="0" borderId="72" xfId="0" applyNumberFormat="1" applyFont="1" applyBorder="1" applyAlignment="1">
      <alignment horizontal="center"/>
    </xf>
    <xf numFmtId="1" fontId="30" fillId="0" borderId="65" xfId="0" applyNumberFormat="1" applyFont="1" applyBorder="1" applyAlignment="1">
      <alignment horizontal="center"/>
    </xf>
    <xf numFmtId="1" fontId="30" fillId="0" borderId="43" xfId="0" applyNumberFormat="1" applyFont="1" applyBorder="1" applyAlignment="1">
      <alignment horizontal="center"/>
    </xf>
    <xf numFmtId="1" fontId="30" fillId="0" borderId="60" xfId="0" applyNumberFormat="1" applyFont="1" applyBorder="1" applyAlignment="1">
      <alignment horizontal="center"/>
    </xf>
    <xf numFmtId="0" fontId="30" fillId="0" borderId="0" xfId="0" applyFont="1" applyAlignment="1">
      <alignment horizontal="left"/>
    </xf>
    <xf numFmtId="0" fontId="31" fillId="6" borderId="55" xfId="0" applyFont="1" applyFill="1" applyBorder="1" applyAlignment="1">
      <alignment/>
    </xf>
    <xf numFmtId="0" fontId="31" fillId="6" borderId="76" xfId="0" applyFont="1" applyFill="1" applyBorder="1" applyAlignment="1">
      <alignment/>
    </xf>
    <xf numFmtId="2" fontId="31" fillId="6" borderId="56" xfId="0" applyNumberFormat="1" applyFont="1" applyFill="1" applyBorder="1" applyAlignment="1">
      <alignment/>
    </xf>
    <xf numFmtId="184" fontId="30" fillId="0" borderId="47" xfId="0" applyNumberFormat="1" applyFont="1" applyBorder="1" applyAlignment="1">
      <alignment horizontal="right"/>
    </xf>
    <xf numFmtId="0" fontId="30" fillId="0" borderId="50" xfId="0" applyFont="1" applyBorder="1" applyAlignment="1">
      <alignment horizontal="justify"/>
    </xf>
    <xf numFmtId="0" fontId="0" fillId="0" borderId="35" xfId="0" applyBorder="1" applyAlignment="1">
      <alignment/>
    </xf>
    <xf numFmtId="0" fontId="0" fillId="0" borderId="53" xfId="0" applyBorder="1" applyAlignment="1">
      <alignment/>
    </xf>
    <xf numFmtId="184" fontId="31" fillId="6" borderId="78" xfId="0" applyNumberFormat="1" applyFont="1" applyFill="1" applyBorder="1" applyAlignment="1">
      <alignment/>
    </xf>
    <xf numFmtId="184" fontId="31" fillId="6" borderId="76" xfId="0" applyNumberFormat="1" applyFont="1" applyFill="1" applyBorder="1" applyAlignment="1">
      <alignment/>
    </xf>
    <xf numFmtId="0" fontId="30" fillId="0" borderId="77" xfId="0" applyFont="1" applyBorder="1" applyAlignment="1">
      <alignment horizontal="center"/>
    </xf>
    <xf numFmtId="184" fontId="30" fillId="0" borderId="0" xfId="0" applyNumberFormat="1" applyFont="1" applyAlignment="1">
      <alignment/>
    </xf>
    <xf numFmtId="184" fontId="30" fillId="0" borderId="55" xfId="0" applyNumberFormat="1" applyFont="1" applyBorder="1" applyAlignment="1">
      <alignment/>
    </xf>
    <xf numFmtId="0" fontId="30" fillId="0" borderId="55" xfId="0" applyFont="1" applyBorder="1" applyAlignment="1">
      <alignment horizontal="left"/>
    </xf>
    <xf numFmtId="0" fontId="30" fillId="0" borderId="76" xfId="0" applyFont="1" applyBorder="1" applyAlignment="1">
      <alignment horizontal="justify"/>
    </xf>
    <xf numFmtId="0" fontId="30" fillId="0" borderId="76" xfId="0" applyFont="1" applyBorder="1" applyAlignment="1">
      <alignment/>
    </xf>
    <xf numFmtId="0" fontId="16" fillId="2" borderId="0" xfId="21" applyFont="1" applyFill="1" applyBorder="1">
      <alignment/>
      <protection/>
    </xf>
    <xf numFmtId="0" fontId="0" fillId="0" borderId="85" xfId="0" applyBorder="1" applyAlignment="1">
      <alignment/>
    </xf>
    <xf numFmtId="0" fontId="0" fillId="0" borderId="81" xfId="0" applyBorder="1" applyAlignment="1">
      <alignment/>
    </xf>
    <xf numFmtId="184" fontId="0" fillId="7" borderId="12" xfId="0" applyNumberFormat="1" applyFill="1" applyBorder="1" applyAlignment="1">
      <alignment/>
    </xf>
    <xf numFmtId="0" fontId="30" fillId="0" borderId="0" xfId="0" applyFont="1" applyBorder="1" applyAlignment="1">
      <alignment horizontal="justify"/>
    </xf>
    <xf numFmtId="0" fontId="30" fillId="0" borderId="42" xfId="0" applyFont="1" applyBorder="1" applyAlignment="1">
      <alignment horizontal="justify"/>
    </xf>
    <xf numFmtId="0" fontId="30" fillId="0" borderId="67" xfId="0" applyFont="1" applyBorder="1" applyAlignment="1">
      <alignment horizontal="justify"/>
    </xf>
    <xf numFmtId="0" fontId="30" fillId="0" borderId="51" xfId="0" applyFont="1" applyBorder="1" applyAlignment="1">
      <alignment horizontal="justify"/>
    </xf>
    <xf numFmtId="0" fontId="30" fillId="0" borderId="72" xfId="0" applyFont="1" applyBorder="1" applyAlignment="1">
      <alignment horizontal="justify"/>
    </xf>
    <xf numFmtId="0" fontId="30" fillId="0" borderId="75" xfId="0" applyFont="1" applyBorder="1" applyAlignment="1">
      <alignment horizontal="justify"/>
    </xf>
    <xf numFmtId="0" fontId="30" fillId="0" borderId="81" xfId="0" applyFont="1" applyBorder="1" applyAlignment="1">
      <alignment horizontal="justify"/>
    </xf>
    <xf numFmtId="184" fontId="30" fillId="0" borderId="82" xfId="0" applyNumberFormat="1" applyFont="1" applyBorder="1" applyAlignment="1">
      <alignment horizontal="right"/>
    </xf>
    <xf numFmtId="184" fontId="30" fillId="0" borderId="64" xfId="0" applyNumberFormat="1" applyFont="1" applyBorder="1" applyAlignment="1">
      <alignment horizontal="right"/>
    </xf>
    <xf numFmtId="184" fontId="30" fillId="0" borderId="74" xfId="0" applyNumberFormat="1" applyFont="1" applyBorder="1" applyAlignment="1">
      <alignment horizontal="right"/>
    </xf>
    <xf numFmtId="2" fontId="0" fillId="0" borderId="85" xfId="0" applyNumberFormat="1" applyBorder="1" applyAlignment="1">
      <alignment/>
    </xf>
    <xf numFmtId="2" fontId="0" fillId="0" borderId="55" xfId="0" applyNumberFormat="1" applyBorder="1" applyAlignment="1">
      <alignment/>
    </xf>
    <xf numFmtId="0" fontId="0" fillId="0" borderId="56" xfId="0" applyBorder="1" applyAlignment="1">
      <alignment/>
    </xf>
    <xf numFmtId="0" fontId="30" fillId="0" borderId="0" xfId="0" applyFont="1" applyBorder="1" applyAlignment="1">
      <alignment horizontal="center"/>
    </xf>
    <xf numFmtId="0" fontId="30" fillId="0" borderId="82" xfId="0" applyFont="1" applyBorder="1" applyAlignment="1">
      <alignment vertical="center"/>
    </xf>
    <xf numFmtId="0" fontId="30" fillId="0" borderId="81" xfId="0" applyFont="1" applyBorder="1" applyAlignment="1">
      <alignment vertical="center"/>
    </xf>
    <xf numFmtId="1" fontId="30" fillId="0" borderId="47" xfId="0" applyNumberFormat="1" applyFont="1" applyBorder="1" applyAlignment="1">
      <alignment horizontal="right" vertical="center"/>
    </xf>
    <xf numFmtId="0" fontId="30" fillId="0" borderId="50" xfId="0" applyFont="1" applyBorder="1" applyAlignment="1">
      <alignment vertical="center"/>
    </xf>
    <xf numFmtId="0" fontId="30" fillId="0" borderId="47" xfId="0" applyFont="1" applyBorder="1" applyAlignment="1">
      <alignment horizontal="right" vertical="center"/>
    </xf>
    <xf numFmtId="1" fontId="30" fillId="0" borderId="64" xfId="0" applyNumberFormat="1" applyFont="1" applyBorder="1" applyAlignment="1">
      <alignment horizontal="right" vertical="center"/>
    </xf>
    <xf numFmtId="0" fontId="30" fillId="0" borderId="75" xfId="0" applyFont="1" applyBorder="1" applyAlignment="1">
      <alignment vertical="center"/>
    </xf>
    <xf numFmtId="0" fontId="30" fillId="0" borderId="0" xfId="0" applyFont="1" applyBorder="1" applyAlignment="1">
      <alignment horizontal="left"/>
    </xf>
    <xf numFmtId="2" fontId="30" fillId="0" borderId="0" xfId="0" applyNumberFormat="1" applyFont="1" applyBorder="1" applyAlignment="1">
      <alignment horizontal="right"/>
    </xf>
    <xf numFmtId="0" fontId="31" fillId="0" borderId="0" xfId="0" applyFont="1" applyAlignment="1">
      <alignment horizontal="left"/>
    </xf>
    <xf numFmtId="0" fontId="32" fillId="0" borderId="0" xfId="0" applyFont="1" applyAlignment="1">
      <alignment horizontal="left"/>
    </xf>
    <xf numFmtId="0" fontId="0" fillId="0" borderId="0" xfId="0" applyBorder="1" applyAlignment="1">
      <alignment horizontal="left"/>
    </xf>
    <xf numFmtId="1" fontId="30" fillId="0" borderId="0" xfId="0" applyNumberFormat="1" applyFont="1" applyBorder="1" applyAlignment="1">
      <alignment horizontal="left"/>
    </xf>
    <xf numFmtId="2" fontId="30" fillId="0" borderId="78" xfId="0" applyNumberFormat="1" applyFont="1" applyBorder="1" applyAlignment="1">
      <alignment horizontal="right"/>
    </xf>
    <xf numFmtId="2" fontId="30" fillId="0" borderId="78" xfId="0" applyNumberFormat="1" applyFont="1" applyBorder="1" applyAlignment="1">
      <alignment horizontal="right" vertical="center"/>
    </xf>
    <xf numFmtId="0" fontId="30" fillId="0" borderId="56" xfId="0" applyFont="1" applyBorder="1" applyAlignment="1">
      <alignment horizontal="justify" vertical="center"/>
    </xf>
    <xf numFmtId="0" fontId="48" fillId="0" borderId="0" xfId="0" applyFont="1" applyAlignment="1">
      <alignment horizontal="left"/>
    </xf>
    <xf numFmtId="1" fontId="30" fillId="0" borderId="0" xfId="0" applyNumberFormat="1" applyFont="1" applyBorder="1" applyAlignment="1">
      <alignment horizontal="right"/>
    </xf>
    <xf numFmtId="1" fontId="30" fillId="0" borderId="78" xfId="0" applyNumberFormat="1" applyFont="1" applyBorder="1" applyAlignment="1">
      <alignment horizontal="right"/>
    </xf>
    <xf numFmtId="1" fontId="30" fillId="0" borderId="56" xfId="0" applyNumberFormat="1" applyFont="1" applyBorder="1" applyAlignment="1">
      <alignment horizontal="left"/>
    </xf>
    <xf numFmtId="0" fontId="48" fillId="0" borderId="0" xfId="0" applyFont="1" applyBorder="1" applyAlignment="1">
      <alignment horizontal="left"/>
    </xf>
    <xf numFmtId="0" fontId="48" fillId="0" borderId="0" xfId="0" applyFont="1" applyBorder="1" applyAlignment="1">
      <alignment horizontal="justify"/>
    </xf>
    <xf numFmtId="186" fontId="30" fillId="0" borderId="0" xfId="0" applyNumberFormat="1" applyFont="1" applyBorder="1" applyAlignment="1">
      <alignment horizontal="center"/>
    </xf>
    <xf numFmtId="0" fontId="0" fillId="0" borderId="43" xfId="0" applyBorder="1" applyAlignment="1">
      <alignment horizontal="center"/>
    </xf>
    <xf numFmtId="1" fontId="0" fillId="0" borderId="43" xfId="0" applyNumberFormat="1" applyBorder="1" applyAlignment="1">
      <alignment horizontal="center"/>
    </xf>
    <xf numFmtId="0" fontId="30" fillId="0" borderId="0" xfId="0" applyFont="1" applyFill="1" applyAlignment="1">
      <alignment/>
    </xf>
    <xf numFmtId="0" fontId="0" fillId="0" borderId="31" xfId="0" applyFill="1" applyBorder="1" applyAlignment="1">
      <alignment/>
    </xf>
    <xf numFmtId="2" fontId="0" fillId="0" borderId="44" xfId="0" applyNumberFormat="1" applyFont="1" applyFill="1" applyBorder="1" applyAlignment="1">
      <alignment horizontal="right"/>
    </xf>
    <xf numFmtId="0" fontId="0" fillId="0" borderId="52" xfId="0" applyFill="1" applyBorder="1" applyAlignment="1">
      <alignment/>
    </xf>
    <xf numFmtId="2" fontId="0" fillId="7" borderId="43" xfId="0" applyNumberFormat="1" applyFont="1" applyFill="1" applyBorder="1" applyAlignment="1">
      <alignment horizontal="right"/>
    </xf>
    <xf numFmtId="0" fontId="6" fillId="8" borderId="86" xfId="0" applyFont="1" applyFill="1" applyBorder="1" applyAlignment="1">
      <alignment/>
    </xf>
    <xf numFmtId="186" fontId="6" fillId="8" borderId="12" xfId="0" applyNumberFormat="1" applyFont="1" applyFill="1" applyBorder="1" applyAlignment="1">
      <alignment/>
    </xf>
    <xf numFmtId="0" fontId="0" fillId="8" borderId="87" xfId="0" applyFill="1" applyBorder="1" applyAlignment="1">
      <alignment/>
    </xf>
    <xf numFmtId="0" fontId="0" fillId="0" borderId="57" xfId="0" applyFill="1" applyBorder="1" applyAlignment="1">
      <alignment/>
    </xf>
    <xf numFmtId="2" fontId="0" fillId="7" borderId="26" xfId="0" applyNumberFormat="1" applyFont="1" applyFill="1" applyBorder="1" applyAlignment="1">
      <alignment horizontal="right"/>
    </xf>
    <xf numFmtId="0" fontId="0" fillId="0" borderId="58" xfId="0" applyFill="1" applyBorder="1" applyAlignment="1">
      <alignment/>
    </xf>
    <xf numFmtId="0" fontId="0" fillId="0" borderId="35" xfId="0" applyFont="1" applyFill="1" applyBorder="1" applyAlignment="1">
      <alignment horizontal="left" vertical="center"/>
    </xf>
    <xf numFmtId="2" fontId="0" fillId="7" borderId="72" xfId="0" applyNumberFormat="1" applyFont="1" applyFill="1" applyBorder="1" applyAlignment="1">
      <alignment horizontal="right" vertical="center"/>
    </xf>
    <xf numFmtId="0" fontId="0" fillId="0" borderId="53" xfId="0" applyFont="1" applyFill="1" applyBorder="1" applyAlignment="1">
      <alignment horizontal="left" vertical="center"/>
    </xf>
    <xf numFmtId="186" fontId="0" fillId="7" borderId="42" xfId="0" applyNumberFormat="1" applyFill="1" applyBorder="1" applyAlignment="1">
      <alignment/>
    </xf>
    <xf numFmtId="2" fontId="0" fillId="7" borderId="67" xfId="0" applyNumberFormat="1" applyFill="1" applyBorder="1" applyAlignment="1">
      <alignment/>
    </xf>
    <xf numFmtId="0" fontId="0" fillId="7" borderId="72" xfId="0" applyFill="1" applyBorder="1" applyAlignment="1">
      <alignment/>
    </xf>
    <xf numFmtId="0" fontId="0" fillId="0" borderId="74" xfId="0" applyBorder="1" applyAlignment="1">
      <alignment horizontal="center"/>
    </xf>
    <xf numFmtId="184" fontId="0" fillId="7" borderId="72" xfId="0" applyNumberFormat="1" applyFill="1" applyBorder="1" applyAlignment="1">
      <alignment/>
    </xf>
    <xf numFmtId="184" fontId="31" fillId="0" borderId="64" xfId="0" applyNumberFormat="1" applyFont="1" applyFill="1" applyBorder="1" applyAlignment="1">
      <alignment horizontal="right"/>
    </xf>
    <xf numFmtId="0" fontId="31" fillId="0" borderId="75" xfId="0" applyFont="1" applyFill="1" applyBorder="1" applyAlignment="1">
      <alignment horizontal="justify"/>
    </xf>
    <xf numFmtId="0" fontId="30" fillId="0" borderId="55" xfId="0" applyFont="1" applyBorder="1" applyAlignment="1">
      <alignment horizontal="center"/>
    </xf>
    <xf numFmtId="0" fontId="30" fillId="0" borderId="73" xfId="0" applyFont="1" applyFill="1" applyBorder="1" applyAlignment="1">
      <alignment horizontal="center"/>
    </xf>
    <xf numFmtId="0" fontId="30" fillId="0" borderId="72" xfId="0" applyFont="1" applyFill="1" applyBorder="1" applyAlignment="1">
      <alignment horizontal="center"/>
    </xf>
    <xf numFmtId="184" fontId="30" fillId="0" borderId="65" xfId="0" applyNumberFormat="1" applyFont="1" applyFill="1" applyBorder="1" applyAlignment="1">
      <alignment horizontal="center"/>
    </xf>
    <xf numFmtId="0" fontId="30" fillId="0" borderId="59" xfId="0" applyFont="1" applyFill="1" applyBorder="1" applyAlignment="1">
      <alignment horizontal="center"/>
    </xf>
    <xf numFmtId="0" fontId="30" fillId="0" borderId="43" xfId="0" applyFont="1" applyFill="1" applyBorder="1" applyAlignment="1">
      <alignment horizontal="center"/>
    </xf>
    <xf numFmtId="184" fontId="30" fillId="0" borderId="60" xfId="0" applyNumberFormat="1" applyFont="1" applyFill="1" applyBorder="1" applyAlignment="1">
      <alignment horizontal="center"/>
    </xf>
    <xf numFmtId="0" fontId="30" fillId="0" borderId="66" xfId="0" applyFont="1" applyBorder="1" applyAlignment="1">
      <alignment horizontal="center"/>
    </xf>
    <xf numFmtId="0" fontId="30" fillId="0" borderId="67" xfId="0" applyFont="1" applyBorder="1" applyAlignment="1">
      <alignment horizontal="center"/>
    </xf>
    <xf numFmtId="0" fontId="30" fillId="0" borderId="72" xfId="0" applyFont="1" applyBorder="1" applyAlignment="1">
      <alignment horizontal="center"/>
    </xf>
    <xf numFmtId="0" fontId="30" fillId="0" borderId="48" xfId="0" applyFont="1" applyBorder="1" applyAlignment="1">
      <alignment horizontal="left"/>
    </xf>
    <xf numFmtId="2" fontId="6" fillId="8" borderId="43" xfId="0" applyNumberFormat="1" applyFont="1" applyFill="1" applyBorder="1" applyAlignment="1">
      <alignment/>
    </xf>
    <xf numFmtId="0" fontId="30" fillId="0" borderId="88" xfId="0" applyFont="1" applyBorder="1" applyAlignment="1">
      <alignment/>
    </xf>
    <xf numFmtId="0" fontId="30" fillId="0" borderId="89" xfId="0" applyFont="1" applyBorder="1" applyAlignment="1">
      <alignment/>
    </xf>
    <xf numFmtId="0" fontId="30" fillId="0" borderId="90" xfId="0" applyFont="1" applyBorder="1" applyAlignment="1">
      <alignment/>
    </xf>
    <xf numFmtId="0" fontId="30" fillId="0" borderId="91" xfId="0" applyFont="1" applyBorder="1" applyAlignment="1">
      <alignment/>
    </xf>
    <xf numFmtId="2" fontId="30" fillId="0" borderId="74" xfId="0" applyNumberFormat="1" applyFont="1" applyBorder="1" applyAlignment="1">
      <alignment horizontal="right"/>
    </xf>
    <xf numFmtId="0" fontId="30" fillId="0" borderId="49" xfId="0" applyFont="1" applyBorder="1" applyAlignment="1">
      <alignment/>
    </xf>
    <xf numFmtId="0" fontId="30" fillId="0" borderId="63" xfId="0" applyFont="1" applyBorder="1" applyAlignment="1">
      <alignment/>
    </xf>
    <xf numFmtId="0" fontId="30" fillId="0" borderId="92" xfId="0" applyFont="1" applyBorder="1" applyAlignment="1">
      <alignment/>
    </xf>
    <xf numFmtId="0" fontId="30" fillId="0" borderId="93" xfId="0" applyFont="1" applyBorder="1" applyAlignment="1">
      <alignment/>
    </xf>
    <xf numFmtId="2" fontId="30" fillId="0" borderId="64" xfId="0" applyNumberFormat="1" applyFont="1" applyBorder="1" applyAlignment="1">
      <alignment horizontal="right"/>
    </xf>
    <xf numFmtId="0" fontId="31" fillId="6" borderId="49" xfId="0" applyFont="1" applyFill="1" applyBorder="1" applyAlignment="1">
      <alignment horizontal="left"/>
    </xf>
    <xf numFmtId="0" fontId="31" fillId="6" borderId="88" xfId="0" applyFont="1" applyFill="1" applyBorder="1" applyAlignment="1">
      <alignment/>
    </xf>
    <xf numFmtId="0" fontId="31" fillId="6" borderId="89" xfId="0" applyFont="1" applyFill="1" applyBorder="1" applyAlignment="1">
      <alignment/>
    </xf>
    <xf numFmtId="2" fontId="31" fillId="6" borderId="47" xfId="0" applyNumberFormat="1" applyFont="1" applyFill="1" applyBorder="1" applyAlignment="1">
      <alignment horizontal="right"/>
    </xf>
    <xf numFmtId="0" fontId="31" fillId="6" borderId="50" xfId="0" applyFont="1" applyFill="1" applyBorder="1" applyAlignment="1">
      <alignment horizontal="justify"/>
    </xf>
    <xf numFmtId="0" fontId="31" fillId="6" borderId="77" xfId="0" applyFont="1" applyFill="1" applyBorder="1" applyAlignment="1">
      <alignment horizontal="left" vertical="top"/>
    </xf>
    <xf numFmtId="0" fontId="31" fillId="6" borderId="83" xfId="0" applyFont="1" applyFill="1" applyBorder="1" applyAlignment="1">
      <alignment horizontal="justify" vertical="top"/>
    </xf>
    <xf numFmtId="184" fontId="31" fillId="6" borderId="78" xfId="0" applyNumberFormat="1" applyFont="1" applyFill="1" applyBorder="1" applyAlignment="1">
      <alignment horizontal="right"/>
    </xf>
    <xf numFmtId="0" fontId="31" fillId="6" borderId="76" xfId="0" applyFont="1" applyFill="1" applyBorder="1" applyAlignment="1">
      <alignment horizontal="justify" vertical="top"/>
    </xf>
    <xf numFmtId="0" fontId="31" fillId="6" borderId="56" xfId="0" applyFont="1" applyFill="1" applyBorder="1" applyAlignment="1">
      <alignment horizontal="justify"/>
    </xf>
    <xf numFmtId="0" fontId="30" fillId="0" borderId="60" xfId="0" applyFont="1" applyBorder="1" applyAlignment="1">
      <alignment horizontal="center"/>
    </xf>
    <xf numFmtId="49" fontId="30" fillId="0" borderId="0" xfId="0" applyNumberFormat="1" applyFont="1" applyAlignment="1">
      <alignment horizontal="justify" vertical="top"/>
    </xf>
    <xf numFmtId="49" fontId="30" fillId="0" borderId="0" xfId="0" applyNumberFormat="1" applyFont="1" applyAlignment="1">
      <alignment horizontal="left" vertical="top"/>
    </xf>
    <xf numFmtId="0" fontId="31" fillId="6" borderId="55" xfId="0" applyFont="1" applyFill="1" applyBorder="1" applyAlignment="1">
      <alignment horizontal="left"/>
    </xf>
    <xf numFmtId="0" fontId="31" fillId="6" borderId="76" xfId="0" applyFont="1" applyFill="1" applyBorder="1" applyAlignment="1">
      <alignment horizontal="justify"/>
    </xf>
    <xf numFmtId="0" fontId="31" fillId="6" borderId="56" xfId="0" applyFont="1" applyFill="1" applyBorder="1" applyAlignment="1">
      <alignment/>
    </xf>
    <xf numFmtId="0" fontId="31" fillId="6" borderId="55" xfId="0" applyFont="1" applyFill="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55" xfId="0" applyFill="1" applyBorder="1" applyAlignment="1">
      <alignment/>
    </xf>
    <xf numFmtId="0" fontId="0" fillId="0" borderId="26" xfId="0" applyBorder="1" applyAlignment="1">
      <alignment/>
    </xf>
    <xf numFmtId="0" fontId="0" fillId="0" borderId="78" xfId="0" applyBorder="1" applyAlignment="1">
      <alignment horizontal="center"/>
    </xf>
    <xf numFmtId="0" fontId="0" fillId="13" borderId="0" xfId="0" applyFill="1" applyAlignment="1" applyProtection="1">
      <alignment/>
      <protection hidden="1"/>
    </xf>
    <xf numFmtId="1" fontId="31" fillId="6" borderId="78" xfId="0" applyNumberFormat="1" applyFont="1" applyFill="1" applyBorder="1" applyAlignment="1">
      <alignment horizontal="right"/>
    </xf>
    <xf numFmtId="0" fontId="31" fillId="0" borderId="0" xfId="0" applyFont="1" applyFill="1" applyBorder="1" applyAlignment="1">
      <alignment horizontal="left" vertical="center" wrapText="1"/>
    </xf>
    <xf numFmtId="184" fontId="31" fillId="0" borderId="0" xfId="0" applyNumberFormat="1" applyFont="1" applyFill="1" applyBorder="1" applyAlignment="1">
      <alignment vertical="center" wrapText="1"/>
    </xf>
    <xf numFmtId="0" fontId="31" fillId="0" borderId="0" xfId="0" applyFont="1" applyFill="1" applyBorder="1" applyAlignment="1">
      <alignment vertical="center" wrapText="1"/>
    </xf>
    <xf numFmtId="0" fontId="30" fillId="0" borderId="48" xfId="0" applyFont="1" applyBorder="1" applyAlignment="1">
      <alignment/>
    </xf>
    <xf numFmtId="0" fontId="31" fillId="0" borderId="63" xfId="0" applyFont="1" applyFill="1" applyBorder="1" applyAlignment="1">
      <alignment/>
    </xf>
    <xf numFmtId="0" fontId="31" fillId="6" borderId="42" xfId="0" applyFont="1" applyFill="1" applyBorder="1" applyAlignment="1">
      <alignment horizontal="justify"/>
    </xf>
    <xf numFmtId="0" fontId="31" fillId="6" borderId="61" xfId="0" applyFont="1" applyFill="1" applyBorder="1" applyAlignment="1">
      <alignment horizontal="left"/>
    </xf>
    <xf numFmtId="184" fontId="31" fillId="6" borderId="47" xfId="0" applyNumberFormat="1" applyFont="1" applyFill="1" applyBorder="1" applyAlignment="1">
      <alignment horizontal="right"/>
    </xf>
    <xf numFmtId="184" fontId="31" fillId="6" borderId="47" xfId="0" applyNumberFormat="1" applyFont="1" applyFill="1" applyBorder="1" applyAlignment="1">
      <alignment vertical="center" wrapText="1"/>
    </xf>
    <xf numFmtId="0" fontId="31" fillId="6" borderId="50" xfId="0" applyFont="1" applyFill="1" applyBorder="1" applyAlignment="1">
      <alignment vertical="center" wrapText="1"/>
    </xf>
    <xf numFmtId="184" fontId="31" fillId="6" borderId="64" xfId="0" applyNumberFormat="1" applyFont="1" applyFill="1" applyBorder="1" applyAlignment="1">
      <alignment vertical="center" wrapText="1"/>
    </xf>
    <xf numFmtId="0" fontId="31" fillId="6" borderId="75" xfId="0" applyFont="1" applyFill="1" applyBorder="1" applyAlignment="1">
      <alignment vertical="center" wrapText="1"/>
    </xf>
    <xf numFmtId="0" fontId="30" fillId="0" borderId="0" xfId="0" applyFont="1" applyBorder="1" applyAlignment="1">
      <alignment horizontal="center" vertical="center" wrapText="1"/>
    </xf>
    <xf numFmtId="0" fontId="30" fillId="0" borderId="0" xfId="0" applyFont="1" applyBorder="1" applyAlignment="1">
      <alignment horizontal="center" wrapText="1"/>
    </xf>
    <xf numFmtId="184" fontId="30" fillId="0" borderId="76" xfId="0" applyNumberFormat="1" applyFont="1" applyBorder="1" applyAlignment="1">
      <alignment/>
    </xf>
    <xf numFmtId="184" fontId="30" fillId="0" borderId="78" xfId="0" applyNumberFormat="1" applyFont="1" applyBorder="1" applyAlignment="1">
      <alignment horizontal="right"/>
    </xf>
    <xf numFmtId="0" fontId="30" fillId="0" borderId="91" xfId="0" applyFont="1" applyBorder="1" applyAlignment="1">
      <alignment horizontal="left"/>
    </xf>
    <xf numFmtId="0" fontId="30" fillId="0" borderId="61" xfId="0" applyFont="1" applyBorder="1" applyAlignment="1">
      <alignment horizontal="left"/>
    </xf>
    <xf numFmtId="0" fontId="30" fillId="0" borderId="42" xfId="0" applyFont="1" applyBorder="1" applyAlignment="1">
      <alignment horizontal="left"/>
    </xf>
    <xf numFmtId="0" fontId="30" fillId="0" borderId="67" xfId="0" applyFont="1" applyBorder="1" applyAlignment="1">
      <alignment/>
    </xf>
    <xf numFmtId="0" fontId="30" fillId="0" borderId="48" xfId="0" applyFont="1" applyBorder="1" applyAlignment="1">
      <alignment horizontal="left"/>
    </xf>
    <xf numFmtId="0" fontId="30" fillId="0" borderId="90" xfId="0" applyFont="1" applyBorder="1" applyAlignment="1">
      <alignment horizontal="left"/>
    </xf>
    <xf numFmtId="49" fontId="30" fillId="0" borderId="42" xfId="0" applyNumberFormat="1" applyFont="1" applyBorder="1" applyAlignment="1">
      <alignment horizontal="left"/>
    </xf>
    <xf numFmtId="0" fontId="30" fillId="0" borderId="49" xfId="0" applyFont="1" applyBorder="1" applyAlignment="1">
      <alignment horizontal="left"/>
    </xf>
    <xf numFmtId="0" fontId="30" fillId="0" borderId="88" xfId="0" applyFont="1" applyBorder="1" applyAlignment="1">
      <alignment horizontal="left"/>
    </xf>
    <xf numFmtId="0" fontId="30" fillId="0" borderId="89" xfId="0" applyFont="1" applyBorder="1" applyAlignment="1">
      <alignment horizontal="left"/>
    </xf>
    <xf numFmtId="0" fontId="30" fillId="0" borderId="66" xfId="0" applyFont="1" applyBorder="1" applyAlignment="1">
      <alignment/>
    </xf>
    <xf numFmtId="0" fontId="31" fillId="6" borderId="61" xfId="0" applyFont="1" applyFill="1" applyBorder="1" applyAlignment="1">
      <alignment horizontal="left" vertical="center" wrapText="1"/>
    </xf>
    <xf numFmtId="0" fontId="31" fillId="6" borderId="42" xfId="0" applyFont="1" applyFill="1" applyBorder="1" applyAlignment="1">
      <alignment horizontal="left" vertical="center" wrapText="1"/>
    </xf>
    <xf numFmtId="0" fontId="31" fillId="6" borderId="73" xfId="0" applyFont="1" applyFill="1" applyBorder="1" applyAlignment="1">
      <alignment horizontal="left" vertical="center" wrapText="1"/>
    </xf>
    <xf numFmtId="0" fontId="31" fillId="6" borderId="72" xfId="0" applyFont="1" applyFill="1" applyBorder="1" applyAlignment="1">
      <alignment horizontal="left" vertical="center" wrapText="1"/>
    </xf>
    <xf numFmtId="0" fontId="30" fillId="0" borderId="0" xfId="0" applyFont="1" applyAlignment="1">
      <alignment horizontal="justify" vertical="top"/>
    </xf>
    <xf numFmtId="0" fontId="30" fillId="0" borderId="0" xfId="0" applyFont="1" applyAlignment="1">
      <alignment horizontal="justify"/>
    </xf>
    <xf numFmtId="49" fontId="30" fillId="0" borderId="0" xfId="0" applyNumberFormat="1" applyFont="1" applyAlignment="1">
      <alignment horizontal="justify" vertical="top"/>
    </xf>
    <xf numFmtId="0" fontId="36" fillId="0" borderId="0" xfId="0" applyFont="1" applyAlignment="1">
      <alignment horizontal="center"/>
    </xf>
    <xf numFmtId="0" fontId="30" fillId="0" borderId="0" xfId="0" applyFont="1" applyAlignment="1">
      <alignment horizontal="justify" wrapText="1"/>
    </xf>
    <xf numFmtId="49" fontId="30" fillId="0" borderId="61" xfId="0" applyNumberFormat="1" applyFont="1" applyBorder="1" applyAlignment="1">
      <alignment/>
    </xf>
    <xf numFmtId="49" fontId="30" fillId="0" borderId="42" xfId="0" applyNumberFormat="1" applyFont="1" applyBorder="1" applyAlignment="1">
      <alignment/>
    </xf>
    <xf numFmtId="49" fontId="30" fillId="0" borderId="61" xfId="0" applyNumberFormat="1" applyFont="1" applyBorder="1" applyAlignment="1">
      <alignment horizontal="left"/>
    </xf>
    <xf numFmtId="0" fontId="30" fillId="0" borderId="64" xfId="0" applyFont="1" applyBorder="1" applyAlignment="1">
      <alignment horizontal="center"/>
    </xf>
    <xf numFmtId="0" fontId="30" fillId="0" borderId="75" xfId="0" applyFont="1" applyBorder="1" applyAlignment="1">
      <alignment horizontal="center"/>
    </xf>
    <xf numFmtId="0" fontId="30" fillId="0" borderId="61" xfId="0" applyFont="1" applyBorder="1" applyAlignment="1">
      <alignment/>
    </xf>
    <xf numFmtId="0" fontId="30" fillId="0" borderId="42" xfId="0" applyFont="1" applyBorder="1" applyAlignment="1">
      <alignment/>
    </xf>
    <xf numFmtId="0" fontId="30" fillId="0" borderId="66" xfId="0" applyFont="1" applyBorder="1" applyAlignment="1">
      <alignment horizontal="left"/>
    </xf>
    <xf numFmtId="0" fontId="30" fillId="0" borderId="67" xfId="0" applyFont="1" applyBorder="1" applyAlignment="1">
      <alignment horizontal="left"/>
    </xf>
    <xf numFmtId="0" fontId="30" fillId="0" borderId="51" xfId="0" applyFont="1" applyBorder="1" applyAlignment="1">
      <alignment horizontal="left"/>
    </xf>
    <xf numFmtId="49" fontId="30" fillId="0" borderId="0" xfId="0" applyNumberFormat="1" applyFont="1" applyBorder="1" applyAlignment="1">
      <alignment/>
    </xf>
    <xf numFmtId="0" fontId="30" fillId="0" borderId="73" xfId="0" applyFont="1" applyBorder="1" applyAlignment="1">
      <alignment/>
    </xf>
    <xf numFmtId="0" fontId="30" fillId="0" borderId="72" xfId="0" applyFont="1" applyBorder="1" applyAlignment="1">
      <alignment/>
    </xf>
    <xf numFmtId="2" fontId="30" fillId="0" borderId="0" xfId="0" applyNumberFormat="1" applyFont="1" applyBorder="1" applyAlignment="1">
      <alignment horizontal="center"/>
    </xf>
    <xf numFmtId="185" fontId="30" fillId="0" borderId="83" xfId="0" applyNumberFormat="1" applyFont="1" applyBorder="1" applyAlignment="1">
      <alignment horizontal="center"/>
    </xf>
    <xf numFmtId="185" fontId="30" fillId="0" borderId="84" xfId="0" applyNumberFormat="1" applyFont="1" applyBorder="1" applyAlignment="1">
      <alignment horizontal="center"/>
    </xf>
    <xf numFmtId="0" fontId="37" fillId="0" borderId="55" xfId="21" applyFont="1" applyFill="1" applyBorder="1" applyAlignment="1">
      <alignment horizontal="center" vertical="center"/>
      <protection/>
    </xf>
    <xf numFmtId="0" fontId="37" fillId="0" borderId="76" xfId="21" applyFont="1" applyFill="1" applyBorder="1" applyAlignment="1">
      <alignment horizontal="center" vertical="center"/>
      <protection/>
    </xf>
    <xf numFmtId="0" fontId="37" fillId="0" borderId="56" xfId="21" applyFont="1" applyFill="1" applyBorder="1" applyAlignment="1">
      <alignment horizontal="center" vertical="center"/>
      <protection/>
    </xf>
    <xf numFmtId="0" fontId="30" fillId="0" borderId="73" xfId="0" applyFont="1" applyBorder="1" applyAlignment="1">
      <alignment horizontal="left"/>
    </xf>
    <xf numFmtId="0" fontId="30" fillId="0" borderId="72" xfId="0" applyFont="1" applyBorder="1" applyAlignment="1">
      <alignment horizontal="left"/>
    </xf>
    <xf numFmtId="0" fontId="30" fillId="0" borderId="47" xfId="0" applyFont="1" applyBorder="1" applyAlignment="1">
      <alignment horizontal="center"/>
    </xf>
    <xf numFmtId="0" fontId="30" fillId="0" borderId="50" xfId="0" applyFont="1" applyBorder="1" applyAlignment="1">
      <alignment horizontal="center"/>
    </xf>
    <xf numFmtId="2" fontId="30" fillId="0" borderId="47" xfId="0" applyNumberFormat="1" applyFont="1" applyBorder="1" applyAlignment="1">
      <alignment horizontal="center" vertical="top"/>
    </xf>
    <xf numFmtId="2" fontId="30" fillId="0" borderId="50" xfId="0" applyNumberFormat="1" applyFont="1" applyBorder="1" applyAlignment="1">
      <alignment horizontal="center" vertical="top"/>
    </xf>
    <xf numFmtId="1" fontId="30" fillId="0" borderId="64" xfId="0" applyNumberFormat="1" applyFont="1" applyBorder="1" applyAlignment="1">
      <alignment horizontal="center"/>
    </xf>
    <xf numFmtId="1" fontId="30" fillId="0" borderId="75" xfId="0" applyNumberFormat="1" applyFont="1" applyBorder="1" applyAlignment="1">
      <alignment horizontal="center"/>
    </xf>
    <xf numFmtId="49" fontId="30" fillId="0" borderId="73" xfId="0" applyNumberFormat="1" applyFont="1" applyBorder="1" applyAlignment="1">
      <alignment horizontal="left"/>
    </xf>
    <xf numFmtId="49" fontId="30" fillId="0" borderId="72" xfId="0" applyNumberFormat="1" applyFont="1" applyBorder="1" applyAlignment="1">
      <alignment horizontal="left"/>
    </xf>
    <xf numFmtId="0" fontId="30" fillId="0" borderId="59" xfId="0" applyFont="1" applyBorder="1" applyAlignment="1">
      <alignment/>
    </xf>
    <xf numFmtId="0" fontId="30" fillId="0" borderId="43" xfId="0" applyFont="1" applyBorder="1" applyAlignment="1">
      <alignment/>
    </xf>
    <xf numFmtId="0" fontId="30" fillId="0" borderId="77" xfId="0" applyFont="1" applyBorder="1" applyAlignment="1">
      <alignment horizontal="center"/>
    </xf>
    <xf numFmtId="0" fontId="30" fillId="0" borderId="83" xfId="0" applyFont="1" applyBorder="1" applyAlignment="1">
      <alignment horizontal="center"/>
    </xf>
    <xf numFmtId="0" fontId="30" fillId="0" borderId="84" xfId="0" applyFont="1" applyBorder="1" applyAlignment="1">
      <alignment horizontal="center"/>
    </xf>
    <xf numFmtId="0" fontId="30" fillId="0" borderId="68" xfId="0" applyFont="1" applyBorder="1" applyAlignment="1">
      <alignment horizontal="center" vertical="center" wrapText="1"/>
    </xf>
    <xf numFmtId="0" fontId="30" fillId="0" borderId="65" xfId="0" applyFont="1" applyBorder="1" applyAlignment="1">
      <alignment horizontal="center" vertical="center" wrapText="1"/>
    </xf>
    <xf numFmtId="0" fontId="30" fillId="0" borderId="66" xfId="0" applyFont="1" applyBorder="1" applyAlignment="1">
      <alignment horizontal="center" wrapText="1"/>
    </xf>
    <xf numFmtId="0" fontId="30" fillId="0" borderId="67" xfId="0" applyFont="1" applyBorder="1" applyAlignment="1">
      <alignment horizontal="center" wrapText="1"/>
    </xf>
    <xf numFmtId="0" fontId="30" fillId="0" borderId="73" xfId="0" applyFont="1" applyBorder="1" applyAlignment="1">
      <alignment horizontal="center" wrapText="1"/>
    </xf>
    <xf numFmtId="0" fontId="30" fillId="0" borderId="72" xfId="0" applyFont="1" applyBorder="1" applyAlignment="1">
      <alignment horizontal="center" wrapText="1"/>
    </xf>
    <xf numFmtId="0" fontId="30" fillId="0" borderId="66"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72"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42" xfId="0" applyFont="1" applyBorder="1" applyAlignment="1">
      <alignment horizontal="center" vertical="center" wrapText="1"/>
    </xf>
    <xf numFmtId="0" fontId="48" fillId="0" borderId="0" xfId="0" applyFont="1" applyAlignment="1">
      <alignment horizontal="justify"/>
    </xf>
    <xf numFmtId="186" fontId="30" fillId="0" borderId="78" xfId="0" applyNumberFormat="1" applyFont="1" applyBorder="1" applyAlignment="1">
      <alignment horizontal="center"/>
    </xf>
    <xf numFmtId="186" fontId="30" fillId="0" borderId="56" xfId="0" applyNumberFormat="1" applyFont="1" applyBorder="1" applyAlignment="1">
      <alignment horizontal="center"/>
    </xf>
    <xf numFmtId="186" fontId="30" fillId="0" borderId="83" xfId="0" applyNumberFormat="1" applyFont="1" applyBorder="1" applyAlignment="1">
      <alignment horizontal="center"/>
    </xf>
    <xf numFmtId="186" fontId="30" fillId="0" borderId="84" xfId="0" applyNumberFormat="1" applyFont="1" applyBorder="1" applyAlignment="1">
      <alignment horizontal="center"/>
    </xf>
    <xf numFmtId="191" fontId="30" fillId="0" borderId="0" xfId="0" applyNumberFormat="1" applyFont="1" applyBorder="1" applyAlignment="1">
      <alignment horizontal="center"/>
    </xf>
    <xf numFmtId="0" fontId="30" fillId="0" borderId="55" xfId="0" applyFont="1" applyBorder="1" applyAlignment="1">
      <alignment horizontal="center"/>
    </xf>
    <xf numFmtId="0" fontId="30" fillId="0" borderId="76" xfId="0" applyFont="1" applyBorder="1" applyAlignment="1">
      <alignment horizontal="center"/>
    </xf>
    <xf numFmtId="0" fontId="30" fillId="0" borderId="56" xfId="0" applyFont="1" applyBorder="1" applyAlignment="1">
      <alignment horizontal="center"/>
    </xf>
    <xf numFmtId="12" fontId="30" fillId="0" borderId="74" xfId="0" applyNumberFormat="1" applyFont="1" applyBorder="1" applyAlignment="1">
      <alignment horizontal="center"/>
    </xf>
    <xf numFmtId="12" fontId="30" fillId="0" borderId="51" xfId="0" applyNumberFormat="1" applyFont="1" applyBorder="1" applyAlignment="1">
      <alignment horizontal="center"/>
    </xf>
    <xf numFmtId="0" fontId="32" fillId="0" borderId="0" xfId="0" applyFont="1" applyAlignment="1">
      <alignment horizontal="justify"/>
    </xf>
    <xf numFmtId="0" fontId="17" fillId="0" borderId="28" xfId="21" applyFont="1" applyBorder="1" applyAlignment="1">
      <alignment horizontal="center" vertical="center"/>
      <protection/>
    </xf>
    <xf numFmtId="0" fontId="17" fillId="0" borderId="26" xfId="21" applyFont="1" applyBorder="1" applyAlignment="1">
      <alignment horizontal="center" vertical="center"/>
      <protection/>
    </xf>
    <xf numFmtId="0" fontId="17" fillId="0" borderId="69" xfId="21" applyFont="1" applyBorder="1" applyAlignment="1">
      <alignment horizontal="center" vertical="center"/>
      <protection/>
    </xf>
    <xf numFmtId="0" fontId="17" fillId="0" borderId="35" xfId="21" applyFont="1" applyBorder="1" applyAlignment="1">
      <alignment horizontal="center" vertical="center"/>
      <protection/>
    </xf>
    <xf numFmtId="0" fontId="17" fillId="0" borderId="19" xfId="21" applyFont="1" applyBorder="1" applyAlignment="1">
      <alignment horizontal="center" vertical="center"/>
      <protection/>
    </xf>
    <xf numFmtId="0" fontId="17" fillId="0" borderId="53" xfId="21" applyFont="1" applyBorder="1" applyAlignment="1">
      <alignment horizontal="center" vertical="center"/>
      <protection/>
    </xf>
    <xf numFmtId="0" fontId="8" fillId="0" borderId="42" xfId="21" applyFont="1" applyBorder="1" applyAlignment="1">
      <alignment horizontal="center" vertical="center"/>
      <protection/>
    </xf>
    <xf numFmtId="0" fontId="13" fillId="0" borderId="42" xfId="21" applyFont="1" applyBorder="1" applyAlignment="1">
      <alignment horizontal="center" vertical="center"/>
      <protection/>
    </xf>
    <xf numFmtId="0" fontId="5" fillId="2" borderId="42" xfId="21" applyFont="1" applyFill="1" applyBorder="1" applyAlignment="1">
      <alignment horizontal="center"/>
      <protection/>
    </xf>
    <xf numFmtId="0" fontId="6" fillId="3" borderId="28"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53" xfId="0" applyFont="1" applyFill="1" applyBorder="1" applyAlignment="1">
      <alignment horizontal="center" vertical="center"/>
    </xf>
    <xf numFmtId="0" fontId="6" fillId="12" borderId="31"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52" xfId="0" applyFont="1" applyFill="1" applyBorder="1" applyAlignment="1">
      <alignment horizontal="center" vertical="center"/>
    </xf>
    <xf numFmtId="0" fontId="6" fillId="12" borderId="35" xfId="0" applyFont="1" applyFill="1" applyBorder="1" applyAlignment="1">
      <alignment horizontal="center" vertical="center"/>
    </xf>
    <xf numFmtId="0" fontId="6" fillId="12" borderId="19" xfId="0" applyFont="1" applyFill="1" applyBorder="1" applyAlignment="1">
      <alignment horizontal="center" vertical="center"/>
    </xf>
    <xf numFmtId="0" fontId="6" fillId="12" borderId="53" xfId="0" applyFont="1" applyFill="1" applyBorder="1" applyAlignment="1">
      <alignment horizontal="center" vertical="center"/>
    </xf>
    <xf numFmtId="0" fontId="0" fillId="0" borderId="77" xfId="0" applyBorder="1" applyAlignment="1">
      <alignment horizontal="center"/>
    </xf>
    <xf numFmtId="0" fontId="0" fillId="0" borderId="84" xfId="0" applyBorder="1" applyAlignment="1">
      <alignment horizontal="center"/>
    </xf>
    <xf numFmtId="185" fontId="30" fillId="0" borderId="0" xfId="0" applyNumberFormat="1" applyFont="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BMDIS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I.P.R.</a:t>
            </a:r>
          </a:p>
        </c:rich>
      </c:tx>
      <c:layout>
        <c:manualLayout>
          <c:xMode val="factor"/>
          <c:yMode val="factor"/>
          <c:x val="-0.00175"/>
          <c:y val="-0.0205"/>
        </c:manualLayout>
      </c:layout>
      <c:spPr>
        <a:noFill/>
        <a:ln>
          <a:noFill/>
        </a:ln>
      </c:spPr>
    </c:title>
    <c:plotArea>
      <c:layout>
        <c:manualLayout>
          <c:xMode val="edge"/>
          <c:yMode val="edge"/>
          <c:x val="0.0565"/>
          <c:y val="0.072"/>
          <c:w val="0.87325"/>
          <c:h val="0.85675"/>
        </c:manualLayout>
      </c:layout>
      <c:scatterChart>
        <c:scatterStyle val="smooth"/>
        <c:varyColors val="0"/>
        <c:ser>
          <c:idx val="0"/>
          <c:order val="0"/>
          <c:tx>
            <c:strRef>
              <c:f>'1º IPR'!$J$19</c:f>
              <c:strCache>
                <c:ptCount val="1"/>
                <c:pt idx="0">
                  <c:v>pwf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'1º IPR'!$I$21:$I$51</c:f>
              <c:numCache>
                <c:ptCount val="31"/>
                <c:pt idx="0">
                  <c:v>0</c:v>
                </c:pt>
                <c:pt idx="1">
                  <c:v>1.000808457711443</c:v>
                </c:pt>
                <c:pt idx="2">
                  <c:v>1.9715174129353257</c:v>
                </c:pt>
                <c:pt idx="3">
                  <c:v>2.9121268656716444</c:v>
                </c:pt>
                <c:pt idx="4">
                  <c:v>3.822636815920403</c:v>
                </c:pt>
                <c:pt idx="5">
                  <c:v>4.703047263681598</c:v>
                </c:pt>
                <c:pt idx="6">
                  <c:v>5.553358208955231</c:v>
                </c:pt>
                <c:pt idx="7">
                  <c:v>6.373569651741299</c:v>
                </c:pt>
                <c:pt idx="8">
                  <c:v>7.163681592039809</c:v>
                </c:pt>
                <c:pt idx="9">
                  <c:v>7.923694029850754</c:v>
                </c:pt>
                <c:pt idx="10">
                  <c:v>8.653606965174138</c:v>
                </c:pt>
                <c:pt idx="11">
                  <c:v>9.353420398009959</c:v>
                </c:pt>
                <c:pt idx="12">
                  <c:v>10.023134328358218</c:v>
                </c:pt>
                <c:pt idx="13">
                  <c:v>10.662748756218912</c:v>
                </c:pt>
                <c:pt idx="14">
                  <c:v>11.272263681592047</c:v>
                </c:pt>
                <c:pt idx="15">
                  <c:v>11.85167910447762</c:v>
                </c:pt>
                <c:pt idx="16">
                  <c:v>12.400995024875627</c:v>
                </c:pt>
                <c:pt idx="17">
                  <c:v>12.920211442786076</c:v>
                </c:pt>
                <c:pt idx="18">
                  <c:v>13.40932835820896</c:v>
                </c:pt>
                <c:pt idx="19">
                  <c:v>13.868345771144282</c:v>
                </c:pt>
                <c:pt idx="20">
                  <c:v>14.297263681592044</c:v>
                </c:pt>
                <c:pt idx="21">
                  <c:v>14.696082089552242</c:v>
                </c:pt>
                <c:pt idx="22">
                  <c:v>15.06480099502488</c:v>
                </c:pt>
                <c:pt idx="23">
                  <c:v>15.403420398009953</c:v>
                </c:pt>
                <c:pt idx="24">
                  <c:v>15.711940298507466</c:v>
                </c:pt>
                <c:pt idx="25">
                  <c:v>15.990360696517417</c:v>
                </c:pt>
                <c:pt idx="26">
                  <c:v>16.238681592039804</c:v>
                </c:pt>
                <c:pt idx="27">
                  <c:v>16.45690298507463</c:v>
                </c:pt>
                <c:pt idx="28">
                  <c:v>16.645024875621893</c:v>
                </c:pt>
                <c:pt idx="29">
                  <c:v>16.803047263681595</c:v>
                </c:pt>
                <c:pt idx="30">
                  <c:v>16.93097014925373</c:v>
                </c:pt>
              </c:numCache>
            </c:numRef>
          </c:xVal>
          <c:yVal>
            <c:numRef>
              <c:f>'1º IPR'!$J$21:$J$51</c:f>
              <c:numCache>
                <c:ptCount val="31"/>
                <c:pt idx="0">
                  <c:v>110</c:v>
                </c:pt>
                <c:pt idx="1">
                  <c:v>106.33333333333333</c:v>
                </c:pt>
                <c:pt idx="2">
                  <c:v>102.66666666666666</c:v>
                </c:pt>
                <c:pt idx="3">
                  <c:v>98.99999999999999</c:v>
                </c:pt>
                <c:pt idx="4">
                  <c:v>95.33333333333331</c:v>
                </c:pt>
                <c:pt idx="5">
                  <c:v>91.66666666666664</c:v>
                </c:pt>
                <c:pt idx="6">
                  <c:v>87.99999999999997</c:v>
                </c:pt>
                <c:pt idx="7">
                  <c:v>84.3333333333333</c:v>
                </c:pt>
                <c:pt idx="8">
                  <c:v>80.66666666666663</c:v>
                </c:pt>
                <c:pt idx="9">
                  <c:v>76.99999999999996</c:v>
                </c:pt>
                <c:pt idx="10">
                  <c:v>73.33333333333329</c:v>
                </c:pt>
                <c:pt idx="11">
                  <c:v>69.66666666666661</c:v>
                </c:pt>
                <c:pt idx="12">
                  <c:v>65.99999999999994</c:v>
                </c:pt>
                <c:pt idx="13">
                  <c:v>62.33333333333328</c:v>
                </c:pt>
                <c:pt idx="14">
                  <c:v>58.666666666666615</c:v>
                </c:pt>
                <c:pt idx="15">
                  <c:v>54.99999999999995</c:v>
                </c:pt>
                <c:pt idx="16">
                  <c:v>51.333333333333286</c:v>
                </c:pt>
                <c:pt idx="17">
                  <c:v>47.66666666666662</c:v>
                </c:pt>
                <c:pt idx="18">
                  <c:v>43.99999999999996</c:v>
                </c:pt>
                <c:pt idx="19">
                  <c:v>40.33333333333329</c:v>
                </c:pt>
                <c:pt idx="20">
                  <c:v>36.66666666666663</c:v>
                </c:pt>
                <c:pt idx="21">
                  <c:v>32.999999999999964</c:v>
                </c:pt>
                <c:pt idx="22">
                  <c:v>29.333333333333297</c:v>
                </c:pt>
                <c:pt idx="23">
                  <c:v>25.66666666666663</c:v>
                </c:pt>
                <c:pt idx="24">
                  <c:v>21.99999999999996</c:v>
                </c:pt>
                <c:pt idx="25">
                  <c:v>18.333333333333293</c:v>
                </c:pt>
                <c:pt idx="26">
                  <c:v>14.666666666666627</c:v>
                </c:pt>
                <c:pt idx="27">
                  <c:v>10.999999999999961</c:v>
                </c:pt>
                <c:pt idx="28">
                  <c:v>7.333333333333295</c:v>
                </c:pt>
                <c:pt idx="29">
                  <c:v>3.6666666666666283</c:v>
                </c:pt>
                <c:pt idx="30">
                  <c:v>-3.8191672047105385E-14</c:v>
                </c:pt>
              </c:numCache>
            </c:numRef>
          </c:yVal>
          <c:smooth val="1"/>
        </c:ser>
        <c:ser>
          <c:idx val="1"/>
          <c:order val="1"/>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'1º IPR'!$I$21:$I$51</c:f>
              <c:numCache>
                <c:ptCount val="31"/>
                <c:pt idx="0">
                  <c:v>0</c:v>
                </c:pt>
                <c:pt idx="1">
                  <c:v>1.000808457711443</c:v>
                </c:pt>
                <c:pt idx="2">
                  <c:v>1.9715174129353257</c:v>
                </c:pt>
                <c:pt idx="3">
                  <c:v>2.9121268656716444</c:v>
                </c:pt>
                <c:pt idx="4">
                  <c:v>3.822636815920403</c:v>
                </c:pt>
                <c:pt idx="5">
                  <c:v>4.703047263681598</c:v>
                </c:pt>
                <c:pt idx="6">
                  <c:v>5.553358208955231</c:v>
                </c:pt>
                <c:pt idx="7">
                  <c:v>6.373569651741299</c:v>
                </c:pt>
                <c:pt idx="8">
                  <c:v>7.163681592039809</c:v>
                </c:pt>
                <c:pt idx="9">
                  <c:v>7.923694029850754</c:v>
                </c:pt>
                <c:pt idx="10">
                  <c:v>8.653606965174138</c:v>
                </c:pt>
                <c:pt idx="11">
                  <c:v>9.353420398009959</c:v>
                </c:pt>
                <c:pt idx="12">
                  <c:v>10.023134328358218</c:v>
                </c:pt>
                <c:pt idx="13">
                  <c:v>10.662748756218912</c:v>
                </c:pt>
                <c:pt idx="14">
                  <c:v>11.272263681592047</c:v>
                </c:pt>
                <c:pt idx="15">
                  <c:v>11.85167910447762</c:v>
                </c:pt>
                <c:pt idx="16">
                  <c:v>12.400995024875627</c:v>
                </c:pt>
                <c:pt idx="17">
                  <c:v>12.920211442786076</c:v>
                </c:pt>
                <c:pt idx="18">
                  <c:v>13.40932835820896</c:v>
                </c:pt>
                <c:pt idx="19">
                  <c:v>13.868345771144282</c:v>
                </c:pt>
                <c:pt idx="20">
                  <c:v>14.297263681592044</c:v>
                </c:pt>
                <c:pt idx="21">
                  <c:v>14.696082089552242</c:v>
                </c:pt>
                <c:pt idx="22">
                  <c:v>15.06480099502488</c:v>
                </c:pt>
                <c:pt idx="23">
                  <c:v>15.403420398009953</c:v>
                </c:pt>
                <c:pt idx="24">
                  <c:v>15.711940298507466</c:v>
                </c:pt>
                <c:pt idx="25">
                  <c:v>15.990360696517417</c:v>
                </c:pt>
                <c:pt idx="26">
                  <c:v>16.238681592039804</c:v>
                </c:pt>
                <c:pt idx="27">
                  <c:v>16.45690298507463</c:v>
                </c:pt>
                <c:pt idx="28">
                  <c:v>16.645024875621893</c:v>
                </c:pt>
                <c:pt idx="29">
                  <c:v>16.803047263681595</c:v>
                </c:pt>
                <c:pt idx="30">
                  <c:v>16.93097014925373</c:v>
                </c:pt>
              </c:numCache>
            </c:numRef>
          </c:xVal>
          <c:yVal>
            <c:numRef>
              <c:f>'1º IPR'!$K$21:$K$51</c:f>
              <c:numCache>
                <c:ptCount val="31"/>
                <c:pt idx="0">
                  <c:v>155.69751939656967</c:v>
                </c:pt>
                <c:pt idx="1">
                  <c:v>155.69751939656967</c:v>
                </c:pt>
                <c:pt idx="2">
                  <c:v>155.69751939656967</c:v>
                </c:pt>
                <c:pt idx="3">
                  <c:v>155.69751939656967</c:v>
                </c:pt>
                <c:pt idx="4">
                  <c:v>155.69751939656967</c:v>
                </c:pt>
                <c:pt idx="5">
                  <c:v>155.69751939656967</c:v>
                </c:pt>
                <c:pt idx="6">
                  <c:v>155.69751939656967</c:v>
                </c:pt>
                <c:pt idx="7">
                  <c:v>155.69751939656967</c:v>
                </c:pt>
                <c:pt idx="8">
                  <c:v>155.69751939656967</c:v>
                </c:pt>
                <c:pt idx="9">
                  <c:v>155.69751939656967</c:v>
                </c:pt>
                <c:pt idx="10">
                  <c:v>155.69751939656967</c:v>
                </c:pt>
                <c:pt idx="11">
                  <c:v>155.69751939656967</c:v>
                </c:pt>
                <c:pt idx="12">
                  <c:v>155.69751939656967</c:v>
                </c:pt>
                <c:pt idx="13">
                  <c:v>155.69751939656967</c:v>
                </c:pt>
                <c:pt idx="14">
                  <c:v>155.69751939656967</c:v>
                </c:pt>
                <c:pt idx="15">
                  <c:v>155.69751939656967</c:v>
                </c:pt>
                <c:pt idx="16">
                  <c:v>155.69751939656967</c:v>
                </c:pt>
                <c:pt idx="17">
                  <c:v>155.69751939656967</c:v>
                </c:pt>
                <c:pt idx="18">
                  <c:v>155.69751939656967</c:v>
                </c:pt>
                <c:pt idx="19">
                  <c:v>155.69751939656967</c:v>
                </c:pt>
                <c:pt idx="20">
                  <c:v>155.69751939656967</c:v>
                </c:pt>
                <c:pt idx="21">
                  <c:v>155.69751939656967</c:v>
                </c:pt>
                <c:pt idx="22">
                  <c:v>155.69751939656967</c:v>
                </c:pt>
                <c:pt idx="23">
                  <c:v>155.69751939656967</c:v>
                </c:pt>
                <c:pt idx="24">
                  <c:v>155.69751939656967</c:v>
                </c:pt>
                <c:pt idx="25">
                  <c:v>155.69751939656967</c:v>
                </c:pt>
                <c:pt idx="26">
                  <c:v>155.69751939656967</c:v>
                </c:pt>
                <c:pt idx="27">
                  <c:v>155.69751939656967</c:v>
                </c:pt>
                <c:pt idx="28">
                  <c:v>155.69751939656967</c:v>
                </c:pt>
                <c:pt idx="29">
                  <c:v>155.69751939656967</c:v>
                </c:pt>
                <c:pt idx="30">
                  <c:v>155.69751939656967</c:v>
                </c:pt>
              </c:numCache>
            </c:numRef>
          </c:yVal>
          <c:smooth val="1"/>
        </c:ser>
        <c:ser>
          <c:idx val="4"/>
          <c:order val="3"/>
          <c:tx>
            <c:v>punto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FF"/>
              </a:solidFill>
              <a:ln>
                <a:solidFill>
                  <a:srgbClr val="0000FF"/>
                </a:solidFill>
              </a:ln>
            </c:spPr>
          </c:marker>
          <c:xVal>
            <c:numRef>
              <c:f>'1º IPR'!$I$51</c:f>
              <c:numCache>
                <c:ptCount val="1"/>
                <c:pt idx="0">
                  <c:v>16.93097014925373</c:v>
                </c:pt>
              </c:numCache>
            </c:numRef>
          </c:xVal>
          <c:yVal>
            <c:numRef>
              <c:f>'1º IPR'!$J$51</c:f>
              <c:numCache>
                <c:ptCount val="1"/>
                <c:pt idx="0">
                  <c:v>-3.8191672047105385E-14</c:v>
                </c:pt>
              </c:numCache>
            </c:numRef>
          </c:yVal>
          <c:smooth val="1"/>
        </c:ser>
        <c:axId val="55862212"/>
        <c:axId val="32997861"/>
      </c:scatterChart>
      <c:scatterChart>
        <c:scatterStyle val="lineMarker"/>
        <c:varyColors val="0"/>
        <c:ser>
          <c:idx val="2"/>
          <c:order val="2"/>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'1º IPR'!$I$21:$I$51</c:f>
              <c:numCache>
                <c:ptCount val="31"/>
                <c:pt idx="0">
                  <c:v>0</c:v>
                </c:pt>
                <c:pt idx="1">
                  <c:v>1.000808457711443</c:v>
                </c:pt>
                <c:pt idx="2">
                  <c:v>1.9715174129353257</c:v>
                </c:pt>
                <c:pt idx="3">
                  <c:v>2.9121268656716444</c:v>
                </c:pt>
                <c:pt idx="4">
                  <c:v>3.822636815920403</c:v>
                </c:pt>
                <c:pt idx="5">
                  <c:v>4.703047263681598</c:v>
                </c:pt>
                <c:pt idx="6">
                  <c:v>5.553358208955231</c:v>
                </c:pt>
                <c:pt idx="7">
                  <c:v>6.373569651741299</c:v>
                </c:pt>
                <c:pt idx="8">
                  <c:v>7.163681592039809</c:v>
                </c:pt>
                <c:pt idx="9">
                  <c:v>7.923694029850754</c:v>
                </c:pt>
                <c:pt idx="10">
                  <c:v>8.653606965174138</c:v>
                </c:pt>
                <c:pt idx="11">
                  <c:v>9.353420398009959</c:v>
                </c:pt>
                <c:pt idx="12">
                  <c:v>10.023134328358218</c:v>
                </c:pt>
                <c:pt idx="13">
                  <c:v>10.662748756218912</c:v>
                </c:pt>
                <c:pt idx="14">
                  <c:v>11.272263681592047</c:v>
                </c:pt>
                <c:pt idx="15">
                  <c:v>11.85167910447762</c:v>
                </c:pt>
                <c:pt idx="16">
                  <c:v>12.400995024875627</c:v>
                </c:pt>
                <c:pt idx="17">
                  <c:v>12.920211442786076</c:v>
                </c:pt>
                <c:pt idx="18">
                  <c:v>13.40932835820896</c:v>
                </c:pt>
                <c:pt idx="19">
                  <c:v>13.868345771144282</c:v>
                </c:pt>
                <c:pt idx="20">
                  <c:v>14.297263681592044</c:v>
                </c:pt>
                <c:pt idx="21">
                  <c:v>14.696082089552242</c:v>
                </c:pt>
                <c:pt idx="22">
                  <c:v>15.06480099502488</c:v>
                </c:pt>
                <c:pt idx="23">
                  <c:v>15.403420398009953</c:v>
                </c:pt>
                <c:pt idx="24">
                  <c:v>15.711940298507466</c:v>
                </c:pt>
                <c:pt idx="25">
                  <c:v>15.990360696517417</c:v>
                </c:pt>
                <c:pt idx="26">
                  <c:v>16.238681592039804</c:v>
                </c:pt>
                <c:pt idx="27">
                  <c:v>16.45690298507463</c:v>
                </c:pt>
                <c:pt idx="28">
                  <c:v>16.645024875621893</c:v>
                </c:pt>
                <c:pt idx="29">
                  <c:v>16.803047263681595</c:v>
                </c:pt>
                <c:pt idx="30">
                  <c:v>16.93097014925373</c:v>
                </c:pt>
              </c:numCache>
            </c:numRef>
          </c:xVal>
          <c:yVal>
            <c:numRef>
              <c:f>'1º IPR'!$L$21:$L$51</c:f>
              <c:numCache>
                <c:ptCount val="31"/>
                <c:pt idx="0">
                  <c:v>691.7787313455372</c:v>
                </c:pt>
                <c:pt idx="1">
                  <c:v>732.4194403006861</c:v>
                </c:pt>
                <c:pt idx="2">
                  <c:v>773.0601492558349</c:v>
                </c:pt>
                <c:pt idx="3">
                  <c:v>813.7008582109836</c:v>
                </c:pt>
                <c:pt idx="4">
                  <c:v>854.3415671661326</c:v>
                </c:pt>
                <c:pt idx="5">
                  <c:v>894.9822761212813</c:v>
                </c:pt>
                <c:pt idx="6">
                  <c:v>935.62298507643</c:v>
                </c:pt>
                <c:pt idx="7">
                  <c:v>976.2636940315789</c:v>
                </c:pt>
                <c:pt idx="8">
                  <c:v>1016.9044029867277</c:v>
                </c:pt>
                <c:pt idx="9">
                  <c:v>1057.5451119418767</c:v>
                </c:pt>
                <c:pt idx="10">
                  <c:v>1098.1858208970255</c:v>
                </c:pt>
                <c:pt idx="11">
                  <c:v>1138.8265298521742</c:v>
                </c:pt>
                <c:pt idx="12">
                  <c:v>1179.467238807323</c:v>
                </c:pt>
                <c:pt idx="13">
                  <c:v>1220.1079477624717</c:v>
                </c:pt>
                <c:pt idx="14">
                  <c:v>1260.7486567176204</c:v>
                </c:pt>
                <c:pt idx="15">
                  <c:v>1301.3893656727691</c:v>
                </c:pt>
                <c:pt idx="16">
                  <c:v>1342.030074627918</c:v>
                </c:pt>
                <c:pt idx="17">
                  <c:v>1382.6707835830666</c:v>
                </c:pt>
                <c:pt idx="18">
                  <c:v>1423.3114925382154</c:v>
                </c:pt>
                <c:pt idx="19">
                  <c:v>1463.952201493364</c:v>
                </c:pt>
                <c:pt idx="20">
                  <c:v>1504.5929104485128</c:v>
                </c:pt>
                <c:pt idx="21">
                  <c:v>1545.2336194036616</c:v>
                </c:pt>
                <c:pt idx="22">
                  <c:v>1585.8743283588103</c:v>
                </c:pt>
                <c:pt idx="23">
                  <c:v>1626.515037313959</c:v>
                </c:pt>
                <c:pt idx="24">
                  <c:v>1667.1557462691078</c:v>
                </c:pt>
                <c:pt idx="25">
                  <c:v>1707.7964552242568</c:v>
                </c:pt>
                <c:pt idx="26">
                  <c:v>1748.4371641794055</c:v>
                </c:pt>
                <c:pt idx="27">
                  <c:v>1789.0778731345542</c:v>
                </c:pt>
                <c:pt idx="28">
                  <c:v>1829.718582089703</c:v>
                </c:pt>
                <c:pt idx="29">
                  <c:v>1870.3592910448517</c:v>
                </c:pt>
                <c:pt idx="30">
                  <c:v>1911.0000000000005</c:v>
                </c:pt>
              </c:numCache>
            </c:numRef>
          </c:yVal>
          <c:smooth val="1"/>
        </c:ser>
        <c:axId val="28545294"/>
        <c:axId val="55581055"/>
      </c:scatterChart>
      <c:valAx>
        <c:axId val="55862212"/>
        <c:scaling>
          <c:orientation val="minMax"/>
          <c:min val="0"/>
        </c:scaling>
        <c:axPos val="b"/>
        <c:title>
          <c:tx>
            <c:rich>
              <a:bodyPr vert="horz" rot="0" anchor="ctr"/>
              <a:lstStyle/>
              <a:p>
                <a:pPr algn="ctr">
                  <a:defRPr/>
                </a:pPr>
                <a:r>
                  <a:rPr lang="en-US" cap="none" sz="1200" b="0" i="0" u="none" baseline="0">
                    <a:latin typeface="Arial"/>
                    <a:ea typeface="Arial"/>
                    <a:cs typeface="Arial"/>
                  </a:rPr>
                  <a:t>Caudal [m3/dia]</a:t>
                </a:r>
              </a:p>
            </c:rich>
          </c:tx>
          <c:layout>
            <c:manualLayout>
              <c:xMode val="factor"/>
              <c:yMode val="factor"/>
              <c:x val="0.0055"/>
              <c:y val="0.00075"/>
            </c:manualLayout>
          </c:layout>
          <c:overlay val="0"/>
          <c:spPr>
            <a:noFill/>
            <a:ln>
              <a:noFill/>
            </a:ln>
          </c:spPr>
        </c:title>
        <c:majorGridlines/>
        <c:delete val="0"/>
        <c:numFmt formatCode="General" sourceLinked="1"/>
        <c:majorTickMark val="cross"/>
        <c:minorTickMark val="in"/>
        <c:tickLblPos val="nextTo"/>
        <c:crossAx val="32997861"/>
        <c:crosses val="autoZero"/>
        <c:crossBetween val="midCat"/>
        <c:dispUnits/>
      </c:valAx>
      <c:valAx>
        <c:axId val="32997861"/>
        <c:scaling>
          <c:orientation val="minMax"/>
          <c:min val="0"/>
        </c:scaling>
        <c:axPos val="l"/>
        <c:title>
          <c:tx>
            <c:rich>
              <a:bodyPr vert="horz" rot="-5400000" anchor="ctr"/>
              <a:lstStyle/>
              <a:p>
                <a:pPr algn="ctr">
                  <a:defRPr/>
                </a:pPr>
                <a:r>
                  <a:rPr lang="en-US" cap="none" sz="1200" b="0" i="0" u="none" baseline="0">
                    <a:latin typeface="Arial"/>
                    <a:ea typeface="Arial"/>
                    <a:cs typeface="Arial"/>
                  </a:rPr>
                  <a:t>Presión [Kg/cm2]</a:t>
                </a:r>
              </a:p>
            </c:rich>
          </c:tx>
          <c:layout/>
          <c:overlay val="0"/>
          <c:spPr>
            <a:noFill/>
            <a:ln>
              <a:noFill/>
            </a:ln>
          </c:spPr>
        </c:title>
        <c:majorGridlines/>
        <c:delete val="0"/>
        <c:numFmt formatCode="General" sourceLinked="1"/>
        <c:majorTickMark val="cross"/>
        <c:minorTickMark val="in"/>
        <c:tickLblPos val="nextTo"/>
        <c:crossAx val="55862212"/>
        <c:crosses val="autoZero"/>
        <c:crossBetween val="midCat"/>
        <c:dispUnits/>
        <c:majorUnit val="20"/>
      </c:valAx>
      <c:valAx>
        <c:axId val="28545294"/>
        <c:scaling>
          <c:orientation val="minMax"/>
        </c:scaling>
        <c:axPos val="b"/>
        <c:delete val="1"/>
        <c:majorTickMark val="in"/>
        <c:minorTickMark val="none"/>
        <c:tickLblPos val="nextTo"/>
        <c:crossAx val="55581055"/>
        <c:crosses val="max"/>
        <c:crossBetween val="midCat"/>
        <c:dispUnits/>
      </c:valAx>
      <c:valAx>
        <c:axId val="55581055"/>
        <c:scaling>
          <c:orientation val="minMax"/>
        </c:scaling>
        <c:axPos val="l"/>
        <c:title>
          <c:tx>
            <c:rich>
              <a:bodyPr vert="horz" rot="5400000" anchor="ctr"/>
              <a:lstStyle/>
              <a:p>
                <a:pPr algn="ctr">
                  <a:defRPr/>
                </a:pPr>
                <a:r>
                  <a:rPr lang="en-US" cap="none" sz="1200" b="0" i="0" u="none" baseline="0">
                    <a:latin typeface="Arial"/>
                    <a:ea typeface="Arial"/>
                    <a:cs typeface="Arial"/>
                  </a:rPr>
                  <a:t>Nivel [mbbp]</a:t>
                </a:r>
              </a:p>
            </c:rich>
          </c:tx>
          <c:layout>
            <c:manualLayout>
              <c:xMode val="factor"/>
              <c:yMode val="factor"/>
              <c:x val="-0.0025"/>
              <c:y val="0"/>
            </c:manualLayout>
          </c:layout>
          <c:overlay val="0"/>
          <c:spPr>
            <a:noFill/>
            <a:ln>
              <a:noFill/>
            </a:ln>
          </c:spPr>
        </c:title>
        <c:delete val="0"/>
        <c:numFmt formatCode="General" sourceLinked="1"/>
        <c:majorTickMark val="cross"/>
        <c:minorTickMark val="in"/>
        <c:tickLblPos val="nextTo"/>
        <c:crossAx val="28545294"/>
        <c:crosses val="max"/>
        <c:crossBetween val="midCat"/>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Presiones mínimas y máximas de casing</a:t>
            </a:r>
          </a:p>
        </c:rich>
      </c:tx>
      <c:layout>
        <c:manualLayout>
          <c:xMode val="factor"/>
          <c:yMode val="factor"/>
          <c:x val="0.00125"/>
          <c:y val="-0.0205"/>
        </c:manualLayout>
      </c:layout>
      <c:spPr>
        <a:noFill/>
        <a:ln>
          <a:noFill/>
        </a:ln>
      </c:spPr>
    </c:title>
    <c:plotArea>
      <c:layout>
        <c:manualLayout>
          <c:xMode val="edge"/>
          <c:yMode val="edge"/>
          <c:x val="0.0385"/>
          <c:y val="0.08575"/>
          <c:w val="0.9615"/>
          <c:h val="0.85375"/>
        </c:manualLayout>
      </c:layout>
      <c:scatterChart>
        <c:scatterStyle val="line"/>
        <c:varyColors val="0"/>
        <c:ser>
          <c:idx val="0"/>
          <c:order val="0"/>
          <c:tx>
            <c:strRef>
              <c:f>Tabla!$B$1</c:f>
              <c:strCache>
                <c:ptCount val="1"/>
                <c:pt idx="0">
                  <c:v>Pc mín [psi]</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Tabla!$A$2:$A$17</c:f>
              <c:numCache>
                <c:ptCount val="16"/>
                <c:pt idx="0">
                  <c:v>0.25</c:v>
                </c:pt>
                <c:pt idx="1">
                  <c:v>0.5</c:v>
                </c:pt>
                <c:pt idx="2">
                  <c:v>0.75</c:v>
                </c:pt>
                <c:pt idx="3">
                  <c:v>1</c:v>
                </c:pt>
                <c:pt idx="4">
                  <c:v>1.25</c:v>
                </c:pt>
                <c:pt idx="5">
                  <c:v>1.5</c:v>
                </c:pt>
                <c:pt idx="6">
                  <c:v>1.75</c:v>
                </c:pt>
                <c:pt idx="7">
                  <c:v>2</c:v>
                </c:pt>
                <c:pt idx="8">
                  <c:v>2.25</c:v>
                </c:pt>
                <c:pt idx="9">
                  <c:v>2.5</c:v>
                </c:pt>
                <c:pt idx="10">
                  <c:v>2.75</c:v>
                </c:pt>
                <c:pt idx="11">
                  <c:v>3</c:v>
                </c:pt>
                <c:pt idx="12">
                  <c:v>3.25</c:v>
                </c:pt>
                <c:pt idx="13">
                  <c:v>3.5</c:v>
                </c:pt>
                <c:pt idx="14">
                  <c:v>3.75</c:v>
                </c:pt>
                <c:pt idx="15">
                  <c:v>4</c:v>
                </c:pt>
              </c:numCache>
            </c:numRef>
          </c:xVal>
          <c:yVal>
            <c:numRef>
              <c:f>Tabla!$B$2:$B$17</c:f>
              <c:numCache>
                <c:ptCount val="16"/>
                <c:pt idx="0">
                  <c:v>187.99900686398246</c:v>
                </c:pt>
                <c:pt idx="1">
                  <c:v>210.3452738108657</c:v>
                </c:pt>
                <c:pt idx="2">
                  <c:v>232.69154075774898</c:v>
                </c:pt>
                <c:pt idx="3">
                  <c:v>255.03780770463229</c:v>
                </c:pt>
                <c:pt idx="4">
                  <c:v>277.3840746515156</c:v>
                </c:pt>
                <c:pt idx="5">
                  <c:v>299.7303415983988</c:v>
                </c:pt>
                <c:pt idx="6">
                  <c:v>322.0766085452821</c:v>
                </c:pt>
                <c:pt idx="7">
                  <c:v>344.4228754921654</c:v>
                </c:pt>
                <c:pt idx="8">
                  <c:v>366.7691424390487</c:v>
                </c:pt>
                <c:pt idx="9">
                  <c:v>389.115409385932</c:v>
                </c:pt>
                <c:pt idx="10">
                  <c:v>411.4616763328153</c:v>
                </c:pt>
                <c:pt idx="11">
                  <c:v>433.8079432796986</c:v>
                </c:pt>
                <c:pt idx="12">
                  <c:v>456.1542102265819</c:v>
                </c:pt>
                <c:pt idx="13">
                  <c:v>478.50047717346513</c:v>
                </c:pt>
                <c:pt idx="14">
                  <c:v>500.84674412034843</c:v>
                </c:pt>
                <c:pt idx="15">
                  <c:v>523.1930110672317</c:v>
                </c:pt>
              </c:numCache>
            </c:numRef>
          </c:yVal>
          <c:smooth val="0"/>
        </c:ser>
        <c:ser>
          <c:idx val="1"/>
          <c:order val="1"/>
          <c:tx>
            <c:strRef>
              <c:f>Tabla!$C$1</c:f>
              <c:strCache>
                <c:ptCount val="1"/>
                <c:pt idx="0">
                  <c:v>Pc máx [psi]</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Tabla!$A$2:$A$17</c:f>
              <c:numCache>
                <c:ptCount val="16"/>
                <c:pt idx="0">
                  <c:v>0.25</c:v>
                </c:pt>
                <c:pt idx="1">
                  <c:v>0.5</c:v>
                </c:pt>
                <c:pt idx="2">
                  <c:v>0.75</c:v>
                </c:pt>
                <c:pt idx="3">
                  <c:v>1</c:v>
                </c:pt>
                <c:pt idx="4">
                  <c:v>1.25</c:v>
                </c:pt>
                <c:pt idx="5">
                  <c:v>1.5</c:v>
                </c:pt>
                <c:pt idx="6">
                  <c:v>1.75</c:v>
                </c:pt>
                <c:pt idx="7">
                  <c:v>2</c:v>
                </c:pt>
                <c:pt idx="8">
                  <c:v>2.25</c:v>
                </c:pt>
                <c:pt idx="9">
                  <c:v>2.5</c:v>
                </c:pt>
                <c:pt idx="10">
                  <c:v>2.75</c:v>
                </c:pt>
                <c:pt idx="11">
                  <c:v>3</c:v>
                </c:pt>
                <c:pt idx="12">
                  <c:v>3.25</c:v>
                </c:pt>
                <c:pt idx="13">
                  <c:v>3.5</c:v>
                </c:pt>
                <c:pt idx="14">
                  <c:v>3.75</c:v>
                </c:pt>
                <c:pt idx="15">
                  <c:v>4</c:v>
                </c:pt>
              </c:numCache>
            </c:numRef>
          </c:xVal>
          <c:yVal>
            <c:numRef>
              <c:f>Tabla!$C$2:$C$17</c:f>
              <c:numCache>
                <c:ptCount val="16"/>
                <c:pt idx="0">
                  <c:v>223.96828656113635</c:v>
                </c:pt>
                <c:pt idx="1">
                  <c:v>250.58999697661855</c:v>
                </c:pt>
                <c:pt idx="2">
                  <c:v>277.21170739210083</c:v>
                </c:pt>
                <c:pt idx="3">
                  <c:v>303.8334178075831</c:v>
                </c:pt>
                <c:pt idx="4">
                  <c:v>330.4551282230654</c:v>
                </c:pt>
                <c:pt idx="5">
                  <c:v>357.0768386385476</c:v>
                </c:pt>
                <c:pt idx="6">
                  <c:v>383.69854905402985</c:v>
                </c:pt>
                <c:pt idx="7">
                  <c:v>410.32025946951217</c:v>
                </c:pt>
                <c:pt idx="8">
                  <c:v>436.9419698849945</c:v>
                </c:pt>
                <c:pt idx="9">
                  <c:v>463.56368030047673</c:v>
                </c:pt>
                <c:pt idx="10">
                  <c:v>490.185390715959</c:v>
                </c:pt>
                <c:pt idx="11">
                  <c:v>516.8071011314413</c:v>
                </c:pt>
                <c:pt idx="12">
                  <c:v>543.4288115469236</c:v>
                </c:pt>
                <c:pt idx="13">
                  <c:v>570.0505219624058</c:v>
                </c:pt>
                <c:pt idx="14">
                  <c:v>596.6722323778881</c:v>
                </c:pt>
                <c:pt idx="15">
                  <c:v>623.2939427933704</c:v>
                </c:pt>
              </c:numCache>
            </c:numRef>
          </c:yVal>
          <c:smooth val="0"/>
        </c:ser>
        <c:axId val="30467448"/>
        <c:axId val="5771577"/>
      </c:scatterChart>
      <c:valAx>
        <c:axId val="30467448"/>
        <c:scaling>
          <c:orientation val="minMax"/>
        </c:scaling>
        <c:axPos val="b"/>
        <c:title>
          <c:tx>
            <c:rich>
              <a:bodyPr vert="horz" rot="0" anchor="ctr"/>
              <a:lstStyle/>
              <a:p>
                <a:pPr algn="ctr">
                  <a:defRPr/>
                </a:pPr>
                <a:r>
                  <a:rPr lang="en-US" cap="none" sz="950" b="0" i="0" u="none" baseline="0">
                    <a:latin typeface="Arial"/>
                    <a:ea typeface="Arial"/>
                    <a:cs typeface="Arial"/>
                  </a:rPr>
                  <a:t>Tamaño del taco de líquido [bbl]</a:t>
                </a:r>
              </a:p>
            </c:rich>
          </c:tx>
          <c:layout>
            <c:manualLayout>
              <c:xMode val="factor"/>
              <c:yMode val="factor"/>
              <c:x val="0.0005"/>
              <c:y val="0"/>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71577"/>
        <c:crosses val="autoZero"/>
        <c:crossBetween val="midCat"/>
        <c:dispUnits/>
      </c:valAx>
      <c:valAx>
        <c:axId val="5771577"/>
        <c:scaling>
          <c:orientation val="minMax"/>
        </c:scaling>
        <c:axPos val="l"/>
        <c:title>
          <c:tx>
            <c:rich>
              <a:bodyPr vert="horz" rot="-5400000" anchor="ctr"/>
              <a:lstStyle/>
              <a:p>
                <a:pPr algn="ctr">
                  <a:defRPr/>
                </a:pPr>
                <a:r>
                  <a:rPr lang="en-US" cap="none" sz="850" b="0" i="0" u="none" baseline="0">
                    <a:latin typeface="Arial"/>
                    <a:ea typeface="Arial"/>
                    <a:cs typeface="Arial"/>
                  </a:rPr>
                  <a:t>Presión de casing [psi]</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467448"/>
        <c:crosses val="autoZero"/>
        <c:crossBetween val="midCat"/>
        <c:dispUnits/>
      </c:valAx>
      <c:spPr>
        <a:noFill/>
        <a:ln w="12700">
          <a:solidFill>
            <a:srgbClr val="808080"/>
          </a:solidFill>
        </a:ln>
      </c:spPr>
    </c:plotArea>
    <c:legend>
      <c:legendPos val="r"/>
      <c:layout>
        <c:manualLayout>
          <c:xMode val="edge"/>
          <c:yMode val="edge"/>
          <c:x val="0.1035"/>
          <c:y val="0.135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
          <c:w val="0.9295"/>
          <c:h val="0.91325"/>
        </c:manualLayout>
      </c:layout>
      <c:scatterChart>
        <c:scatterStyle val="smooth"/>
        <c:varyColors val="0"/>
        <c:ser>
          <c:idx val="0"/>
          <c:order val="0"/>
          <c:tx>
            <c:strRef>
              <c:f>Presentación!$C$331:$C$332</c:f>
              <c:strCache>
                <c:ptCount val="1"/>
                <c:pt idx="0">
                  <c:v>Presión [psi]</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Presentación!$B$333:$B$337</c:f>
              <c:numCache/>
            </c:numRef>
          </c:xVal>
          <c:yVal>
            <c:numRef>
              <c:f>Presentación!$C$333:$C$337</c:f>
              <c:numCache/>
            </c:numRef>
          </c:yVal>
          <c:smooth val="1"/>
        </c:ser>
        <c:axId val="51944194"/>
        <c:axId val="64844563"/>
      </c:scatterChart>
      <c:valAx>
        <c:axId val="51944194"/>
        <c:scaling>
          <c:orientation val="minMax"/>
        </c:scaling>
        <c:axPos val="b"/>
        <c:title>
          <c:tx>
            <c:rich>
              <a:bodyPr vert="horz" rot="0" anchor="ctr"/>
              <a:lstStyle/>
              <a:p>
                <a:pPr algn="ctr">
                  <a:defRPr/>
                </a:pPr>
                <a:r>
                  <a:rPr lang="en-US" cap="none" sz="850" b="1" i="0" u="none" baseline="0">
                    <a:latin typeface="Arial"/>
                    <a:ea typeface="Arial"/>
                    <a:cs typeface="Arial"/>
                  </a:rPr>
                  <a:t>Tiempo [minutos]</a:t>
                </a:r>
              </a:p>
            </c:rich>
          </c:tx>
          <c:layout>
            <c:manualLayout>
              <c:xMode val="factor"/>
              <c:yMode val="factor"/>
              <c:x val="-0.018"/>
              <c:y val="0"/>
            </c:manualLayout>
          </c:layout>
          <c:overlay val="0"/>
          <c:spPr>
            <a:noFill/>
            <a:ln>
              <a:noFill/>
            </a:ln>
          </c:spPr>
        </c:title>
        <c:delete val="0"/>
        <c:numFmt formatCode="General" sourceLinked="1"/>
        <c:majorTickMark val="out"/>
        <c:minorTickMark val="none"/>
        <c:tickLblPos val="nextTo"/>
        <c:crossAx val="64844563"/>
        <c:crosses val="autoZero"/>
        <c:crossBetween val="midCat"/>
        <c:dispUnits/>
      </c:valAx>
      <c:valAx>
        <c:axId val="64844563"/>
        <c:scaling>
          <c:orientation val="minMax"/>
        </c:scaling>
        <c:axPos val="l"/>
        <c:title>
          <c:tx>
            <c:rich>
              <a:bodyPr vert="horz" rot="-5400000" anchor="ctr"/>
              <a:lstStyle/>
              <a:p>
                <a:pPr algn="ctr">
                  <a:defRPr/>
                </a:pPr>
                <a:r>
                  <a:rPr lang="en-US" cap="none" sz="850" b="1" i="0" u="none" baseline="0">
                    <a:latin typeface="Arial"/>
                    <a:ea typeface="Arial"/>
                    <a:cs typeface="Arial"/>
                  </a:rPr>
                  <a:t>Presión [psi]</a:t>
                </a:r>
              </a:p>
            </c:rich>
          </c:tx>
          <c:layout>
            <c:manualLayout>
              <c:xMode val="factor"/>
              <c:yMode val="factor"/>
              <c:x val="-0.00875"/>
              <c:y val="-0.004"/>
            </c:manualLayout>
          </c:layout>
          <c:overlay val="0"/>
          <c:spPr>
            <a:noFill/>
            <a:ln>
              <a:noFill/>
            </a:ln>
          </c:spPr>
        </c:title>
        <c:majorGridlines/>
        <c:delete val="0"/>
        <c:numFmt formatCode="General" sourceLinked="1"/>
        <c:majorTickMark val="out"/>
        <c:minorTickMark val="none"/>
        <c:tickLblPos val="nextTo"/>
        <c:crossAx val="51944194"/>
        <c:crosses val="autoZero"/>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latin typeface="Arial"/>
                <a:ea typeface="Arial"/>
                <a:cs typeface="Arial"/>
              </a:rPr>
              <a:t>I.P.R.</a:t>
            </a:r>
          </a:p>
        </c:rich>
      </c:tx>
      <c:layout>
        <c:manualLayout>
          <c:xMode val="factor"/>
          <c:yMode val="factor"/>
          <c:x val="-0.00175"/>
          <c:y val="-0.0205"/>
        </c:manualLayout>
      </c:layout>
      <c:spPr>
        <a:noFill/>
        <a:ln>
          <a:noFill/>
        </a:ln>
      </c:spPr>
    </c:title>
    <c:plotArea>
      <c:layout>
        <c:manualLayout>
          <c:xMode val="edge"/>
          <c:yMode val="edge"/>
          <c:x val="0.0345"/>
          <c:y val="0.046"/>
          <c:w val="0.922"/>
          <c:h val="0.9155"/>
        </c:manualLayout>
      </c:layout>
      <c:scatterChart>
        <c:scatterStyle val="smooth"/>
        <c:varyColors val="0"/>
        <c:ser>
          <c:idx val="0"/>
          <c:order val="0"/>
          <c:tx>
            <c:strRef>
              <c:f>'1º IPR'!$J$19</c:f>
              <c:strCache>
                <c:ptCount val="1"/>
                <c:pt idx="0">
                  <c:v>pwf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'1º IPR'!$I$21:$I$51</c:f>
              <c:numCache>
                <c:ptCount val="31"/>
                <c:pt idx="0">
                  <c:v>0</c:v>
                </c:pt>
                <c:pt idx="1">
                  <c:v>1.000808457711443</c:v>
                </c:pt>
                <c:pt idx="2">
                  <c:v>1.9715174129353257</c:v>
                </c:pt>
                <c:pt idx="3">
                  <c:v>2.9121268656716444</c:v>
                </c:pt>
                <c:pt idx="4">
                  <c:v>3.822636815920403</c:v>
                </c:pt>
                <c:pt idx="5">
                  <c:v>4.703047263681598</c:v>
                </c:pt>
                <c:pt idx="6">
                  <c:v>5.553358208955231</c:v>
                </c:pt>
                <c:pt idx="7">
                  <c:v>6.373569651741299</c:v>
                </c:pt>
                <c:pt idx="8">
                  <c:v>7.163681592039809</c:v>
                </c:pt>
                <c:pt idx="9">
                  <c:v>7.923694029850754</c:v>
                </c:pt>
                <c:pt idx="10">
                  <c:v>8.653606965174138</c:v>
                </c:pt>
                <c:pt idx="11">
                  <c:v>9.353420398009959</c:v>
                </c:pt>
                <c:pt idx="12">
                  <c:v>10.023134328358218</c:v>
                </c:pt>
                <c:pt idx="13">
                  <c:v>10.662748756218912</c:v>
                </c:pt>
                <c:pt idx="14">
                  <c:v>11.272263681592047</c:v>
                </c:pt>
                <c:pt idx="15">
                  <c:v>11.85167910447762</c:v>
                </c:pt>
                <c:pt idx="16">
                  <c:v>12.400995024875627</c:v>
                </c:pt>
                <c:pt idx="17">
                  <c:v>12.920211442786076</c:v>
                </c:pt>
                <c:pt idx="18">
                  <c:v>13.40932835820896</c:v>
                </c:pt>
                <c:pt idx="19">
                  <c:v>13.868345771144282</c:v>
                </c:pt>
                <c:pt idx="20">
                  <c:v>14.297263681592044</c:v>
                </c:pt>
                <c:pt idx="21">
                  <c:v>14.696082089552242</c:v>
                </c:pt>
                <c:pt idx="22">
                  <c:v>15.06480099502488</c:v>
                </c:pt>
                <c:pt idx="23">
                  <c:v>15.403420398009953</c:v>
                </c:pt>
                <c:pt idx="24">
                  <c:v>15.711940298507466</c:v>
                </c:pt>
                <c:pt idx="25">
                  <c:v>15.990360696517417</c:v>
                </c:pt>
                <c:pt idx="26">
                  <c:v>16.238681592039804</c:v>
                </c:pt>
                <c:pt idx="27">
                  <c:v>16.45690298507463</c:v>
                </c:pt>
                <c:pt idx="28">
                  <c:v>16.645024875621893</c:v>
                </c:pt>
                <c:pt idx="29">
                  <c:v>16.803047263681595</c:v>
                </c:pt>
                <c:pt idx="30">
                  <c:v>16.93097014925373</c:v>
                </c:pt>
              </c:numCache>
            </c:numRef>
          </c:xVal>
          <c:yVal>
            <c:numRef>
              <c:f>'1º IPR'!$J$21:$J$51</c:f>
              <c:numCache>
                <c:ptCount val="31"/>
                <c:pt idx="0">
                  <c:v>110</c:v>
                </c:pt>
                <c:pt idx="1">
                  <c:v>106.33333333333333</c:v>
                </c:pt>
                <c:pt idx="2">
                  <c:v>102.66666666666666</c:v>
                </c:pt>
                <c:pt idx="3">
                  <c:v>98.99999999999999</c:v>
                </c:pt>
                <c:pt idx="4">
                  <c:v>95.33333333333331</c:v>
                </c:pt>
                <c:pt idx="5">
                  <c:v>91.66666666666664</c:v>
                </c:pt>
                <c:pt idx="6">
                  <c:v>87.99999999999997</c:v>
                </c:pt>
                <c:pt idx="7">
                  <c:v>84.3333333333333</c:v>
                </c:pt>
                <c:pt idx="8">
                  <c:v>80.66666666666663</c:v>
                </c:pt>
                <c:pt idx="9">
                  <c:v>76.99999999999996</c:v>
                </c:pt>
                <c:pt idx="10">
                  <c:v>73.33333333333329</c:v>
                </c:pt>
                <c:pt idx="11">
                  <c:v>69.66666666666661</c:v>
                </c:pt>
                <c:pt idx="12">
                  <c:v>65.99999999999994</c:v>
                </c:pt>
                <c:pt idx="13">
                  <c:v>62.33333333333328</c:v>
                </c:pt>
                <c:pt idx="14">
                  <c:v>58.666666666666615</c:v>
                </c:pt>
                <c:pt idx="15">
                  <c:v>54.99999999999995</c:v>
                </c:pt>
                <c:pt idx="16">
                  <c:v>51.333333333333286</c:v>
                </c:pt>
                <c:pt idx="17">
                  <c:v>47.66666666666662</c:v>
                </c:pt>
                <c:pt idx="18">
                  <c:v>43.99999999999996</c:v>
                </c:pt>
                <c:pt idx="19">
                  <c:v>40.33333333333329</c:v>
                </c:pt>
                <c:pt idx="20">
                  <c:v>36.66666666666663</c:v>
                </c:pt>
                <c:pt idx="21">
                  <c:v>32.999999999999964</c:v>
                </c:pt>
                <c:pt idx="22">
                  <c:v>29.333333333333297</c:v>
                </c:pt>
                <c:pt idx="23">
                  <c:v>25.66666666666663</c:v>
                </c:pt>
                <c:pt idx="24">
                  <c:v>21.99999999999996</c:v>
                </c:pt>
                <c:pt idx="25">
                  <c:v>18.333333333333293</c:v>
                </c:pt>
                <c:pt idx="26">
                  <c:v>14.666666666666627</c:v>
                </c:pt>
                <c:pt idx="27">
                  <c:v>10.999999999999961</c:v>
                </c:pt>
                <c:pt idx="28">
                  <c:v>7.333333333333295</c:v>
                </c:pt>
                <c:pt idx="29">
                  <c:v>3.6666666666666283</c:v>
                </c:pt>
                <c:pt idx="30">
                  <c:v>-3.8191672047105385E-14</c:v>
                </c:pt>
              </c:numCache>
            </c:numRef>
          </c:yVal>
          <c:smooth val="1"/>
        </c:ser>
        <c:ser>
          <c:idx val="1"/>
          <c:order val="1"/>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'1º IPR'!$I$21:$I$51</c:f>
              <c:numCache>
                <c:ptCount val="31"/>
                <c:pt idx="0">
                  <c:v>0</c:v>
                </c:pt>
                <c:pt idx="1">
                  <c:v>1.000808457711443</c:v>
                </c:pt>
                <c:pt idx="2">
                  <c:v>1.9715174129353257</c:v>
                </c:pt>
                <c:pt idx="3">
                  <c:v>2.9121268656716444</c:v>
                </c:pt>
                <c:pt idx="4">
                  <c:v>3.822636815920403</c:v>
                </c:pt>
                <c:pt idx="5">
                  <c:v>4.703047263681598</c:v>
                </c:pt>
                <c:pt idx="6">
                  <c:v>5.553358208955231</c:v>
                </c:pt>
                <c:pt idx="7">
                  <c:v>6.373569651741299</c:v>
                </c:pt>
                <c:pt idx="8">
                  <c:v>7.163681592039809</c:v>
                </c:pt>
                <c:pt idx="9">
                  <c:v>7.923694029850754</c:v>
                </c:pt>
                <c:pt idx="10">
                  <c:v>8.653606965174138</c:v>
                </c:pt>
                <c:pt idx="11">
                  <c:v>9.353420398009959</c:v>
                </c:pt>
                <c:pt idx="12">
                  <c:v>10.023134328358218</c:v>
                </c:pt>
                <c:pt idx="13">
                  <c:v>10.662748756218912</c:v>
                </c:pt>
                <c:pt idx="14">
                  <c:v>11.272263681592047</c:v>
                </c:pt>
                <c:pt idx="15">
                  <c:v>11.85167910447762</c:v>
                </c:pt>
                <c:pt idx="16">
                  <c:v>12.400995024875627</c:v>
                </c:pt>
                <c:pt idx="17">
                  <c:v>12.920211442786076</c:v>
                </c:pt>
                <c:pt idx="18">
                  <c:v>13.40932835820896</c:v>
                </c:pt>
                <c:pt idx="19">
                  <c:v>13.868345771144282</c:v>
                </c:pt>
                <c:pt idx="20">
                  <c:v>14.297263681592044</c:v>
                </c:pt>
                <c:pt idx="21">
                  <c:v>14.696082089552242</c:v>
                </c:pt>
                <c:pt idx="22">
                  <c:v>15.06480099502488</c:v>
                </c:pt>
                <c:pt idx="23">
                  <c:v>15.403420398009953</c:v>
                </c:pt>
                <c:pt idx="24">
                  <c:v>15.711940298507466</c:v>
                </c:pt>
                <c:pt idx="25">
                  <c:v>15.990360696517417</c:v>
                </c:pt>
                <c:pt idx="26">
                  <c:v>16.238681592039804</c:v>
                </c:pt>
                <c:pt idx="27">
                  <c:v>16.45690298507463</c:v>
                </c:pt>
                <c:pt idx="28">
                  <c:v>16.645024875621893</c:v>
                </c:pt>
                <c:pt idx="29">
                  <c:v>16.803047263681595</c:v>
                </c:pt>
                <c:pt idx="30">
                  <c:v>16.93097014925373</c:v>
                </c:pt>
              </c:numCache>
            </c:numRef>
          </c:xVal>
          <c:yVal>
            <c:numRef>
              <c:f>'1º IPR'!$K$21:$K$51</c:f>
              <c:numCache>
                <c:ptCount val="31"/>
                <c:pt idx="0">
                  <c:v>155.69751939656967</c:v>
                </c:pt>
                <c:pt idx="1">
                  <c:v>155.69751939656967</c:v>
                </c:pt>
                <c:pt idx="2">
                  <c:v>155.69751939656967</c:v>
                </c:pt>
                <c:pt idx="3">
                  <c:v>155.69751939656967</c:v>
                </c:pt>
                <c:pt idx="4">
                  <c:v>155.69751939656967</c:v>
                </c:pt>
                <c:pt idx="5">
                  <c:v>155.69751939656967</c:v>
                </c:pt>
                <c:pt idx="6">
                  <c:v>155.69751939656967</c:v>
                </c:pt>
                <c:pt idx="7">
                  <c:v>155.69751939656967</c:v>
                </c:pt>
                <c:pt idx="8">
                  <c:v>155.69751939656967</c:v>
                </c:pt>
                <c:pt idx="9">
                  <c:v>155.69751939656967</c:v>
                </c:pt>
                <c:pt idx="10">
                  <c:v>155.69751939656967</c:v>
                </c:pt>
                <c:pt idx="11">
                  <c:v>155.69751939656967</c:v>
                </c:pt>
                <c:pt idx="12">
                  <c:v>155.69751939656967</c:v>
                </c:pt>
                <c:pt idx="13">
                  <c:v>155.69751939656967</c:v>
                </c:pt>
                <c:pt idx="14">
                  <c:v>155.69751939656967</c:v>
                </c:pt>
                <c:pt idx="15">
                  <c:v>155.69751939656967</c:v>
                </c:pt>
                <c:pt idx="16">
                  <c:v>155.69751939656967</c:v>
                </c:pt>
                <c:pt idx="17">
                  <c:v>155.69751939656967</c:v>
                </c:pt>
                <c:pt idx="18">
                  <c:v>155.69751939656967</c:v>
                </c:pt>
                <c:pt idx="19">
                  <c:v>155.69751939656967</c:v>
                </c:pt>
                <c:pt idx="20">
                  <c:v>155.69751939656967</c:v>
                </c:pt>
                <c:pt idx="21">
                  <c:v>155.69751939656967</c:v>
                </c:pt>
                <c:pt idx="22">
                  <c:v>155.69751939656967</c:v>
                </c:pt>
                <c:pt idx="23">
                  <c:v>155.69751939656967</c:v>
                </c:pt>
                <c:pt idx="24">
                  <c:v>155.69751939656967</c:v>
                </c:pt>
                <c:pt idx="25">
                  <c:v>155.69751939656967</c:v>
                </c:pt>
                <c:pt idx="26">
                  <c:v>155.69751939656967</c:v>
                </c:pt>
                <c:pt idx="27">
                  <c:v>155.69751939656967</c:v>
                </c:pt>
                <c:pt idx="28">
                  <c:v>155.69751939656967</c:v>
                </c:pt>
                <c:pt idx="29">
                  <c:v>155.69751939656967</c:v>
                </c:pt>
                <c:pt idx="30">
                  <c:v>155.69751939656967</c:v>
                </c:pt>
              </c:numCache>
            </c:numRef>
          </c:yVal>
          <c:smooth val="1"/>
        </c:ser>
        <c:ser>
          <c:idx val="4"/>
          <c:order val="3"/>
          <c:tx>
            <c:v>punto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FF"/>
              </a:solidFill>
              <a:ln>
                <a:solidFill>
                  <a:srgbClr val="0000FF"/>
                </a:solidFill>
              </a:ln>
            </c:spPr>
          </c:marker>
          <c:xVal>
            <c:numRef>
              <c:f>'1º IPR'!$I$51</c:f>
              <c:numCache>
                <c:ptCount val="1"/>
                <c:pt idx="0">
                  <c:v>16.93097014925373</c:v>
                </c:pt>
              </c:numCache>
            </c:numRef>
          </c:xVal>
          <c:yVal>
            <c:numRef>
              <c:f>'1º IPR'!$J$51</c:f>
              <c:numCache>
                <c:ptCount val="1"/>
                <c:pt idx="0">
                  <c:v>-3.8191672047105385E-14</c:v>
                </c:pt>
              </c:numCache>
            </c:numRef>
          </c:yVal>
          <c:smooth val="1"/>
        </c:ser>
        <c:axId val="46730156"/>
        <c:axId val="17918221"/>
      </c:scatterChart>
      <c:scatterChart>
        <c:scatterStyle val="lineMarker"/>
        <c:varyColors val="0"/>
        <c:ser>
          <c:idx val="2"/>
          <c:order val="2"/>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'1º IPR'!$I$21:$I$51</c:f>
              <c:numCache>
                <c:ptCount val="31"/>
                <c:pt idx="0">
                  <c:v>0</c:v>
                </c:pt>
                <c:pt idx="1">
                  <c:v>1.000808457711443</c:v>
                </c:pt>
                <c:pt idx="2">
                  <c:v>1.9715174129353257</c:v>
                </c:pt>
                <c:pt idx="3">
                  <c:v>2.9121268656716444</c:v>
                </c:pt>
                <c:pt idx="4">
                  <c:v>3.822636815920403</c:v>
                </c:pt>
                <c:pt idx="5">
                  <c:v>4.703047263681598</c:v>
                </c:pt>
                <c:pt idx="6">
                  <c:v>5.553358208955231</c:v>
                </c:pt>
                <c:pt idx="7">
                  <c:v>6.373569651741299</c:v>
                </c:pt>
                <c:pt idx="8">
                  <c:v>7.163681592039809</c:v>
                </c:pt>
                <c:pt idx="9">
                  <c:v>7.923694029850754</c:v>
                </c:pt>
                <c:pt idx="10">
                  <c:v>8.653606965174138</c:v>
                </c:pt>
                <c:pt idx="11">
                  <c:v>9.353420398009959</c:v>
                </c:pt>
                <c:pt idx="12">
                  <c:v>10.023134328358218</c:v>
                </c:pt>
                <c:pt idx="13">
                  <c:v>10.662748756218912</c:v>
                </c:pt>
                <c:pt idx="14">
                  <c:v>11.272263681592047</c:v>
                </c:pt>
                <c:pt idx="15">
                  <c:v>11.85167910447762</c:v>
                </c:pt>
                <c:pt idx="16">
                  <c:v>12.400995024875627</c:v>
                </c:pt>
                <c:pt idx="17">
                  <c:v>12.920211442786076</c:v>
                </c:pt>
                <c:pt idx="18">
                  <c:v>13.40932835820896</c:v>
                </c:pt>
                <c:pt idx="19">
                  <c:v>13.868345771144282</c:v>
                </c:pt>
                <c:pt idx="20">
                  <c:v>14.297263681592044</c:v>
                </c:pt>
                <c:pt idx="21">
                  <c:v>14.696082089552242</c:v>
                </c:pt>
                <c:pt idx="22">
                  <c:v>15.06480099502488</c:v>
                </c:pt>
                <c:pt idx="23">
                  <c:v>15.403420398009953</c:v>
                </c:pt>
                <c:pt idx="24">
                  <c:v>15.711940298507466</c:v>
                </c:pt>
                <c:pt idx="25">
                  <c:v>15.990360696517417</c:v>
                </c:pt>
                <c:pt idx="26">
                  <c:v>16.238681592039804</c:v>
                </c:pt>
                <c:pt idx="27">
                  <c:v>16.45690298507463</c:v>
                </c:pt>
                <c:pt idx="28">
                  <c:v>16.645024875621893</c:v>
                </c:pt>
                <c:pt idx="29">
                  <c:v>16.803047263681595</c:v>
                </c:pt>
                <c:pt idx="30">
                  <c:v>16.93097014925373</c:v>
                </c:pt>
              </c:numCache>
            </c:numRef>
          </c:xVal>
          <c:yVal>
            <c:numRef>
              <c:f>'1º IPR'!$L$21:$L$51</c:f>
              <c:numCache>
                <c:ptCount val="31"/>
                <c:pt idx="0">
                  <c:v>691.7787313455372</c:v>
                </c:pt>
                <c:pt idx="1">
                  <c:v>732.4194403006861</c:v>
                </c:pt>
                <c:pt idx="2">
                  <c:v>773.0601492558349</c:v>
                </c:pt>
                <c:pt idx="3">
                  <c:v>813.7008582109836</c:v>
                </c:pt>
                <c:pt idx="4">
                  <c:v>854.3415671661326</c:v>
                </c:pt>
                <c:pt idx="5">
                  <c:v>894.9822761212813</c:v>
                </c:pt>
                <c:pt idx="6">
                  <c:v>935.62298507643</c:v>
                </c:pt>
                <c:pt idx="7">
                  <c:v>976.2636940315789</c:v>
                </c:pt>
                <c:pt idx="8">
                  <c:v>1016.9044029867277</c:v>
                </c:pt>
                <c:pt idx="9">
                  <c:v>1057.5451119418767</c:v>
                </c:pt>
                <c:pt idx="10">
                  <c:v>1098.1858208970255</c:v>
                </c:pt>
                <c:pt idx="11">
                  <c:v>1138.8265298521742</c:v>
                </c:pt>
                <c:pt idx="12">
                  <c:v>1179.467238807323</c:v>
                </c:pt>
                <c:pt idx="13">
                  <c:v>1220.1079477624717</c:v>
                </c:pt>
                <c:pt idx="14">
                  <c:v>1260.7486567176204</c:v>
                </c:pt>
                <c:pt idx="15">
                  <c:v>1301.3893656727691</c:v>
                </c:pt>
                <c:pt idx="16">
                  <c:v>1342.030074627918</c:v>
                </c:pt>
                <c:pt idx="17">
                  <c:v>1382.6707835830666</c:v>
                </c:pt>
                <c:pt idx="18">
                  <c:v>1423.3114925382154</c:v>
                </c:pt>
                <c:pt idx="19">
                  <c:v>1463.952201493364</c:v>
                </c:pt>
                <c:pt idx="20">
                  <c:v>1504.5929104485128</c:v>
                </c:pt>
                <c:pt idx="21">
                  <c:v>1545.2336194036616</c:v>
                </c:pt>
                <c:pt idx="22">
                  <c:v>1585.8743283588103</c:v>
                </c:pt>
                <c:pt idx="23">
                  <c:v>1626.515037313959</c:v>
                </c:pt>
                <c:pt idx="24">
                  <c:v>1667.1557462691078</c:v>
                </c:pt>
                <c:pt idx="25">
                  <c:v>1707.7964552242568</c:v>
                </c:pt>
                <c:pt idx="26">
                  <c:v>1748.4371641794055</c:v>
                </c:pt>
                <c:pt idx="27">
                  <c:v>1789.0778731345542</c:v>
                </c:pt>
                <c:pt idx="28">
                  <c:v>1829.718582089703</c:v>
                </c:pt>
                <c:pt idx="29">
                  <c:v>1870.3592910448517</c:v>
                </c:pt>
                <c:pt idx="30">
                  <c:v>1911.0000000000005</c:v>
                </c:pt>
              </c:numCache>
            </c:numRef>
          </c:yVal>
          <c:smooth val="1"/>
        </c:ser>
        <c:axId val="27046262"/>
        <c:axId val="42089767"/>
      </c:scatterChart>
      <c:valAx>
        <c:axId val="46730156"/>
        <c:scaling>
          <c:orientation val="minMax"/>
          <c:min val="0"/>
        </c:scaling>
        <c:axPos val="b"/>
        <c:title>
          <c:tx>
            <c:rich>
              <a:bodyPr vert="horz" rot="0" anchor="ctr"/>
              <a:lstStyle/>
              <a:p>
                <a:pPr algn="ctr">
                  <a:defRPr/>
                </a:pPr>
                <a:r>
                  <a:rPr lang="en-US" cap="none" sz="1200" b="1" i="0" u="none" baseline="0">
                    <a:latin typeface="Arial"/>
                    <a:ea typeface="Arial"/>
                    <a:cs typeface="Arial"/>
                  </a:rPr>
                  <a:t>Caudal [m3/dia]</a:t>
                </a:r>
              </a:p>
            </c:rich>
          </c:tx>
          <c:layout/>
          <c:overlay val="0"/>
          <c:spPr>
            <a:noFill/>
            <a:ln>
              <a:noFill/>
            </a:ln>
          </c:spPr>
        </c:title>
        <c:majorGridlines/>
        <c:delete val="0"/>
        <c:numFmt formatCode="General" sourceLinked="1"/>
        <c:majorTickMark val="cross"/>
        <c:minorTickMark val="in"/>
        <c:tickLblPos val="nextTo"/>
        <c:crossAx val="17918221"/>
        <c:crosses val="autoZero"/>
        <c:crossBetween val="midCat"/>
        <c:dispUnits/>
      </c:valAx>
      <c:valAx>
        <c:axId val="17918221"/>
        <c:scaling>
          <c:orientation val="minMax"/>
          <c:min val="0"/>
        </c:scaling>
        <c:axPos val="l"/>
        <c:title>
          <c:tx>
            <c:rich>
              <a:bodyPr vert="horz" rot="-5400000" anchor="ctr"/>
              <a:lstStyle/>
              <a:p>
                <a:pPr algn="ctr">
                  <a:defRPr/>
                </a:pPr>
                <a:r>
                  <a:rPr lang="en-US" cap="none" sz="1200" b="1" i="0" u="none" baseline="0">
                    <a:latin typeface="Arial"/>
                    <a:ea typeface="Arial"/>
                    <a:cs typeface="Arial"/>
                  </a:rPr>
                  <a:t>Presión [Kg/cm2]</a:t>
                </a:r>
              </a:p>
            </c:rich>
          </c:tx>
          <c:layout/>
          <c:overlay val="0"/>
          <c:spPr>
            <a:noFill/>
            <a:ln>
              <a:noFill/>
            </a:ln>
          </c:spPr>
        </c:title>
        <c:majorGridlines/>
        <c:delete val="0"/>
        <c:numFmt formatCode="General" sourceLinked="1"/>
        <c:majorTickMark val="cross"/>
        <c:minorTickMark val="in"/>
        <c:tickLblPos val="nextTo"/>
        <c:crossAx val="46730156"/>
        <c:crosses val="autoZero"/>
        <c:crossBetween val="midCat"/>
        <c:dispUnits/>
        <c:majorUnit val="20"/>
      </c:valAx>
      <c:valAx>
        <c:axId val="27046262"/>
        <c:scaling>
          <c:orientation val="minMax"/>
        </c:scaling>
        <c:axPos val="b"/>
        <c:delete val="1"/>
        <c:majorTickMark val="in"/>
        <c:minorTickMark val="none"/>
        <c:tickLblPos val="nextTo"/>
        <c:crossAx val="42089767"/>
        <c:crosses val="max"/>
        <c:crossBetween val="midCat"/>
        <c:dispUnits/>
      </c:valAx>
      <c:valAx>
        <c:axId val="42089767"/>
        <c:scaling>
          <c:orientation val="minMax"/>
        </c:scaling>
        <c:axPos val="l"/>
        <c:title>
          <c:tx>
            <c:rich>
              <a:bodyPr vert="horz" rot="5400000" anchor="ctr"/>
              <a:lstStyle/>
              <a:p>
                <a:pPr algn="ctr">
                  <a:defRPr/>
                </a:pPr>
                <a:r>
                  <a:rPr lang="en-US" cap="none" sz="1200" b="1" i="0" u="none" baseline="0">
                    <a:latin typeface="Arial"/>
                    <a:ea typeface="Arial"/>
                    <a:cs typeface="Arial"/>
                  </a:rPr>
                  <a:t>Nivel [mbbp]</a:t>
                </a:r>
              </a:p>
            </c:rich>
          </c:tx>
          <c:layout/>
          <c:overlay val="0"/>
          <c:spPr>
            <a:noFill/>
            <a:ln>
              <a:noFill/>
            </a:ln>
          </c:spPr>
        </c:title>
        <c:delete val="0"/>
        <c:numFmt formatCode="General" sourceLinked="1"/>
        <c:majorTickMark val="cross"/>
        <c:minorTickMark val="in"/>
        <c:tickLblPos val="nextTo"/>
        <c:crossAx val="27046262"/>
        <c:crosses val="max"/>
        <c:crossBetween val="midCat"/>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sng" baseline="0">
                <a:latin typeface="Arial"/>
                <a:ea typeface="Arial"/>
                <a:cs typeface="Arial"/>
              </a:rPr>
              <a:t>Presiones mínimas y máximas de casing</a:t>
            </a:r>
          </a:p>
        </c:rich>
      </c:tx>
      <c:layout>
        <c:manualLayout>
          <c:xMode val="factor"/>
          <c:yMode val="factor"/>
          <c:x val="0.00125"/>
          <c:y val="-0.0205"/>
        </c:manualLayout>
      </c:layout>
      <c:spPr>
        <a:noFill/>
        <a:ln>
          <a:noFill/>
        </a:ln>
      </c:spPr>
    </c:title>
    <c:plotArea>
      <c:layout>
        <c:manualLayout>
          <c:xMode val="edge"/>
          <c:yMode val="edge"/>
          <c:x val="0.02825"/>
          <c:y val="0.072"/>
          <c:w val="0.97175"/>
          <c:h val="0.874"/>
        </c:manualLayout>
      </c:layout>
      <c:scatterChart>
        <c:scatterStyle val="line"/>
        <c:varyColors val="0"/>
        <c:ser>
          <c:idx val="0"/>
          <c:order val="0"/>
          <c:tx>
            <c:strRef>
              <c:f>Tabla!$B$1</c:f>
              <c:strCache>
                <c:ptCount val="1"/>
                <c:pt idx="0">
                  <c:v>Pc mín [psi]</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Tabla!$A$2:$A$17</c:f>
              <c:numCache>
                <c:ptCount val="16"/>
                <c:pt idx="0">
                  <c:v>0.25</c:v>
                </c:pt>
                <c:pt idx="1">
                  <c:v>0.5</c:v>
                </c:pt>
                <c:pt idx="2">
                  <c:v>0.75</c:v>
                </c:pt>
                <c:pt idx="3">
                  <c:v>1</c:v>
                </c:pt>
                <c:pt idx="4">
                  <c:v>1.25</c:v>
                </c:pt>
                <c:pt idx="5">
                  <c:v>1.5</c:v>
                </c:pt>
                <c:pt idx="6">
                  <c:v>1.75</c:v>
                </c:pt>
                <c:pt idx="7">
                  <c:v>2</c:v>
                </c:pt>
                <c:pt idx="8">
                  <c:v>2.25</c:v>
                </c:pt>
                <c:pt idx="9">
                  <c:v>2.5</c:v>
                </c:pt>
                <c:pt idx="10">
                  <c:v>2.75</c:v>
                </c:pt>
                <c:pt idx="11">
                  <c:v>3</c:v>
                </c:pt>
                <c:pt idx="12">
                  <c:v>3.25</c:v>
                </c:pt>
                <c:pt idx="13">
                  <c:v>3.5</c:v>
                </c:pt>
                <c:pt idx="14">
                  <c:v>3.75</c:v>
                </c:pt>
                <c:pt idx="15">
                  <c:v>4</c:v>
                </c:pt>
              </c:numCache>
            </c:numRef>
          </c:xVal>
          <c:yVal>
            <c:numRef>
              <c:f>Tabla!$B$2:$B$17</c:f>
              <c:numCache>
                <c:ptCount val="16"/>
                <c:pt idx="0">
                  <c:v>187.99900686398246</c:v>
                </c:pt>
                <c:pt idx="1">
                  <c:v>210.3452738108657</c:v>
                </c:pt>
                <c:pt idx="2">
                  <c:v>232.69154075774898</c:v>
                </c:pt>
                <c:pt idx="3">
                  <c:v>255.03780770463229</c:v>
                </c:pt>
                <c:pt idx="4">
                  <c:v>277.3840746515156</c:v>
                </c:pt>
                <c:pt idx="5">
                  <c:v>299.7303415983988</c:v>
                </c:pt>
                <c:pt idx="6">
                  <c:v>322.0766085452821</c:v>
                </c:pt>
                <c:pt idx="7">
                  <c:v>344.4228754921654</c:v>
                </c:pt>
                <c:pt idx="8">
                  <c:v>366.7691424390487</c:v>
                </c:pt>
                <c:pt idx="9">
                  <c:v>389.115409385932</c:v>
                </c:pt>
                <c:pt idx="10">
                  <c:v>411.4616763328153</c:v>
                </c:pt>
                <c:pt idx="11">
                  <c:v>433.8079432796986</c:v>
                </c:pt>
                <c:pt idx="12">
                  <c:v>456.1542102265819</c:v>
                </c:pt>
                <c:pt idx="13">
                  <c:v>478.50047717346513</c:v>
                </c:pt>
                <c:pt idx="14">
                  <c:v>500.84674412034843</c:v>
                </c:pt>
                <c:pt idx="15">
                  <c:v>523.1930110672317</c:v>
                </c:pt>
              </c:numCache>
            </c:numRef>
          </c:yVal>
          <c:smooth val="0"/>
        </c:ser>
        <c:ser>
          <c:idx val="1"/>
          <c:order val="1"/>
          <c:tx>
            <c:strRef>
              <c:f>Tabla!$C$1</c:f>
              <c:strCache>
                <c:ptCount val="1"/>
                <c:pt idx="0">
                  <c:v>Pc máx [psi]</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Tabla!$A$2:$A$17</c:f>
              <c:numCache>
                <c:ptCount val="16"/>
                <c:pt idx="0">
                  <c:v>0.25</c:v>
                </c:pt>
                <c:pt idx="1">
                  <c:v>0.5</c:v>
                </c:pt>
                <c:pt idx="2">
                  <c:v>0.75</c:v>
                </c:pt>
                <c:pt idx="3">
                  <c:v>1</c:v>
                </c:pt>
                <c:pt idx="4">
                  <c:v>1.25</c:v>
                </c:pt>
                <c:pt idx="5">
                  <c:v>1.5</c:v>
                </c:pt>
                <c:pt idx="6">
                  <c:v>1.75</c:v>
                </c:pt>
                <c:pt idx="7">
                  <c:v>2</c:v>
                </c:pt>
                <c:pt idx="8">
                  <c:v>2.25</c:v>
                </c:pt>
                <c:pt idx="9">
                  <c:v>2.5</c:v>
                </c:pt>
                <c:pt idx="10">
                  <c:v>2.75</c:v>
                </c:pt>
                <c:pt idx="11">
                  <c:v>3</c:v>
                </c:pt>
                <c:pt idx="12">
                  <c:v>3.25</c:v>
                </c:pt>
                <c:pt idx="13">
                  <c:v>3.5</c:v>
                </c:pt>
                <c:pt idx="14">
                  <c:v>3.75</c:v>
                </c:pt>
                <c:pt idx="15">
                  <c:v>4</c:v>
                </c:pt>
              </c:numCache>
            </c:numRef>
          </c:xVal>
          <c:yVal>
            <c:numRef>
              <c:f>Tabla!$C$2:$C$17</c:f>
              <c:numCache>
                <c:ptCount val="16"/>
                <c:pt idx="0">
                  <c:v>223.96828656113635</c:v>
                </c:pt>
                <c:pt idx="1">
                  <c:v>250.58999697661855</c:v>
                </c:pt>
                <c:pt idx="2">
                  <c:v>277.21170739210083</c:v>
                </c:pt>
                <c:pt idx="3">
                  <c:v>303.8334178075831</c:v>
                </c:pt>
                <c:pt idx="4">
                  <c:v>330.4551282230654</c:v>
                </c:pt>
                <c:pt idx="5">
                  <c:v>357.0768386385476</c:v>
                </c:pt>
                <c:pt idx="6">
                  <c:v>383.69854905402985</c:v>
                </c:pt>
                <c:pt idx="7">
                  <c:v>410.32025946951217</c:v>
                </c:pt>
                <c:pt idx="8">
                  <c:v>436.9419698849945</c:v>
                </c:pt>
                <c:pt idx="9">
                  <c:v>463.56368030047673</c:v>
                </c:pt>
                <c:pt idx="10">
                  <c:v>490.185390715959</c:v>
                </c:pt>
                <c:pt idx="11">
                  <c:v>516.8071011314413</c:v>
                </c:pt>
                <c:pt idx="12">
                  <c:v>543.4288115469236</c:v>
                </c:pt>
                <c:pt idx="13">
                  <c:v>570.0505219624058</c:v>
                </c:pt>
                <c:pt idx="14">
                  <c:v>596.6722323778881</c:v>
                </c:pt>
                <c:pt idx="15">
                  <c:v>623.2939427933704</c:v>
                </c:pt>
              </c:numCache>
            </c:numRef>
          </c:yVal>
          <c:smooth val="0"/>
        </c:ser>
        <c:axId val="43263584"/>
        <c:axId val="53827937"/>
      </c:scatterChart>
      <c:valAx>
        <c:axId val="43263584"/>
        <c:scaling>
          <c:orientation val="minMax"/>
        </c:scaling>
        <c:axPos val="b"/>
        <c:title>
          <c:tx>
            <c:rich>
              <a:bodyPr vert="horz" rot="0" anchor="ctr"/>
              <a:lstStyle/>
              <a:p>
                <a:pPr algn="ctr">
                  <a:defRPr/>
                </a:pPr>
                <a:r>
                  <a:rPr lang="en-US" cap="none" sz="1500" b="1" i="0" u="none" baseline="0">
                    <a:latin typeface="Arial"/>
                    <a:ea typeface="Arial"/>
                    <a:cs typeface="Arial"/>
                  </a:rPr>
                  <a:t>Tamaño del taco de líquido [bbl]</a:t>
                </a:r>
              </a:p>
            </c:rich>
          </c:tx>
          <c:layout/>
          <c:overlay val="0"/>
          <c:spPr>
            <a:noFill/>
            <a:ln>
              <a:noFill/>
            </a:ln>
          </c:spPr>
        </c:title>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53827937"/>
        <c:crosses val="autoZero"/>
        <c:crossBetween val="midCat"/>
        <c:dispUnits/>
      </c:valAx>
      <c:valAx>
        <c:axId val="53827937"/>
        <c:scaling>
          <c:orientation val="minMax"/>
        </c:scaling>
        <c:axPos val="l"/>
        <c:title>
          <c:tx>
            <c:rich>
              <a:bodyPr vert="horz" rot="-5400000" anchor="ctr"/>
              <a:lstStyle/>
              <a:p>
                <a:pPr algn="ctr">
                  <a:defRPr/>
                </a:pPr>
                <a:r>
                  <a:rPr lang="en-US" cap="none" sz="1500" b="1" i="0" u="none" baseline="0">
                    <a:latin typeface="Arial"/>
                    <a:ea typeface="Arial"/>
                    <a:cs typeface="Arial"/>
                  </a:rPr>
                  <a:t>Presión de casing [psi]</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43263584"/>
        <c:crosses val="autoZero"/>
        <c:crossBetween val="midCat"/>
        <c:dispUnits/>
      </c:valAx>
      <c:spPr>
        <a:solidFill>
          <a:srgbClr val="C0C0C0"/>
        </a:solidFill>
        <a:ln w="12700">
          <a:solidFill>
            <a:srgbClr val="808080"/>
          </a:solidFill>
        </a:ln>
      </c:spPr>
    </c:plotArea>
    <c:legend>
      <c:legendPos val="r"/>
      <c:layout>
        <c:manualLayout>
          <c:xMode val="edge"/>
          <c:yMode val="edge"/>
          <c:x val="0.08325"/>
          <c:y val="0.108"/>
        </c:manualLayout>
      </c:layout>
      <c:overlay val="0"/>
      <c:txPr>
        <a:bodyPr vert="horz" rot="0"/>
        <a:lstStyle/>
        <a:p>
          <a:pPr>
            <a:defRPr lang="en-US" cap="none" sz="16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Gráfico11"/>
  <sheetViews>
    <sheetView workbookViewId="0" zoomScale="63"/>
  </sheetViews>
  <pageMargins left="0.75" right="0.75" top="1" bottom="1" header="0" footer="0"/>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emf" /><Relationship Id="rId3" Type="http://schemas.openxmlformats.org/officeDocument/2006/relationships/chart" Target="/xl/charts/chart2.xml" /><Relationship Id="rId4"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20.emf" /><Relationship Id="rId3" Type="http://schemas.openxmlformats.org/officeDocument/2006/relationships/image" Target="../media/image17.emf" /><Relationship Id="rId4" Type="http://schemas.openxmlformats.org/officeDocument/2006/relationships/image" Target="../media/image16.emf" /><Relationship Id="rId5" Type="http://schemas.openxmlformats.org/officeDocument/2006/relationships/image" Target="../media/image19.emf" /><Relationship Id="rId6" Type="http://schemas.openxmlformats.org/officeDocument/2006/relationships/image" Target="../media/image1.wmf" /><Relationship Id="rId7" Type="http://schemas.openxmlformats.org/officeDocument/2006/relationships/image" Target="../media/image3.wmf" /><Relationship Id="rId8" Type="http://schemas.openxmlformats.org/officeDocument/2006/relationships/image" Target="../media/image6.wmf" /><Relationship Id="rId9" Type="http://schemas.openxmlformats.org/officeDocument/2006/relationships/image" Target="../media/image7.wmf" /><Relationship Id="rId10" Type="http://schemas.openxmlformats.org/officeDocument/2006/relationships/image" Target="../media/image2.wmf" /><Relationship Id="rId11" Type="http://schemas.openxmlformats.org/officeDocument/2006/relationships/image" Target="../media/image8.wmf" /><Relationship Id="rId12" Type="http://schemas.openxmlformats.org/officeDocument/2006/relationships/image" Target="../media/image9.wmf" /><Relationship Id="rId13" Type="http://schemas.openxmlformats.org/officeDocument/2006/relationships/image" Target="../media/image10.wmf" /><Relationship Id="rId14" Type="http://schemas.openxmlformats.org/officeDocument/2006/relationships/image" Target="../media/image11.wmf" /><Relationship Id="rId15" Type="http://schemas.openxmlformats.org/officeDocument/2006/relationships/image" Target="../media/image12.wmf" /><Relationship Id="rId16" Type="http://schemas.openxmlformats.org/officeDocument/2006/relationships/image" Target="../media/image13.wmf" /><Relationship Id="rId17" Type="http://schemas.openxmlformats.org/officeDocument/2006/relationships/image" Target="../media/image14.wmf" /><Relationship Id="rId18" Type="http://schemas.openxmlformats.org/officeDocument/2006/relationships/image" Target="../media/image18.wmf" /><Relationship Id="rId19"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361950</xdr:colOff>
      <xdr:row>0</xdr:row>
      <xdr:rowOff>314325</xdr:rowOff>
    </xdr:to>
    <xdr:sp>
      <xdr:nvSpPr>
        <xdr:cNvPr id="1" name="Rectangle 3"/>
        <xdr:cNvSpPr>
          <a:spLocks/>
        </xdr:cNvSpPr>
      </xdr:nvSpPr>
      <xdr:spPr>
        <a:xfrm>
          <a:off x="0" y="0"/>
          <a:ext cx="1762125" cy="314325"/>
        </a:xfrm>
        <a:prstGeom prst="rect">
          <a:avLst/>
        </a:prstGeom>
        <a:solidFill>
          <a:srgbClr val="993300">
            <a:alpha val="4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84</xdr:row>
      <xdr:rowOff>104775</xdr:rowOff>
    </xdr:from>
    <xdr:to>
      <xdr:col>7</xdr:col>
      <xdr:colOff>628650</xdr:colOff>
      <xdr:row>101</xdr:row>
      <xdr:rowOff>76200</xdr:rowOff>
    </xdr:to>
    <xdr:graphicFrame>
      <xdr:nvGraphicFramePr>
        <xdr:cNvPr id="2" name="Chart 11"/>
        <xdr:cNvGraphicFramePr/>
      </xdr:nvGraphicFramePr>
      <xdr:xfrm>
        <a:off x="781050" y="17011650"/>
        <a:ext cx="4667250" cy="26193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367</xdr:row>
      <xdr:rowOff>0</xdr:rowOff>
    </xdr:from>
    <xdr:to>
      <xdr:col>5</xdr:col>
      <xdr:colOff>638175</xdr:colOff>
      <xdr:row>367</xdr:row>
      <xdr:rowOff>0</xdr:rowOff>
    </xdr:to>
    <xdr:sp>
      <xdr:nvSpPr>
        <xdr:cNvPr id="3" name="Rectangle 28"/>
        <xdr:cNvSpPr>
          <a:spLocks/>
        </xdr:cNvSpPr>
      </xdr:nvSpPr>
      <xdr:spPr>
        <a:xfrm>
          <a:off x="3438525" y="80743425"/>
          <a:ext cx="6381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657225</xdr:colOff>
      <xdr:row>367</xdr:row>
      <xdr:rowOff>0</xdr:rowOff>
    </xdr:from>
    <xdr:to>
      <xdr:col>7</xdr:col>
      <xdr:colOff>657225</xdr:colOff>
      <xdr:row>367</xdr:row>
      <xdr:rowOff>0</xdr:rowOff>
    </xdr:to>
    <xdr:sp>
      <xdr:nvSpPr>
        <xdr:cNvPr id="4" name="Rectangle 33"/>
        <xdr:cNvSpPr>
          <a:spLocks/>
        </xdr:cNvSpPr>
      </xdr:nvSpPr>
      <xdr:spPr>
        <a:xfrm>
          <a:off x="4800600" y="80743425"/>
          <a:ext cx="676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367</xdr:row>
      <xdr:rowOff>0</xdr:rowOff>
    </xdr:from>
    <xdr:to>
      <xdr:col>5</xdr:col>
      <xdr:colOff>638175</xdr:colOff>
      <xdr:row>367</xdr:row>
      <xdr:rowOff>0</xdr:rowOff>
    </xdr:to>
    <xdr:sp>
      <xdr:nvSpPr>
        <xdr:cNvPr id="5" name="Rectangle 46"/>
        <xdr:cNvSpPr>
          <a:spLocks/>
        </xdr:cNvSpPr>
      </xdr:nvSpPr>
      <xdr:spPr>
        <a:xfrm>
          <a:off x="3438525" y="80743425"/>
          <a:ext cx="6381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259</xdr:row>
      <xdr:rowOff>47625</xdr:rowOff>
    </xdr:from>
    <xdr:to>
      <xdr:col>8</xdr:col>
      <xdr:colOff>371475</xdr:colOff>
      <xdr:row>262</xdr:row>
      <xdr:rowOff>38100</xdr:rowOff>
    </xdr:to>
    <xdr:pic>
      <xdr:nvPicPr>
        <xdr:cNvPr id="6" name="Picture 50"/>
        <xdr:cNvPicPr preferRelativeResize="1">
          <a:picLocks noChangeAspect="1"/>
        </xdr:cNvPicPr>
      </xdr:nvPicPr>
      <xdr:blipFill>
        <a:blip r:embed="rId2"/>
        <a:stretch>
          <a:fillRect/>
        </a:stretch>
      </xdr:blipFill>
      <xdr:spPr>
        <a:xfrm>
          <a:off x="685800" y="55616475"/>
          <a:ext cx="5267325" cy="514350"/>
        </a:xfrm>
        <a:prstGeom prst="rect">
          <a:avLst/>
        </a:prstGeom>
        <a:noFill/>
        <a:ln w="9525" cmpd="sng">
          <a:solidFill>
            <a:srgbClr val="000000"/>
          </a:solidFill>
          <a:headEnd type="none"/>
          <a:tailEnd type="none"/>
        </a:ln>
      </xdr:spPr>
    </xdr:pic>
    <xdr:clientData/>
  </xdr:twoCellAnchor>
  <xdr:twoCellAnchor>
    <xdr:from>
      <xdr:col>1</xdr:col>
      <xdr:colOff>9525</xdr:colOff>
      <xdr:row>241</xdr:row>
      <xdr:rowOff>85725</xdr:rowOff>
    </xdr:from>
    <xdr:to>
      <xdr:col>8</xdr:col>
      <xdr:colOff>895350</xdr:colOff>
      <xdr:row>242</xdr:row>
      <xdr:rowOff>104775</xdr:rowOff>
    </xdr:to>
    <xdr:grpSp>
      <xdr:nvGrpSpPr>
        <xdr:cNvPr id="7" name="Group 70"/>
        <xdr:cNvGrpSpPr>
          <a:grpSpLocks/>
        </xdr:cNvGrpSpPr>
      </xdr:nvGrpSpPr>
      <xdr:grpSpPr>
        <a:xfrm>
          <a:off x="657225" y="50349150"/>
          <a:ext cx="5819775" cy="219075"/>
          <a:chOff x="70" y="3683"/>
          <a:chExt cx="598" cy="23"/>
        </a:xfrm>
        <a:solidFill>
          <a:srgbClr val="FFFFFF"/>
        </a:solidFill>
      </xdr:grpSpPr>
      <xdr:sp>
        <xdr:nvSpPr>
          <xdr:cNvPr id="8" name="Line 68"/>
          <xdr:cNvSpPr>
            <a:spLocks/>
          </xdr:cNvSpPr>
        </xdr:nvSpPr>
        <xdr:spPr>
          <a:xfrm>
            <a:off x="70" y="3695"/>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69"/>
          <xdr:cNvSpPr>
            <a:spLocks/>
          </xdr:cNvSpPr>
        </xdr:nvSpPr>
        <xdr:spPr>
          <a:xfrm>
            <a:off x="523" y="3683"/>
            <a:ext cx="145" cy="23"/>
          </a:xfrm>
          <a:prstGeom prst="rect">
            <a:avLst/>
          </a:prstGeom>
          <a:no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180</xdr:row>
      <xdr:rowOff>104775</xdr:rowOff>
    </xdr:from>
    <xdr:to>
      <xdr:col>8</xdr:col>
      <xdr:colOff>76200</xdr:colOff>
      <xdr:row>194</xdr:row>
      <xdr:rowOff>66675</xdr:rowOff>
    </xdr:to>
    <xdr:graphicFrame>
      <xdr:nvGraphicFramePr>
        <xdr:cNvPr id="10" name="Chart 78"/>
        <xdr:cNvGraphicFramePr/>
      </xdr:nvGraphicFramePr>
      <xdr:xfrm>
        <a:off x="790575" y="37137975"/>
        <a:ext cx="4867275" cy="2762250"/>
      </xdr:xfrm>
      <a:graphic>
        <a:graphicData uri="http://schemas.openxmlformats.org/drawingml/2006/chart">
          <c:chart xmlns:c="http://schemas.openxmlformats.org/drawingml/2006/chart" r:id="rId3"/>
        </a:graphicData>
      </a:graphic>
    </xdr:graphicFrame>
    <xdr:clientData/>
  </xdr:twoCellAnchor>
  <xdr:twoCellAnchor>
    <xdr:from>
      <xdr:col>4</xdr:col>
      <xdr:colOff>28575</xdr:colOff>
      <xdr:row>329</xdr:row>
      <xdr:rowOff>85725</xdr:rowOff>
    </xdr:from>
    <xdr:to>
      <xdr:col>8</xdr:col>
      <xdr:colOff>19050</xdr:colOff>
      <xdr:row>337</xdr:row>
      <xdr:rowOff>47625</xdr:rowOff>
    </xdr:to>
    <xdr:graphicFrame>
      <xdr:nvGraphicFramePr>
        <xdr:cNvPr id="11" name="Chart 88"/>
        <xdr:cNvGraphicFramePr/>
      </xdr:nvGraphicFramePr>
      <xdr:xfrm>
        <a:off x="2800350" y="71970900"/>
        <a:ext cx="2800350" cy="1590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114300</xdr:rowOff>
    </xdr:from>
    <xdr:to>
      <xdr:col>7</xdr:col>
      <xdr:colOff>381000</xdr:colOff>
      <xdr:row>55</xdr:row>
      <xdr:rowOff>142875</xdr:rowOff>
    </xdr:to>
    <xdr:graphicFrame>
      <xdr:nvGraphicFramePr>
        <xdr:cNvPr id="1" name="Chart 1"/>
        <xdr:cNvGraphicFramePr/>
      </xdr:nvGraphicFramePr>
      <xdr:xfrm>
        <a:off x="9525" y="3143250"/>
        <a:ext cx="7458075" cy="5686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23</xdr:row>
      <xdr:rowOff>0</xdr:rowOff>
    </xdr:from>
    <xdr:to>
      <xdr:col>11</xdr:col>
      <xdr:colOff>47625</xdr:colOff>
      <xdr:row>23</xdr:row>
      <xdr:rowOff>0</xdr:rowOff>
    </xdr:to>
    <xdr:sp>
      <xdr:nvSpPr>
        <xdr:cNvPr id="1" name="Rectangle 2"/>
        <xdr:cNvSpPr>
          <a:spLocks/>
        </xdr:cNvSpPr>
      </xdr:nvSpPr>
      <xdr:spPr>
        <a:xfrm>
          <a:off x="8448675" y="4114800"/>
          <a:ext cx="1466850" cy="0"/>
        </a:xfrm>
        <a:prstGeom prst="rect">
          <a:avLst/>
        </a:prstGeom>
        <a:solidFill>
          <a:srgbClr val="FFFF00">
            <a:alpha val="3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123825</xdr:rowOff>
    </xdr:from>
    <xdr:to>
      <xdr:col>6</xdr:col>
      <xdr:colOff>800100</xdr:colOff>
      <xdr:row>20</xdr:row>
      <xdr:rowOff>57150</xdr:rowOff>
    </xdr:to>
    <xdr:grpSp>
      <xdr:nvGrpSpPr>
        <xdr:cNvPr id="1" name="Group 10"/>
        <xdr:cNvGrpSpPr>
          <a:grpSpLocks/>
        </xdr:cNvGrpSpPr>
      </xdr:nvGrpSpPr>
      <xdr:grpSpPr>
        <a:xfrm>
          <a:off x="0" y="3105150"/>
          <a:ext cx="5067300" cy="419100"/>
          <a:chOff x="0" y="253"/>
          <a:chExt cx="526" cy="44"/>
        </a:xfrm>
        <a:solidFill>
          <a:srgbClr val="FFFFFF"/>
        </a:solidFill>
      </xdr:grpSpPr>
      <xdr:sp>
        <xdr:nvSpPr>
          <xdr:cNvPr id="2" name="Line 1"/>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0</xdr:col>
      <xdr:colOff>0</xdr:colOff>
      <xdr:row>12</xdr:row>
      <xdr:rowOff>104775</xdr:rowOff>
    </xdr:from>
    <xdr:to>
      <xdr:col>6</xdr:col>
      <xdr:colOff>800100</xdr:colOff>
      <xdr:row>15</xdr:row>
      <xdr:rowOff>57150</xdr:rowOff>
    </xdr:to>
    <xdr:grpSp>
      <xdr:nvGrpSpPr>
        <xdr:cNvPr id="4" name="Group 11"/>
        <xdr:cNvGrpSpPr>
          <a:grpSpLocks/>
        </xdr:cNvGrpSpPr>
      </xdr:nvGrpSpPr>
      <xdr:grpSpPr>
        <a:xfrm>
          <a:off x="0" y="2276475"/>
          <a:ext cx="5067300" cy="438150"/>
          <a:chOff x="0" y="234"/>
          <a:chExt cx="526" cy="47"/>
        </a:xfrm>
        <a:solidFill>
          <a:srgbClr val="FFFFFF"/>
        </a:solidFill>
      </xdr:grpSpPr>
      <xdr:sp>
        <xdr:nvSpPr>
          <xdr:cNvPr id="5" name="Line 7"/>
          <xdr:cNvSpPr>
            <a:spLocks/>
          </xdr:cNvSpPr>
        </xdr:nvSpPr>
        <xdr:spPr>
          <a:xfrm>
            <a:off x="0" y="258"/>
            <a:ext cx="45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8"/>
          <xdr:cNvSpPr>
            <a:spLocks/>
          </xdr:cNvSpPr>
        </xdr:nvSpPr>
        <xdr:spPr>
          <a:xfrm>
            <a:off x="453" y="234"/>
            <a:ext cx="73" cy="47"/>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RGL mín</a:t>
            </a:r>
          </a:p>
        </xdr:txBody>
      </xdr:sp>
    </xdr:grpSp>
    <xdr:clientData/>
  </xdr:twoCellAnchor>
  <xdr:twoCellAnchor>
    <xdr:from>
      <xdr:col>0</xdr:col>
      <xdr:colOff>0</xdr:colOff>
      <xdr:row>119</xdr:row>
      <xdr:rowOff>123825</xdr:rowOff>
    </xdr:from>
    <xdr:to>
      <xdr:col>6</xdr:col>
      <xdr:colOff>800100</xdr:colOff>
      <xdr:row>122</xdr:row>
      <xdr:rowOff>57150</xdr:rowOff>
    </xdr:to>
    <xdr:grpSp>
      <xdr:nvGrpSpPr>
        <xdr:cNvPr id="7" name="Group 12"/>
        <xdr:cNvGrpSpPr>
          <a:grpSpLocks/>
        </xdr:cNvGrpSpPr>
      </xdr:nvGrpSpPr>
      <xdr:grpSpPr>
        <a:xfrm>
          <a:off x="0" y="19621500"/>
          <a:ext cx="5067300" cy="419100"/>
          <a:chOff x="0" y="253"/>
          <a:chExt cx="526" cy="44"/>
        </a:xfrm>
        <a:solidFill>
          <a:srgbClr val="FFFFFF"/>
        </a:solidFill>
      </xdr:grpSpPr>
      <xdr:sp>
        <xdr:nvSpPr>
          <xdr:cNvPr id="8" name="Line 13"/>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4"/>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361950</xdr:colOff>
      <xdr:row>106</xdr:row>
      <xdr:rowOff>47625</xdr:rowOff>
    </xdr:from>
    <xdr:to>
      <xdr:col>7</xdr:col>
      <xdr:colOff>809625</xdr:colOff>
      <xdr:row>108</xdr:row>
      <xdr:rowOff>142875</xdr:rowOff>
    </xdr:to>
    <xdr:grpSp>
      <xdr:nvGrpSpPr>
        <xdr:cNvPr id="10" name="Group 18"/>
        <xdr:cNvGrpSpPr>
          <a:grpSpLocks/>
        </xdr:cNvGrpSpPr>
      </xdr:nvGrpSpPr>
      <xdr:grpSpPr>
        <a:xfrm>
          <a:off x="1038225" y="17440275"/>
          <a:ext cx="5067300" cy="419100"/>
          <a:chOff x="0" y="253"/>
          <a:chExt cx="526" cy="44"/>
        </a:xfrm>
        <a:solidFill>
          <a:srgbClr val="FFFFFF"/>
        </a:solidFill>
      </xdr:grpSpPr>
      <xdr:sp>
        <xdr:nvSpPr>
          <xdr:cNvPr id="11" name="Line 19"/>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20"/>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138</xdr:row>
      <xdr:rowOff>47625</xdr:rowOff>
    </xdr:from>
    <xdr:to>
      <xdr:col>7</xdr:col>
      <xdr:colOff>590550</xdr:colOff>
      <xdr:row>140</xdr:row>
      <xdr:rowOff>142875</xdr:rowOff>
    </xdr:to>
    <xdr:grpSp>
      <xdr:nvGrpSpPr>
        <xdr:cNvPr id="13" name="Group 21"/>
        <xdr:cNvGrpSpPr>
          <a:grpSpLocks/>
        </xdr:cNvGrpSpPr>
      </xdr:nvGrpSpPr>
      <xdr:grpSpPr>
        <a:xfrm>
          <a:off x="819150" y="22621875"/>
          <a:ext cx="5067300" cy="419100"/>
          <a:chOff x="0" y="253"/>
          <a:chExt cx="526" cy="44"/>
        </a:xfrm>
        <a:solidFill>
          <a:srgbClr val="FFFFFF"/>
        </a:solidFill>
      </xdr:grpSpPr>
      <xdr:sp>
        <xdr:nvSpPr>
          <xdr:cNvPr id="14" name="Line 22"/>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23"/>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Líea de 
Pc máx</a:t>
            </a:r>
          </a:p>
        </xdr:txBody>
      </xdr:sp>
    </xdr:grpSp>
    <xdr:clientData/>
  </xdr:twoCellAnchor>
  <xdr:twoCellAnchor>
    <xdr:from>
      <xdr:col>1</xdr:col>
      <xdr:colOff>142875</xdr:colOff>
      <xdr:row>168</xdr:row>
      <xdr:rowOff>47625</xdr:rowOff>
    </xdr:from>
    <xdr:to>
      <xdr:col>7</xdr:col>
      <xdr:colOff>590550</xdr:colOff>
      <xdr:row>170</xdr:row>
      <xdr:rowOff>142875</xdr:rowOff>
    </xdr:to>
    <xdr:grpSp>
      <xdr:nvGrpSpPr>
        <xdr:cNvPr id="16" name="Group 24"/>
        <xdr:cNvGrpSpPr>
          <a:grpSpLocks/>
        </xdr:cNvGrpSpPr>
      </xdr:nvGrpSpPr>
      <xdr:grpSpPr>
        <a:xfrm>
          <a:off x="819150" y="27479625"/>
          <a:ext cx="5067300" cy="419100"/>
          <a:chOff x="0" y="253"/>
          <a:chExt cx="526" cy="44"/>
        </a:xfrm>
        <a:solidFill>
          <a:srgbClr val="FFFFFF"/>
        </a:solidFill>
      </xdr:grpSpPr>
      <xdr:sp>
        <xdr:nvSpPr>
          <xdr:cNvPr id="17" name="Line 25"/>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Rectangle 26"/>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198</xdr:row>
      <xdr:rowOff>47625</xdr:rowOff>
    </xdr:from>
    <xdr:to>
      <xdr:col>7</xdr:col>
      <xdr:colOff>590550</xdr:colOff>
      <xdr:row>200</xdr:row>
      <xdr:rowOff>142875</xdr:rowOff>
    </xdr:to>
    <xdr:grpSp>
      <xdr:nvGrpSpPr>
        <xdr:cNvPr id="19" name="Group 27"/>
        <xdr:cNvGrpSpPr>
          <a:grpSpLocks/>
        </xdr:cNvGrpSpPr>
      </xdr:nvGrpSpPr>
      <xdr:grpSpPr>
        <a:xfrm>
          <a:off x="819150" y="32337375"/>
          <a:ext cx="5067300" cy="419100"/>
          <a:chOff x="0" y="253"/>
          <a:chExt cx="526" cy="44"/>
        </a:xfrm>
        <a:solidFill>
          <a:srgbClr val="FFFFFF"/>
        </a:solidFill>
      </xdr:grpSpPr>
      <xdr:sp>
        <xdr:nvSpPr>
          <xdr:cNvPr id="20" name="Line 28"/>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29"/>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228</xdr:row>
      <xdr:rowOff>47625</xdr:rowOff>
    </xdr:from>
    <xdr:to>
      <xdr:col>7</xdr:col>
      <xdr:colOff>590550</xdr:colOff>
      <xdr:row>230</xdr:row>
      <xdr:rowOff>142875</xdr:rowOff>
    </xdr:to>
    <xdr:grpSp>
      <xdr:nvGrpSpPr>
        <xdr:cNvPr id="22" name="Group 30"/>
        <xdr:cNvGrpSpPr>
          <a:grpSpLocks/>
        </xdr:cNvGrpSpPr>
      </xdr:nvGrpSpPr>
      <xdr:grpSpPr>
        <a:xfrm>
          <a:off x="819150" y="37195125"/>
          <a:ext cx="5067300" cy="419100"/>
          <a:chOff x="0" y="253"/>
          <a:chExt cx="526" cy="44"/>
        </a:xfrm>
        <a:solidFill>
          <a:srgbClr val="FFFFFF"/>
        </a:solidFill>
      </xdr:grpSpPr>
      <xdr:sp>
        <xdr:nvSpPr>
          <xdr:cNvPr id="23" name="Line 31"/>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32"/>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258</xdr:row>
      <xdr:rowOff>47625</xdr:rowOff>
    </xdr:from>
    <xdr:to>
      <xdr:col>7</xdr:col>
      <xdr:colOff>590550</xdr:colOff>
      <xdr:row>260</xdr:row>
      <xdr:rowOff>142875</xdr:rowOff>
    </xdr:to>
    <xdr:grpSp>
      <xdr:nvGrpSpPr>
        <xdr:cNvPr id="25" name="Group 33"/>
        <xdr:cNvGrpSpPr>
          <a:grpSpLocks/>
        </xdr:cNvGrpSpPr>
      </xdr:nvGrpSpPr>
      <xdr:grpSpPr>
        <a:xfrm>
          <a:off x="819150" y="42052875"/>
          <a:ext cx="5067300" cy="419100"/>
          <a:chOff x="0" y="253"/>
          <a:chExt cx="526" cy="44"/>
        </a:xfrm>
        <a:solidFill>
          <a:srgbClr val="FFFFFF"/>
        </a:solidFill>
      </xdr:grpSpPr>
      <xdr:sp>
        <xdr:nvSpPr>
          <xdr:cNvPr id="26" name="Line 34"/>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Rectangle 35"/>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288</xdr:row>
      <xdr:rowOff>47625</xdr:rowOff>
    </xdr:from>
    <xdr:to>
      <xdr:col>7</xdr:col>
      <xdr:colOff>590550</xdr:colOff>
      <xdr:row>290</xdr:row>
      <xdr:rowOff>142875</xdr:rowOff>
    </xdr:to>
    <xdr:grpSp>
      <xdr:nvGrpSpPr>
        <xdr:cNvPr id="28" name="Group 36"/>
        <xdr:cNvGrpSpPr>
          <a:grpSpLocks/>
        </xdr:cNvGrpSpPr>
      </xdr:nvGrpSpPr>
      <xdr:grpSpPr>
        <a:xfrm>
          <a:off x="819150" y="46910625"/>
          <a:ext cx="5067300" cy="419100"/>
          <a:chOff x="0" y="253"/>
          <a:chExt cx="526" cy="44"/>
        </a:xfrm>
        <a:solidFill>
          <a:srgbClr val="FFFFFF"/>
        </a:solidFill>
      </xdr:grpSpPr>
      <xdr:sp>
        <xdr:nvSpPr>
          <xdr:cNvPr id="29" name="Line 37"/>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38"/>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318</xdr:row>
      <xdr:rowOff>47625</xdr:rowOff>
    </xdr:from>
    <xdr:to>
      <xdr:col>7</xdr:col>
      <xdr:colOff>590550</xdr:colOff>
      <xdr:row>320</xdr:row>
      <xdr:rowOff>142875</xdr:rowOff>
    </xdr:to>
    <xdr:grpSp>
      <xdr:nvGrpSpPr>
        <xdr:cNvPr id="31" name="Group 39"/>
        <xdr:cNvGrpSpPr>
          <a:grpSpLocks/>
        </xdr:cNvGrpSpPr>
      </xdr:nvGrpSpPr>
      <xdr:grpSpPr>
        <a:xfrm>
          <a:off x="819150" y="51768375"/>
          <a:ext cx="5067300" cy="419100"/>
          <a:chOff x="0" y="253"/>
          <a:chExt cx="526" cy="44"/>
        </a:xfrm>
        <a:solidFill>
          <a:srgbClr val="FFFFFF"/>
        </a:solidFill>
      </xdr:grpSpPr>
      <xdr:sp>
        <xdr:nvSpPr>
          <xdr:cNvPr id="32" name="Line 40"/>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41"/>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348</xdr:row>
      <xdr:rowOff>47625</xdr:rowOff>
    </xdr:from>
    <xdr:to>
      <xdr:col>7</xdr:col>
      <xdr:colOff>590550</xdr:colOff>
      <xdr:row>350</xdr:row>
      <xdr:rowOff>142875</xdr:rowOff>
    </xdr:to>
    <xdr:grpSp>
      <xdr:nvGrpSpPr>
        <xdr:cNvPr id="34" name="Group 42"/>
        <xdr:cNvGrpSpPr>
          <a:grpSpLocks/>
        </xdr:cNvGrpSpPr>
      </xdr:nvGrpSpPr>
      <xdr:grpSpPr>
        <a:xfrm>
          <a:off x="819150" y="56626125"/>
          <a:ext cx="5067300" cy="419100"/>
          <a:chOff x="0" y="253"/>
          <a:chExt cx="526" cy="44"/>
        </a:xfrm>
        <a:solidFill>
          <a:srgbClr val="FFFFFF"/>
        </a:solidFill>
      </xdr:grpSpPr>
      <xdr:sp>
        <xdr:nvSpPr>
          <xdr:cNvPr id="35" name="Line 43"/>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44"/>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378</xdr:row>
      <xdr:rowOff>47625</xdr:rowOff>
    </xdr:from>
    <xdr:to>
      <xdr:col>7</xdr:col>
      <xdr:colOff>590550</xdr:colOff>
      <xdr:row>380</xdr:row>
      <xdr:rowOff>142875</xdr:rowOff>
    </xdr:to>
    <xdr:grpSp>
      <xdr:nvGrpSpPr>
        <xdr:cNvPr id="37" name="Group 45"/>
        <xdr:cNvGrpSpPr>
          <a:grpSpLocks/>
        </xdr:cNvGrpSpPr>
      </xdr:nvGrpSpPr>
      <xdr:grpSpPr>
        <a:xfrm>
          <a:off x="819150" y="61483875"/>
          <a:ext cx="5067300" cy="419100"/>
          <a:chOff x="0" y="253"/>
          <a:chExt cx="526" cy="44"/>
        </a:xfrm>
        <a:solidFill>
          <a:srgbClr val="FFFFFF"/>
        </a:solidFill>
      </xdr:grpSpPr>
      <xdr:sp>
        <xdr:nvSpPr>
          <xdr:cNvPr id="38" name="Line 46"/>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47"/>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19050</xdr:colOff>
      <xdr:row>408</xdr:row>
      <xdr:rowOff>123825</xdr:rowOff>
    </xdr:from>
    <xdr:to>
      <xdr:col>7</xdr:col>
      <xdr:colOff>466725</xdr:colOff>
      <xdr:row>411</xdr:row>
      <xdr:rowOff>47625</xdr:rowOff>
    </xdr:to>
    <xdr:grpSp>
      <xdr:nvGrpSpPr>
        <xdr:cNvPr id="40" name="Group 48"/>
        <xdr:cNvGrpSpPr>
          <a:grpSpLocks/>
        </xdr:cNvGrpSpPr>
      </xdr:nvGrpSpPr>
      <xdr:grpSpPr>
        <a:xfrm>
          <a:off x="695325" y="66417825"/>
          <a:ext cx="5067300" cy="409575"/>
          <a:chOff x="0" y="253"/>
          <a:chExt cx="526" cy="44"/>
        </a:xfrm>
        <a:solidFill>
          <a:srgbClr val="FFFFFF"/>
        </a:solidFill>
      </xdr:grpSpPr>
      <xdr:sp>
        <xdr:nvSpPr>
          <xdr:cNvPr id="41" name="Line 49"/>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50"/>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438</xdr:row>
      <xdr:rowOff>47625</xdr:rowOff>
    </xdr:from>
    <xdr:to>
      <xdr:col>7</xdr:col>
      <xdr:colOff>590550</xdr:colOff>
      <xdr:row>440</xdr:row>
      <xdr:rowOff>142875</xdr:rowOff>
    </xdr:to>
    <xdr:grpSp>
      <xdr:nvGrpSpPr>
        <xdr:cNvPr id="43" name="Group 51"/>
        <xdr:cNvGrpSpPr>
          <a:grpSpLocks/>
        </xdr:cNvGrpSpPr>
      </xdr:nvGrpSpPr>
      <xdr:grpSpPr>
        <a:xfrm>
          <a:off x="819150" y="71199375"/>
          <a:ext cx="5067300" cy="419100"/>
          <a:chOff x="0" y="253"/>
          <a:chExt cx="526" cy="44"/>
        </a:xfrm>
        <a:solidFill>
          <a:srgbClr val="FFFFFF"/>
        </a:solidFill>
      </xdr:grpSpPr>
      <xdr:sp>
        <xdr:nvSpPr>
          <xdr:cNvPr id="44" name="Line 52"/>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53"/>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468</xdr:row>
      <xdr:rowOff>47625</xdr:rowOff>
    </xdr:from>
    <xdr:to>
      <xdr:col>7</xdr:col>
      <xdr:colOff>590550</xdr:colOff>
      <xdr:row>470</xdr:row>
      <xdr:rowOff>142875</xdr:rowOff>
    </xdr:to>
    <xdr:grpSp>
      <xdr:nvGrpSpPr>
        <xdr:cNvPr id="46" name="Group 54"/>
        <xdr:cNvGrpSpPr>
          <a:grpSpLocks/>
        </xdr:cNvGrpSpPr>
      </xdr:nvGrpSpPr>
      <xdr:grpSpPr>
        <a:xfrm>
          <a:off x="819150" y="76057125"/>
          <a:ext cx="5067300" cy="419100"/>
          <a:chOff x="0" y="253"/>
          <a:chExt cx="526" cy="44"/>
        </a:xfrm>
        <a:solidFill>
          <a:srgbClr val="FFFFFF"/>
        </a:solidFill>
      </xdr:grpSpPr>
      <xdr:sp>
        <xdr:nvSpPr>
          <xdr:cNvPr id="47" name="Line 55"/>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56"/>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498</xdr:row>
      <xdr:rowOff>47625</xdr:rowOff>
    </xdr:from>
    <xdr:to>
      <xdr:col>7</xdr:col>
      <xdr:colOff>590550</xdr:colOff>
      <xdr:row>500</xdr:row>
      <xdr:rowOff>142875</xdr:rowOff>
    </xdr:to>
    <xdr:grpSp>
      <xdr:nvGrpSpPr>
        <xdr:cNvPr id="49" name="Group 57"/>
        <xdr:cNvGrpSpPr>
          <a:grpSpLocks/>
        </xdr:cNvGrpSpPr>
      </xdr:nvGrpSpPr>
      <xdr:grpSpPr>
        <a:xfrm>
          <a:off x="819150" y="80914875"/>
          <a:ext cx="5067300" cy="419100"/>
          <a:chOff x="0" y="253"/>
          <a:chExt cx="526" cy="44"/>
        </a:xfrm>
        <a:solidFill>
          <a:srgbClr val="FFFFFF"/>
        </a:solidFill>
      </xdr:grpSpPr>
      <xdr:sp>
        <xdr:nvSpPr>
          <xdr:cNvPr id="50" name="Line 58"/>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59"/>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528</xdr:row>
      <xdr:rowOff>47625</xdr:rowOff>
    </xdr:from>
    <xdr:to>
      <xdr:col>7</xdr:col>
      <xdr:colOff>590550</xdr:colOff>
      <xdr:row>530</xdr:row>
      <xdr:rowOff>142875</xdr:rowOff>
    </xdr:to>
    <xdr:grpSp>
      <xdr:nvGrpSpPr>
        <xdr:cNvPr id="52" name="Group 60"/>
        <xdr:cNvGrpSpPr>
          <a:grpSpLocks/>
        </xdr:cNvGrpSpPr>
      </xdr:nvGrpSpPr>
      <xdr:grpSpPr>
        <a:xfrm>
          <a:off x="819150" y="85772625"/>
          <a:ext cx="5067300" cy="419100"/>
          <a:chOff x="0" y="253"/>
          <a:chExt cx="526" cy="44"/>
        </a:xfrm>
        <a:solidFill>
          <a:srgbClr val="FFFFFF"/>
        </a:solidFill>
      </xdr:grpSpPr>
      <xdr:sp>
        <xdr:nvSpPr>
          <xdr:cNvPr id="53" name="Line 61"/>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62"/>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558</xdr:row>
      <xdr:rowOff>47625</xdr:rowOff>
    </xdr:from>
    <xdr:to>
      <xdr:col>7</xdr:col>
      <xdr:colOff>590550</xdr:colOff>
      <xdr:row>560</xdr:row>
      <xdr:rowOff>142875</xdr:rowOff>
    </xdr:to>
    <xdr:grpSp>
      <xdr:nvGrpSpPr>
        <xdr:cNvPr id="55" name="Group 63"/>
        <xdr:cNvGrpSpPr>
          <a:grpSpLocks/>
        </xdr:cNvGrpSpPr>
      </xdr:nvGrpSpPr>
      <xdr:grpSpPr>
        <a:xfrm>
          <a:off x="819150" y="90630375"/>
          <a:ext cx="5067300" cy="419100"/>
          <a:chOff x="0" y="253"/>
          <a:chExt cx="526" cy="44"/>
        </a:xfrm>
        <a:solidFill>
          <a:srgbClr val="FFFFFF"/>
        </a:solidFill>
      </xdr:grpSpPr>
      <xdr:sp>
        <xdr:nvSpPr>
          <xdr:cNvPr id="56" name="Line 64"/>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Rectangle 65"/>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588</xdr:row>
      <xdr:rowOff>47625</xdr:rowOff>
    </xdr:from>
    <xdr:to>
      <xdr:col>7</xdr:col>
      <xdr:colOff>590550</xdr:colOff>
      <xdr:row>590</xdr:row>
      <xdr:rowOff>142875</xdr:rowOff>
    </xdr:to>
    <xdr:grpSp>
      <xdr:nvGrpSpPr>
        <xdr:cNvPr id="58" name="Group 66"/>
        <xdr:cNvGrpSpPr>
          <a:grpSpLocks/>
        </xdr:cNvGrpSpPr>
      </xdr:nvGrpSpPr>
      <xdr:grpSpPr>
        <a:xfrm>
          <a:off x="819150" y="95488125"/>
          <a:ext cx="5067300" cy="419100"/>
          <a:chOff x="0" y="253"/>
          <a:chExt cx="526" cy="44"/>
        </a:xfrm>
        <a:solidFill>
          <a:srgbClr val="FFFFFF"/>
        </a:solidFill>
      </xdr:grpSpPr>
      <xdr:sp>
        <xdr:nvSpPr>
          <xdr:cNvPr id="59" name="Line 67"/>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8"/>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618</xdr:row>
      <xdr:rowOff>47625</xdr:rowOff>
    </xdr:from>
    <xdr:to>
      <xdr:col>7</xdr:col>
      <xdr:colOff>590550</xdr:colOff>
      <xdr:row>620</xdr:row>
      <xdr:rowOff>142875</xdr:rowOff>
    </xdr:to>
    <xdr:grpSp>
      <xdr:nvGrpSpPr>
        <xdr:cNvPr id="61" name="Group 69"/>
        <xdr:cNvGrpSpPr>
          <a:grpSpLocks/>
        </xdr:cNvGrpSpPr>
      </xdr:nvGrpSpPr>
      <xdr:grpSpPr>
        <a:xfrm>
          <a:off x="819150" y="100345875"/>
          <a:ext cx="5067300" cy="419100"/>
          <a:chOff x="0" y="253"/>
          <a:chExt cx="526" cy="44"/>
        </a:xfrm>
        <a:solidFill>
          <a:srgbClr val="FFFFFF"/>
        </a:solidFill>
      </xdr:grpSpPr>
      <xdr:sp>
        <xdr:nvSpPr>
          <xdr:cNvPr id="62" name="Line 70"/>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Rectangle 71"/>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648</xdr:row>
      <xdr:rowOff>47625</xdr:rowOff>
    </xdr:from>
    <xdr:to>
      <xdr:col>7</xdr:col>
      <xdr:colOff>590550</xdr:colOff>
      <xdr:row>650</xdr:row>
      <xdr:rowOff>142875</xdr:rowOff>
    </xdr:to>
    <xdr:grpSp>
      <xdr:nvGrpSpPr>
        <xdr:cNvPr id="64" name="Group 72"/>
        <xdr:cNvGrpSpPr>
          <a:grpSpLocks/>
        </xdr:cNvGrpSpPr>
      </xdr:nvGrpSpPr>
      <xdr:grpSpPr>
        <a:xfrm>
          <a:off x="819150" y="105203625"/>
          <a:ext cx="5067300" cy="419100"/>
          <a:chOff x="0" y="253"/>
          <a:chExt cx="526" cy="44"/>
        </a:xfrm>
        <a:solidFill>
          <a:srgbClr val="FFFFFF"/>
        </a:solidFill>
      </xdr:grpSpPr>
      <xdr:sp>
        <xdr:nvSpPr>
          <xdr:cNvPr id="65" name="Line 73"/>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74"/>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678</xdr:row>
      <xdr:rowOff>47625</xdr:rowOff>
    </xdr:from>
    <xdr:to>
      <xdr:col>7</xdr:col>
      <xdr:colOff>590550</xdr:colOff>
      <xdr:row>680</xdr:row>
      <xdr:rowOff>142875</xdr:rowOff>
    </xdr:to>
    <xdr:grpSp>
      <xdr:nvGrpSpPr>
        <xdr:cNvPr id="67" name="Group 75"/>
        <xdr:cNvGrpSpPr>
          <a:grpSpLocks/>
        </xdr:cNvGrpSpPr>
      </xdr:nvGrpSpPr>
      <xdr:grpSpPr>
        <a:xfrm>
          <a:off x="819150" y="110061375"/>
          <a:ext cx="5067300" cy="419100"/>
          <a:chOff x="0" y="253"/>
          <a:chExt cx="526" cy="44"/>
        </a:xfrm>
        <a:solidFill>
          <a:srgbClr val="FFFFFF"/>
        </a:solidFill>
      </xdr:grpSpPr>
      <xdr:sp>
        <xdr:nvSpPr>
          <xdr:cNvPr id="68" name="Line 76"/>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77"/>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708</xdr:row>
      <xdr:rowOff>47625</xdr:rowOff>
    </xdr:from>
    <xdr:to>
      <xdr:col>7</xdr:col>
      <xdr:colOff>590550</xdr:colOff>
      <xdr:row>710</xdr:row>
      <xdr:rowOff>142875</xdr:rowOff>
    </xdr:to>
    <xdr:grpSp>
      <xdr:nvGrpSpPr>
        <xdr:cNvPr id="70" name="Group 78"/>
        <xdr:cNvGrpSpPr>
          <a:grpSpLocks/>
        </xdr:cNvGrpSpPr>
      </xdr:nvGrpSpPr>
      <xdr:grpSpPr>
        <a:xfrm>
          <a:off x="819150" y="114919125"/>
          <a:ext cx="5067300" cy="419100"/>
          <a:chOff x="0" y="253"/>
          <a:chExt cx="526" cy="44"/>
        </a:xfrm>
        <a:solidFill>
          <a:srgbClr val="FFFFFF"/>
        </a:solidFill>
      </xdr:grpSpPr>
      <xdr:sp>
        <xdr:nvSpPr>
          <xdr:cNvPr id="71" name="Line 79"/>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Rectangle 80"/>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738</xdr:row>
      <xdr:rowOff>47625</xdr:rowOff>
    </xdr:from>
    <xdr:to>
      <xdr:col>7</xdr:col>
      <xdr:colOff>590550</xdr:colOff>
      <xdr:row>740</xdr:row>
      <xdr:rowOff>142875</xdr:rowOff>
    </xdr:to>
    <xdr:grpSp>
      <xdr:nvGrpSpPr>
        <xdr:cNvPr id="73" name="Group 81"/>
        <xdr:cNvGrpSpPr>
          <a:grpSpLocks/>
        </xdr:cNvGrpSpPr>
      </xdr:nvGrpSpPr>
      <xdr:grpSpPr>
        <a:xfrm>
          <a:off x="819150" y="119776875"/>
          <a:ext cx="5067300" cy="419100"/>
          <a:chOff x="0" y="253"/>
          <a:chExt cx="526" cy="44"/>
        </a:xfrm>
        <a:solidFill>
          <a:srgbClr val="FFFFFF"/>
        </a:solidFill>
      </xdr:grpSpPr>
      <xdr:sp>
        <xdr:nvSpPr>
          <xdr:cNvPr id="74" name="Line 82"/>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Rectangle 83"/>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768</xdr:row>
      <xdr:rowOff>47625</xdr:rowOff>
    </xdr:from>
    <xdr:to>
      <xdr:col>7</xdr:col>
      <xdr:colOff>590550</xdr:colOff>
      <xdr:row>770</xdr:row>
      <xdr:rowOff>142875</xdr:rowOff>
    </xdr:to>
    <xdr:grpSp>
      <xdr:nvGrpSpPr>
        <xdr:cNvPr id="76" name="Group 84"/>
        <xdr:cNvGrpSpPr>
          <a:grpSpLocks/>
        </xdr:cNvGrpSpPr>
      </xdr:nvGrpSpPr>
      <xdr:grpSpPr>
        <a:xfrm>
          <a:off x="819150" y="124634625"/>
          <a:ext cx="5067300" cy="419100"/>
          <a:chOff x="0" y="253"/>
          <a:chExt cx="526" cy="44"/>
        </a:xfrm>
        <a:solidFill>
          <a:srgbClr val="FFFFFF"/>
        </a:solidFill>
      </xdr:grpSpPr>
      <xdr:sp>
        <xdr:nvSpPr>
          <xdr:cNvPr id="77" name="Line 85"/>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Rectangle 86"/>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798</xdr:row>
      <xdr:rowOff>47625</xdr:rowOff>
    </xdr:from>
    <xdr:to>
      <xdr:col>7</xdr:col>
      <xdr:colOff>590550</xdr:colOff>
      <xdr:row>800</xdr:row>
      <xdr:rowOff>142875</xdr:rowOff>
    </xdr:to>
    <xdr:grpSp>
      <xdr:nvGrpSpPr>
        <xdr:cNvPr id="79" name="Group 87"/>
        <xdr:cNvGrpSpPr>
          <a:grpSpLocks/>
        </xdr:cNvGrpSpPr>
      </xdr:nvGrpSpPr>
      <xdr:grpSpPr>
        <a:xfrm>
          <a:off x="819150" y="129492375"/>
          <a:ext cx="5067300" cy="419100"/>
          <a:chOff x="0" y="253"/>
          <a:chExt cx="526" cy="44"/>
        </a:xfrm>
        <a:solidFill>
          <a:srgbClr val="FFFFFF"/>
        </a:solidFill>
      </xdr:grpSpPr>
      <xdr:sp>
        <xdr:nvSpPr>
          <xdr:cNvPr id="80" name="Line 88"/>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Rectangle 89"/>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828</xdr:row>
      <xdr:rowOff>47625</xdr:rowOff>
    </xdr:from>
    <xdr:to>
      <xdr:col>7</xdr:col>
      <xdr:colOff>590550</xdr:colOff>
      <xdr:row>830</xdr:row>
      <xdr:rowOff>142875</xdr:rowOff>
    </xdr:to>
    <xdr:grpSp>
      <xdr:nvGrpSpPr>
        <xdr:cNvPr id="82" name="Group 90"/>
        <xdr:cNvGrpSpPr>
          <a:grpSpLocks/>
        </xdr:cNvGrpSpPr>
      </xdr:nvGrpSpPr>
      <xdr:grpSpPr>
        <a:xfrm>
          <a:off x="819150" y="134350125"/>
          <a:ext cx="5067300" cy="419100"/>
          <a:chOff x="0" y="253"/>
          <a:chExt cx="526" cy="44"/>
        </a:xfrm>
        <a:solidFill>
          <a:srgbClr val="FFFFFF"/>
        </a:solidFill>
      </xdr:grpSpPr>
      <xdr:sp>
        <xdr:nvSpPr>
          <xdr:cNvPr id="83" name="Line 91"/>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Rectangle 92"/>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twoCellAnchor>
    <xdr:from>
      <xdr:col>1</xdr:col>
      <xdr:colOff>142875</xdr:colOff>
      <xdr:row>858</xdr:row>
      <xdr:rowOff>47625</xdr:rowOff>
    </xdr:from>
    <xdr:to>
      <xdr:col>7</xdr:col>
      <xdr:colOff>590550</xdr:colOff>
      <xdr:row>860</xdr:row>
      <xdr:rowOff>142875</xdr:rowOff>
    </xdr:to>
    <xdr:grpSp>
      <xdr:nvGrpSpPr>
        <xdr:cNvPr id="85" name="Group 93"/>
        <xdr:cNvGrpSpPr>
          <a:grpSpLocks/>
        </xdr:cNvGrpSpPr>
      </xdr:nvGrpSpPr>
      <xdr:grpSpPr>
        <a:xfrm>
          <a:off x="819150" y="139207875"/>
          <a:ext cx="5067300" cy="419100"/>
          <a:chOff x="0" y="253"/>
          <a:chExt cx="526" cy="44"/>
        </a:xfrm>
        <a:solidFill>
          <a:srgbClr val="FFFFFF"/>
        </a:solidFill>
      </xdr:grpSpPr>
      <xdr:sp>
        <xdr:nvSpPr>
          <xdr:cNvPr id="86" name="Line 94"/>
          <xdr:cNvSpPr>
            <a:spLocks/>
          </xdr:cNvSpPr>
        </xdr:nvSpPr>
        <xdr:spPr>
          <a:xfrm>
            <a:off x="0" y="274"/>
            <a:ext cx="45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Rectangle 95"/>
          <xdr:cNvSpPr>
            <a:spLocks/>
          </xdr:cNvSpPr>
        </xdr:nvSpPr>
        <xdr:spPr>
          <a:xfrm>
            <a:off x="454" y="253"/>
            <a:ext cx="72" cy="4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Línea de 
Pc máx</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363325" cy="5962650"/>
    <xdr:graphicFrame>
      <xdr:nvGraphicFramePr>
        <xdr:cNvPr id="1" name="Shape 1025"/>
        <xdr:cNvGraphicFramePr/>
      </xdr:nvGraphicFramePr>
      <xdr:xfrm>
        <a:off x="0" y="0"/>
        <a:ext cx="11363325" cy="5962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oleObject" Target="../embeddings/oleObject_1_9.bin" /><Relationship Id="rId11" Type="http://schemas.openxmlformats.org/officeDocument/2006/relationships/oleObject" Target="../embeddings/oleObject_1_10.bin" /><Relationship Id="rId12" Type="http://schemas.openxmlformats.org/officeDocument/2006/relationships/oleObject" Target="../embeddings/oleObject_1_11.bin" /><Relationship Id="rId13" Type="http://schemas.openxmlformats.org/officeDocument/2006/relationships/oleObject" Target="../embeddings/oleObject_1_12.bin" /><Relationship Id="rId14" Type="http://schemas.openxmlformats.org/officeDocument/2006/relationships/oleObject" Target="../embeddings/oleObject_1_13.bin" /><Relationship Id="rId15" Type="http://schemas.openxmlformats.org/officeDocument/2006/relationships/oleObject" Target="../embeddings/oleObject_1_14.bin" /><Relationship Id="rId16" Type="http://schemas.openxmlformats.org/officeDocument/2006/relationships/oleObject" Target="../embeddings/oleObject_1_15.bin" /><Relationship Id="rId17" Type="http://schemas.openxmlformats.org/officeDocument/2006/relationships/oleObject" Target="../embeddings/oleObject_1_16.bin" /><Relationship Id="rId18" Type="http://schemas.openxmlformats.org/officeDocument/2006/relationships/oleObject" Target="../embeddings/oleObject_1_17.bin" /><Relationship Id="rId19" Type="http://schemas.openxmlformats.org/officeDocument/2006/relationships/oleObject" Target="../embeddings/oleObject_1_18.bin" /><Relationship Id="rId20" Type="http://schemas.openxmlformats.org/officeDocument/2006/relationships/vmlDrawing" Target="../drawings/vmlDrawing1.vml" /><Relationship Id="rId21" Type="http://schemas.openxmlformats.org/officeDocument/2006/relationships/drawing" Target="../drawings/drawing1.xml" /><Relationship Id="rId2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Hoja11"/>
  <dimension ref="A1:AC28"/>
  <sheetViews>
    <sheetView showGridLines="0" workbookViewId="0" topLeftCell="A1">
      <pane xSplit="1" ySplit="3" topLeftCell="R4" activePane="bottomRight" state="frozen"/>
      <selection pane="topLeft" activeCell="A1" sqref="A1"/>
      <selection pane="topRight" activeCell="B1" sqref="B1"/>
      <selection pane="bottomLeft" activeCell="A4" sqref="A4"/>
      <selection pane="bottomRight" activeCell="Z14" sqref="Z14"/>
    </sheetView>
  </sheetViews>
  <sheetFormatPr defaultColWidth="11.421875" defaultRowHeight="12.75"/>
  <cols>
    <col min="1" max="1" width="5.57421875" style="91" bestFit="1" customWidth="1"/>
    <col min="2" max="2" width="7.421875" style="91" bestFit="1" customWidth="1"/>
    <col min="3" max="3" width="7.57421875" style="91" bestFit="1" customWidth="1"/>
    <col min="4" max="4" width="7.57421875" style="91" customWidth="1"/>
    <col min="5" max="5" width="6.57421875" style="91" bestFit="1" customWidth="1"/>
    <col min="6" max="7" width="8.57421875" style="91" bestFit="1" customWidth="1"/>
    <col min="8" max="8" width="5.00390625" style="91" customWidth="1"/>
    <col min="9" max="9" width="11.421875" style="91" bestFit="1" customWidth="1"/>
    <col min="10" max="10" width="11.57421875" style="91" bestFit="1" customWidth="1"/>
    <col min="11" max="11" width="8.140625" style="91" bestFit="1" customWidth="1"/>
    <col min="12" max="12" width="11.00390625" style="91" customWidth="1"/>
    <col min="13" max="13" width="7.28125" style="91" bestFit="1" customWidth="1"/>
    <col min="14" max="14" width="13.421875" style="91" bestFit="1" customWidth="1"/>
    <col min="15" max="15" width="11.8515625" style="91" bestFit="1" customWidth="1"/>
    <col min="16" max="16" width="13.57421875" style="91" bestFit="1" customWidth="1"/>
    <col min="17" max="17" width="10.421875" style="91" bestFit="1" customWidth="1"/>
    <col min="18" max="18" width="11.8515625" style="91" bestFit="1" customWidth="1"/>
    <col min="19" max="19" width="11.28125" style="91" bestFit="1" customWidth="1"/>
    <col min="20" max="20" width="11.28125" style="91" customWidth="1"/>
    <col min="21" max="21" width="12.28125" style="91" customWidth="1"/>
    <col min="22" max="22" width="12.00390625" style="92" bestFit="1" customWidth="1"/>
    <col min="23" max="23" width="12.8515625" style="92" bestFit="1" customWidth="1"/>
    <col min="24" max="24" width="7.8515625" style="91" bestFit="1" customWidth="1"/>
    <col min="25" max="25" width="8.28125" style="92" bestFit="1" customWidth="1"/>
    <col min="26" max="26" width="8.8515625" style="91" customWidth="1"/>
    <col min="27" max="27" width="15.28125" style="91" bestFit="1" customWidth="1"/>
    <col min="28" max="28" width="11.28125" style="106" bestFit="1" customWidth="1"/>
    <col min="29" max="29" width="17.57421875" style="91" bestFit="1" customWidth="1"/>
    <col min="30" max="16384" width="11.421875" style="91" customWidth="1"/>
  </cols>
  <sheetData>
    <row r="1" spans="1:2" ht="12.75">
      <c r="A1" s="91" t="s">
        <v>216</v>
      </c>
      <c r="B1" s="91">
        <v>0.75</v>
      </c>
    </row>
    <row r="2" ht="13.5" thickBot="1"/>
    <row r="3" spans="1:29" s="109" customFormat="1" ht="30" customHeight="1" thickBot="1">
      <c r="A3" s="107" t="s">
        <v>217</v>
      </c>
      <c r="B3" s="107" t="s">
        <v>247</v>
      </c>
      <c r="C3" s="107" t="s">
        <v>248</v>
      </c>
      <c r="D3" s="107" t="s">
        <v>290</v>
      </c>
      <c r="E3" s="107" t="s">
        <v>246</v>
      </c>
      <c r="F3" s="107" t="s">
        <v>249</v>
      </c>
      <c r="G3" s="107" t="s">
        <v>251</v>
      </c>
      <c r="H3" s="107" t="s">
        <v>250</v>
      </c>
      <c r="I3" s="107" t="s">
        <v>252</v>
      </c>
      <c r="J3" s="107" t="s">
        <v>253</v>
      </c>
      <c r="K3" s="107" t="s">
        <v>254</v>
      </c>
      <c r="L3" s="107" t="s">
        <v>255</v>
      </c>
      <c r="M3" s="107" t="s">
        <v>256</v>
      </c>
      <c r="N3" s="107" t="s">
        <v>257</v>
      </c>
      <c r="O3" s="107" t="s">
        <v>258</v>
      </c>
      <c r="P3" s="107" t="s">
        <v>259</v>
      </c>
      <c r="Q3" s="107" t="s">
        <v>261</v>
      </c>
      <c r="R3" s="158" t="s">
        <v>228</v>
      </c>
      <c r="S3" s="158" t="s">
        <v>218</v>
      </c>
      <c r="T3" s="158" t="s">
        <v>266</v>
      </c>
      <c r="U3" s="158" t="s">
        <v>268</v>
      </c>
      <c r="V3" s="159" t="s">
        <v>260</v>
      </c>
      <c r="W3" s="159" t="s">
        <v>219</v>
      </c>
      <c r="X3" s="158" t="s">
        <v>270</v>
      </c>
      <c r="Y3" s="159" t="s">
        <v>271</v>
      </c>
      <c r="Z3" s="239" t="s">
        <v>272</v>
      </c>
      <c r="AA3" s="158" t="s">
        <v>273</v>
      </c>
      <c r="AB3" s="158" t="s">
        <v>274</v>
      </c>
      <c r="AC3" s="108" t="s">
        <v>229</v>
      </c>
    </row>
    <row r="4" spans="1:29" s="116" customFormat="1" ht="15.75" customHeight="1">
      <c r="A4" s="110" t="s">
        <v>63</v>
      </c>
      <c r="B4" s="111">
        <v>35</v>
      </c>
      <c r="C4" s="111">
        <v>25</v>
      </c>
      <c r="D4" s="174">
        <f>+B4*(100-C4)/100</f>
        <v>26.25</v>
      </c>
      <c r="E4" s="115">
        <f aca="true" t="shared" si="0" ref="E4:E28">C4/100*B4</f>
        <v>8.75</v>
      </c>
      <c r="F4" s="111">
        <v>60</v>
      </c>
      <c r="G4" s="111">
        <v>1</v>
      </c>
      <c r="H4" s="111">
        <v>28</v>
      </c>
      <c r="I4" s="111">
        <v>30</v>
      </c>
      <c r="J4" s="111">
        <v>40</v>
      </c>
      <c r="K4" s="111">
        <v>86</v>
      </c>
      <c r="L4" s="111">
        <v>4</v>
      </c>
      <c r="M4" s="111">
        <v>1900</v>
      </c>
      <c r="N4" s="111">
        <v>1830</v>
      </c>
      <c r="O4" s="111">
        <v>1835</v>
      </c>
      <c r="P4" s="111">
        <f aca="true" t="shared" si="1" ref="P4:P28">(N4+O4)/2</f>
        <v>1832.5</v>
      </c>
      <c r="Q4" s="129">
        <v>5.5</v>
      </c>
      <c r="R4" s="113">
        <f aca="true" t="shared" si="2" ref="R4:R12">(20+0.03*P4)*180/100+32</f>
        <v>166.95499999999998</v>
      </c>
      <c r="S4" s="114">
        <f aca="true" t="shared" si="3" ref="S4:S28">141.5/(H4+131.5)</f>
        <v>0.8871473354231975</v>
      </c>
      <c r="T4" s="114">
        <f>1+J4/1000</f>
        <v>1.04</v>
      </c>
      <c r="U4" s="114">
        <f aca="true" t="shared" si="4" ref="U4:U28">+S4*(1-C4/100)+T4*C4/100</f>
        <v>0.9253605015673981</v>
      </c>
      <c r="V4" s="115">
        <f aca="true" t="shared" si="5" ref="V4:V28">P4-F4*10/U4</f>
        <v>1184.1040516277653</v>
      </c>
      <c r="W4" s="115">
        <f aca="true" t="shared" si="6" ref="W4:W28">P4-G4*10/U4</f>
        <v>1821.6934008604628</v>
      </c>
      <c r="X4" s="112">
        <f>K4/(1-C4/100)</f>
        <v>114.66666666666667</v>
      </c>
      <c r="Y4" s="130">
        <f aca="true" t="shared" si="7" ref="Y4:Y28">POWER(X4/($B$1*0.1342),0.83)/(POWER(10,0.0125*H4)/POWER(10,0.00091*R4))</f>
        <v>218.23604331609624</v>
      </c>
      <c r="Z4" s="134">
        <f>0.1342*$B$1*(Y4*10^(0.0125*H4)/10^(0.00091*R4))^1.2048</f>
        <v>114.65375476109703</v>
      </c>
      <c r="AA4" s="183">
        <f aca="true" t="shared" si="8" ref="AA4:AA28">B4/(F4-G4)</f>
        <v>0.5932203389830508</v>
      </c>
      <c r="AB4" s="134">
        <f>B4/(1-0.2*G4/F4-0.8*(G4/F4)^2)</f>
        <v>35.12488849241748</v>
      </c>
      <c r="AC4" s="131" t="s">
        <v>265</v>
      </c>
    </row>
    <row r="5" spans="1:29" ht="15.75" customHeight="1">
      <c r="A5" s="110" t="s">
        <v>220</v>
      </c>
      <c r="B5" s="111">
        <v>40</v>
      </c>
      <c r="C5" s="111">
        <v>28</v>
      </c>
      <c r="D5" s="111">
        <f aca="true" t="shared" si="9" ref="D5:D28">+B5*(100-C5)/100</f>
        <v>28.8</v>
      </c>
      <c r="E5" s="115">
        <f t="shared" si="0"/>
        <v>11.200000000000001</v>
      </c>
      <c r="F5" s="111">
        <v>60</v>
      </c>
      <c r="G5" s="111">
        <v>1</v>
      </c>
      <c r="H5" s="111">
        <v>28</v>
      </c>
      <c r="I5" s="111">
        <v>30</v>
      </c>
      <c r="J5" s="111">
        <v>40</v>
      </c>
      <c r="K5" s="111">
        <v>88</v>
      </c>
      <c r="L5" s="111">
        <v>4</v>
      </c>
      <c r="M5" s="111">
        <v>1880</v>
      </c>
      <c r="N5" s="111">
        <v>1835</v>
      </c>
      <c r="O5" s="111">
        <v>1840</v>
      </c>
      <c r="P5" s="111">
        <f t="shared" si="1"/>
        <v>1837.5</v>
      </c>
      <c r="Q5" s="129">
        <v>5.5</v>
      </c>
      <c r="R5" s="113">
        <f t="shared" si="2"/>
        <v>167.225</v>
      </c>
      <c r="S5" s="114">
        <f t="shared" si="3"/>
        <v>0.8871473354231975</v>
      </c>
      <c r="T5" s="114">
        <f aca="true" t="shared" si="10" ref="T5:T28">1+J5/1000</f>
        <v>1.04</v>
      </c>
      <c r="U5" s="114">
        <f t="shared" si="4"/>
        <v>0.9299460815047021</v>
      </c>
      <c r="V5" s="115">
        <f t="shared" si="5"/>
        <v>1192.3013030721436</v>
      </c>
      <c r="W5" s="115">
        <f t="shared" si="6"/>
        <v>1826.7466883845357</v>
      </c>
      <c r="X5" s="112">
        <f aca="true" t="shared" si="11" ref="X5:X28">K5/(1-C5/100)</f>
        <v>122.22222222222223</v>
      </c>
      <c r="Y5" s="130">
        <f t="shared" si="7"/>
        <v>230.236385748657</v>
      </c>
      <c r="Z5" s="115">
        <f aca="true" t="shared" si="12" ref="Z5:Z28">0.1342*$B$1*(Y5*10^(0.0125*H5)/10^(0.00091*R5))^1.2048</f>
        <v>122.20833475933395</v>
      </c>
      <c r="AA5" s="183">
        <f t="shared" si="8"/>
        <v>0.6779661016949152</v>
      </c>
      <c r="AB5" s="115">
        <f aca="true" t="shared" si="13" ref="AB5:AB28">B5/(1-0.2*G5/F5-0.8*(G5/F5)^2)</f>
        <v>40.142729705619985</v>
      </c>
      <c r="AC5" s="131" t="s">
        <v>265</v>
      </c>
    </row>
    <row r="6" spans="1:29" ht="15.75" customHeight="1">
      <c r="A6" s="110" t="s">
        <v>221</v>
      </c>
      <c r="B6" s="111">
        <v>32</v>
      </c>
      <c r="C6" s="111">
        <v>21</v>
      </c>
      <c r="D6" s="111">
        <f t="shared" si="9"/>
        <v>25.28</v>
      </c>
      <c r="E6" s="115">
        <f t="shared" si="0"/>
        <v>6.72</v>
      </c>
      <c r="F6" s="111">
        <v>60</v>
      </c>
      <c r="G6" s="111">
        <v>1</v>
      </c>
      <c r="H6" s="111">
        <v>28</v>
      </c>
      <c r="I6" s="111">
        <v>30</v>
      </c>
      <c r="J6" s="111">
        <v>40</v>
      </c>
      <c r="K6" s="111">
        <v>49</v>
      </c>
      <c r="L6" s="111">
        <v>4</v>
      </c>
      <c r="M6" s="111">
        <v>1875</v>
      </c>
      <c r="N6" s="111">
        <v>1833</v>
      </c>
      <c r="O6" s="111">
        <v>1838</v>
      </c>
      <c r="P6" s="111">
        <f t="shared" si="1"/>
        <v>1835.5</v>
      </c>
      <c r="Q6" s="129">
        <v>5.5</v>
      </c>
      <c r="R6" s="113">
        <f t="shared" si="2"/>
        <v>167.117</v>
      </c>
      <c r="S6" s="114">
        <f t="shared" si="3"/>
        <v>0.8871473354231975</v>
      </c>
      <c r="T6" s="114">
        <f t="shared" si="10"/>
        <v>1.04</v>
      </c>
      <c r="U6" s="114">
        <f t="shared" si="4"/>
        <v>0.919246394984326</v>
      </c>
      <c r="V6" s="115">
        <f t="shared" si="5"/>
        <v>1182.7914299432955</v>
      </c>
      <c r="W6" s="115">
        <f t="shared" si="6"/>
        <v>1824.6215238323882</v>
      </c>
      <c r="X6" s="112">
        <f t="shared" si="11"/>
        <v>62.0253164556962</v>
      </c>
      <c r="Y6" s="130">
        <f t="shared" si="7"/>
        <v>131.09112602045374</v>
      </c>
      <c r="Z6" s="115">
        <f t="shared" si="12"/>
        <v>62.018941921731155</v>
      </c>
      <c r="AA6" s="183">
        <f t="shared" si="8"/>
        <v>0.5423728813559322</v>
      </c>
      <c r="AB6" s="115">
        <f t="shared" si="13"/>
        <v>32.114183764495984</v>
      </c>
      <c r="AC6" s="131" t="s">
        <v>265</v>
      </c>
    </row>
    <row r="7" spans="1:29" ht="15.75" customHeight="1">
      <c r="A7" s="110" t="s">
        <v>222</v>
      </c>
      <c r="B7" s="111">
        <v>36</v>
      </c>
      <c r="C7" s="111">
        <v>26</v>
      </c>
      <c r="D7" s="111">
        <f t="shared" si="9"/>
        <v>26.64</v>
      </c>
      <c r="E7" s="115">
        <f t="shared" si="0"/>
        <v>9.36</v>
      </c>
      <c r="F7" s="111">
        <v>60</v>
      </c>
      <c r="G7" s="111">
        <v>1</v>
      </c>
      <c r="H7" s="111">
        <v>28</v>
      </c>
      <c r="I7" s="111">
        <v>30</v>
      </c>
      <c r="J7" s="111">
        <v>40</v>
      </c>
      <c r="K7" s="111">
        <v>56</v>
      </c>
      <c r="L7" s="111">
        <v>4</v>
      </c>
      <c r="M7" s="111">
        <v>1860</v>
      </c>
      <c r="N7" s="111">
        <v>1838</v>
      </c>
      <c r="O7" s="111">
        <v>1843</v>
      </c>
      <c r="P7" s="111">
        <f t="shared" si="1"/>
        <v>1840.5</v>
      </c>
      <c r="Q7" s="129">
        <v>5.5</v>
      </c>
      <c r="R7" s="113">
        <f t="shared" si="2"/>
        <v>167.387</v>
      </c>
      <c r="S7" s="114">
        <f t="shared" si="3"/>
        <v>0.8871473354231975</v>
      </c>
      <c r="T7" s="114">
        <f t="shared" si="10"/>
        <v>1.04</v>
      </c>
      <c r="U7" s="114">
        <f t="shared" si="4"/>
        <v>0.9268890282131661</v>
      </c>
      <c r="V7" s="115">
        <f t="shared" si="5"/>
        <v>1193.1733171535484</v>
      </c>
      <c r="W7" s="115">
        <f t="shared" si="6"/>
        <v>1829.711221952559</v>
      </c>
      <c r="X7" s="112">
        <f t="shared" si="11"/>
        <v>75.67567567567568</v>
      </c>
      <c r="Y7" s="130">
        <f t="shared" si="7"/>
        <v>154.7107417341813</v>
      </c>
      <c r="Z7" s="115">
        <f t="shared" si="12"/>
        <v>75.6676574297267</v>
      </c>
      <c r="AA7" s="183">
        <f t="shared" si="8"/>
        <v>0.6101694915254238</v>
      </c>
      <c r="AB7" s="115">
        <f t="shared" si="13"/>
        <v>36.12845673505798</v>
      </c>
      <c r="AC7" s="131" t="s">
        <v>265</v>
      </c>
    </row>
    <row r="8" spans="1:29" ht="15.75" customHeight="1">
      <c r="A8" s="110" t="s">
        <v>223</v>
      </c>
      <c r="B8" s="111">
        <v>38</v>
      </c>
      <c r="C8" s="111">
        <v>30</v>
      </c>
      <c r="D8" s="111">
        <f t="shared" si="9"/>
        <v>26.6</v>
      </c>
      <c r="E8" s="115">
        <f t="shared" si="0"/>
        <v>11.4</v>
      </c>
      <c r="F8" s="111">
        <v>60</v>
      </c>
      <c r="G8" s="111">
        <v>1</v>
      </c>
      <c r="H8" s="111">
        <v>28</v>
      </c>
      <c r="I8" s="111">
        <v>30</v>
      </c>
      <c r="J8" s="111">
        <v>40</v>
      </c>
      <c r="K8" s="111">
        <v>69</v>
      </c>
      <c r="L8" s="111">
        <v>4</v>
      </c>
      <c r="M8" s="111">
        <v>1890</v>
      </c>
      <c r="N8" s="111">
        <v>1840</v>
      </c>
      <c r="O8" s="111">
        <v>1844</v>
      </c>
      <c r="P8" s="111">
        <f t="shared" si="1"/>
        <v>1842</v>
      </c>
      <c r="Q8" s="129">
        <v>5.5</v>
      </c>
      <c r="R8" s="113">
        <f t="shared" si="2"/>
        <v>167.468</v>
      </c>
      <c r="S8" s="114">
        <f t="shared" si="3"/>
        <v>0.8871473354231975</v>
      </c>
      <c r="T8" s="114">
        <f t="shared" si="10"/>
        <v>1.04</v>
      </c>
      <c r="U8" s="114">
        <f t="shared" si="4"/>
        <v>0.9330031347962382</v>
      </c>
      <c r="V8" s="115">
        <f t="shared" si="5"/>
        <v>1198.9153439864529</v>
      </c>
      <c r="W8" s="115">
        <f t="shared" si="6"/>
        <v>1831.2819223997742</v>
      </c>
      <c r="X8" s="112">
        <f t="shared" si="11"/>
        <v>98.57142857142858</v>
      </c>
      <c r="Y8" s="130">
        <f t="shared" si="7"/>
        <v>192.69649504285186</v>
      </c>
      <c r="Z8" s="115">
        <f t="shared" si="12"/>
        <v>98.56056756428038</v>
      </c>
      <c r="AA8" s="183">
        <f t="shared" si="8"/>
        <v>0.6440677966101694</v>
      </c>
      <c r="AB8" s="115">
        <f t="shared" si="13"/>
        <v>38.13559322033898</v>
      </c>
      <c r="AC8" s="131" t="s">
        <v>265</v>
      </c>
    </row>
    <row r="9" spans="1:29" s="116" customFormat="1" ht="15.75" customHeight="1">
      <c r="A9" s="110" t="s">
        <v>224</v>
      </c>
      <c r="B9" s="111">
        <v>34</v>
      </c>
      <c r="C9" s="111">
        <v>32</v>
      </c>
      <c r="D9" s="111">
        <f t="shared" si="9"/>
        <v>23.12</v>
      </c>
      <c r="E9" s="115">
        <f t="shared" si="0"/>
        <v>10.88</v>
      </c>
      <c r="F9" s="111">
        <v>60</v>
      </c>
      <c r="G9" s="111">
        <v>1</v>
      </c>
      <c r="H9" s="111">
        <v>28</v>
      </c>
      <c r="I9" s="111">
        <v>30</v>
      </c>
      <c r="J9" s="111">
        <v>40</v>
      </c>
      <c r="K9" s="111">
        <v>77</v>
      </c>
      <c r="L9" s="111">
        <v>4</v>
      </c>
      <c r="M9" s="111">
        <v>1893</v>
      </c>
      <c r="N9" s="111">
        <v>1838</v>
      </c>
      <c r="O9" s="111">
        <v>1842.5</v>
      </c>
      <c r="P9" s="111">
        <f t="shared" si="1"/>
        <v>1840.25</v>
      </c>
      <c r="Q9" s="129">
        <v>5.5</v>
      </c>
      <c r="R9" s="113">
        <f t="shared" si="2"/>
        <v>167.37349999999998</v>
      </c>
      <c r="S9" s="114">
        <f t="shared" si="3"/>
        <v>0.8871473354231975</v>
      </c>
      <c r="T9" s="114">
        <f t="shared" si="10"/>
        <v>1.04</v>
      </c>
      <c r="U9" s="114">
        <f t="shared" si="4"/>
        <v>0.9360601880877742</v>
      </c>
      <c r="V9" s="115">
        <f t="shared" si="5"/>
        <v>1199.265576524297</v>
      </c>
      <c r="W9" s="115">
        <f t="shared" si="6"/>
        <v>1829.566926275405</v>
      </c>
      <c r="X9" s="112">
        <f t="shared" si="11"/>
        <v>113.23529411764707</v>
      </c>
      <c r="Y9" s="130">
        <f t="shared" si="7"/>
        <v>216.16200132517554</v>
      </c>
      <c r="Z9" s="115">
        <f t="shared" si="12"/>
        <v>113.22256614596556</v>
      </c>
      <c r="AA9" s="183">
        <f t="shared" si="8"/>
        <v>0.576271186440678</v>
      </c>
      <c r="AB9" s="115">
        <f t="shared" si="13"/>
        <v>34.121320249776986</v>
      </c>
      <c r="AC9" s="131" t="s">
        <v>265</v>
      </c>
    </row>
    <row r="10" spans="1:29" s="116" customFormat="1" ht="15.75" customHeight="1">
      <c r="A10" s="110" t="s">
        <v>225</v>
      </c>
      <c r="B10" s="111">
        <v>3</v>
      </c>
      <c r="C10" s="111">
        <v>15</v>
      </c>
      <c r="D10" s="111">
        <f t="shared" si="9"/>
        <v>2.55</v>
      </c>
      <c r="E10" s="115">
        <f t="shared" si="0"/>
        <v>0.44999999999999996</v>
      </c>
      <c r="F10" s="111">
        <v>60</v>
      </c>
      <c r="G10" s="111">
        <v>1</v>
      </c>
      <c r="H10" s="111">
        <v>28</v>
      </c>
      <c r="I10" s="111">
        <v>30</v>
      </c>
      <c r="J10" s="111">
        <v>40</v>
      </c>
      <c r="K10" s="111">
        <v>87</v>
      </c>
      <c r="L10" s="111">
        <v>4</v>
      </c>
      <c r="M10" s="111">
        <v>1935</v>
      </c>
      <c r="N10" s="111">
        <v>1890</v>
      </c>
      <c r="O10" s="111">
        <v>1893</v>
      </c>
      <c r="P10" s="111">
        <f t="shared" si="1"/>
        <v>1891.5</v>
      </c>
      <c r="Q10" s="129">
        <v>5.5</v>
      </c>
      <c r="R10" s="113">
        <f t="shared" si="2"/>
        <v>170.141</v>
      </c>
      <c r="S10" s="114">
        <f t="shared" si="3"/>
        <v>0.8871473354231975</v>
      </c>
      <c r="T10" s="114">
        <f t="shared" si="10"/>
        <v>1.04</v>
      </c>
      <c r="U10" s="114">
        <f t="shared" si="4"/>
        <v>0.9100752351097179</v>
      </c>
      <c r="V10" s="115">
        <f t="shared" si="5"/>
        <v>1232.213847764834</v>
      </c>
      <c r="W10" s="115">
        <f t="shared" si="6"/>
        <v>1880.5118974627471</v>
      </c>
      <c r="X10" s="112">
        <f t="shared" si="11"/>
        <v>102.3529411764706</v>
      </c>
      <c r="Y10" s="130">
        <f t="shared" si="7"/>
        <v>199.92916150297964</v>
      </c>
      <c r="Z10" s="115">
        <f t="shared" si="12"/>
        <v>102.34160186324989</v>
      </c>
      <c r="AA10" s="183">
        <f t="shared" si="8"/>
        <v>0.05084745762711865</v>
      </c>
      <c r="AB10" s="115">
        <f t="shared" si="13"/>
        <v>3.0107047279214987</v>
      </c>
      <c r="AC10" s="131" t="s">
        <v>264</v>
      </c>
    </row>
    <row r="11" spans="1:29" ht="15.75" customHeight="1">
      <c r="A11" s="110" t="s">
        <v>226</v>
      </c>
      <c r="B11" s="111">
        <v>42</v>
      </c>
      <c r="C11" s="111">
        <v>6</v>
      </c>
      <c r="D11" s="111">
        <f t="shared" si="9"/>
        <v>39.48</v>
      </c>
      <c r="E11" s="115">
        <f t="shared" si="0"/>
        <v>2.52</v>
      </c>
      <c r="F11" s="111">
        <v>60</v>
      </c>
      <c r="G11" s="111">
        <v>1</v>
      </c>
      <c r="H11" s="111">
        <v>28</v>
      </c>
      <c r="I11" s="111">
        <v>30</v>
      </c>
      <c r="J11" s="111">
        <v>40</v>
      </c>
      <c r="K11" s="111">
        <v>66</v>
      </c>
      <c r="L11" s="111">
        <v>4</v>
      </c>
      <c r="M11" s="111">
        <v>1889</v>
      </c>
      <c r="N11" s="111">
        <v>1839</v>
      </c>
      <c r="O11" s="111">
        <v>1843</v>
      </c>
      <c r="P11" s="111">
        <f t="shared" si="1"/>
        <v>1841</v>
      </c>
      <c r="Q11" s="129">
        <v>5.5</v>
      </c>
      <c r="R11" s="113">
        <f t="shared" si="2"/>
        <v>167.414</v>
      </c>
      <c r="S11" s="114">
        <f t="shared" si="3"/>
        <v>0.8871473354231975</v>
      </c>
      <c r="T11" s="114">
        <f t="shared" si="10"/>
        <v>1.04</v>
      </c>
      <c r="U11" s="114">
        <f t="shared" si="4"/>
        <v>0.8963184952978056</v>
      </c>
      <c r="V11" s="115">
        <f t="shared" si="5"/>
        <v>1171.5950918700528</v>
      </c>
      <c r="W11" s="115">
        <f t="shared" si="6"/>
        <v>1829.8432515311677</v>
      </c>
      <c r="X11" s="112">
        <f t="shared" si="11"/>
        <v>70.2127659574468</v>
      </c>
      <c r="Y11" s="130">
        <f t="shared" si="7"/>
        <v>145.3907079479267</v>
      </c>
      <c r="Z11" s="115">
        <f t="shared" si="12"/>
        <v>70.20541070027897</v>
      </c>
      <c r="AA11" s="183">
        <f t="shared" si="8"/>
        <v>0.711864406779661</v>
      </c>
      <c r="AB11" s="115">
        <f t="shared" si="13"/>
        <v>42.14986619090098</v>
      </c>
      <c r="AC11" s="131" t="s">
        <v>265</v>
      </c>
    </row>
    <row r="12" spans="1:29" s="93" customFormat="1" ht="15.75" customHeight="1">
      <c r="A12" s="110" t="s">
        <v>227</v>
      </c>
      <c r="B12" s="111">
        <v>115</v>
      </c>
      <c r="C12" s="111">
        <v>9</v>
      </c>
      <c r="D12" s="111">
        <f t="shared" si="9"/>
        <v>104.65</v>
      </c>
      <c r="E12" s="115">
        <f t="shared" si="0"/>
        <v>10.35</v>
      </c>
      <c r="F12" s="111">
        <v>60</v>
      </c>
      <c r="G12" s="111">
        <v>1</v>
      </c>
      <c r="H12" s="111">
        <v>28</v>
      </c>
      <c r="I12" s="111">
        <v>30</v>
      </c>
      <c r="J12" s="111">
        <v>40</v>
      </c>
      <c r="K12" s="111">
        <v>59</v>
      </c>
      <c r="L12" s="111">
        <v>4</v>
      </c>
      <c r="M12" s="111">
        <v>1891</v>
      </c>
      <c r="N12" s="111">
        <v>1841</v>
      </c>
      <c r="O12" s="111">
        <v>1845.5</v>
      </c>
      <c r="P12" s="111">
        <f t="shared" si="1"/>
        <v>1843.25</v>
      </c>
      <c r="Q12" s="129">
        <v>5.5</v>
      </c>
      <c r="R12" s="113">
        <f t="shared" si="2"/>
        <v>167.53549999999998</v>
      </c>
      <c r="S12" s="114">
        <f t="shared" si="3"/>
        <v>0.8871473354231975</v>
      </c>
      <c r="T12" s="114">
        <f t="shared" si="10"/>
        <v>1.04</v>
      </c>
      <c r="U12" s="114">
        <f t="shared" si="4"/>
        <v>0.9009040752351097</v>
      </c>
      <c r="V12" s="115">
        <f t="shared" si="5"/>
        <v>1177.2523466500388</v>
      </c>
      <c r="W12" s="115">
        <f t="shared" si="6"/>
        <v>1832.150039110834</v>
      </c>
      <c r="X12" s="112">
        <f t="shared" si="11"/>
        <v>64.83516483516483</v>
      </c>
      <c r="Y12" s="130">
        <f t="shared" si="7"/>
        <v>136.12085937690327</v>
      </c>
      <c r="Z12" s="115">
        <f t="shared" si="12"/>
        <v>64.82845556825329</v>
      </c>
      <c r="AA12" s="183">
        <f t="shared" si="8"/>
        <v>1.9491525423728813</v>
      </c>
      <c r="AB12" s="115">
        <f t="shared" si="13"/>
        <v>115.41034790365745</v>
      </c>
      <c r="AC12" s="131" t="s">
        <v>265</v>
      </c>
    </row>
    <row r="13" spans="1:29" s="116" customFormat="1" ht="15.75" customHeight="1">
      <c r="A13" s="110" t="s">
        <v>230</v>
      </c>
      <c r="B13" s="111">
        <v>39</v>
      </c>
      <c r="C13" s="111">
        <v>16</v>
      </c>
      <c r="D13" s="111">
        <f t="shared" si="9"/>
        <v>32.76</v>
      </c>
      <c r="E13" s="115">
        <f t="shared" si="0"/>
        <v>6.24</v>
      </c>
      <c r="F13" s="111">
        <v>60</v>
      </c>
      <c r="G13" s="111">
        <v>1</v>
      </c>
      <c r="H13" s="111">
        <v>28</v>
      </c>
      <c r="I13" s="111">
        <v>30</v>
      </c>
      <c r="J13" s="111">
        <v>40</v>
      </c>
      <c r="K13" s="111">
        <v>61</v>
      </c>
      <c r="L13" s="111">
        <v>4</v>
      </c>
      <c r="M13" s="111">
        <v>1899</v>
      </c>
      <c r="N13" s="111">
        <v>1844</v>
      </c>
      <c r="O13" s="111">
        <v>1849.8</v>
      </c>
      <c r="P13" s="111">
        <f t="shared" si="1"/>
        <v>1846.9</v>
      </c>
      <c r="Q13" s="129">
        <v>5.5</v>
      </c>
      <c r="R13" s="113">
        <f aca="true" t="shared" si="14" ref="R13:R18">(20+0.03*P13)*180/100+32</f>
        <v>167.73260000000002</v>
      </c>
      <c r="S13" s="114">
        <f t="shared" si="3"/>
        <v>0.8871473354231975</v>
      </c>
      <c r="T13" s="114">
        <f t="shared" si="10"/>
        <v>1.04</v>
      </c>
      <c r="U13" s="114">
        <f t="shared" si="4"/>
        <v>0.9116037617554859</v>
      </c>
      <c r="V13" s="115">
        <f t="shared" si="5"/>
        <v>1188.7193022321749</v>
      </c>
      <c r="W13" s="115">
        <f t="shared" si="6"/>
        <v>1835.9303217038696</v>
      </c>
      <c r="X13" s="114">
        <f t="shared" si="11"/>
        <v>72.61904761904762</v>
      </c>
      <c r="Y13" s="130">
        <f t="shared" si="7"/>
        <v>149.6143275198415</v>
      </c>
      <c r="Z13" s="115">
        <f t="shared" si="12"/>
        <v>72.6114011390551</v>
      </c>
      <c r="AA13" s="183">
        <f t="shared" si="8"/>
        <v>0.6610169491525424</v>
      </c>
      <c r="AB13" s="115">
        <f t="shared" si="13"/>
        <v>39.13916146297948</v>
      </c>
      <c r="AC13" s="131" t="s">
        <v>265</v>
      </c>
    </row>
    <row r="14" spans="1:29" ht="15.75" customHeight="1">
      <c r="A14" s="110" t="s">
        <v>231</v>
      </c>
      <c r="B14" s="111">
        <v>61</v>
      </c>
      <c r="C14" s="111">
        <v>25</v>
      </c>
      <c r="D14" s="111">
        <f t="shared" si="9"/>
        <v>45.75</v>
      </c>
      <c r="E14" s="115">
        <f t="shared" si="0"/>
        <v>15.25</v>
      </c>
      <c r="F14" s="111">
        <v>60</v>
      </c>
      <c r="G14" s="111">
        <v>1</v>
      </c>
      <c r="H14" s="111">
        <v>28</v>
      </c>
      <c r="I14" s="111">
        <v>30</v>
      </c>
      <c r="J14" s="111">
        <v>40</v>
      </c>
      <c r="K14" s="111">
        <v>77</v>
      </c>
      <c r="L14" s="111">
        <v>4</v>
      </c>
      <c r="M14" s="111">
        <v>1875</v>
      </c>
      <c r="N14" s="111">
        <v>1841</v>
      </c>
      <c r="O14" s="111">
        <v>1844.9</v>
      </c>
      <c r="P14" s="111">
        <f t="shared" si="1"/>
        <v>1842.95</v>
      </c>
      <c r="Q14" s="129">
        <v>5.5</v>
      </c>
      <c r="R14" s="113">
        <f t="shared" si="14"/>
        <v>167.51930000000002</v>
      </c>
      <c r="S14" s="114">
        <f>141.5/(H14+131.5)</f>
        <v>0.8871473354231975</v>
      </c>
      <c r="T14" s="114">
        <f t="shared" si="10"/>
        <v>1.04</v>
      </c>
      <c r="U14" s="114">
        <f t="shared" si="4"/>
        <v>0.9253605015673981</v>
      </c>
      <c r="V14" s="115">
        <f t="shared" si="5"/>
        <v>1194.5540516277651</v>
      </c>
      <c r="W14" s="115">
        <f t="shared" si="6"/>
        <v>1832.1434008604629</v>
      </c>
      <c r="X14" s="114">
        <f>K14/(1-C14/100)</f>
        <v>102.66666666666667</v>
      </c>
      <c r="Y14" s="130">
        <f t="shared" si="7"/>
        <v>199.339598651615</v>
      </c>
      <c r="Z14" s="115">
        <f t="shared" si="12"/>
        <v>102.65528757019459</v>
      </c>
      <c r="AA14" s="183">
        <f t="shared" si="8"/>
        <v>1.0338983050847457</v>
      </c>
      <c r="AB14" s="115">
        <f>B14/(1-0.2*G14/F14-0.8*(G14/F14)^2)</f>
        <v>61.217662801070475</v>
      </c>
      <c r="AC14" s="131" t="s">
        <v>265</v>
      </c>
    </row>
    <row r="15" spans="1:29" ht="15.75" customHeight="1">
      <c r="A15" s="110" t="s">
        <v>232</v>
      </c>
      <c r="B15" s="111">
        <v>77</v>
      </c>
      <c r="C15" s="111">
        <v>12</v>
      </c>
      <c r="D15" s="111">
        <f t="shared" si="9"/>
        <v>67.76</v>
      </c>
      <c r="E15" s="115">
        <f t="shared" si="0"/>
        <v>9.24</v>
      </c>
      <c r="F15" s="111">
        <v>60</v>
      </c>
      <c r="G15" s="111">
        <v>1</v>
      </c>
      <c r="H15" s="111">
        <v>28</v>
      </c>
      <c r="I15" s="111">
        <v>30</v>
      </c>
      <c r="J15" s="111">
        <v>40</v>
      </c>
      <c r="K15" s="111">
        <v>76</v>
      </c>
      <c r="L15" s="111">
        <v>4</v>
      </c>
      <c r="M15" s="111">
        <v>1886</v>
      </c>
      <c r="N15" s="111">
        <v>1839</v>
      </c>
      <c r="O15" s="111">
        <v>1843.8</v>
      </c>
      <c r="P15" s="111">
        <f t="shared" si="1"/>
        <v>1841.4</v>
      </c>
      <c r="Q15" s="129">
        <v>5.5</v>
      </c>
      <c r="R15" s="113">
        <f t="shared" si="14"/>
        <v>167.43559999999997</v>
      </c>
      <c r="S15" s="114">
        <f t="shared" si="3"/>
        <v>0.8871473354231975</v>
      </c>
      <c r="T15" s="114">
        <f t="shared" si="10"/>
        <v>1.04</v>
      </c>
      <c r="U15" s="114">
        <f t="shared" si="4"/>
        <v>0.9054896551724138</v>
      </c>
      <c r="V15" s="115">
        <f t="shared" si="5"/>
        <v>1178.7750913965392</v>
      </c>
      <c r="W15" s="115">
        <f t="shared" si="6"/>
        <v>1830.3562515232757</v>
      </c>
      <c r="X15" s="112">
        <f t="shared" si="11"/>
        <v>86.36363636363636</v>
      </c>
      <c r="Y15" s="130">
        <f t="shared" si="7"/>
        <v>172.65756945852146</v>
      </c>
      <c r="Z15" s="115">
        <f t="shared" si="12"/>
        <v>86.35430313824779</v>
      </c>
      <c r="AA15" s="183">
        <f t="shared" si="8"/>
        <v>1.305084745762712</v>
      </c>
      <c r="AB15" s="115">
        <f t="shared" si="13"/>
        <v>77.27475468331846</v>
      </c>
      <c r="AC15" s="131" t="s">
        <v>265</v>
      </c>
    </row>
    <row r="16" spans="1:29" ht="15.75" customHeight="1">
      <c r="A16" s="110" t="s">
        <v>233</v>
      </c>
      <c r="B16" s="111">
        <v>66</v>
      </c>
      <c r="C16" s="111">
        <v>9</v>
      </c>
      <c r="D16" s="111">
        <f t="shared" si="9"/>
        <v>60.06</v>
      </c>
      <c r="E16" s="115">
        <f t="shared" si="0"/>
        <v>5.9399999999999995</v>
      </c>
      <c r="F16" s="111">
        <v>60</v>
      </c>
      <c r="G16" s="111">
        <v>1</v>
      </c>
      <c r="H16" s="111">
        <v>28</v>
      </c>
      <c r="I16" s="111">
        <v>30</v>
      </c>
      <c r="J16" s="111">
        <v>40</v>
      </c>
      <c r="K16" s="111">
        <v>67</v>
      </c>
      <c r="L16" s="111">
        <v>4</v>
      </c>
      <c r="M16" s="111">
        <v>1874</v>
      </c>
      <c r="N16" s="111">
        <v>1833</v>
      </c>
      <c r="O16" s="111">
        <v>1838</v>
      </c>
      <c r="P16" s="111">
        <f t="shared" si="1"/>
        <v>1835.5</v>
      </c>
      <c r="Q16" s="129">
        <v>5.5</v>
      </c>
      <c r="R16" s="113">
        <f t="shared" si="14"/>
        <v>167.117</v>
      </c>
      <c r="S16" s="114">
        <f t="shared" si="3"/>
        <v>0.8871473354231975</v>
      </c>
      <c r="T16" s="114">
        <f t="shared" si="10"/>
        <v>1.04</v>
      </c>
      <c r="U16" s="114">
        <f t="shared" si="4"/>
        <v>0.9009040752351097</v>
      </c>
      <c r="V16" s="115">
        <f t="shared" si="5"/>
        <v>1169.5023466500388</v>
      </c>
      <c r="W16" s="115">
        <f t="shared" si="6"/>
        <v>1824.400039110834</v>
      </c>
      <c r="X16" s="112">
        <f t="shared" si="11"/>
        <v>73.62637362637362</v>
      </c>
      <c r="Y16" s="130">
        <f t="shared" si="7"/>
        <v>151.13977239183413</v>
      </c>
      <c r="Z16" s="115">
        <f t="shared" si="12"/>
        <v>73.61860485241716</v>
      </c>
      <c r="AA16" s="183">
        <f t="shared" si="8"/>
        <v>1.11864406779661</v>
      </c>
      <c r="AB16" s="115">
        <f t="shared" si="13"/>
        <v>66.23550401427296</v>
      </c>
      <c r="AC16" s="131" t="s">
        <v>265</v>
      </c>
    </row>
    <row r="17" spans="1:29" ht="15.75" customHeight="1">
      <c r="A17" s="110" t="s">
        <v>234</v>
      </c>
      <c r="B17" s="111">
        <v>44</v>
      </c>
      <c r="C17" s="111">
        <v>16</v>
      </c>
      <c r="D17" s="111">
        <f t="shared" si="9"/>
        <v>36.96</v>
      </c>
      <c r="E17" s="115">
        <f t="shared" si="0"/>
        <v>7.04</v>
      </c>
      <c r="F17" s="111">
        <v>60</v>
      </c>
      <c r="G17" s="111">
        <v>1</v>
      </c>
      <c r="H17" s="111">
        <v>28</v>
      </c>
      <c r="I17" s="111">
        <v>30</v>
      </c>
      <c r="J17" s="111">
        <v>40</v>
      </c>
      <c r="K17" s="111">
        <v>66</v>
      </c>
      <c r="L17" s="111">
        <v>4</v>
      </c>
      <c r="M17" s="111">
        <v>1872</v>
      </c>
      <c r="N17" s="111">
        <v>1835</v>
      </c>
      <c r="O17" s="111">
        <v>1839.5</v>
      </c>
      <c r="P17" s="111">
        <f t="shared" si="1"/>
        <v>1837.25</v>
      </c>
      <c r="Q17" s="129">
        <v>5.5</v>
      </c>
      <c r="R17" s="113">
        <f t="shared" si="14"/>
        <v>167.2115</v>
      </c>
      <c r="S17" s="114">
        <f t="shared" si="3"/>
        <v>0.8871473354231975</v>
      </c>
      <c r="T17" s="114">
        <f t="shared" si="10"/>
        <v>1.04</v>
      </c>
      <c r="U17" s="114">
        <f t="shared" si="4"/>
        <v>0.9116037617554859</v>
      </c>
      <c r="V17" s="115">
        <f t="shared" si="5"/>
        <v>1179.0693022321748</v>
      </c>
      <c r="W17" s="115">
        <f t="shared" si="6"/>
        <v>1826.2803217038695</v>
      </c>
      <c r="X17" s="112">
        <f t="shared" si="11"/>
        <v>78.57142857142857</v>
      </c>
      <c r="Y17" s="130">
        <f t="shared" si="7"/>
        <v>159.54995546738624</v>
      </c>
      <c r="Z17" s="115">
        <f t="shared" si="12"/>
        <v>78.5630563024539</v>
      </c>
      <c r="AA17" s="183">
        <f t="shared" si="8"/>
        <v>0.7457627118644068</v>
      </c>
      <c r="AB17" s="115">
        <f t="shared" si="13"/>
        <v>44.15700267618198</v>
      </c>
      <c r="AC17" s="131" t="s">
        <v>265</v>
      </c>
    </row>
    <row r="18" spans="1:29" ht="15.75" customHeight="1">
      <c r="A18" s="110" t="s">
        <v>235</v>
      </c>
      <c r="B18" s="111">
        <v>39</v>
      </c>
      <c r="C18" s="111">
        <v>13</v>
      </c>
      <c r="D18" s="111">
        <f t="shared" si="9"/>
        <v>33.93</v>
      </c>
      <c r="E18" s="115">
        <f t="shared" si="0"/>
        <v>5.07</v>
      </c>
      <c r="F18" s="111">
        <v>60</v>
      </c>
      <c r="G18" s="111">
        <v>1</v>
      </c>
      <c r="H18" s="111">
        <v>28</v>
      </c>
      <c r="I18" s="111">
        <v>30</v>
      </c>
      <c r="J18" s="111">
        <v>40</v>
      </c>
      <c r="K18" s="111">
        <v>59</v>
      </c>
      <c r="L18" s="111">
        <v>4</v>
      </c>
      <c r="M18" s="111">
        <v>1880</v>
      </c>
      <c r="N18" s="111">
        <v>1840</v>
      </c>
      <c r="O18" s="111">
        <v>1845</v>
      </c>
      <c r="P18" s="111">
        <f t="shared" si="1"/>
        <v>1842.5</v>
      </c>
      <c r="Q18" s="129">
        <v>5.5</v>
      </c>
      <c r="R18" s="113">
        <f t="shared" si="14"/>
        <v>167.495</v>
      </c>
      <c r="S18" s="114">
        <f t="shared" si="3"/>
        <v>0.8871473354231975</v>
      </c>
      <c r="T18" s="114">
        <f t="shared" si="10"/>
        <v>1.04</v>
      </c>
      <c r="U18" s="114">
        <f t="shared" si="4"/>
        <v>0.9070181818181817</v>
      </c>
      <c r="V18" s="115">
        <f t="shared" si="5"/>
        <v>1180.9917612155714</v>
      </c>
      <c r="W18" s="115">
        <f t="shared" si="6"/>
        <v>1831.4748626869261</v>
      </c>
      <c r="X18" s="112">
        <f t="shared" si="11"/>
        <v>67.816091954023</v>
      </c>
      <c r="Y18" s="130">
        <f t="shared" si="7"/>
        <v>141.28342131836766</v>
      </c>
      <c r="Z18" s="115">
        <f t="shared" si="12"/>
        <v>67.80902544529515</v>
      </c>
      <c r="AA18" s="183">
        <f t="shared" si="8"/>
        <v>0.6610169491525424</v>
      </c>
      <c r="AB18" s="115">
        <f t="shared" si="13"/>
        <v>39.13916146297948</v>
      </c>
      <c r="AC18" s="131" t="s">
        <v>265</v>
      </c>
    </row>
    <row r="19" spans="1:29" ht="15.75" customHeight="1">
      <c r="A19" s="110" t="s">
        <v>236</v>
      </c>
      <c r="B19" s="111">
        <v>160</v>
      </c>
      <c r="C19" s="111">
        <v>80</v>
      </c>
      <c r="D19" s="111">
        <f t="shared" si="9"/>
        <v>32</v>
      </c>
      <c r="E19" s="115">
        <f t="shared" si="0"/>
        <v>128</v>
      </c>
      <c r="F19" s="111">
        <v>70</v>
      </c>
      <c r="G19" s="111">
        <v>20</v>
      </c>
      <c r="H19" s="111">
        <v>26</v>
      </c>
      <c r="I19" s="111">
        <v>29</v>
      </c>
      <c r="J19" s="111">
        <v>46</v>
      </c>
      <c r="K19" s="111">
        <v>8</v>
      </c>
      <c r="L19" s="111">
        <v>3</v>
      </c>
      <c r="M19" s="111">
        <v>1900</v>
      </c>
      <c r="N19" s="111">
        <v>1770</v>
      </c>
      <c r="O19" s="111">
        <v>1772</v>
      </c>
      <c r="P19" s="111">
        <f t="shared" si="1"/>
        <v>1771</v>
      </c>
      <c r="Q19" s="111">
        <v>5</v>
      </c>
      <c r="R19" s="113">
        <f aca="true" t="shared" si="15" ref="R19:R28">(20+0.03*P19)*180/100+32</f>
        <v>163.634</v>
      </c>
      <c r="S19" s="114">
        <f t="shared" si="3"/>
        <v>0.8984126984126984</v>
      </c>
      <c r="T19" s="114">
        <f t="shared" si="10"/>
        <v>1.046</v>
      </c>
      <c r="U19" s="114">
        <f t="shared" si="4"/>
        <v>1.0164825396825397</v>
      </c>
      <c r="V19" s="115">
        <f t="shared" si="5"/>
        <v>1082.3506895862483</v>
      </c>
      <c r="W19" s="115">
        <f t="shared" si="6"/>
        <v>1574.2430541674994</v>
      </c>
      <c r="X19" s="112">
        <f t="shared" si="11"/>
        <v>40.00000000000001</v>
      </c>
      <c r="Y19" s="130">
        <f t="shared" si="7"/>
        <v>95.78142544576377</v>
      </c>
      <c r="Z19" s="115">
        <f t="shared" si="12"/>
        <v>39.99616979262097</v>
      </c>
      <c r="AA19" s="183">
        <f t="shared" si="8"/>
        <v>3.2</v>
      </c>
      <c r="AB19" s="115">
        <f t="shared" si="13"/>
        <v>182.32558139534885</v>
      </c>
      <c r="AC19" s="131" t="s">
        <v>263</v>
      </c>
    </row>
    <row r="20" spans="1:29" ht="15.75" customHeight="1">
      <c r="A20" s="110" t="s">
        <v>237</v>
      </c>
      <c r="B20" s="111">
        <v>250</v>
      </c>
      <c r="C20" s="111">
        <v>90</v>
      </c>
      <c r="D20" s="111">
        <f t="shared" si="9"/>
        <v>25</v>
      </c>
      <c r="E20" s="115">
        <f t="shared" si="0"/>
        <v>225</v>
      </c>
      <c r="F20" s="111">
        <v>70</v>
      </c>
      <c r="G20" s="111">
        <v>20</v>
      </c>
      <c r="H20" s="111">
        <v>26</v>
      </c>
      <c r="I20" s="111">
        <v>29</v>
      </c>
      <c r="J20" s="111">
        <v>39</v>
      </c>
      <c r="K20" s="111">
        <v>6</v>
      </c>
      <c r="L20" s="111">
        <v>4</v>
      </c>
      <c r="M20" s="111">
        <v>1980</v>
      </c>
      <c r="N20" s="111">
        <v>1905</v>
      </c>
      <c r="O20" s="111">
        <v>1910</v>
      </c>
      <c r="P20" s="111">
        <f t="shared" si="1"/>
        <v>1907.5</v>
      </c>
      <c r="Q20" s="111">
        <v>7</v>
      </c>
      <c r="R20" s="113">
        <f t="shared" si="15"/>
        <v>171.005</v>
      </c>
      <c r="S20" s="114">
        <f t="shared" si="3"/>
        <v>0.8984126984126984</v>
      </c>
      <c r="T20" s="114">
        <f t="shared" si="10"/>
        <v>1.039</v>
      </c>
      <c r="U20" s="114">
        <f t="shared" si="4"/>
        <v>1.0249412698412697</v>
      </c>
      <c r="V20" s="115">
        <f t="shared" si="5"/>
        <v>1224.5340383421117</v>
      </c>
      <c r="W20" s="115">
        <f t="shared" si="6"/>
        <v>1712.3668680977462</v>
      </c>
      <c r="X20" s="112">
        <f t="shared" si="11"/>
        <v>60.000000000000014</v>
      </c>
      <c r="Y20" s="130">
        <f t="shared" si="7"/>
        <v>136.18982162490317</v>
      </c>
      <c r="Z20" s="115">
        <f t="shared" si="12"/>
        <v>59.99386548096254</v>
      </c>
      <c r="AA20" s="183">
        <f t="shared" si="8"/>
        <v>5</v>
      </c>
      <c r="AB20" s="115">
        <f t="shared" si="13"/>
        <v>284.8837209302326</v>
      </c>
      <c r="AC20" s="131" t="s">
        <v>263</v>
      </c>
    </row>
    <row r="21" spans="1:29" ht="15.75" customHeight="1">
      <c r="A21" s="110" t="s">
        <v>238</v>
      </c>
      <c r="B21" s="111">
        <v>128</v>
      </c>
      <c r="C21" s="111">
        <v>86</v>
      </c>
      <c r="D21" s="111">
        <f t="shared" si="9"/>
        <v>17.92</v>
      </c>
      <c r="E21" s="115">
        <f t="shared" si="0"/>
        <v>110.08</v>
      </c>
      <c r="F21" s="111">
        <v>70</v>
      </c>
      <c r="G21" s="111">
        <v>20</v>
      </c>
      <c r="H21" s="111">
        <v>26</v>
      </c>
      <c r="I21" s="111">
        <v>29</v>
      </c>
      <c r="J21" s="111">
        <v>46</v>
      </c>
      <c r="K21" s="111">
        <v>9</v>
      </c>
      <c r="L21" s="111">
        <v>3</v>
      </c>
      <c r="M21" s="111">
        <v>1930</v>
      </c>
      <c r="N21" s="111">
        <v>1771</v>
      </c>
      <c r="O21" s="111">
        <v>1773.5</v>
      </c>
      <c r="P21" s="111">
        <f t="shared" si="1"/>
        <v>1772.25</v>
      </c>
      <c r="Q21" s="111">
        <v>5</v>
      </c>
      <c r="R21" s="113">
        <f t="shared" si="15"/>
        <v>163.70149999999998</v>
      </c>
      <c r="S21" s="114">
        <f t="shared" si="3"/>
        <v>0.8984126984126984</v>
      </c>
      <c r="T21" s="114">
        <f t="shared" si="10"/>
        <v>1.046</v>
      </c>
      <c r="U21" s="114">
        <f t="shared" si="4"/>
        <v>1.025337777777778</v>
      </c>
      <c r="V21" s="115">
        <f t="shared" si="5"/>
        <v>1089.5481478190386</v>
      </c>
      <c r="W21" s="115">
        <f t="shared" si="6"/>
        <v>1577.1923279482967</v>
      </c>
      <c r="X21" s="112">
        <f t="shared" si="11"/>
        <v>64.28571428571428</v>
      </c>
      <c r="Y21" s="130">
        <f t="shared" si="7"/>
        <v>142.02602801090939</v>
      </c>
      <c r="Z21" s="115">
        <f t="shared" si="12"/>
        <v>64.27907062994383</v>
      </c>
      <c r="AA21" s="183">
        <f t="shared" si="8"/>
        <v>2.56</v>
      </c>
      <c r="AB21" s="115">
        <f t="shared" si="13"/>
        <v>145.86046511627907</v>
      </c>
      <c r="AC21" s="131" t="s">
        <v>263</v>
      </c>
    </row>
    <row r="22" spans="1:29" ht="15.75" customHeight="1">
      <c r="A22" s="110" t="s">
        <v>239</v>
      </c>
      <c r="B22" s="111">
        <v>99</v>
      </c>
      <c r="C22" s="111">
        <v>88</v>
      </c>
      <c r="D22" s="111">
        <f t="shared" si="9"/>
        <v>11.88</v>
      </c>
      <c r="E22" s="115">
        <f t="shared" si="0"/>
        <v>87.12</v>
      </c>
      <c r="F22" s="111">
        <v>70</v>
      </c>
      <c r="G22" s="111">
        <v>20</v>
      </c>
      <c r="H22" s="111">
        <v>26</v>
      </c>
      <c r="I22" s="111">
        <v>29</v>
      </c>
      <c r="J22" s="111">
        <v>46</v>
      </c>
      <c r="K22" s="111">
        <v>10</v>
      </c>
      <c r="L22" s="111">
        <v>3</v>
      </c>
      <c r="M22" s="111">
        <v>1920</v>
      </c>
      <c r="N22" s="111">
        <v>1778</v>
      </c>
      <c r="O22" s="111">
        <v>1779.5</v>
      </c>
      <c r="P22" s="111">
        <f t="shared" si="1"/>
        <v>1778.75</v>
      </c>
      <c r="Q22" s="111">
        <v>7</v>
      </c>
      <c r="R22" s="113">
        <f t="shared" si="15"/>
        <v>164.0525</v>
      </c>
      <c r="S22" s="114">
        <f t="shared" si="3"/>
        <v>0.8984126984126984</v>
      </c>
      <c r="T22" s="114">
        <f t="shared" si="10"/>
        <v>1.046</v>
      </c>
      <c r="U22" s="114">
        <f t="shared" si="4"/>
        <v>1.0282895238095238</v>
      </c>
      <c r="V22" s="115">
        <f t="shared" si="5"/>
        <v>1098.0078706756667</v>
      </c>
      <c r="W22" s="115">
        <f t="shared" si="6"/>
        <v>1584.2522487644762</v>
      </c>
      <c r="X22" s="112">
        <f t="shared" si="11"/>
        <v>83.33333333333334</v>
      </c>
      <c r="Y22" s="130">
        <f t="shared" si="7"/>
        <v>176.29171554197868</v>
      </c>
      <c r="Z22" s="115">
        <f t="shared" si="12"/>
        <v>83.32437520851441</v>
      </c>
      <c r="AA22" s="183">
        <f t="shared" si="8"/>
        <v>1.98</v>
      </c>
      <c r="AB22" s="115">
        <f t="shared" si="13"/>
        <v>112.81395348837209</v>
      </c>
      <c r="AC22" s="131" t="s">
        <v>263</v>
      </c>
    </row>
    <row r="23" spans="1:29" ht="15.75" customHeight="1">
      <c r="A23" s="110" t="s">
        <v>240</v>
      </c>
      <c r="B23" s="111">
        <v>28</v>
      </c>
      <c r="C23" s="111">
        <v>15</v>
      </c>
      <c r="D23" s="111">
        <f t="shared" si="9"/>
        <v>23.8</v>
      </c>
      <c r="E23" s="115">
        <f t="shared" si="0"/>
        <v>4.2</v>
      </c>
      <c r="F23" s="111">
        <v>110</v>
      </c>
      <c r="G23" s="111">
        <v>30</v>
      </c>
      <c r="H23" s="111">
        <v>30</v>
      </c>
      <c r="I23" s="111">
        <v>29</v>
      </c>
      <c r="J23" s="111">
        <v>39</v>
      </c>
      <c r="K23" s="111">
        <v>69</v>
      </c>
      <c r="L23" s="111">
        <v>4</v>
      </c>
      <c r="M23" s="111">
        <v>1970</v>
      </c>
      <c r="N23" s="111">
        <v>1907</v>
      </c>
      <c r="O23" s="111">
        <v>1912</v>
      </c>
      <c r="P23" s="111">
        <f t="shared" si="1"/>
        <v>1909.5</v>
      </c>
      <c r="Q23" s="111">
        <v>7</v>
      </c>
      <c r="R23" s="113">
        <f t="shared" si="15"/>
        <v>171.113</v>
      </c>
      <c r="S23" s="114">
        <f t="shared" si="3"/>
        <v>0.8761609907120743</v>
      </c>
      <c r="T23" s="114">
        <f t="shared" si="10"/>
        <v>1.039</v>
      </c>
      <c r="U23" s="114">
        <f t="shared" si="4"/>
        <v>0.9005868421052632</v>
      </c>
      <c r="V23" s="115">
        <f t="shared" si="5"/>
        <v>688.0742045391455</v>
      </c>
      <c r="W23" s="115">
        <f t="shared" si="6"/>
        <v>1576.3838739652215</v>
      </c>
      <c r="X23" s="112">
        <f t="shared" si="11"/>
        <v>81.17647058823529</v>
      </c>
      <c r="Y23" s="130">
        <f t="shared" si="7"/>
        <v>156.02867850060125</v>
      </c>
      <c r="Z23" s="115">
        <f t="shared" si="12"/>
        <v>81.16777837641327</v>
      </c>
      <c r="AA23" s="183">
        <f t="shared" si="8"/>
        <v>0.35</v>
      </c>
      <c r="AB23" s="115">
        <f t="shared" si="13"/>
        <v>31.604477611940297</v>
      </c>
      <c r="AC23" s="131" t="s">
        <v>264</v>
      </c>
    </row>
    <row r="24" spans="1:29" ht="15.75" customHeight="1">
      <c r="A24" s="110" t="s">
        <v>241</v>
      </c>
      <c r="B24" s="111">
        <v>15</v>
      </c>
      <c r="C24" s="111">
        <v>16</v>
      </c>
      <c r="D24" s="111">
        <f t="shared" si="9"/>
        <v>12.6</v>
      </c>
      <c r="E24" s="115">
        <f t="shared" si="0"/>
        <v>2.4</v>
      </c>
      <c r="F24" s="111">
        <v>110</v>
      </c>
      <c r="G24" s="111">
        <v>30</v>
      </c>
      <c r="H24" s="111">
        <v>30</v>
      </c>
      <c r="I24" s="111">
        <v>29</v>
      </c>
      <c r="J24" s="111">
        <v>39</v>
      </c>
      <c r="K24" s="111">
        <v>68</v>
      </c>
      <c r="L24" s="111">
        <v>4</v>
      </c>
      <c r="M24" s="111">
        <v>1950</v>
      </c>
      <c r="N24" s="111">
        <v>1908</v>
      </c>
      <c r="O24" s="111">
        <v>1914</v>
      </c>
      <c r="P24" s="111">
        <f t="shared" si="1"/>
        <v>1911</v>
      </c>
      <c r="Q24" s="111">
        <v>7</v>
      </c>
      <c r="R24" s="113">
        <f t="shared" si="15"/>
        <v>171.194</v>
      </c>
      <c r="S24" s="114">
        <f t="shared" si="3"/>
        <v>0.8761609907120743</v>
      </c>
      <c r="T24" s="114">
        <f t="shared" si="10"/>
        <v>1.039</v>
      </c>
      <c r="U24" s="114">
        <f t="shared" si="4"/>
        <v>0.9022152321981425</v>
      </c>
      <c r="V24" s="115">
        <f t="shared" si="5"/>
        <v>691.7787313455372</v>
      </c>
      <c r="W24" s="115">
        <f t="shared" si="6"/>
        <v>1578.4851085487828</v>
      </c>
      <c r="X24" s="114">
        <f t="shared" si="11"/>
        <v>80.95238095238095</v>
      </c>
      <c r="Y24" s="130">
        <f t="shared" si="7"/>
        <v>155.69751939656967</v>
      </c>
      <c r="Z24" s="115">
        <f t="shared" si="12"/>
        <v>80.94371631572008</v>
      </c>
      <c r="AA24" s="183">
        <f t="shared" si="8"/>
        <v>0.1875</v>
      </c>
      <c r="AB24" s="115">
        <f t="shared" si="13"/>
        <v>16.93097014925373</v>
      </c>
      <c r="AC24" s="131" t="s">
        <v>264</v>
      </c>
    </row>
    <row r="25" spans="1:29" ht="15.75" customHeight="1">
      <c r="A25" s="110" t="s">
        <v>242</v>
      </c>
      <c r="B25" s="111">
        <v>12</v>
      </c>
      <c r="C25" s="111">
        <v>11</v>
      </c>
      <c r="D25" s="111">
        <f t="shared" si="9"/>
        <v>10.68</v>
      </c>
      <c r="E25" s="115">
        <f t="shared" si="0"/>
        <v>1.32</v>
      </c>
      <c r="F25" s="111">
        <v>110</v>
      </c>
      <c r="G25" s="111">
        <v>30</v>
      </c>
      <c r="H25" s="111">
        <v>30</v>
      </c>
      <c r="I25" s="111">
        <v>29</v>
      </c>
      <c r="J25" s="111">
        <v>39</v>
      </c>
      <c r="K25" s="111">
        <v>66</v>
      </c>
      <c r="L25" s="111">
        <v>4</v>
      </c>
      <c r="M25" s="111">
        <v>1960</v>
      </c>
      <c r="N25" s="111">
        <v>1909</v>
      </c>
      <c r="O25" s="111">
        <v>1913</v>
      </c>
      <c r="P25" s="111">
        <f t="shared" si="1"/>
        <v>1911</v>
      </c>
      <c r="Q25" s="111">
        <v>7</v>
      </c>
      <c r="R25" s="113">
        <f t="shared" si="15"/>
        <v>171.194</v>
      </c>
      <c r="S25" s="114">
        <f t="shared" si="3"/>
        <v>0.8761609907120743</v>
      </c>
      <c r="T25" s="114">
        <f t="shared" si="10"/>
        <v>1.039</v>
      </c>
      <c r="U25" s="114">
        <f t="shared" si="4"/>
        <v>0.8940732817337461</v>
      </c>
      <c r="V25" s="115">
        <f t="shared" si="5"/>
        <v>680.6757945087788</v>
      </c>
      <c r="W25" s="115">
        <f t="shared" si="6"/>
        <v>1575.4570348660307</v>
      </c>
      <c r="X25" s="114">
        <f t="shared" si="11"/>
        <v>74.15730337078652</v>
      </c>
      <c r="Y25" s="130">
        <f t="shared" si="7"/>
        <v>144.77009661268744</v>
      </c>
      <c r="Z25" s="115">
        <f t="shared" si="12"/>
        <v>74.14947005061836</v>
      </c>
      <c r="AA25" s="183">
        <f t="shared" si="8"/>
        <v>0.15</v>
      </c>
      <c r="AB25" s="115">
        <f t="shared" si="13"/>
        <v>13.544776119402986</v>
      </c>
      <c r="AC25" s="131" t="s">
        <v>264</v>
      </c>
    </row>
    <row r="26" spans="1:29" ht="15.75" customHeight="1">
      <c r="A26" s="110" t="s">
        <v>243</v>
      </c>
      <c r="B26" s="111">
        <v>9</v>
      </c>
      <c r="C26" s="111">
        <v>1</v>
      </c>
      <c r="D26" s="111">
        <f t="shared" si="9"/>
        <v>8.91</v>
      </c>
      <c r="E26" s="115">
        <f t="shared" si="0"/>
        <v>0.09</v>
      </c>
      <c r="F26" s="111">
        <v>110</v>
      </c>
      <c r="G26" s="111">
        <v>30</v>
      </c>
      <c r="H26" s="111">
        <v>30</v>
      </c>
      <c r="I26" s="111">
        <v>29</v>
      </c>
      <c r="J26" s="111">
        <v>39</v>
      </c>
      <c r="K26" s="111">
        <v>89</v>
      </c>
      <c r="L26" s="111">
        <v>4</v>
      </c>
      <c r="M26" s="111">
        <v>1962</v>
      </c>
      <c r="N26" s="111">
        <v>1908</v>
      </c>
      <c r="O26" s="111">
        <v>1913.5</v>
      </c>
      <c r="P26" s="111">
        <f t="shared" si="1"/>
        <v>1910.75</v>
      </c>
      <c r="Q26" s="111">
        <v>7</v>
      </c>
      <c r="R26" s="113">
        <f t="shared" si="15"/>
        <v>171.1805</v>
      </c>
      <c r="S26" s="114">
        <f t="shared" si="3"/>
        <v>0.8761609907120743</v>
      </c>
      <c r="T26" s="114">
        <f t="shared" si="10"/>
        <v>1.039</v>
      </c>
      <c r="U26" s="114">
        <f t="shared" si="4"/>
        <v>0.8777893808049536</v>
      </c>
      <c r="V26" s="115">
        <f t="shared" si="5"/>
        <v>657.6020079483371</v>
      </c>
      <c r="W26" s="115">
        <f t="shared" si="6"/>
        <v>1568.9823658040918</v>
      </c>
      <c r="X26" s="112">
        <f t="shared" si="11"/>
        <v>89.8989898989899</v>
      </c>
      <c r="Y26" s="130">
        <f t="shared" si="7"/>
        <v>169.84599564932512</v>
      </c>
      <c r="Z26" s="115">
        <f t="shared" si="12"/>
        <v>89.88921691004767</v>
      </c>
      <c r="AA26" s="183">
        <f t="shared" si="8"/>
        <v>0.1125</v>
      </c>
      <c r="AB26" s="115">
        <f t="shared" si="13"/>
        <v>10.158582089552239</v>
      </c>
      <c r="AC26" s="131" t="s">
        <v>264</v>
      </c>
    </row>
    <row r="27" spans="1:29" ht="15.75" customHeight="1">
      <c r="A27" s="110" t="s">
        <v>244</v>
      </c>
      <c r="B27" s="111">
        <v>120</v>
      </c>
      <c r="C27" s="111">
        <v>88</v>
      </c>
      <c r="D27" s="111">
        <f t="shared" si="9"/>
        <v>14.4</v>
      </c>
      <c r="E27" s="115">
        <f t="shared" si="0"/>
        <v>105.6</v>
      </c>
      <c r="F27" s="111">
        <v>70</v>
      </c>
      <c r="G27" s="111">
        <v>20</v>
      </c>
      <c r="H27" s="111">
        <v>26</v>
      </c>
      <c r="I27" s="111">
        <v>29</v>
      </c>
      <c r="J27" s="111">
        <v>46</v>
      </c>
      <c r="K27" s="111">
        <v>11</v>
      </c>
      <c r="L27" s="111">
        <v>3</v>
      </c>
      <c r="M27" s="111">
        <v>1905</v>
      </c>
      <c r="N27" s="111">
        <v>1775</v>
      </c>
      <c r="O27" s="111">
        <v>1777</v>
      </c>
      <c r="P27" s="111">
        <f t="shared" si="1"/>
        <v>1776</v>
      </c>
      <c r="Q27" s="111">
        <v>5</v>
      </c>
      <c r="R27" s="113">
        <f t="shared" si="15"/>
        <v>163.904</v>
      </c>
      <c r="S27" s="114">
        <f t="shared" si="3"/>
        <v>0.8984126984126984</v>
      </c>
      <c r="T27" s="114">
        <f t="shared" si="10"/>
        <v>1.046</v>
      </c>
      <c r="U27" s="114">
        <f t="shared" si="4"/>
        <v>1.0282895238095238</v>
      </c>
      <c r="V27" s="115">
        <f t="shared" si="5"/>
        <v>1095.2578706756667</v>
      </c>
      <c r="W27" s="115">
        <f t="shared" si="6"/>
        <v>1581.5022487644762</v>
      </c>
      <c r="X27" s="112">
        <f t="shared" si="11"/>
        <v>91.66666666666667</v>
      </c>
      <c r="Y27" s="130">
        <f t="shared" si="7"/>
        <v>190.7447958100851</v>
      </c>
      <c r="Z27" s="115">
        <f t="shared" si="12"/>
        <v>91.65667295623558</v>
      </c>
      <c r="AA27" s="183">
        <f t="shared" si="8"/>
        <v>2.4</v>
      </c>
      <c r="AB27" s="115">
        <f t="shared" si="13"/>
        <v>136.74418604651163</v>
      </c>
      <c r="AC27" s="131" t="s">
        <v>263</v>
      </c>
    </row>
    <row r="28" spans="1:29" ht="15.75" customHeight="1" thickBot="1">
      <c r="A28" s="117" t="s">
        <v>245</v>
      </c>
      <c r="B28" s="118">
        <v>99</v>
      </c>
      <c r="C28" s="118">
        <v>91</v>
      </c>
      <c r="D28" s="118">
        <f t="shared" si="9"/>
        <v>8.91</v>
      </c>
      <c r="E28" s="121">
        <f t="shared" si="0"/>
        <v>90.09</v>
      </c>
      <c r="F28" s="118">
        <v>70</v>
      </c>
      <c r="G28" s="118">
        <v>20</v>
      </c>
      <c r="H28" s="118">
        <v>26</v>
      </c>
      <c r="I28" s="118">
        <v>29</v>
      </c>
      <c r="J28" s="118">
        <v>46</v>
      </c>
      <c r="K28" s="118">
        <v>12</v>
      </c>
      <c r="L28" s="118">
        <v>3</v>
      </c>
      <c r="M28" s="118">
        <v>1935</v>
      </c>
      <c r="N28" s="118">
        <v>1780</v>
      </c>
      <c r="O28" s="118">
        <v>1782</v>
      </c>
      <c r="P28" s="118">
        <f t="shared" si="1"/>
        <v>1781</v>
      </c>
      <c r="Q28" s="118">
        <v>5</v>
      </c>
      <c r="R28" s="119">
        <f t="shared" si="15"/>
        <v>164.174</v>
      </c>
      <c r="S28" s="120">
        <f t="shared" si="3"/>
        <v>0.8984126984126984</v>
      </c>
      <c r="T28" s="114">
        <f t="shared" si="10"/>
        <v>1.046</v>
      </c>
      <c r="U28" s="120">
        <f t="shared" si="4"/>
        <v>1.032717142857143</v>
      </c>
      <c r="V28" s="121">
        <f t="shared" si="5"/>
        <v>1103.1764499199062</v>
      </c>
      <c r="W28" s="121">
        <f t="shared" si="6"/>
        <v>1587.3361285485446</v>
      </c>
      <c r="X28" s="122">
        <f t="shared" si="11"/>
        <v>133.33333333333337</v>
      </c>
      <c r="Y28" s="132">
        <f t="shared" si="7"/>
        <v>260.47260570130857</v>
      </c>
      <c r="Z28" s="121">
        <f t="shared" si="12"/>
        <v>133.31799777076856</v>
      </c>
      <c r="AA28" s="184">
        <f t="shared" si="8"/>
        <v>1.98</v>
      </c>
      <c r="AB28" s="121">
        <f t="shared" si="13"/>
        <v>112.81395348837209</v>
      </c>
      <c r="AC28" s="133" t="s">
        <v>263</v>
      </c>
    </row>
  </sheetData>
  <printOptions/>
  <pageMargins left="0.75" right="0.75" top="1" bottom="1" header="0" footer="0"/>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Hoja5"/>
  <dimension ref="A2:S43"/>
  <sheetViews>
    <sheetView showGridLines="0" zoomScale="80" zoomScaleNormal="80" workbookViewId="0" topLeftCell="B4">
      <selection activeCell="C25" sqref="C25"/>
    </sheetView>
  </sheetViews>
  <sheetFormatPr defaultColWidth="11.421875" defaultRowHeight="12.75"/>
  <cols>
    <col min="1" max="1" width="0.71875" style="1" hidden="1" customWidth="1"/>
    <col min="2" max="2" width="9.8515625" style="1" bestFit="1" customWidth="1"/>
    <col min="3" max="3" width="7.28125" style="1" bestFit="1" customWidth="1"/>
    <col min="4" max="4" width="8.00390625" style="1" bestFit="1" customWidth="1"/>
    <col min="5" max="5" width="6.57421875" style="1" bestFit="1" customWidth="1"/>
    <col min="6" max="6" width="7.28125" style="1" bestFit="1" customWidth="1"/>
    <col min="7" max="7" width="8.57421875" style="1" bestFit="1" customWidth="1"/>
    <col min="8" max="8" width="9.140625" style="1" bestFit="1" customWidth="1"/>
    <col min="9" max="9" width="7.28125" style="1" bestFit="1" customWidth="1"/>
    <col min="10" max="12" width="8.57421875" style="1" bestFit="1" customWidth="1"/>
    <col min="13" max="13" width="7.421875" style="1" bestFit="1" customWidth="1"/>
    <col min="14" max="14" width="7.8515625" style="1" bestFit="1" customWidth="1"/>
    <col min="15" max="15" width="8.7109375" style="1" bestFit="1" customWidth="1"/>
    <col min="16" max="17" width="9.140625" style="1" bestFit="1" customWidth="1"/>
    <col min="18" max="18" width="7.00390625" style="1" bestFit="1" customWidth="1"/>
    <col min="19" max="19" width="9.57421875" style="1" bestFit="1" customWidth="1"/>
    <col min="20" max="20" width="10.421875" style="1" customWidth="1"/>
    <col min="21" max="16384" width="11.421875" style="1" customWidth="1"/>
  </cols>
  <sheetData>
    <row r="2" spans="1:19" ht="13.5" thickBot="1">
      <c r="A2" s="2"/>
      <c r="B2" s="2" t="s">
        <v>76</v>
      </c>
      <c r="C2" s="2"/>
      <c r="D2" s="2"/>
      <c r="E2" s="2"/>
      <c r="F2" s="2"/>
      <c r="G2" s="2"/>
      <c r="H2" s="2"/>
      <c r="I2" s="2"/>
      <c r="J2" s="2"/>
      <c r="K2" s="2"/>
      <c r="L2" s="2"/>
      <c r="M2" s="2"/>
      <c r="N2" s="2"/>
      <c r="O2" s="2"/>
      <c r="P2" s="2"/>
      <c r="Q2" s="2"/>
      <c r="R2" s="2"/>
      <c r="S2" s="2"/>
    </row>
    <row r="3" spans="1:19" ht="17.25" thickBot="1" thickTop="1">
      <c r="A3" s="2"/>
      <c r="B3" s="3" t="s">
        <v>102</v>
      </c>
      <c r="C3" s="4"/>
      <c r="D3" s="4"/>
      <c r="E3" s="5"/>
      <c r="F3" s="5"/>
      <c r="G3" s="5"/>
      <c r="H3" s="5"/>
      <c r="I3" s="5"/>
      <c r="J3" s="5"/>
      <c r="K3" s="5"/>
      <c r="L3" s="5"/>
      <c r="M3" s="5"/>
      <c r="N3" s="5"/>
      <c r="O3" s="5"/>
      <c r="P3" s="5"/>
      <c r="Q3" s="5"/>
      <c r="R3" s="4"/>
      <c r="S3" s="6"/>
    </row>
    <row r="4" spans="1:19" ht="14.25" thickBot="1" thickTop="1">
      <c r="A4" s="2"/>
      <c r="B4" s="2"/>
      <c r="C4" s="2"/>
      <c r="D4" s="2"/>
      <c r="E4" s="2"/>
      <c r="F4" s="2"/>
      <c r="G4" s="2"/>
      <c r="H4" s="2"/>
      <c r="I4" s="2"/>
      <c r="J4" s="2"/>
      <c r="K4" s="2"/>
      <c r="L4" s="2"/>
      <c r="M4" s="2" t="s">
        <v>76</v>
      </c>
      <c r="N4" s="2"/>
      <c r="O4" s="2"/>
      <c r="P4" s="2"/>
      <c r="Q4" s="2"/>
      <c r="R4" s="2"/>
      <c r="S4" s="2"/>
    </row>
    <row r="5" spans="1:19" ht="12.75">
      <c r="A5" s="2"/>
      <c r="B5" s="7"/>
      <c r="C5" s="8" t="s">
        <v>103</v>
      </c>
      <c r="D5" s="8"/>
      <c r="E5" s="9" t="s">
        <v>104</v>
      </c>
      <c r="F5" s="10"/>
      <c r="G5" s="11"/>
      <c r="H5" s="11"/>
      <c r="I5" s="8" t="s">
        <v>105</v>
      </c>
      <c r="J5" s="8"/>
      <c r="K5" s="8"/>
      <c r="L5" s="8"/>
      <c r="M5" s="12"/>
      <c r="N5" s="13" t="s">
        <v>106</v>
      </c>
      <c r="O5" s="9" t="s">
        <v>107</v>
      </c>
      <c r="P5" s="8" t="s">
        <v>108</v>
      </c>
      <c r="Q5" s="8"/>
      <c r="R5" s="8"/>
      <c r="S5" s="14"/>
    </row>
    <row r="6" spans="1:19" ht="12.75">
      <c r="A6" s="2"/>
      <c r="B6" s="15"/>
      <c r="C6" s="16" t="s">
        <v>109</v>
      </c>
      <c r="D6" s="17"/>
      <c r="E6" s="18" t="s">
        <v>110</v>
      </c>
      <c r="F6" s="19"/>
      <c r="G6" s="20" t="s">
        <v>111</v>
      </c>
      <c r="H6" s="20" t="s">
        <v>112</v>
      </c>
      <c r="I6" s="21" t="s">
        <v>113</v>
      </c>
      <c r="J6" s="22" t="s">
        <v>114</v>
      </c>
      <c r="K6" s="22"/>
      <c r="L6" s="22"/>
      <c r="M6" s="23"/>
      <c r="N6" s="24" t="s">
        <v>115</v>
      </c>
      <c r="O6" s="18" t="s">
        <v>116</v>
      </c>
      <c r="P6" s="16"/>
      <c r="Q6" s="17"/>
      <c r="R6" s="16" t="s">
        <v>117</v>
      </c>
      <c r="S6" s="25" t="s">
        <v>118</v>
      </c>
    </row>
    <row r="7" spans="1:19" ht="12.75">
      <c r="A7" s="2"/>
      <c r="B7" s="15" t="s">
        <v>119</v>
      </c>
      <c r="C7" s="24" t="s">
        <v>120</v>
      </c>
      <c r="D7" s="18" t="s">
        <v>109</v>
      </c>
      <c r="E7" s="18" t="s">
        <v>121</v>
      </c>
      <c r="F7" s="19" t="s">
        <v>122</v>
      </c>
      <c r="G7" s="20" t="s">
        <v>123</v>
      </c>
      <c r="H7" s="20" t="s">
        <v>124</v>
      </c>
      <c r="I7" s="19" t="s">
        <v>125</v>
      </c>
      <c r="J7" s="16" t="s">
        <v>120</v>
      </c>
      <c r="K7" s="17" t="s">
        <v>126</v>
      </c>
      <c r="L7" s="16" t="s">
        <v>126</v>
      </c>
      <c r="M7" s="23"/>
      <c r="N7" s="24" t="s">
        <v>127</v>
      </c>
      <c r="O7" s="18" t="s">
        <v>128</v>
      </c>
      <c r="P7" s="24" t="s">
        <v>109</v>
      </c>
      <c r="Q7" s="18" t="s">
        <v>109</v>
      </c>
      <c r="R7" s="24" t="s">
        <v>129</v>
      </c>
      <c r="S7" s="25" t="s">
        <v>130</v>
      </c>
    </row>
    <row r="8" spans="1:19" ht="12.75">
      <c r="A8" s="2"/>
      <c r="B8" s="15" t="s">
        <v>131</v>
      </c>
      <c r="C8" s="24" t="s">
        <v>132</v>
      </c>
      <c r="D8" s="18" t="s">
        <v>126</v>
      </c>
      <c r="E8" s="18" t="s">
        <v>131</v>
      </c>
      <c r="F8" s="19" t="s">
        <v>131</v>
      </c>
      <c r="G8" s="20" t="s">
        <v>133</v>
      </c>
      <c r="H8" s="20" t="s">
        <v>134</v>
      </c>
      <c r="I8" s="19" t="s">
        <v>131</v>
      </c>
      <c r="J8" s="24" t="s">
        <v>132</v>
      </c>
      <c r="K8" s="18" t="s">
        <v>135</v>
      </c>
      <c r="L8" s="24" t="s">
        <v>136</v>
      </c>
      <c r="M8" s="23"/>
      <c r="N8" s="24" t="s">
        <v>137</v>
      </c>
      <c r="O8" s="18" t="s">
        <v>138</v>
      </c>
      <c r="P8" s="24" t="s">
        <v>139</v>
      </c>
      <c r="Q8" s="18" t="s">
        <v>126</v>
      </c>
      <c r="R8" s="24" t="s">
        <v>140</v>
      </c>
      <c r="S8" s="25" t="s">
        <v>141</v>
      </c>
    </row>
    <row r="9" spans="1:19" ht="12.75">
      <c r="A9" s="2"/>
      <c r="B9" s="15" t="s">
        <v>142</v>
      </c>
      <c r="C9" s="24" t="s">
        <v>143</v>
      </c>
      <c r="D9" s="18" t="s">
        <v>144</v>
      </c>
      <c r="E9" s="18" t="s">
        <v>142</v>
      </c>
      <c r="F9" s="19" t="s">
        <v>142</v>
      </c>
      <c r="G9" s="20" t="s">
        <v>145</v>
      </c>
      <c r="H9" s="20" t="s">
        <v>146</v>
      </c>
      <c r="I9" s="19" t="s">
        <v>142</v>
      </c>
      <c r="J9" s="24" t="s">
        <v>131</v>
      </c>
      <c r="K9" s="18" t="s">
        <v>131</v>
      </c>
      <c r="L9" s="24" t="s">
        <v>131</v>
      </c>
      <c r="M9" s="26" t="s">
        <v>147</v>
      </c>
      <c r="N9" s="24" t="s">
        <v>148</v>
      </c>
      <c r="O9" s="18" t="s">
        <v>148</v>
      </c>
      <c r="P9" s="24" t="s">
        <v>149</v>
      </c>
      <c r="Q9" s="18" t="s">
        <v>149</v>
      </c>
      <c r="R9" s="24" t="s">
        <v>149</v>
      </c>
      <c r="S9" s="25" t="s">
        <v>150</v>
      </c>
    </row>
    <row r="10" spans="1:19" ht="13.5" thickBot="1">
      <c r="A10" s="2"/>
      <c r="B10" s="27"/>
      <c r="C10" s="28"/>
      <c r="D10" s="29"/>
      <c r="E10" s="29"/>
      <c r="F10" s="30"/>
      <c r="G10" s="31"/>
      <c r="H10" s="31" t="s">
        <v>151</v>
      </c>
      <c r="I10" s="30"/>
      <c r="J10" s="28" t="s">
        <v>142</v>
      </c>
      <c r="K10" s="29" t="s">
        <v>142</v>
      </c>
      <c r="L10" s="28" t="s">
        <v>142</v>
      </c>
      <c r="M10" s="32"/>
      <c r="N10" s="28"/>
      <c r="O10" s="29"/>
      <c r="P10" s="28"/>
      <c r="Q10" s="29"/>
      <c r="R10" s="28"/>
      <c r="S10" s="33" t="s">
        <v>152</v>
      </c>
    </row>
    <row r="11" spans="1:19" ht="12.75">
      <c r="A11" s="2"/>
      <c r="B11" s="34"/>
      <c r="C11" s="35"/>
      <c r="D11" s="35"/>
      <c r="E11" s="35"/>
      <c r="F11" s="36"/>
      <c r="G11" s="37"/>
      <c r="H11" s="38"/>
      <c r="I11" s="35"/>
      <c r="J11" s="36"/>
      <c r="K11" s="35"/>
      <c r="L11" s="36"/>
      <c r="M11" s="39" t="s">
        <v>153</v>
      </c>
      <c r="N11" s="37">
        <v>5230</v>
      </c>
      <c r="O11" s="40">
        <v>4920</v>
      </c>
      <c r="P11" s="37">
        <v>30130</v>
      </c>
      <c r="Q11" s="37"/>
      <c r="R11" s="40"/>
      <c r="S11" s="41">
        <f>63/0.131</f>
        <v>480.91603053435114</v>
      </c>
    </row>
    <row r="12" spans="1:19" ht="12.75">
      <c r="A12" s="2"/>
      <c r="B12" s="42"/>
      <c r="C12" s="43">
        <v>4</v>
      </c>
      <c r="D12" s="43"/>
      <c r="E12" s="43">
        <v>0.167</v>
      </c>
      <c r="F12" s="44">
        <v>2.041</v>
      </c>
      <c r="G12" s="45">
        <v>747</v>
      </c>
      <c r="H12" s="46" t="s">
        <v>154</v>
      </c>
      <c r="I12" s="43">
        <v>1.947</v>
      </c>
      <c r="J12" s="44">
        <v>2.875</v>
      </c>
      <c r="K12" s="43"/>
      <c r="L12" s="44"/>
      <c r="M12" s="47" t="s">
        <v>155</v>
      </c>
      <c r="N12" s="45">
        <v>7190</v>
      </c>
      <c r="O12" s="48">
        <v>6770</v>
      </c>
      <c r="P12" s="45">
        <v>41430</v>
      </c>
      <c r="Q12" s="45"/>
      <c r="R12" s="48"/>
      <c r="S12" s="49">
        <f>82/0.131</f>
        <v>625.9541984732824</v>
      </c>
    </row>
    <row r="13" spans="1:19" ht="12.75">
      <c r="A13" s="2"/>
      <c r="B13" s="42"/>
      <c r="C13" s="43"/>
      <c r="D13" s="43"/>
      <c r="E13" s="50">
        <v>4.24</v>
      </c>
      <c r="F13" s="44">
        <v>51.8</v>
      </c>
      <c r="G13" s="45"/>
      <c r="H13" s="46" t="s">
        <v>156</v>
      </c>
      <c r="I13" s="43">
        <v>49.45</v>
      </c>
      <c r="J13" s="44">
        <v>73.03</v>
      </c>
      <c r="K13" s="43"/>
      <c r="L13" s="44"/>
      <c r="M13" s="47" t="s">
        <v>157</v>
      </c>
      <c r="N13" s="45">
        <v>9520</v>
      </c>
      <c r="O13" s="48">
        <v>9230</v>
      </c>
      <c r="P13" s="45">
        <v>56500</v>
      </c>
      <c r="Q13" s="45"/>
      <c r="R13" s="48"/>
      <c r="S13" s="49">
        <f>108/0.131</f>
        <v>824.4274809160305</v>
      </c>
    </row>
    <row r="14" spans="1:19" ht="12.75">
      <c r="A14" s="2"/>
      <c r="B14" s="51" t="s">
        <v>158</v>
      </c>
      <c r="C14" s="43"/>
      <c r="D14" s="43"/>
      <c r="E14" s="43"/>
      <c r="F14" s="44"/>
      <c r="G14" s="45"/>
      <c r="H14" s="52"/>
      <c r="I14" s="43"/>
      <c r="J14" s="44"/>
      <c r="K14" s="43"/>
      <c r="L14" s="44"/>
      <c r="M14" s="47" t="s">
        <v>159</v>
      </c>
      <c r="N14" s="45">
        <v>9980</v>
      </c>
      <c r="O14" s="48">
        <v>9840</v>
      </c>
      <c r="P14" s="45">
        <v>60260</v>
      </c>
      <c r="Q14" s="45"/>
      <c r="R14" s="48"/>
      <c r="S14" s="49">
        <f>114/0.131</f>
        <v>870.2290076335878</v>
      </c>
    </row>
    <row r="15" spans="1:19" ht="12.75">
      <c r="A15" s="2"/>
      <c r="B15" s="53" t="s">
        <v>160</v>
      </c>
      <c r="C15" s="54"/>
      <c r="D15" s="54"/>
      <c r="E15" s="54"/>
      <c r="F15" s="55"/>
      <c r="G15" s="56"/>
      <c r="H15" s="57"/>
      <c r="I15" s="54"/>
      <c r="J15" s="55"/>
      <c r="K15" s="54"/>
      <c r="L15" s="55"/>
      <c r="M15" s="58" t="s">
        <v>153</v>
      </c>
      <c r="N15" s="56">
        <v>5890</v>
      </c>
      <c r="O15" s="59">
        <v>5600</v>
      </c>
      <c r="P15" s="56">
        <v>35960</v>
      </c>
      <c r="Q15" s="56">
        <v>52170</v>
      </c>
      <c r="R15" s="59"/>
      <c r="S15" s="60">
        <v>990</v>
      </c>
    </row>
    <row r="16" spans="1:19" ht="12.75">
      <c r="A16" s="2"/>
      <c r="B16" s="61" t="s">
        <v>161</v>
      </c>
      <c r="C16" s="43">
        <v>4.6</v>
      </c>
      <c r="D16" s="43">
        <v>4.7</v>
      </c>
      <c r="E16" s="43">
        <v>0.19</v>
      </c>
      <c r="F16" s="44">
        <v>1.99</v>
      </c>
      <c r="G16" s="45">
        <v>841</v>
      </c>
      <c r="H16" s="46" t="s">
        <v>162</v>
      </c>
      <c r="I16" s="43">
        <v>1.9</v>
      </c>
      <c r="J16" s="44">
        <v>2.87</v>
      </c>
      <c r="K16" s="43">
        <v>3.06</v>
      </c>
      <c r="L16" s="44">
        <v>2.91</v>
      </c>
      <c r="M16" s="47" t="s">
        <v>155</v>
      </c>
      <c r="N16" s="45">
        <v>8100</v>
      </c>
      <c r="O16" s="48">
        <v>7700</v>
      </c>
      <c r="P16" s="45">
        <v>49450</v>
      </c>
      <c r="Q16" s="45">
        <v>71730</v>
      </c>
      <c r="R16" s="48"/>
      <c r="S16" s="49">
        <v>1290</v>
      </c>
    </row>
    <row r="17" spans="1:19" ht="12.75">
      <c r="A17" s="2"/>
      <c r="B17" s="61"/>
      <c r="C17" s="43"/>
      <c r="D17" s="43"/>
      <c r="E17" s="43">
        <v>4.83</v>
      </c>
      <c r="F17" s="44">
        <v>50.6</v>
      </c>
      <c r="G17" s="45"/>
      <c r="H17" s="46" t="s">
        <v>163</v>
      </c>
      <c r="I17" s="43">
        <v>48.29</v>
      </c>
      <c r="J17" s="44">
        <v>73.03</v>
      </c>
      <c r="K17" s="43">
        <v>77.8</v>
      </c>
      <c r="L17" s="44">
        <v>73.91</v>
      </c>
      <c r="M17" s="47" t="s">
        <v>157</v>
      </c>
      <c r="N17" s="45">
        <v>11040</v>
      </c>
      <c r="O17" s="48">
        <v>10500</v>
      </c>
      <c r="P17" s="45">
        <v>67430</v>
      </c>
      <c r="Q17" s="45">
        <v>97820</v>
      </c>
      <c r="R17" s="48"/>
      <c r="S17" s="49">
        <v>1700</v>
      </c>
    </row>
    <row r="18" spans="1:19" ht="12.75">
      <c r="A18" s="2"/>
      <c r="B18" s="61"/>
      <c r="C18" s="43"/>
      <c r="D18" s="43"/>
      <c r="E18" s="43"/>
      <c r="F18" s="44"/>
      <c r="G18" s="45"/>
      <c r="H18" s="52"/>
      <c r="I18" s="43"/>
      <c r="J18" s="44"/>
      <c r="K18" s="43"/>
      <c r="L18" s="44"/>
      <c r="M18" s="47" t="s">
        <v>159</v>
      </c>
      <c r="N18" s="45">
        <v>11780</v>
      </c>
      <c r="O18" s="48">
        <v>11200</v>
      </c>
      <c r="P18" s="45">
        <v>71930</v>
      </c>
      <c r="Q18" s="45">
        <v>104340</v>
      </c>
      <c r="R18" s="48"/>
      <c r="S18" s="49">
        <v>1800</v>
      </c>
    </row>
    <row r="19" spans="1:19" ht="12.75">
      <c r="A19" s="2"/>
      <c r="B19" s="61"/>
      <c r="C19" s="43"/>
      <c r="D19" s="43"/>
      <c r="E19" s="43"/>
      <c r="F19" s="44"/>
      <c r="G19" s="45"/>
      <c r="H19" s="52"/>
      <c r="I19" s="43"/>
      <c r="J19" s="44"/>
      <c r="K19" s="43"/>
      <c r="L19" s="44"/>
      <c r="M19" s="47" t="s">
        <v>164</v>
      </c>
      <c r="N19" s="45">
        <v>15460</v>
      </c>
      <c r="O19" s="48">
        <v>14700</v>
      </c>
      <c r="P19" s="45">
        <v>94410</v>
      </c>
      <c r="Q19" s="45">
        <v>136940</v>
      </c>
      <c r="R19" s="48"/>
      <c r="S19" s="49">
        <v>2270</v>
      </c>
    </row>
    <row r="20" spans="1:19" ht="12.75">
      <c r="A20" s="2"/>
      <c r="B20" s="62"/>
      <c r="C20" s="63"/>
      <c r="D20" s="54"/>
      <c r="E20" s="54">
        <v>0.25</v>
      </c>
      <c r="F20" s="55">
        <v>1.87</v>
      </c>
      <c r="G20" s="56">
        <v>1092</v>
      </c>
      <c r="H20" s="64" t="s">
        <v>165</v>
      </c>
      <c r="I20" s="54">
        <v>1.77</v>
      </c>
      <c r="J20" s="55">
        <v>2.87</v>
      </c>
      <c r="K20" s="54">
        <v>3.06</v>
      </c>
      <c r="L20" s="55">
        <v>2.91</v>
      </c>
      <c r="M20" s="65" t="s">
        <v>157</v>
      </c>
      <c r="N20" s="56">
        <v>14330</v>
      </c>
      <c r="O20" s="59">
        <v>14040</v>
      </c>
      <c r="P20" s="56">
        <v>96560</v>
      </c>
      <c r="Q20" s="56">
        <v>126940</v>
      </c>
      <c r="R20" s="59"/>
      <c r="S20" s="60">
        <v>2120</v>
      </c>
    </row>
    <row r="21" spans="1:19" ht="12.75">
      <c r="A21" s="2"/>
      <c r="B21" s="62"/>
      <c r="C21" s="43">
        <v>5.8</v>
      </c>
      <c r="D21" s="43">
        <v>5.95</v>
      </c>
      <c r="E21" s="43">
        <v>6.45</v>
      </c>
      <c r="F21" s="44">
        <v>47.4</v>
      </c>
      <c r="G21" s="45"/>
      <c r="H21" s="46" t="s">
        <v>166</v>
      </c>
      <c r="I21" s="43">
        <v>45.03</v>
      </c>
      <c r="J21" s="44">
        <v>73.03</v>
      </c>
      <c r="K21" s="43">
        <v>77.8</v>
      </c>
      <c r="L21" s="44">
        <v>73.91</v>
      </c>
      <c r="M21" s="47" t="s">
        <v>159</v>
      </c>
      <c r="N21" s="45">
        <v>15280</v>
      </c>
      <c r="O21" s="48">
        <v>14970</v>
      </c>
      <c r="P21" s="45">
        <v>102990</v>
      </c>
      <c r="Q21" s="45">
        <v>135400</v>
      </c>
      <c r="R21" s="48"/>
      <c r="S21" s="49">
        <v>2240</v>
      </c>
    </row>
    <row r="22" spans="1:19" ht="13.5" thickBot="1">
      <c r="A22" s="2"/>
      <c r="B22" s="66"/>
      <c r="C22" s="67"/>
      <c r="D22" s="68"/>
      <c r="E22" s="68"/>
      <c r="F22" s="69"/>
      <c r="G22" s="70"/>
      <c r="H22" s="71"/>
      <c r="I22" s="68"/>
      <c r="J22" s="69"/>
      <c r="K22" s="68"/>
      <c r="L22" s="69"/>
      <c r="M22" s="72" t="s">
        <v>164</v>
      </c>
      <c r="N22" s="70">
        <v>20060</v>
      </c>
      <c r="O22" s="73">
        <v>19650</v>
      </c>
      <c r="P22" s="70">
        <v>135180</v>
      </c>
      <c r="Q22" s="70">
        <v>177710</v>
      </c>
      <c r="R22" s="73"/>
      <c r="S22" s="74">
        <v>2830</v>
      </c>
    </row>
    <row r="23" spans="1:19" ht="12.75">
      <c r="A23" s="2"/>
      <c r="B23" s="75"/>
      <c r="C23" s="35"/>
      <c r="D23" s="35"/>
      <c r="E23" s="35"/>
      <c r="F23" s="36"/>
      <c r="G23" s="37"/>
      <c r="H23" s="38"/>
      <c r="I23" s="35"/>
      <c r="J23" s="36"/>
      <c r="K23" s="35"/>
      <c r="L23" s="36"/>
      <c r="M23" s="76" t="s">
        <v>153</v>
      </c>
      <c r="N23" s="295">
        <v>5580</v>
      </c>
      <c r="O23" s="292">
        <v>5280</v>
      </c>
      <c r="P23" s="295">
        <v>52780</v>
      </c>
      <c r="Q23" s="291">
        <v>72480</v>
      </c>
      <c r="R23" s="40"/>
      <c r="S23" s="41">
        <v>1250</v>
      </c>
    </row>
    <row r="24" spans="1:19" ht="12.75">
      <c r="A24" s="2"/>
      <c r="B24" s="61"/>
      <c r="C24" s="43" t="s">
        <v>76</v>
      </c>
      <c r="D24" s="43"/>
      <c r="E24" s="43">
        <v>0.22</v>
      </c>
      <c r="F24" s="44">
        <v>2.44</v>
      </c>
      <c r="G24" s="45">
        <v>1169</v>
      </c>
      <c r="H24" s="46" t="s">
        <v>167</v>
      </c>
      <c r="I24" s="43">
        <v>2.35</v>
      </c>
      <c r="J24" s="44">
        <v>3.5</v>
      </c>
      <c r="K24" s="43">
        <v>3.67</v>
      </c>
      <c r="L24" s="44">
        <v>3.46</v>
      </c>
      <c r="M24" s="47" t="s">
        <v>155</v>
      </c>
      <c r="N24" s="45">
        <v>7680</v>
      </c>
      <c r="O24" s="48">
        <v>7260</v>
      </c>
      <c r="P24" s="45">
        <v>72580</v>
      </c>
      <c r="Q24" s="45">
        <v>99660</v>
      </c>
      <c r="R24" s="48"/>
      <c r="S24" s="49">
        <v>1650</v>
      </c>
    </row>
    <row r="25" spans="1:19" ht="12.75">
      <c r="A25" s="2"/>
      <c r="B25" s="61" t="s">
        <v>168</v>
      </c>
      <c r="C25" s="43">
        <v>6.4</v>
      </c>
      <c r="D25" s="43">
        <v>6.5</v>
      </c>
      <c r="E25" s="43">
        <v>5.51</v>
      </c>
      <c r="F25" s="44">
        <v>62</v>
      </c>
      <c r="G25" s="45"/>
      <c r="H25" s="46" t="s">
        <v>169</v>
      </c>
      <c r="I25" s="43">
        <v>59.61</v>
      </c>
      <c r="J25" s="44">
        <v>88.9</v>
      </c>
      <c r="K25" s="43">
        <v>93.17</v>
      </c>
      <c r="L25" s="44">
        <v>87.88</v>
      </c>
      <c r="M25" s="47" t="s">
        <v>157</v>
      </c>
      <c r="N25" s="45">
        <v>10470</v>
      </c>
      <c r="O25" s="48">
        <v>9910</v>
      </c>
      <c r="P25" s="45">
        <v>98970</v>
      </c>
      <c r="Q25" s="45">
        <v>135900</v>
      </c>
      <c r="R25" s="48"/>
      <c r="S25" s="49">
        <v>2170</v>
      </c>
    </row>
    <row r="26" spans="1:19" ht="12.75">
      <c r="A26" s="2"/>
      <c r="B26" s="77" t="s">
        <v>170</v>
      </c>
      <c r="C26" s="43"/>
      <c r="D26" s="43"/>
      <c r="E26" s="43" t="s">
        <v>76</v>
      </c>
      <c r="F26" s="44"/>
      <c r="G26" s="45"/>
      <c r="H26" s="52"/>
      <c r="I26" s="43"/>
      <c r="J26" s="44"/>
      <c r="K26" s="43"/>
      <c r="L26" s="44"/>
      <c r="M26" s="47" t="s">
        <v>159</v>
      </c>
      <c r="N26" s="45">
        <v>11160</v>
      </c>
      <c r="O26" s="48">
        <v>10570</v>
      </c>
      <c r="P26" s="45">
        <v>105570</v>
      </c>
      <c r="Q26" s="45">
        <v>144960</v>
      </c>
      <c r="R26" s="48"/>
      <c r="S26" s="49">
        <v>2300</v>
      </c>
    </row>
    <row r="27" spans="1:19" ht="12.75">
      <c r="A27" s="2"/>
      <c r="B27" s="61">
        <v>73</v>
      </c>
      <c r="C27" s="43"/>
      <c r="D27" s="43"/>
      <c r="E27" s="43"/>
      <c r="F27" s="44"/>
      <c r="G27" s="45"/>
      <c r="H27" s="52"/>
      <c r="I27" s="43"/>
      <c r="J27" s="44"/>
      <c r="K27" s="43"/>
      <c r="L27" s="44"/>
      <c r="M27" s="47" t="s">
        <v>164</v>
      </c>
      <c r="N27" s="45">
        <v>14010</v>
      </c>
      <c r="O27" s="48">
        <v>13870</v>
      </c>
      <c r="P27" s="45">
        <v>138560</v>
      </c>
      <c r="Q27" s="45">
        <v>190260</v>
      </c>
      <c r="R27" s="48"/>
      <c r="S27" s="49">
        <v>2910</v>
      </c>
    </row>
    <row r="28" spans="1:19" ht="12.75">
      <c r="A28" s="2"/>
      <c r="B28" s="61"/>
      <c r="C28" s="54"/>
      <c r="D28" s="54"/>
      <c r="E28" s="54">
        <v>0.28</v>
      </c>
      <c r="F28" s="55">
        <v>2.32</v>
      </c>
      <c r="G28" s="56">
        <v>1454</v>
      </c>
      <c r="H28" s="57"/>
      <c r="I28" s="54">
        <v>2.23</v>
      </c>
      <c r="J28" s="55">
        <v>3.5</v>
      </c>
      <c r="K28" s="54">
        <v>3.67</v>
      </c>
      <c r="L28" s="55">
        <v>3.46</v>
      </c>
      <c r="M28" s="65" t="s">
        <v>157</v>
      </c>
      <c r="N28" s="56">
        <v>13020</v>
      </c>
      <c r="O28" s="59">
        <v>12600</v>
      </c>
      <c r="P28" s="56">
        <v>132100</v>
      </c>
      <c r="Q28" s="56">
        <v>169000</v>
      </c>
      <c r="R28" s="59"/>
      <c r="S28" s="60"/>
    </row>
    <row r="29" spans="1:19" ht="12.75">
      <c r="A29" s="2"/>
      <c r="B29" s="61"/>
      <c r="C29" s="43">
        <v>7.8</v>
      </c>
      <c r="D29" s="43">
        <v>7.9</v>
      </c>
      <c r="E29" s="43">
        <v>7.01</v>
      </c>
      <c r="F29" s="44">
        <v>59</v>
      </c>
      <c r="G29" s="45"/>
      <c r="H29" s="52"/>
      <c r="I29" s="43">
        <v>56.6</v>
      </c>
      <c r="J29" s="44">
        <v>88.9</v>
      </c>
      <c r="K29" s="43">
        <v>93.17</v>
      </c>
      <c r="L29" s="44">
        <v>87.88</v>
      </c>
      <c r="M29" s="47" t="s">
        <v>159</v>
      </c>
      <c r="N29" s="45">
        <v>13890</v>
      </c>
      <c r="O29" s="48">
        <v>13440</v>
      </c>
      <c r="P29" s="45">
        <v>140900</v>
      </c>
      <c r="Q29" s="45">
        <v>180300</v>
      </c>
      <c r="R29" s="48"/>
      <c r="S29" s="49"/>
    </row>
    <row r="30" spans="1:19" ht="13.5" thickBot="1">
      <c r="A30" s="2"/>
      <c r="B30" s="78"/>
      <c r="C30" s="68"/>
      <c r="D30" s="68"/>
      <c r="E30" s="68"/>
      <c r="F30" s="69"/>
      <c r="G30" s="70"/>
      <c r="H30" s="71"/>
      <c r="I30" s="68"/>
      <c r="J30" s="69"/>
      <c r="K30" s="68"/>
      <c r="L30" s="69"/>
      <c r="M30" s="72" t="s">
        <v>164</v>
      </c>
      <c r="N30" s="70">
        <v>18220</v>
      </c>
      <c r="O30" s="73">
        <v>17640</v>
      </c>
      <c r="P30" s="70">
        <v>184900</v>
      </c>
      <c r="Q30" s="70">
        <v>236600</v>
      </c>
      <c r="R30" s="73"/>
      <c r="S30" s="74"/>
    </row>
    <row r="31" spans="1:19" ht="12.75">
      <c r="A31" s="2"/>
      <c r="B31" s="79"/>
      <c r="C31" s="35"/>
      <c r="D31" s="35"/>
      <c r="E31" s="35"/>
      <c r="F31" s="36"/>
      <c r="G31" s="37"/>
      <c r="H31" s="38"/>
      <c r="I31" s="35"/>
      <c r="J31" s="36"/>
      <c r="K31" s="35"/>
      <c r="L31" s="36"/>
      <c r="M31" s="39" t="s">
        <v>153</v>
      </c>
      <c r="N31" s="37">
        <v>4630</v>
      </c>
      <c r="O31" s="40">
        <v>4320</v>
      </c>
      <c r="P31" s="37">
        <v>65070</v>
      </c>
      <c r="Q31" s="37"/>
      <c r="R31" s="40"/>
      <c r="S31" s="41" t="s">
        <v>76</v>
      </c>
    </row>
    <row r="32" spans="1:19" ht="12.75">
      <c r="A32" s="2"/>
      <c r="B32" s="62"/>
      <c r="C32" s="43">
        <v>7.7</v>
      </c>
      <c r="D32" s="43"/>
      <c r="E32" s="43">
        <v>0.216</v>
      </c>
      <c r="F32" s="44">
        <v>3.07</v>
      </c>
      <c r="G32" s="45">
        <v>1438</v>
      </c>
      <c r="H32" s="46" t="s">
        <v>171</v>
      </c>
      <c r="I32" s="43">
        <v>2.94</v>
      </c>
      <c r="J32" s="44">
        <v>4.25</v>
      </c>
      <c r="K32" s="43"/>
      <c r="L32" s="44"/>
      <c r="M32" s="47" t="s">
        <v>155</v>
      </c>
      <c r="N32" s="45">
        <v>5970</v>
      </c>
      <c r="O32" s="48">
        <v>5940</v>
      </c>
      <c r="P32" s="45">
        <v>89470</v>
      </c>
      <c r="Q32" s="45"/>
      <c r="R32" s="48"/>
      <c r="S32" s="49" t="s">
        <v>76</v>
      </c>
    </row>
    <row r="33" spans="1:19" ht="12.75">
      <c r="A33" s="2"/>
      <c r="B33" s="62"/>
      <c r="C33" s="43"/>
      <c r="D33" s="43"/>
      <c r="E33" s="43">
        <v>5.49</v>
      </c>
      <c r="F33" s="44">
        <v>77.9</v>
      </c>
      <c r="G33" s="45"/>
      <c r="H33" s="46" t="s">
        <v>172</v>
      </c>
      <c r="I33" s="43">
        <v>74.75</v>
      </c>
      <c r="J33" s="44">
        <v>107.95</v>
      </c>
      <c r="K33" s="43"/>
      <c r="L33" s="44"/>
      <c r="M33" s="47" t="s">
        <v>157</v>
      </c>
      <c r="N33" s="45">
        <v>7540</v>
      </c>
      <c r="O33" s="48">
        <v>8100</v>
      </c>
      <c r="P33" s="45">
        <v>122010</v>
      </c>
      <c r="Q33" s="45"/>
      <c r="R33" s="48"/>
      <c r="S33" s="49" t="s">
        <v>76</v>
      </c>
    </row>
    <row r="34" spans="1:19" ht="12.75">
      <c r="A34" s="2"/>
      <c r="B34" s="62"/>
      <c r="C34" s="43"/>
      <c r="D34" s="43"/>
      <c r="E34" s="43"/>
      <c r="F34" s="44"/>
      <c r="G34" s="45"/>
      <c r="H34" s="52"/>
      <c r="I34" s="43"/>
      <c r="J34" s="44"/>
      <c r="K34" s="43"/>
      <c r="L34" s="44"/>
      <c r="M34" s="47" t="s">
        <v>159</v>
      </c>
      <c r="N34" s="45">
        <v>7870</v>
      </c>
      <c r="O34" s="48">
        <v>8640</v>
      </c>
      <c r="P34" s="45">
        <v>130140</v>
      </c>
      <c r="Q34" s="45"/>
      <c r="R34" s="48"/>
      <c r="S34" s="49" t="s">
        <v>76</v>
      </c>
    </row>
    <row r="35" spans="1:19" ht="12.75">
      <c r="A35" s="2"/>
      <c r="B35" s="61"/>
      <c r="C35" s="54"/>
      <c r="D35" s="54"/>
      <c r="E35" s="54"/>
      <c r="F35" s="55"/>
      <c r="G35" s="56"/>
      <c r="H35" s="57"/>
      <c r="I35" s="54"/>
      <c r="J35" s="55"/>
      <c r="K35" s="54"/>
      <c r="L35" s="55"/>
      <c r="M35" s="65" t="s">
        <v>153</v>
      </c>
      <c r="N35" s="56">
        <v>5380</v>
      </c>
      <c r="O35" s="59">
        <v>5080</v>
      </c>
      <c r="P35" s="56">
        <v>79540</v>
      </c>
      <c r="Q35" s="56">
        <v>103610</v>
      </c>
      <c r="R35" s="59"/>
      <c r="S35" s="60">
        <v>1730</v>
      </c>
    </row>
    <row r="36" spans="1:19" ht="12.75">
      <c r="A36" s="2"/>
      <c r="B36" s="42" t="s">
        <v>173</v>
      </c>
      <c r="C36" s="43"/>
      <c r="D36" s="43"/>
      <c r="E36" s="43"/>
      <c r="F36" s="44"/>
      <c r="G36" s="45"/>
      <c r="H36" s="52"/>
      <c r="I36" s="43"/>
      <c r="J36" s="44"/>
      <c r="K36" s="43"/>
      <c r="L36" s="44"/>
      <c r="M36" s="47" t="s">
        <v>155</v>
      </c>
      <c r="N36" s="45">
        <v>7400</v>
      </c>
      <c r="O36" s="48">
        <v>6980</v>
      </c>
      <c r="P36" s="45">
        <v>109370</v>
      </c>
      <c r="Q36" s="45">
        <v>142460</v>
      </c>
      <c r="R36" s="48"/>
      <c r="S36" s="49">
        <v>2280</v>
      </c>
    </row>
    <row r="37" spans="1:19" ht="12.75">
      <c r="A37" s="2"/>
      <c r="B37" s="80" t="s">
        <v>174</v>
      </c>
      <c r="C37" s="43">
        <v>9.2</v>
      </c>
      <c r="D37" s="43">
        <v>9.3</v>
      </c>
      <c r="E37" s="43">
        <v>0.25</v>
      </c>
      <c r="F37" s="44">
        <v>2.99</v>
      </c>
      <c r="G37" s="45">
        <v>1671</v>
      </c>
      <c r="H37" s="46" t="s">
        <v>175</v>
      </c>
      <c r="I37" s="43">
        <v>2.87</v>
      </c>
      <c r="J37" s="44">
        <v>4.25</v>
      </c>
      <c r="K37" s="43">
        <v>4.5</v>
      </c>
      <c r="L37" s="44">
        <v>4.18</v>
      </c>
      <c r="M37" s="47" t="s">
        <v>157</v>
      </c>
      <c r="N37" s="45">
        <v>10040</v>
      </c>
      <c r="O37" s="48">
        <v>9520</v>
      </c>
      <c r="P37" s="45">
        <v>149140</v>
      </c>
      <c r="Q37" s="45">
        <v>194260</v>
      </c>
      <c r="R37" s="48"/>
      <c r="S37" s="49">
        <v>3010</v>
      </c>
    </row>
    <row r="38" spans="1:19" ht="12.75">
      <c r="A38" s="2"/>
      <c r="B38" s="42">
        <v>88.9</v>
      </c>
      <c r="C38" s="43"/>
      <c r="D38" s="43"/>
      <c r="E38" s="43">
        <v>6.45</v>
      </c>
      <c r="F38" s="44">
        <v>76</v>
      </c>
      <c r="G38" s="45"/>
      <c r="H38" s="46" t="s">
        <v>176</v>
      </c>
      <c r="I38" s="43">
        <v>72.82</v>
      </c>
      <c r="J38" s="44">
        <v>107.95</v>
      </c>
      <c r="K38" s="43">
        <v>114.3</v>
      </c>
      <c r="L38" s="44">
        <v>106.17</v>
      </c>
      <c r="M38" s="47" t="s">
        <v>159</v>
      </c>
      <c r="N38" s="45">
        <v>10530</v>
      </c>
      <c r="O38" s="48">
        <v>10160</v>
      </c>
      <c r="P38" s="45">
        <v>159090</v>
      </c>
      <c r="Q38" s="45">
        <v>202220</v>
      </c>
      <c r="R38" s="48"/>
      <c r="S38" s="49">
        <v>3200</v>
      </c>
    </row>
    <row r="39" spans="1:19" ht="12.75">
      <c r="A39" s="2"/>
      <c r="B39" s="61"/>
      <c r="C39" s="43"/>
      <c r="D39" s="43"/>
      <c r="E39" s="43"/>
      <c r="F39" s="44"/>
      <c r="G39" s="45"/>
      <c r="H39" s="52"/>
      <c r="I39" s="43"/>
      <c r="J39" s="44"/>
      <c r="K39" s="43"/>
      <c r="L39" s="44"/>
      <c r="M39" s="47" t="s">
        <v>164</v>
      </c>
      <c r="N39" s="45">
        <v>13050</v>
      </c>
      <c r="O39" s="48">
        <v>13340</v>
      </c>
      <c r="P39" s="45">
        <v>208800</v>
      </c>
      <c r="Q39" s="45">
        <v>271970</v>
      </c>
      <c r="R39" s="48"/>
      <c r="S39" s="49">
        <v>4050</v>
      </c>
    </row>
    <row r="40" spans="1:19" ht="12.75">
      <c r="A40" s="2"/>
      <c r="B40" s="61"/>
      <c r="C40" s="54"/>
      <c r="D40" s="54"/>
      <c r="E40" s="54"/>
      <c r="F40" s="55"/>
      <c r="G40" s="56"/>
      <c r="H40" s="57"/>
      <c r="I40" s="54"/>
      <c r="J40" s="55"/>
      <c r="K40" s="54"/>
      <c r="L40" s="55"/>
      <c r="M40" s="65" t="s">
        <v>153</v>
      </c>
      <c r="N40" s="56">
        <v>6060</v>
      </c>
      <c r="O40" s="59">
        <v>5780</v>
      </c>
      <c r="P40" s="56">
        <v>92550</v>
      </c>
      <c r="Q40" s="56"/>
      <c r="R40" s="59"/>
      <c r="S40" s="60" t="s">
        <v>76</v>
      </c>
    </row>
    <row r="41" spans="1:19" ht="12.75">
      <c r="A41" s="2"/>
      <c r="B41" s="62"/>
      <c r="C41" s="43">
        <v>10.2</v>
      </c>
      <c r="D41" s="43"/>
      <c r="E41" s="43">
        <v>0.29</v>
      </c>
      <c r="F41" s="44">
        <v>2.92</v>
      </c>
      <c r="G41" s="45">
        <v>1881</v>
      </c>
      <c r="H41" s="46" t="s">
        <v>177</v>
      </c>
      <c r="I41" s="43">
        <v>2.78</v>
      </c>
      <c r="J41" s="44">
        <v>4.25</v>
      </c>
      <c r="K41" s="43"/>
      <c r="L41" s="44"/>
      <c r="M41" s="47" t="s">
        <v>155</v>
      </c>
      <c r="N41" s="45">
        <v>8330</v>
      </c>
      <c r="O41" s="48">
        <v>7950</v>
      </c>
      <c r="P41" s="45">
        <v>127250</v>
      </c>
      <c r="Q41" s="45"/>
      <c r="R41" s="48"/>
      <c r="S41" s="49">
        <f>230/0.131</f>
        <v>1755.7251908396945</v>
      </c>
    </row>
    <row r="42" spans="1:19" ht="12.75">
      <c r="A42" s="2"/>
      <c r="B42" s="62"/>
      <c r="C42" s="43"/>
      <c r="D42" s="43"/>
      <c r="E42" s="43">
        <v>7.34</v>
      </c>
      <c r="F42" s="44">
        <v>74.2</v>
      </c>
      <c r="G42" s="45"/>
      <c r="H42" s="46" t="s">
        <v>178</v>
      </c>
      <c r="I42" s="43">
        <v>71.04</v>
      </c>
      <c r="J42" s="44">
        <v>107.95</v>
      </c>
      <c r="K42" s="43"/>
      <c r="L42" s="44"/>
      <c r="M42" s="47" t="s">
        <v>157</v>
      </c>
      <c r="N42" s="45">
        <v>11360</v>
      </c>
      <c r="O42" s="48">
        <v>10840</v>
      </c>
      <c r="P42" s="45">
        <v>173530</v>
      </c>
      <c r="Q42" s="45"/>
      <c r="R42" s="48"/>
      <c r="S42" s="49">
        <f>305/0.131</f>
        <v>2328.2442748091603</v>
      </c>
    </row>
    <row r="43" spans="1:19" ht="13.5" thickBot="1">
      <c r="A43" s="2"/>
      <c r="B43" s="81"/>
      <c r="C43" s="82"/>
      <c r="D43" s="82"/>
      <c r="E43" s="82"/>
      <c r="F43" s="83"/>
      <c r="G43" s="84"/>
      <c r="H43" s="85"/>
      <c r="I43" s="82"/>
      <c r="J43" s="83"/>
      <c r="K43" s="82"/>
      <c r="L43" s="83"/>
      <c r="M43" s="86" t="s">
        <v>159</v>
      </c>
      <c r="N43" s="84">
        <v>12120</v>
      </c>
      <c r="O43" s="87">
        <v>11560</v>
      </c>
      <c r="P43" s="84">
        <v>185100</v>
      </c>
      <c r="Q43" s="84"/>
      <c r="R43" s="87"/>
      <c r="S43" s="88">
        <f>325/0.131</f>
        <v>2480.916030534351</v>
      </c>
    </row>
  </sheetData>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codeName="Hoja8"/>
  <dimension ref="A2:B50"/>
  <sheetViews>
    <sheetView showGridLines="0" zoomScale="90" zoomScaleNormal="90" workbookViewId="0" topLeftCell="A28">
      <selection activeCell="E12" sqref="E12"/>
    </sheetView>
  </sheetViews>
  <sheetFormatPr defaultColWidth="11.421875" defaultRowHeight="12.75"/>
  <cols>
    <col min="1" max="1" width="47.28125" style="1" customWidth="1"/>
    <col min="2" max="2" width="59.7109375" style="1" customWidth="1"/>
    <col min="3" max="16384" width="11.421875" style="1" customWidth="1"/>
  </cols>
  <sheetData>
    <row r="2" spans="1:2" ht="15">
      <c r="A2" s="89" t="s">
        <v>74</v>
      </c>
      <c r="B2" s="89" t="s">
        <v>180</v>
      </c>
    </row>
    <row r="3" spans="1:2" ht="15">
      <c r="A3" s="90"/>
      <c r="B3" s="89"/>
    </row>
    <row r="4" spans="1:2" ht="15">
      <c r="A4" s="89" t="s">
        <v>181</v>
      </c>
      <c r="B4" s="89" t="s">
        <v>182</v>
      </c>
    </row>
    <row r="6" spans="1:2" ht="15">
      <c r="A6" s="89" t="s">
        <v>183</v>
      </c>
      <c r="B6" s="89" t="s">
        <v>184</v>
      </c>
    </row>
    <row r="8" spans="1:2" ht="15">
      <c r="A8" s="89" t="s">
        <v>89</v>
      </c>
      <c r="B8" s="89" t="s">
        <v>185</v>
      </c>
    </row>
    <row r="10" spans="1:2" ht="15">
      <c r="A10" s="89" t="s">
        <v>90</v>
      </c>
      <c r="B10" s="89" t="s">
        <v>186</v>
      </c>
    </row>
    <row r="12" spans="1:2" ht="15">
      <c r="A12" s="89" t="s">
        <v>91</v>
      </c>
      <c r="B12" s="89" t="s">
        <v>187</v>
      </c>
    </row>
    <row r="14" spans="1:2" ht="15">
      <c r="A14" s="89" t="s">
        <v>188</v>
      </c>
      <c r="B14" s="89" t="s">
        <v>189</v>
      </c>
    </row>
    <row r="15" ht="15">
      <c r="A15" s="89"/>
    </row>
    <row r="16" spans="1:2" ht="15">
      <c r="A16" s="89" t="s">
        <v>190</v>
      </c>
      <c r="B16" s="89" t="s">
        <v>191</v>
      </c>
    </row>
    <row r="18" spans="1:2" ht="15">
      <c r="A18" s="89" t="s">
        <v>92</v>
      </c>
      <c r="B18" s="89" t="s">
        <v>192</v>
      </c>
    </row>
    <row r="20" spans="1:2" ht="15">
      <c r="A20" s="89" t="s">
        <v>93</v>
      </c>
      <c r="B20" s="89" t="s">
        <v>193</v>
      </c>
    </row>
    <row r="22" spans="1:2" ht="15">
      <c r="A22" s="89" t="s">
        <v>94</v>
      </c>
      <c r="B22" s="89" t="s">
        <v>194</v>
      </c>
    </row>
    <row r="24" spans="1:2" ht="15">
      <c r="A24" s="89" t="s">
        <v>95</v>
      </c>
      <c r="B24" s="89" t="s">
        <v>195</v>
      </c>
    </row>
    <row r="26" spans="1:2" ht="15">
      <c r="A26" s="89" t="s">
        <v>196</v>
      </c>
      <c r="B26" s="89" t="s">
        <v>197</v>
      </c>
    </row>
    <row r="28" spans="1:2" ht="15">
      <c r="A28" s="89" t="s">
        <v>96</v>
      </c>
      <c r="B28" s="89" t="s">
        <v>198</v>
      </c>
    </row>
    <row r="30" spans="1:2" ht="15">
      <c r="A30" s="89" t="s">
        <v>199</v>
      </c>
      <c r="B30" s="89" t="s">
        <v>200</v>
      </c>
    </row>
    <row r="32" spans="1:2" ht="15">
      <c r="A32" s="89" t="s">
        <v>201</v>
      </c>
      <c r="B32" s="89" t="s">
        <v>202</v>
      </c>
    </row>
    <row r="34" spans="1:2" ht="15">
      <c r="A34" s="89" t="s">
        <v>97</v>
      </c>
      <c r="B34" s="89" t="s">
        <v>203</v>
      </c>
    </row>
    <row r="36" spans="1:2" ht="15">
      <c r="A36" s="89" t="s">
        <v>98</v>
      </c>
      <c r="B36" s="89" t="s">
        <v>204</v>
      </c>
    </row>
    <row r="38" spans="1:2" ht="15">
      <c r="A38" s="89" t="s">
        <v>205</v>
      </c>
      <c r="B38" s="89" t="s">
        <v>206</v>
      </c>
    </row>
    <row r="40" spans="1:2" ht="15">
      <c r="A40" s="89" t="s">
        <v>99</v>
      </c>
      <c r="B40" s="89" t="s">
        <v>207</v>
      </c>
    </row>
    <row r="42" spans="1:2" ht="15">
      <c r="A42" s="89" t="s">
        <v>100</v>
      </c>
      <c r="B42" s="89" t="s">
        <v>208</v>
      </c>
    </row>
    <row r="44" spans="1:2" ht="15">
      <c r="A44" s="89" t="s">
        <v>209</v>
      </c>
      <c r="B44" s="89" t="s">
        <v>210</v>
      </c>
    </row>
    <row r="46" spans="1:2" ht="15">
      <c r="A46" s="89" t="s">
        <v>101</v>
      </c>
      <c r="B46" s="89" t="s">
        <v>211</v>
      </c>
    </row>
    <row r="48" spans="1:2" ht="15">
      <c r="A48" s="89" t="s">
        <v>212</v>
      </c>
      <c r="B48" s="89" t="s">
        <v>213</v>
      </c>
    </row>
    <row r="50" spans="1:2" ht="15">
      <c r="A50" s="89" t="s">
        <v>214</v>
      </c>
      <c r="B50" s="89" t="s">
        <v>215</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codeName="Hoja1"/>
  <dimension ref="A1:O373"/>
  <sheetViews>
    <sheetView tabSelected="1" workbookViewId="0" topLeftCell="A1">
      <selection activeCell="J323" sqref="J323"/>
    </sheetView>
  </sheetViews>
  <sheetFormatPr defaultColWidth="11.421875" defaultRowHeight="12.75"/>
  <cols>
    <col min="1" max="1" width="9.7109375" style="222" customWidth="1"/>
    <col min="2" max="2" width="11.28125" style="222" customWidth="1"/>
    <col min="3" max="3" width="10.57421875" style="222" customWidth="1"/>
    <col min="4" max="5" width="10.00390625" style="222" customWidth="1"/>
    <col min="6" max="6" width="10.57421875" style="222" customWidth="1"/>
    <col min="7" max="7" width="10.140625" style="222" customWidth="1"/>
    <col min="8" max="8" width="11.421875" style="222" customWidth="1"/>
    <col min="9" max="9" width="15.421875" style="222" customWidth="1"/>
    <col min="10" max="16384" width="11.421875" style="222" customWidth="1"/>
  </cols>
  <sheetData>
    <row r="1" spans="1:4" s="229" customFormat="1" ht="25.5">
      <c r="A1" s="228" t="s">
        <v>262</v>
      </c>
      <c r="C1" s="228">
        <f>+'1º IPR'!B1</f>
        <v>21</v>
      </c>
      <c r="D1" s="230"/>
    </row>
    <row r="2" ht="9" customHeight="1"/>
    <row r="3" spans="1:9" ht="25.5">
      <c r="A3" s="521" t="s">
        <v>264</v>
      </c>
      <c r="B3" s="521"/>
      <c r="C3" s="521"/>
      <c r="D3" s="521"/>
      <c r="E3" s="521"/>
      <c r="F3" s="521"/>
      <c r="G3" s="521"/>
      <c r="H3" s="521"/>
      <c r="I3" s="521"/>
    </row>
    <row r="4" ht="10.5" customHeight="1"/>
    <row r="5" spans="1:7" ht="15.75">
      <c r="A5" s="205" t="s">
        <v>353</v>
      </c>
      <c r="B5" s="205"/>
      <c r="C5" s="205"/>
      <c r="D5" s="205"/>
      <c r="E5" s="205"/>
      <c r="F5" s="205"/>
      <c r="G5" s="205"/>
    </row>
    <row r="6" ht="15.75">
      <c r="A6" s="202" t="s">
        <v>560</v>
      </c>
    </row>
    <row r="7" spans="1:9" ht="15.75">
      <c r="A7" s="202" t="s">
        <v>561</v>
      </c>
      <c r="I7" s="420"/>
    </row>
    <row r="8" ht="15.75">
      <c r="A8" s="202" t="s">
        <v>562</v>
      </c>
    </row>
    <row r="9" ht="15.75">
      <c r="A9" s="202" t="s">
        <v>354</v>
      </c>
    </row>
    <row r="10" ht="15.75">
      <c r="A10" s="202"/>
    </row>
    <row r="11" ht="15.75">
      <c r="A11" s="203" t="s">
        <v>356</v>
      </c>
    </row>
    <row r="12" ht="16.5" thickBot="1">
      <c r="A12" s="204" t="s">
        <v>359</v>
      </c>
    </row>
    <row r="13" spans="1:5" ht="15.75">
      <c r="A13" s="513" t="s">
        <v>300</v>
      </c>
      <c r="B13" s="506"/>
      <c r="C13" s="506"/>
      <c r="D13" s="213">
        <f>INDEX('I y II-Cálculos'!$A$4:$AB$28,$C$1,17)</f>
        <v>7</v>
      </c>
      <c r="E13" s="214" t="s">
        <v>307</v>
      </c>
    </row>
    <row r="14" spans="1:5" ht="15.75">
      <c r="A14" s="528" t="s">
        <v>350</v>
      </c>
      <c r="B14" s="529"/>
      <c r="C14" s="529"/>
      <c r="D14" s="216">
        <f>+IF(D13=7,38.73,22.34)</f>
        <v>38.73</v>
      </c>
      <c r="E14" s="215" t="s">
        <v>352</v>
      </c>
    </row>
    <row r="15" spans="1:10" ht="16.5" thickBot="1">
      <c r="A15" s="277" t="s">
        <v>389</v>
      </c>
      <c r="B15" s="278"/>
      <c r="C15" s="278"/>
      <c r="D15" s="526" t="s">
        <v>157</v>
      </c>
      <c r="E15" s="527"/>
      <c r="F15" s="259"/>
      <c r="G15" s="259"/>
      <c r="H15" s="259"/>
      <c r="I15" s="276"/>
      <c r="J15" s="225"/>
    </row>
    <row r="16" spans="1:5" ht="15.75">
      <c r="A16" s="513" t="s">
        <v>349</v>
      </c>
      <c r="B16" s="506"/>
      <c r="C16" s="506"/>
      <c r="D16" s="280">
        <v>2.875</v>
      </c>
      <c r="E16" s="214" t="s">
        <v>307</v>
      </c>
    </row>
    <row r="17" spans="1:5" ht="15.75">
      <c r="A17" s="528" t="s">
        <v>351</v>
      </c>
      <c r="B17" s="529"/>
      <c r="C17" s="529"/>
      <c r="D17" s="216">
        <f>+IF(D16=2.875,9.53,5.96)</f>
        <v>9.53</v>
      </c>
      <c r="E17" s="215" t="s">
        <v>352</v>
      </c>
    </row>
    <row r="18" spans="1:5" ht="16.5" thickBot="1">
      <c r="A18" s="277" t="s">
        <v>389</v>
      </c>
      <c r="B18" s="278"/>
      <c r="C18" s="278"/>
      <c r="D18" s="526" t="str">
        <f>+Columna!B9</f>
        <v>H-40</v>
      </c>
      <c r="E18" s="527"/>
    </row>
    <row r="19" spans="1:5" ht="15.75">
      <c r="A19" s="552" t="s">
        <v>297</v>
      </c>
      <c r="B19" s="553"/>
      <c r="C19" s="553"/>
      <c r="D19" s="279">
        <f>INDEX('I y II-Cálculos'!$A$4:$AB$28,$C$1,14)</f>
        <v>1908</v>
      </c>
      <c r="E19" s="263" t="s">
        <v>267</v>
      </c>
    </row>
    <row r="20" spans="1:5" ht="15.75">
      <c r="A20" s="528" t="s">
        <v>298</v>
      </c>
      <c r="B20" s="529"/>
      <c r="C20" s="529"/>
      <c r="D20" s="216">
        <f>INDEX('I y II-Cálculos'!$A$4:$AB$28,$C$1,15)</f>
        <v>1914</v>
      </c>
      <c r="E20" s="215" t="s">
        <v>267</v>
      </c>
    </row>
    <row r="21" spans="1:5" ht="15.75">
      <c r="A21" s="528" t="s">
        <v>299</v>
      </c>
      <c r="B21" s="529"/>
      <c r="C21" s="529"/>
      <c r="D21" s="219">
        <f>INDEX('I y II-Cálculos'!$A$4:$AB$28,$C$1,16)</f>
        <v>1911</v>
      </c>
      <c r="E21" s="215" t="s">
        <v>267</v>
      </c>
    </row>
    <row r="22" spans="1:5" ht="15.75">
      <c r="A22" s="528" t="s">
        <v>360</v>
      </c>
      <c r="B22" s="529"/>
      <c r="C22" s="529"/>
      <c r="D22" s="220">
        <f>INDEX('I y II-Cálculos'!$A$4:$AB$28,$C$1,13)</f>
        <v>1950</v>
      </c>
      <c r="E22" s="215" t="s">
        <v>361</v>
      </c>
    </row>
    <row r="23" spans="1:5" ht="16.5" thickBot="1">
      <c r="A23" s="534" t="s">
        <v>355</v>
      </c>
      <c r="B23" s="535"/>
      <c r="C23" s="535"/>
      <c r="D23" s="217">
        <f>+'Separador de gas'!B3</f>
        <v>1914</v>
      </c>
      <c r="E23" s="218" t="s">
        <v>267</v>
      </c>
    </row>
    <row r="24" spans="2:3" s="225" customFormat="1" ht="10.5" customHeight="1">
      <c r="B24" s="259"/>
      <c r="C24" s="259"/>
    </row>
    <row r="25" spans="1:3" s="225" customFormat="1" ht="16.5" thickBot="1">
      <c r="A25" s="204" t="s">
        <v>358</v>
      </c>
      <c r="B25" s="259"/>
      <c r="C25" s="259"/>
    </row>
    <row r="26" spans="1:5" ht="15.75">
      <c r="A26" s="507" t="s">
        <v>382</v>
      </c>
      <c r="B26" s="508"/>
      <c r="C26" s="503"/>
      <c r="D26" s="237">
        <f>+'Presiones de casing'!C3/14.2233</f>
        <v>10</v>
      </c>
      <c r="E26" s="214" t="s">
        <v>69</v>
      </c>
    </row>
    <row r="27" spans="1:5" ht="16.5" customHeight="1">
      <c r="A27" s="209" t="s">
        <v>377</v>
      </c>
      <c r="B27" s="258"/>
      <c r="C27" s="258"/>
      <c r="D27" s="216">
        <f>INDEX('I y II-Cálculos'!$A$4:$AB$28,$C$1,2)</f>
        <v>15</v>
      </c>
      <c r="E27" s="215" t="s">
        <v>365</v>
      </c>
    </row>
    <row r="28" spans="1:5" ht="15.75">
      <c r="A28" s="510" t="s">
        <v>87</v>
      </c>
      <c r="B28" s="511"/>
      <c r="C28" s="512"/>
      <c r="D28" s="219">
        <f>INDEX('I y II-Cálculos'!$A$4:$AB$28,$C$1,23)</f>
        <v>1578.4851085487828</v>
      </c>
      <c r="E28" s="215" t="s">
        <v>267</v>
      </c>
    </row>
    <row r="29" spans="1:9" ht="18.75">
      <c r="A29" s="510" t="s">
        <v>302</v>
      </c>
      <c r="B29" s="511"/>
      <c r="C29" s="512"/>
      <c r="D29" s="216">
        <f>INDEX('I y II-Cálculos'!$A$4:$AB$28,$C$1,7)</f>
        <v>30</v>
      </c>
      <c r="E29" s="215" t="s">
        <v>363</v>
      </c>
      <c r="F29" s="533"/>
      <c r="G29" s="533"/>
      <c r="H29" s="533"/>
      <c r="I29" s="261"/>
    </row>
    <row r="30" spans="1:9" ht="15.75">
      <c r="A30" s="510" t="s">
        <v>312</v>
      </c>
      <c r="B30" s="511"/>
      <c r="C30" s="512"/>
      <c r="D30" s="219">
        <f>INDEX('I y II-Cálculos'!$A$4:$AB$28,$C$1,22)</f>
        <v>691.7787313455372</v>
      </c>
      <c r="E30" s="215" t="s">
        <v>267</v>
      </c>
      <c r="F30" s="533"/>
      <c r="G30" s="533"/>
      <c r="H30" s="533"/>
      <c r="I30" s="262"/>
    </row>
    <row r="31" spans="1:5" ht="18.75">
      <c r="A31" s="510" t="s">
        <v>301</v>
      </c>
      <c r="B31" s="511"/>
      <c r="C31" s="512"/>
      <c r="D31" s="216">
        <f>INDEX('I y II-Cálculos'!$A$4:$AB$28,$C$1,6)</f>
        <v>110</v>
      </c>
      <c r="E31" s="215" t="s">
        <v>363</v>
      </c>
    </row>
    <row r="32" spans="1:5" ht="15.75">
      <c r="A32" s="510" t="s">
        <v>303</v>
      </c>
      <c r="B32" s="511"/>
      <c r="C32" s="512"/>
      <c r="D32" s="267">
        <f>20*1.8+32</f>
        <v>68</v>
      </c>
      <c r="E32" s="215" t="s">
        <v>179</v>
      </c>
    </row>
    <row r="33" spans="1:5" ht="15.75">
      <c r="A33" s="510" t="s">
        <v>311</v>
      </c>
      <c r="B33" s="511"/>
      <c r="C33" s="512"/>
      <c r="D33" s="266">
        <f>INDEX('I y II-Cálculos'!$A$4:$AB$28,$C$1,18)</f>
        <v>171.194</v>
      </c>
      <c r="E33" s="263" t="s">
        <v>179</v>
      </c>
    </row>
    <row r="34" spans="1:5" ht="18.75">
      <c r="A34" s="510" t="s">
        <v>294</v>
      </c>
      <c r="B34" s="511"/>
      <c r="C34" s="512"/>
      <c r="D34" s="220">
        <f>INDEX('I y II-Cálculos'!$A$4:$AB$28,$C$1,11)</f>
        <v>68</v>
      </c>
      <c r="E34" s="215" t="s">
        <v>364</v>
      </c>
    </row>
    <row r="35" spans="1:5" ht="18.75">
      <c r="A35" s="525" t="s">
        <v>291</v>
      </c>
      <c r="B35" s="509"/>
      <c r="C35" s="509"/>
      <c r="D35" s="223">
        <f>+'1º IPR'!B10</f>
        <v>80.94371631572008</v>
      </c>
      <c r="E35" s="215" t="s">
        <v>364</v>
      </c>
    </row>
    <row r="36" spans="1:5" ht="16.5" thickBot="1">
      <c r="A36" s="550" t="s">
        <v>378</v>
      </c>
      <c r="B36" s="551"/>
      <c r="C36" s="551"/>
      <c r="D36" s="217">
        <f>+'1º IPR'!B4</f>
        <v>16</v>
      </c>
      <c r="E36" s="218" t="s">
        <v>67</v>
      </c>
    </row>
    <row r="37" ht="10.5" customHeight="1"/>
    <row r="38" ht="16.5" thickBot="1">
      <c r="A38" s="221" t="s">
        <v>379</v>
      </c>
    </row>
    <row r="39" spans="1:5" ht="15.75">
      <c r="A39" s="530" t="s">
        <v>317</v>
      </c>
      <c r="B39" s="531"/>
      <c r="C39" s="531"/>
      <c r="D39" s="213">
        <f>INDEX('I y II-Cálculos'!$A$4:$AB$28,$C$1,8)</f>
        <v>30</v>
      </c>
      <c r="E39" s="214" t="s">
        <v>250</v>
      </c>
    </row>
    <row r="40" spans="1:5" ht="15.75">
      <c r="A40" s="255" t="s">
        <v>286</v>
      </c>
      <c r="B40" s="210"/>
      <c r="C40" s="210"/>
      <c r="D40" s="224">
        <f>INDEX('I y II-Cálculos'!$A$4:$AB$28,$C$1,19)</f>
        <v>0.8761609907120743</v>
      </c>
      <c r="E40" s="215" t="s">
        <v>86</v>
      </c>
    </row>
    <row r="41" spans="1:5" ht="15.75">
      <c r="A41" s="255" t="s">
        <v>308</v>
      </c>
      <c r="B41" s="210"/>
      <c r="C41" s="210"/>
      <c r="D41" s="216">
        <f>INDEX('I y II-Cálculos'!$A$4:$AB$28,$C$1,20)</f>
        <v>1.039</v>
      </c>
      <c r="E41" s="215" t="s">
        <v>86</v>
      </c>
    </row>
    <row r="42" spans="1:5" ht="15.75">
      <c r="A42" s="231" t="s">
        <v>313</v>
      </c>
      <c r="B42" s="210"/>
      <c r="C42" s="210"/>
      <c r="D42" s="224">
        <f>INDEX('I y II-Cálculos'!$A$4:$AB$28,$C$1,21)</f>
        <v>0.9022152321981425</v>
      </c>
      <c r="E42" s="215" t="s">
        <v>86</v>
      </c>
    </row>
    <row r="43" spans="1:5" ht="15.75">
      <c r="A43" s="504" t="s">
        <v>296</v>
      </c>
      <c r="B43" s="505"/>
      <c r="C43" s="505"/>
      <c r="D43" s="216">
        <f>INDEX('I y II-Cálculos'!$A$4:$AB$28,$C$1,10)</f>
        <v>39</v>
      </c>
      <c r="E43" s="215" t="s">
        <v>305</v>
      </c>
    </row>
    <row r="44" spans="1:5" ht="15.75">
      <c r="A44" s="255" t="s">
        <v>316</v>
      </c>
      <c r="B44" s="210"/>
      <c r="C44" s="210"/>
      <c r="D44" s="216">
        <f>INDEX('I y II-Cálculos'!$A$4:$AB$28,$C$1,9)</f>
        <v>29</v>
      </c>
      <c r="E44" s="215" t="s">
        <v>306</v>
      </c>
    </row>
    <row r="45" spans="1:5" ht="18.75">
      <c r="A45" s="523" t="s">
        <v>362</v>
      </c>
      <c r="B45" s="524"/>
      <c r="C45" s="524"/>
      <c r="D45" s="264">
        <f>+'1º IPR'!B5</f>
        <v>155.69751939656967</v>
      </c>
      <c r="E45" s="265" t="s">
        <v>363</v>
      </c>
    </row>
    <row r="46" spans="1:5" ht="15.75">
      <c r="A46" s="504" t="s">
        <v>295</v>
      </c>
      <c r="B46" s="505"/>
      <c r="C46" s="505"/>
      <c r="D46" s="216">
        <f>INDEX('I y II-Cálculos'!$A$4:$AB$28,$C$1,12)</f>
        <v>4</v>
      </c>
      <c r="E46" s="215" t="s">
        <v>304</v>
      </c>
    </row>
    <row r="47" spans="1:5" ht="16.5" thickBot="1">
      <c r="A47" s="212" t="s">
        <v>309</v>
      </c>
      <c r="B47" s="260"/>
      <c r="C47" s="260"/>
      <c r="D47" s="217">
        <f>+'I y II-Cálculos'!B1</f>
        <v>0.75</v>
      </c>
      <c r="E47" s="218" t="s">
        <v>86</v>
      </c>
    </row>
    <row r="48" ht="9.75" customHeight="1"/>
    <row r="49" ht="16.5" thickBot="1">
      <c r="A49" s="204" t="s">
        <v>380</v>
      </c>
    </row>
    <row r="50" spans="1:5" ht="15.75">
      <c r="A50" s="507" t="s">
        <v>25</v>
      </c>
      <c r="B50" s="508"/>
      <c r="C50" s="532"/>
      <c r="D50" s="225"/>
      <c r="E50" s="225"/>
    </row>
    <row r="51" spans="1:5" ht="16.5" thickBot="1">
      <c r="A51" s="233" t="s">
        <v>26</v>
      </c>
      <c r="B51" s="211"/>
      <c r="C51" s="303"/>
      <c r="D51" s="225"/>
      <c r="E51" s="225"/>
    </row>
    <row r="53" ht="15.75">
      <c r="A53" s="226" t="s">
        <v>366</v>
      </c>
    </row>
    <row r="54" ht="15.75">
      <c r="A54" s="221" t="s">
        <v>384</v>
      </c>
    </row>
    <row r="55" spans="1:9" ht="15.75" customHeight="1">
      <c r="A55" s="522" t="s">
        <v>563</v>
      </c>
      <c r="B55" s="522"/>
      <c r="C55" s="522"/>
      <c r="D55" s="522"/>
      <c r="E55" s="522"/>
      <c r="F55" s="522"/>
      <c r="G55" s="522"/>
      <c r="H55" s="522"/>
      <c r="I55" s="522"/>
    </row>
    <row r="56" spans="1:9" ht="15.75">
      <c r="A56" s="522"/>
      <c r="B56" s="522"/>
      <c r="C56" s="522"/>
      <c r="D56" s="522"/>
      <c r="E56" s="522"/>
      <c r="F56" s="522"/>
      <c r="G56" s="522"/>
      <c r="H56" s="522"/>
      <c r="I56" s="522"/>
    </row>
    <row r="57" spans="1:9" ht="31.5" customHeight="1">
      <c r="A57" s="518" t="s">
        <v>367</v>
      </c>
      <c r="B57" s="518"/>
      <c r="C57" s="518"/>
      <c r="D57" s="518"/>
      <c r="E57" s="518"/>
      <c r="F57" s="518"/>
      <c r="G57" s="518"/>
      <c r="H57" s="518"/>
      <c r="I57" s="518"/>
    </row>
    <row r="58" spans="1:9" ht="18.75" customHeight="1">
      <c r="A58" s="518" t="s">
        <v>385</v>
      </c>
      <c r="B58" s="518"/>
      <c r="C58" s="518"/>
      <c r="D58" s="518"/>
      <c r="E58" s="518"/>
      <c r="F58" s="518"/>
      <c r="G58" s="518"/>
      <c r="H58" s="518"/>
      <c r="I58" s="518"/>
    </row>
    <row r="59" spans="1:9" ht="15.75">
      <c r="A59" s="518"/>
      <c r="B59" s="518"/>
      <c r="C59" s="518"/>
      <c r="D59" s="518"/>
      <c r="E59" s="518"/>
      <c r="F59" s="518"/>
      <c r="G59" s="518"/>
      <c r="H59" s="518"/>
      <c r="I59" s="518"/>
    </row>
    <row r="60" spans="1:9" ht="15.75">
      <c r="A60" s="518"/>
      <c r="B60" s="518"/>
      <c r="C60" s="518"/>
      <c r="D60" s="518"/>
      <c r="E60" s="518"/>
      <c r="F60" s="518"/>
      <c r="G60" s="518"/>
      <c r="H60" s="518"/>
      <c r="I60" s="518"/>
    </row>
    <row r="61" spans="1:9" ht="21" customHeight="1">
      <c r="A61" s="518"/>
      <c r="B61" s="518"/>
      <c r="C61" s="518"/>
      <c r="D61" s="518"/>
      <c r="E61" s="518"/>
      <c r="F61" s="518"/>
      <c r="G61" s="518"/>
      <c r="H61" s="518"/>
      <c r="I61" s="518"/>
    </row>
    <row r="65" ht="10.5" customHeight="1"/>
    <row r="66" spans="1:9" ht="15.75">
      <c r="A66" s="519" t="s">
        <v>386</v>
      </c>
      <c r="B66" s="519"/>
      <c r="C66" s="519"/>
      <c r="D66" s="519"/>
      <c r="E66" s="519"/>
      <c r="F66" s="519"/>
      <c r="G66" s="519"/>
      <c r="H66" s="519"/>
      <c r="I66" s="519"/>
    </row>
    <row r="67" spans="1:9" ht="15.75">
      <c r="A67" s="519"/>
      <c r="B67" s="519"/>
      <c r="C67" s="519"/>
      <c r="D67" s="519"/>
      <c r="E67" s="519"/>
      <c r="F67" s="519"/>
      <c r="G67" s="519"/>
      <c r="H67" s="519"/>
      <c r="I67" s="519"/>
    </row>
    <row r="68" spans="1:8" ht="15.75">
      <c r="A68" s="227"/>
      <c r="B68" s="227"/>
      <c r="C68" s="227"/>
      <c r="D68" s="227"/>
      <c r="E68" s="227"/>
      <c r="F68" s="227"/>
      <c r="G68" s="227"/>
      <c r="H68" s="227"/>
    </row>
    <row r="69" spans="1:8" ht="15.75">
      <c r="A69" s="227"/>
      <c r="B69" s="227"/>
      <c r="C69" s="227"/>
      <c r="D69" s="227"/>
      <c r="E69" s="227"/>
      <c r="F69" s="227"/>
      <c r="G69" s="227"/>
      <c r="H69" s="227"/>
    </row>
    <row r="72" spans="1:8" ht="15.75">
      <c r="A72" s="227"/>
      <c r="B72" s="227"/>
      <c r="C72" s="227"/>
      <c r="D72" s="227"/>
      <c r="E72" s="227"/>
      <c r="F72" s="227"/>
      <c r="G72" s="227"/>
      <c r="H72" s="227"/>
    </row>
    <row r="73" spans="1:8" ht="15.75">
      <c r="A73" s="227"/>
      <c r="B73" s="227"/>
      <c r="C73" s="227"/>
      <c r="D73" s="227"/>
      <c r="E73" s="227"/>
      <c r="F73" s="227"/>
      <c r="G73" s="227"/>
      <c r="H73" s="227"/>
    </row>
    <row r="74" spans="1:8" ht="6.75" customHeight="1">
      <c r="A74" s="227"/>
      <c r="B74" s="227"/>
      <c r="C74" s="227"/>
      <c r="D74" s="227"/>
      <c r="E74" s="227"/>
      <c r="F74" s="227"/>
      <c r="G74" s="227"/>
      <c r="H74" s="227"/>
    </row>
    <row r="75" spans="1:9" ht="15.75">
      <c r="A75" s="519" t="s">
        <v>387</v>
      </c>
      <c r="B75" s="519"/>
      <c r="C75" s="519"/>
      <c r="D75" s="519"/>
      <c r="E75" s="519"/>
      <c r="F75" s="519"/>
      <c r="G75" s="519"/>
      <c r="H75" s="519"/>
      <c r="I75" s="519"/>
    </row>
    <row r="76" spans="1:9" ht="15.75">
      <c r="A76" s="519"/>
      <c r="B76" s="519"/>
      <c r="C76" s="519"/>
      <c r="D76" s="519"/>
      <c r="E76" s="519"/>
      <c r="F76" s="519"/>
      <c r="G76" s="519"/>
      <c r="H76" s="519"/>
      <c r="I76" s="519"/>
    </row>
    <row r="77" spans="1:9" ht="15.75">
      <c r="A77" s="519"/>
      <c r="B77" s="519"/>
      <c r="C77" s="519"/>
      <c r="D77" s="519"/>
      <c r="E77" s="519"/>
      <c r="F77" s="519"/>
      <c r="G77" s="519"/>
      <c r="H77" s="519"/>
      <c r="I77" s="519"/>
    </row>
    <row r="78" ht="11.25" customHeight="1" thickBot="1"/>
    <row r="79" spans="1:9" ht="19.5" thickBot="1">
      <c r="A79" s="530" t="s">
        <v>310</v>
      </c>
      <c r="B79" s="531"/>
      <c r="C79" s="232">
        <f>INDEX('I y II-Cálculos'!$A$4:$AB$28,$C$1,28)</f>
        <v>16.93097014925373</v>
      </c>
      <c r="D79" s="257" t="s">
        <v>365</v>
      </c>
      <c r="E79" s="259"/>
      <c r="G79" s="539" t="str">
        <f>'1º IPR'!E3</f>
        <v>Datos de ensayo</v>
      </c>
      <c r="H79" s="540"/>
      <c r="I79" s="541"/>
    </row>
    <row r="80" spans="1:9" ht="15.75">
      <c r="A80" s="504" t="s">
        <v>383</v>
      </c>
      <c r="B80" s="505"/>
      <c r="C80" s="544">
        <f>INDEX('I y II-Cálculos'!$A$4:$AB$28,$C$1,27)</f>
        <v>0.1875</v>
      </c>
      <c r="D80" s="545"/>
      <c r="E80" s="225"/>
      <c r="G80" s="448" t="s">
        <v>70</v>
      </c>
      <c r="H80" s="449" t="str">
        <f>'1º IPR'!G5</f>
        <v>Pwf</v>
      </c>
      <c r="I80" s="234" t="s">
        <v>87</v>
      </c>
    </row>
    <row r="81" spans="1:9" ht="19.5" thickBot="1">
      <c r="A81" s="542" t="s">
        <v>301</v>
      </c>
      <c r="B81" s="543"/>
      <c r="C81" s="217">
        <f>INDEX('I y II-Cálculos'!$A$4:$AB$28,$C$1,6)</f>
        <v>110</v>
      </c>
      <c r="D81" s="275" t="s">
        <v>363</v>
      </c>
      <c r="E81" s="259"/>
      <c r="G81" s="356" t="str">
        <f>'1º IPR'!E6</f>
        <v>mcd</v>
      </c>
      <c r="H81" s="450" t="str">
        <f>'1º IPR'!G6</f>
        <v>kg/cm2</v>
      </c>
      <c r="I81" s="236" t="str">
        <f>'1º IPR'!F6</f>
        <v>mbbp</v>
      </c>
    </row>
    <row r="82" spans="1:9" ht="18.75">
      <c r="A82" s="252" t="s">
        <v>292</v>
      </c>
      <c r="B82" s="208"/>
      <c r="C82" s="237">
        <f>+'Separador de gas'!B19</f>
        <v>15</v>
      </c>
      <c r="D82" s="257" t="s">
        <v>365</v>
      </c>
      <c r="E82" s="259"/>
      <c r="G82" s="445">
        <f>'1º IPR'!E7</f>
        <v>0</v>
      </c>
      <c r="H82" s="446">
        <f>'1º IPR'!G7</f>
        <v>110</v>
      </c>
      <c r="I82" s="447">
        <f>'1º IPR'!F7</f>
        <v>691.7787313455372</v>
      </c>
    </row>
    <row r="83" spans="1:9" ht="19.5" thickBot="1">
      <c r="A83" s="233" t="s">
        <v>87</v>
      </c>
      <c r="B83" s="211"/>
      <c r="C83" s="238">
        <f>+'Separador de gas'!B5</f>
        <v>1578.4851085487828</v>
      </c>
      <c r="D83" s="275" t="s">
        <v>363</v>
      </c>
      <c r="E83" s="259"/>
      <c r="G83" s="442">
        <f>'1º IPR'!E8</f>
        <v>15</v>
      </c>
      <c r="H83" s="443">
        <f>'1º IPR'!G8</f>
        <v>30</v>
      </c>
      <c r="I83" s="444">
        <f>'1º IPR'!F8</f>
        <v>1578.4851085487828</v>
      </c>
    </row>
    <row r="84" ht="6" customHeight="1"/>
    <row r="99" ht="9.75" customHeight="1"/>
    <row r="100" ht="9.75" customHeight="1"/>
    <row r="101" ht="9.75" customHeight="1"/>
    <row r="102" ht="22.5" customHeight="1"/>
    <row r="103" spans="1:9" ht="66" customHeight="1">
      <c r="A103" s="519" t="s">
        <v>391</v>
      </c>
      <c r="B103" s="519"/>
      <c r="C103" s="519"/>
      <c r="D103" s="519"/>
      <c r="E103" s="519"/>
      <c r="F103" s="519"/>
      <c r="G103" s="519"/>
      <c r="H103" s="519"/>
      <c r="I103" s="519"/>
    </row>
    <row r="104" spans="1:9" ht="15.75">
      <c r="A104" s="519" t="s">
        <v>390</v>
      </c>
      <c r="B104" s="519"/>
      <c r="C104" s="519"/>
      <c r="D104" s="519"/>
      <c r="E104" s="519"/>
      <c r="F104" s="519"/>
      <c r="G104" s="519"/>
      <c r="H104" s="519"/>
      <c r="I104" s="519"/>
    </row>
    <row r="105" spans="1:9" ht="15.75">
      <c r="A105" s="282"/>
      <c r="B105" s="282"/>
      <c r="C105" s="282"/>
      <c r="D105" s="282"/>
      <c r="E105" s="282"/>
      <c r="F105" s="282"/>
      <c r="G105" s="282"/>
      <c r="H105" s="282"/>
      <c r="I105" s="282"/>
    </row>
    <row r="106" spans="1:9" ht="15.75">
      <c r="A106" s="226" t="s">
        <v>446</v>
      </c>
      <c r="B106" s="282"/>
      <c r="C106" s="282"/>
      <c r="D106" s="282"/>
      <c r="E106" s="282"/>
      <c r="F106" s="282"/>
      <c r="G106" s="282"/>
      <c r="H106" s="282"/>
      <c r="I106" s="282"/>
    </row>
    <row r="107" spans="1:9" ht="15.75">
      <c r="A107" s="285" t="s">
        <v>392</v>
      </c>
      <c r="B107" s="283"/>
      <c r="C107" s="283"/>
      <c r="D107" s="283"/>
      <c r="E107" s="283"/>
      <c r="F107" s="283"/>
      <c r="G107" s="283"/>
      <c r="H107" s="283"/>
      <c r="I107" s="283"/>
    </row>
    <row r="108" spans="1:9" ht="113.25" customHeight="1">
      <c r="A108" s="518" t="s">
        <v>565</v>
      </c>
      <c r="B108" s="518"/>
      <c r="C108" s="518"/>
      <c r="D108" s="518"/>
      <c r="E108" s="518"/>
      <c r="F108" s="518"/>
      <c r="G108" s="518"/>
      <c r="H108" s="518"/>
      <c r="I108" s="518"/>
    </row>
    <row r="109" spans="1:9" ht="15.75">
      <c r="A109" s="286" t="s">
        <v>0</v>
      </c>
      <c r="B109" s="281"/>
      <c r="C109" s="281"/>
      <c r="D109" s="281"/>
      <c r="E109" s="281"/>
      <c r="F109" s="281"/>
      <c r="G109" s="281"/>
      <c r="H109" s="281"/>
      <c r="I109" s="281"/>
    </row>
    <row r="110" spans="1:9" ht="99" customHeight="1" thickBot="1">
      <c r="A110" s="518" t="s">
        <v>1</v>
      </c>
      <c r="B110" s="518"/>
      <c r="C110" s="518"/>
      <c r="D110" s="518"/>
      <c r="E110" s="518"/>
      <c r="F110" s="518"/>
      <c r="G110" s="518"/>
      <c r="H110" s="518"/>
      <c r="I110" s="518"/>
    </row>
    <row r="111" spans="1:9" ht="16.5" thickBot="1">
      <c r="A111" s="281"/>
      <c r="B111" s="281"/>
      <c r="C111" s="554" t="s">
        <v>22</v>
      </c>
      <c r="D111" s="555"/>
      <c r="E111" s="555"/>
      <c r="F111" s="555"/>
      <c r="G111" s="556"/>
      <c r="H111" s="281"/>
      <c r="I111" s="281"/>
    </row>
    <row r="112" spans="1:9" ht="15.75">
      <c r="A112" s="281"/>
      <c r="B112" s="281"/>
      <c r="C112" s="312" t="s">
        <v>393</v>
      </c>
      <c r="D112" s="313"/>
      <c r="E112" s="313"/>
      <c r="F112" s="395">
        <f>+Columna!B14</f>
        <v>52780</v>
      </c>
      <c r="G112" s="396" t="s">
        <v>18</v>
      </c>
      <c r="H112" s="281"/>
      <c r="I112" s="281"/>
    </row>
    <row r="113" spans="1:9" ht="15.75">
      <c r="A113" s="281"/>
      <c r="B113" s="281"/>
      <c r="C113" s="231" t="s">
        <v>475</v>
      </c>
      <c r="D113" s="210"/>
      <c r="E113" s="210"/>
      <c r="F113" s="397">
        <f>+Columna!B15</f>
        <v>40188.97637795276</v>
      </c>
      <c r="G113" s="398" t="s">
        <v>18</v>
      </c>
      <c r="H113" s="281"/>
      <c r="I113" s="281"/>
    </row>
    <row r="114" spans="1:9" ht="15.75">
      <c r="A114" s="281"/>
      <c r="B114" s="281"/>
      <c r="C114" s="510" t="s">
        <v>13</v>
      </c>
      <c r="D114" s="511"/>
      <c r="E114" s="512"/>
      <c r="F114" s="399">
        <f>+Columna!B17</f>
        <v>5580</v>
      </c>
      <c r="G114" s="398" t="s">
        <v>17</v>
      </c>
      <c r="H114" s="281"/>
      <c r="I114" s="281"/>
    </row>
    <row r="115" spans="1:9" ht="16.5" thickBot="1">
      <c r="A115" s="281"/>
      <c r="B115" s="281"/>
      <c r="C115" s="233" t="s">
        <v>475</v>
      </c>
      <c r="D115" s="301"/>
      <c r="E115" s="302"/>
      <c r="F115" s="400">
        <f>+Columna!B18</f>
        <v>2453.155184603008</v>
      </c>
      <c r="G115" s="401" t="s">
        <v>17</v>
      </c>
      <c r="H115" s="281"/>
      <c r="I115" s="281"/>
    </row>
    <row r="116" spans="1:9" ht="6" customHeight="1" thickBot="1">
      <c r="A116" s="281"/>
      <c r="B116" s="281"/>
      <c r="C116" s="284"/>
      <c r="D116" s="281"/>
      <c r="E116" s="298"/>
      <c r="F116" s="299"/>
      <c r="H116" s="281"/>
      <c r="I116" s="281"/>
    </row>
    <row r="117" spans="1:9" ht="15.75">
      <c r="A117" s="281"/>
      <c r="B117" s="281"/>
      <c r="C117" s="305" t="s">
        <v>21</v>
      </c>
      <c r="D117" s="306"/>
      <c r="E117" s="308">
        <f>+Columna!B4</f>
        <v>2.875</v>
      </c>
      <c r="F117" s="309" t="s">
        <v>307</v>
      </c>
      <c r="H117" s="281"/>
      <c r="I117" s="281"/>
    </row>
    <row r="118" spans="1:9" ht="15.75">
      <c r="A118" s="281"/>
      <c r="B118" s="281"/>
      <c r="C118" s="307" t="s">
        <v>5</v>
      </c>
      <c r="D118" s="300"/>
      <c r="E118" s="310">
        <f>+Columna!B6</f>
        <v>2.44</v>
      </c>
      <c r="F118" s="311" t="s">
        <v>307</v>
      </c>
      <c r="H118" s="281"/>
      <c r="I118" s="281"/>
    </row>
    <row r="119" spans="1:9" ht="15.75">
      <c r="A119" s="281"/>
      <c r="B119" s="281"/>
      <c r="C119" s="510" t="s">
        <v>374</v>
      </c>
      <c r="D119" s="512"/>
      <c r="E119" s="546" t="str">
        <f>+Columna!B9</f>
        <v>H-40</v>
      </c>
      <c r="F119" s="547"/>
      <c r="H119" s="281"/>
      <c r="I119" s="281"/>
    </row>
    <row r="120" spans="1:9" ht="15.75">
      <c r="A120" s="281"/>
      <c r="B120" s="281"/>
      <c r="C120" s="510" t="s">
        <v>559</v>
      </c>
      <c r="D120" s="512"/>
      <c r="E120" s="310">
        <f>+Columna!B10</f>
        <v>6.4</v>
      </c>
      <c r="F120" s="311" t="s">
        <v>14</v>
      </c>
      <c r="H120" s="281"/>
      <c r="I120" s="281"/>
    </row>
    <row r="121" spans="1:9" ht="15.75">
      <c r="A121" s="254"/>
      <c r="B121" s="254"/>
      <c r="C121" s="231" t="s">
        <v>23</v>
      </c>
      <c r="D121" s="210"/>
      <c r="E121" s="220">
        <f>+Columna!B11</f>
        <v>1914</v>
      </c>
      <c r="F121" s="215" t="s">
        <v>64</v>
      </c>
      <c r="G121" s="254"/>
      <c r="H121" s="254"/>
      <c r="I121" s="254"/>
    </row>
    <row r="122" spans="1:9" ht="16.5" thickBot="1">
      <c r="A122" s="254"/>
      <c r="B122" s="254"/>
      <c r="C122" s="233" t="s">
        <v>10</v>
      </c>
      <c r="D122" s="211"/>
      <c r="E122" s="548">
        <f>+Columna!B12</f>
        <v>212.66666666666666</v>
      </c>
      <c r="F122" s="549"/>
      <c r="G122" s="254"/>
      <c r="H122" s="254"/>
      <c r="I122" s="254"/>
    </row>
    <row r="123" spans="1:9" ht="15.75">
      <c r="A123" s="254"/>
      <c r="B123" s="254"/>
      <c r="C123" s="179"/>
      <c r="D123" s="225"/>
      <c r="E123" s="256"/>
      <c r="F123" s="256"/>
      <c r="G123" s="254"/>
      <c r="H123" s="254"/>
      <c r="I123" s="254"/>
    </row>
    <row r="124" spans="1:9" ht="15.75">
      <c r="A124" s="404" t="s">
        <v>511</v>
      </c>
      <c r="B124" s="254"/>
      <c r="C124" s="179"/>
      <c r="D124" s="225"/>
      <c r="E124" s="256"/>
      <c r="F124" s="256"/>
      <c r="G124" s="254"/>
      <c r="H124" s="254"/>
      <c r="I124" s="254"/>
    </row>
    <row r="125" spans="1:9" ht="15.75">
      <c r="A125" s="405" t="s">
        <v>480</v>
      </c>
      <c r="B125" s="254"/>
      <c r="C125" s="179"/>
      <c r="D125" s="225"/>
      <c r="E125" s="256"/>
      <c r="F125" s="256"/>
      <c r="G125" s="254"/>
      <c r="H125" s="254"/>
      <c r="I125" s="254"/>
    </row>
    <row r="126" spans="1:9" ht="15.75">
      <c r="A126"/>
      <c r="B126" s="254"/>
      <c r="C126" s="179"/>
      <c r="D126" s="225"/>
      <c r="E126" s="256"/>
      <c r="F126" s="256"/>
      <c r="G126" s="254"/>
      <c r="H126" s="254"/>
      <c r="I126" s="254"/>
    </row>
    <row r="127" spans="1:9" ht="15.75">
      <c r="A127" s="254"/>
      <c r="B127" s="254"/>
      <c r="C127" s="179"/>
      <c r="D127" s="225"/>
      <c r="E127" s="256"/>
      <c r="F127" s="256"/>
      <c r="G127" s="254"/>
      <c r="H127" s="254"/>
      <c r="I127" s="254"/>
    </row>
    <row r="128" spans="1:9" ht="15.75">
      <c r="A128" s="254"/>
      <c r="B128" s="254"/>
      <c r="C128" s="179"/>
      <c r="D128" s="225"/>
      <c r="E128" s="256"/>
      <c r="F128" s="256"/>
      <c r="G128" s="254"/>
      <c r="H128" s="254"/>
      <c r="I128" s="254"/>
    </row>
    <row r="129" spans="1:9" ht="15.75">
      <c r="A129" s="254" t="s">
        <v>482</v>
      </c>
      <c r="B129" s="254"/>
      <c r="C129" s="179"/>
      <c r="D129" s="225"/>
      <c r="E129" s="256"/>
      <c r="F129" s="256"/>
      <c r="G129" s="254"/>
      <c r="H129" s="254"/>
      <c r="I129" s="254"/>
    </row>
    <row r="130" spans="1:6" s="361" customFormat="1" ht="15.75">
      <c r="A130" s="411" t="s">
        <v>483</v>
      </c>
      <c r="C130" s="406"/>
      <c r="D130" s="402"/>
      <c r="E130" s="407"/>
      <c r="F130" s="407"/>
    </row>
    <row r="131" spans="1:9" s="361" customFormat="1" ht="31.5" customHeight="1">
      <c r="A131" s="518" t="s">
        <v>488</v>
      </c>
      <c r="B131" s="518"/>
      <c r="C131" s="518"/>
      <c r="D131" s="518"/>
      <c r="E131" s="518"/>
      <c r="F131" s="518"/>
      <c r="G131" s="518"/>
      <c r="H131" s="518"/>
      <c r="I131" s="518"/>
    </row>
    <row r="132" spans="1:9" s="361" customFormat="1" ht="3.75" customHeight="1" thickBot="1">
      <c r="A132" s="254"/>
      <c r="B132" s="254"/>
      <c r="C132" s="254"/>
      <c r="D132" s="254"/>
      <c r="E132" s="254"/>
      <c r="F132" s="254"/>
      <c r="G132" s="254"/>
      <c r="H132" s="254"/>
      <c r="I132" s="254"/>
    </row>
    <row r="133" spans="1:9" s="361" customFormat="1" ht="19.5" thickBot="1">
      <c r="A133" s="254"/>
      <c r="B133" s="254"/>
      <c r="C133" s="254"/>
      <c r="D133" s="441" t="s">
        <v>489</v>
      </c>
      <c r="E133" s="409">
        <f>+'Presiones de casing'!C2</f>
        <v>5.652698984045618</v>
      </c>
      <c r="F133" s="410" t="s">
        <v>17</v>
      </c>
      <c r="G133" s="254"/>
      <c r="H133" s="254"/>
      <c r="I133" s="254"/>
    </row>
    <row r="134" spans="3:6" s="361" customFormat="1" ht="3.75" customHeight="1">
      <c r="C134" s="406"/>
      <c r="D134" s="402"/>
      <c r="E134" s="407"/>
      <c r="F134" s="407"/>
    </row>
    <row r="135" spans="1:6" s="361" customFormat="1" ht="15.75">
      <c r="A135" s="411" t="s">
        <v>484</v>
      </c>
      <c r="C135" s="406"/>
      <c r="D135" s="402"/>
      <c r="E135" s="407"/>
      <c r="F135" s="407"/>
    </row>
    <row r="136" spans="1:9" s="361" customFormat="1" ht="31.5" customHeight="1">
      <c r="A136" s="518" t="s">
        <v>490</v>
      </c>
      <c r="B136" s="518"/>
      <c r="C136" s="518"/>
      <c r="D136" s="518"/>
      <c r="E136" s="518"/>
      <c r="F136" s="518"/>
      <c r="G136" s="518"/>
      <c r="H136" s="518"/>
      <c r="I136" s="518"/>
    </row>
    <row r="137" spans="3:6" s="361" customFormat="1" ht="4.5" customHeight="1" thickBot="1">
      <c r="C137" s="406"/>
      <c r="D137" s="402"/>
      <c r="E137" s="407"/>
      <c r="F137" s="407"/>
    </row>
    <row r="138" spans="3:6" s="361" customFormat="1" ht="19.5" thickBot="1">
      <c r="C138" s="406"/>
      <c r="D138" s="441" t="s">
        <v>491</v>
      </c>
      <c r="E138" s="408">
        <f>+'Presiones de casing'!C3</f>
        <v>142.233</v>
      </c>
      <c r="F138" s="414" t="s">
        <v>17</v>
      </c>
    </row>
    <row r="139" spans="3:6" s="361" customFormat="1" ht="3.75" customHeight="1">
      <c r="C139" s="406"/>
      <c r="D139" s="402"/>
      <c r="E139" s="407"/>
      <c r="F139" s="407"/>
    </row>
    <row r="140" spans="1:6" s="361" customFormat="1" ht="15.75">
      <c r="A140" s="411" t="s">
        <v>486</v>
      </c>
      <c r="C140" s="406"/>
      <c r="D140" s="402"/>
      <c r="E140" s="407"/>
      <c r="F140" s="407"/>
    </row>
    <row r="141" spans="1:6" s="361" customFormat="1" ht="15.75">
      <c r="A141" s="411"/>
      <c r="C141" s="406"/>
      <c r="D141"/>
      <c r="E141" s="407"/>
      <c r="F141" s="407"/>
    </row>
    <row r="142" spans="1:6" s="361" customFormat="1" ht="9" customHeight="1">
      <c r="A142" s="411"/>
      <c r="C142" s="406"/>
      <c r="D142" s="402"/>
      <c r="E142" s="407"/>
      <c r="F142" s="407"/>
    </row>
    <row r="143" spans="1:6" s="361" customFormat="1" ht="15.75">
      <c r="A143" s="361" t="s">
        <v>492</v>
      </c>
      <c r="C143" s="406"/>
      <c r="D143" s="402"/>
      <c r="E143" s="604">
        <f>+'1º IPR'!K12</f>
        <v>0.9022152321981425</v>
      </c>
      <c r="F143" s="604"/>
    </row>
    <row r="144" spans="1:6" s="361" customFormat="1" ht="15.75">
      <c r="A144" s="361" t="s">
        <v>493</v>
      </c>
      <c r="C144" s="406"/>
      <c r="D144" s="402"/>
      <c r="E144" s="403">
        <f>+'Presiones de casing'!C5</f>
        <v>172.91998706279549</v>
      </c>
      <c r="F144" s="407" t="s">
        <v>495</v>
      </c>
    </row>
    <row r="145" spans="3:6" s="361" customFormat="1" ht="5.25" customHeight="1" thickBot="1">
      <c r="C145" s="406"/>
      <c r="D145" s="402"/>
      <c r="E145" s="407"/>
      <c r="F145" s="407"/>
    </row>
    <row r="146" spans="3:6" s="361" customFormat="1" ht="19.5" thickBot="1">
      <c r="C146" s="406"/>
      <c r="D146" s="441" t="s">
        <v>494</v>
      </c>
      <c r="E146" s="408">
        <f>+'Presiones de casing'!C4</f>
        <v>67.5527830390494</v>
      </c>
      <c r="F146" s="414" t="s">
        <v>33</v>
      </c>
    </row>
    <row r="147" spans="3:6" s="361" customFormat="1" ht="4.5" customHeight="1">
      <c r="C147" s="406"/>
      <c r="D147" s="402"/>
      <c r="E147" s="407"/>
      <c r="F147" s="407"/>
    </row>
    <row r="148" spans="1:6" s="361" customFormat="1" ht="15.75">
      <c r="A148" s="411" t="s">
        <v>496</v>
      </c>
      <c r="C148" s="406"/>
      <c r="D148" s="402"/>
      <c r="E148" s="407"/>
      <c r="F148" s="407"/>
    </row>
    <row r="149" spans="3:6" s="361" customFormat="1" ht="15.75">
      <c r="C149" s="406"/>
      <c r="D149" s="402"/>
      <c r="E149" s="407"/>
      <c r="F149" s="407"/>
    </row>
    <row r="150" spans="3:6" s="361" customFormat="1" ht="15.75">
      <c r="C150"/>
      <c r="D150" s="402"/>
      <c r="E150" s="407"/>
      <c r="F150" s="407"/>
    </row>
    <row r="151" spans="3:6" s="361" customFormat="1" ht="10.5" customHeight="1">
      <c r="C151" s="406"/>
      <c r="D151" s="402"/>
      <c r="E151" s="407"/>
      <c r="F151" s="407"/>
    </row>
    <row r="152" spans="1:6" s="361" customFormat="1" ht="15.75">
      <c r="A152" s="361" t="s">
        <v>499</v>
      </c>
      <c r="C152" s="406"/>
      <c r="D152" s="402"/>
      <c r="E152" s="574">
        <f>+'Presiones de casing'!C10</f>
        <v>0.03911244048159309</v>
      </c>
      <c r="F152" s="574"/>
    </row>
    <row r="153" spans="1:6" s="361" customFormat="1" ht="15.75">
      <c r="A153" s="361" t="s">
        <v>500</v>
      </c>
      <c r="C153" s="406"/>
      <c r="D153" s="402"/>
      <c r="E153" s="412">
        <f>+'Presiones de casing'!C11</f>
        <v>10</v>
      </c>
      <c r="F153" s="407" t="s">
        <v>502</v>
      </c>
    </row>
    <row r="154" spans="1:6" s="361" customFormat="1" ht="15.75">
      <c r="A154" s="361" t="s">
        <v>501</v>
      </c>
      <c r="C154" s="406"/>
      <c r="D154" s="402"/>
      <c r="E154" s="403">
        <f>+'Presiones de casing'!C12</f>
        <v>2.44</v>
      </c>
      <c r="F154" s="407" t="s">
        <v>307</v>
      </c>
    </row>
    <row r="155" spans="3:6" s="361" customFormat="1" ht="3.75" customHeight="1" thickBot="1">
      <c r="C155" s="406"/>
      <c r="D155" s="402"/>
      <c r="E155" s="407"/>
      <c r="F155" s="407"/>
    </row>
    <row r="156" spans="3:6" s="361" customFormat="1" ht="19.5" thickBot="1">
      <c r="C156" s="406"/>
      <c r="D156" s="441" t="s">
        <v>497</v>
      </c>
      <c r="E156" s="408">
        <f>+'Presiones de casing'!C8</f>
        <v>20.17733076555944</v>
      </c>
      <c r="F156" s="414" t="s">
        <v>33</v>
      </c>
    </row>
    <row r="157" spans="3:6" s="361" customFormat="1" ht="3.75" customHeight="1">
      <c r="C157" s="406"/>
      <c r="D157" s="402"/>
      <c r="E157" s="407"/>
      <c r="F157" s="407"/>
    </row>
    <row r="158" spans="1:6" s="361" customFormat="1" ht="15.75">
      <c r="A158" s="411" t="s">
        <v>507</v>
      </c>
      <c r="C158" s="406"/>
      <c r="D158" s="402"/>
      <c r="E158" s="407"/>
      <c r="F158" s="407"/>
    </row>
    <row r="159" spans="1:6" s="361" customFormat="1" ht="15.75">
      <c r="A159" s="411"/>
      <c r="C159" s="406"/>
      <c r="D159" s="402"/>
      <c r="E159" s="407"/>
      <c r="F159" s="407"/>
    </row>
    <row r="160" spans="1:6" s="361" customFormat="1" ht="15.75">
      <c r="A160" s="411"/>
      <c r="C160"/>
      <c r="D160" s="402"/>
      <c r="E160" s="407"/>
      <c r="F160" s="407"/>
    </row>
    <row r="161" spans="1:6" s="361" customFormat="1" ht="15.75">
      <c r="A161" s="411"/>
      <c r="C161" s="406"/>
      <c r="D161" s="402"/>
      <c r="E161" s="407"/>
      <c r="F161" s="407"/>
    </row>
    <row r="162" spans="1:6" s="361" customFormat="1" ht="15.75">
      <c r="A162" s="361" t="s">
        <v>504</v>
      </c>
      <c r="C162" s="406"/>
      <c r="D162" s="402"/>
      <c r="E162" s="536">
        <f>+'Presiones de casing'!C16</f>
        <v>0.014708636465323643</v>
      </c>
      <c r="F162" s="536"/>
    </row>
    <row r="163" spans="1:6" ht="15.75">
      <c r="A163" s="361" t="s">
        <v>522</v>
      </c>
      <c r="E163" s="536">
        <f>+'Presiones de casing'!C17</f>
        <v>0.75</v>
      </c>
      <c r="F163" s="536"/>
    </row>
    <row r="164" spans="1:6" s="361" customFormat="1" ht="15.75">
      <c r="A164" s="361" t="s">
        <v>503</v>
      </c>
      <c r="C164" s="406"/>
      <c r="D164" s="402"/>
      <c r="E164" s="412">
        <f>+'Presiones de casing'!C20</f>
        <v>53.3</v>
      </c>
      <c r="F164" s="407" t="s">
        <v>505</v>
      </c>
    </row>
    <row r="165" spans="1:6" s="361" customFormat="1" ht="15.75">
      <c r="A165" s="361" t="s">
        <v>506</v>
      </c>
      <c r="C165" s="406"/>
      <c r="D165" s="402"/>
      <c r="E165" s="403">
        <f>+'Presiones de casing'!C18</f>
        <v>119.71567660910516</v>
      </c>
      <c r="F165" s="407" t="s">
        <v>179</v>
      </c>
    </row>
    <row r="166" spans="3:6" s="361" customFormat="1" ht="4.5" customHeight="1" thickBot="1">
      <c r="C166" s="406"/>
      <c r="D166" s="402"/>
      <c r="E166" s="403"/>
      <c r="F166" s="407"/>
    </row>
    <row r="167" spans="3:6" s="361" customFormat="1" ht="16.5" thickBot="1">
      <c r="C167" s="406"/>
      <c r="D167" s="371" t="s">
        <v>51</v>
      </c>
      <c r="E167" s="537">
        <f>+'Presiones de casing'!C13</f>
        <v>332881.5623148849</v>
      </c>
      <c r="F167" s="538"/>
    </row>
    <row r="168" spans="1:6" s="361" customFormat="1" ht="16.5" thickBot="1">
      <c r="A168" s="411" t="s">
        <v>487</v>
      </c>
      <c r="C168" s="406"/>
      <c r="D168" s="441" t="s">
        <v>31</v>
      </c>
      <c r="E168" s="413">
        <f>+'Presiones de casing'!C7</f>
        <v>6279.527559055118</v>
      </c>
      <c r="F168" s="414" t="s">
        <v>34</v>
      </c>
    </row>
    <row r="169" spans="1:6" s="361" customFormat="1" ht="7.5" customHeight="1">
      <c r="A169" s="411"/>
      <c r="C169" s="406"/>
      <c r="D169" s="402"/>
      <c r="E169" s="407"/>
      <c r="F169" s="407"/>
    </row>
    <row r="170" spans="1:6" s="361" customFormat="1" ht="15.75">
      <c r="A170" s="411" t="s">
        <v>485</v>
      </c>
      <c r="C170" s="406"/>
      <c r="D170" s="402"/>
      <c r="E170" s="407"/>
      <c r="F170" s="407"/>
    </row>
    <row r="171" spans="1:9" ht="6" customHeight="1">
      <c r="A171" s="254"/>
      <c r="B171" s="254"/>
      <c r="C171" s="179"/>
      <c r="D171" s="225"/>
      <c r="E171" s="256"/>
      <c r="F171" s="256"/>
      <c r="G171" s="254"/>
      <c r="H171" s="254"/>
      <c r="I171" s="254"/>
    </row>
    <row r="172" spans="1:9" ht="15.75">
      <c r="A172" s="580" t="s">
        <v>481</v>
      </c>
      <c r="B172" s="580"/>
      <c r="C172" s="580"/>
      <c r="D172" s="580"/>
      <c r="E172" s="580"/>
      <c r="F172" s="580"/>
      <c r="G172" s="580"/>
      <c r="H172" s="580"/>
      <c r="I172" s="580"/>
    </row>
    <row r="173" spans="1:9" ht="15.75">
      <c r="A173" s="580"/>
      <c r="B173" s="580"/>
      <c r="C173" s="580"/>
      <c r="D173" s="580"/>
      <c r="E173" s="580"/>
      <c r="F173" s="580"/>
      <c r="G173" s="580"/>
      <c r="H173" s="580"/>
      <c r="I173" s="580"/>
    </row>
    <row r="174" spans="1:9" ht="15.75">
      <c r="A174" s="254"/>
      <c r="B174" s="254"/>
      <c r="C174" s="179"/>
      <c r="D174" s="225"/>
      <c r="E174" s="256"/>
      <c r="F174" s="256"/>
      <c r="G174" s="254"/>
      <c r="H174" s="254"/>
      <c r="I174" s="254"/>
    </row>
    <row r="175" spans="1:9" ht="15.75">
      <c r="A175" s="254"/>
      <c r="B175" s="254"/>
      <c r="C175" s="179"/>
      <c r="D175" s="225"/>
      <c r="E175" s="256"/>
      <c r="F175" s="256"/>
      <c r="G175" s="254"/>
      <c r="H175" s="254"/>
      <c r="I175" s="254"/>
    </row>
    <row r="176" spans="1:9" ht="11.25" customHeight="1">
      <c r="A176" s="254"/>
      <c r="B176" s="254"/>
      <c r="C176"/>
      <c r="D176" s="225"/>
      <c r="E176" s="256"/>
      <c r="F176" s="256"/>
      <c r="G176" s="254"/>
      <c r="H176" s="254"/>
      <c r="I176" s="254"/>
    </row>
    <row r="177" spans="1:9" ht="16.5" thickBot="1">
      <c r="A177" s="254" t="s">
        <v>482</v>
      </c>
      <c r="B177" s="254"/>
      <c r="C177" s="179"/>
      <c r="D177" s="225"/>
      <c r="E177" s="256"/>
      <c r="F177" s="256"/>
      <c r="G177" s="254"/>
      <c r="H177" s="254"/>
      <c r="I177" s="254"/>
    </row>
    <row r="178" spans="1:9" ht="16.5" thickBot="1">
      <c r="A178" s="415" t="s">
        <v>508</v>
      </c>
      <c r="B178" s="381"/>
      <c r="C178" s="179"/>
      <c r="D178" s="441" t="s">
        <v>514</v>
      </c>
      <c r="E178" s="243">
        <f>+Columna!G9</f>
        <v>24.439558050756304</v>
      </c>
      <c r="F178" s="414" t="s">
        <v>15</v>
      </c>
      <c r="G178" s="254"/>
      <c r="H178" s="254"/>
      <c r="I178" s="254"/>
    </row>
    <row r="179" spans="1:9" ht="6" customHeight="1" thickBot="1">
      <c r="A179" s="254"/>
      <c r="B179" s="254"/>
      <c r="C179" s="179"/>
      <c r="G179" s="254"/>
      <c r="H179" s="254"/>
      <c r="I179" s="254"/>
    </row>
    <row r="180" spans="1:9" ht="16.5" thickBot="1">
      <c r="A180" s="415" t="s">
        <v>509</v>
      </c>
      <c r="B180" s="381"/>
      <c r="C180" s="179"/>
      <c r="D180" s="441" t="s">
        <v>515</v>
      </c>
      <c r="E180" s="243">
        <f>+Columna!B7</f>
        <v>4.675946505603048</v>
      </c>
      <c r="F180" s="414" t="s">
        <v>15</v>
      </c>
      <c r="G180" s="254"/>
      <c r="H180" s="254"/>
      <c r="I180" s="254"/>
    </row>
    <row r="181" spans="1:9" ht="15.75">
      <c r="A181" s="254"/>
      <c r="B181" s="254"/>
      <c r="C181" s="179"/>
      <c r="D181" s="225"/>
      <c r="E181" s="256"/>
      <c r="F181" s="256"/>
      <c r="G181" s="254"/>
      <c r="H181" s="254"/>
      <c r="I181" s="254"/>
    </row>
    <row r="182" spans="1:9" ht="15.75">
      <c r="A182" s="254"/>
      <c r="B182" s="254"/>
      <c r="C182" s="179"/>
      <c r="D182" s="225"/>
      <c r="E182" s="256"/>
      <c r="F182" s="256"/>
      <c r="G182" s="254"/>
      <c r="H182" s="254"/>
      <c r="I182" s="254"/>
    </row>
    <row r="183" spans="1:9" ht="15.75">
      <c r="A183" s="254"/>
      <c r="B183" s="254"/>
      <c r="C183" s="179"/>
      <c r="D183" s="225"/>
      <c r="E183" s="256"/>
      <c r="F183" s="256"/>
      <c r="G183" s="254"/>
      <c r="H183" s="254"/>
      <c r="I183" s="254"/>
    </row>
    <row r="184" spans="1:9" ht="15.75">
      <c r="A184" s="254"/>
      <c r="B184" s="254"/>
      <c r="C184" s="179"/>
      <c r="D184" s="225"/>
      <c r="E184" s="256"/>
      <c r="F184" s="256"/>
      <c r="G184" s="254"/>
      <c r="H184" s="254"/>
      <c r="I184" s="254"/>
    </row>
    <row r="185" spans="1:9" ht="15.75">
      <c r="A185" s="254"/>
      <c r="B185" s="254"/>
      <c r="C185" s="179"/>
      <c r="D185" s="225"/>
      <c r="E185" s="256"/>
      <c r="F185" s="256"/>
      <c r="G185" s="254"/>
      <c r="H185" s="254"/>
      <c r="I185" s="254"/>
    </row>
    <row r="186" spans="1:9" ht="15.75">
      <c r="A186" s="254"/>
      <c r="B186" s="254"/>
      <c r="C186" s="179"/>
      <c r="D186" s="225"/>
      <c r="E186" s="256"/>
      <c r="F186" s="256"/>
      <c r="G186" s="254"/>
      <c r="H186" s="254"/>
      <c r="I186" s="254"/>
    </row>
    <row r="187" spans="1:9" ht="15.75">
      <c r="A187" s="254"/>
      <c r="B187" s="254"/>
      <c r="C187" s="179"/>
      <c r="D187" s="225"/>
      <c r="E187" s="256"/>
      <c r="F187" s="256"/>
      <c r="G187" s="254"/>
      <c r="H187" s="254"/>
      <c r="I187" s="254"/>
    </row>
    <row r="188" spans="1:9" ht="15.75">
      <c r="A188" s="254"/>
      <c r="B188" s="254"/>
      <c r="C188" s="179"/>
      <c r="D188" s="225"/>
      <c r="E188" s="256"/>
      <c r="F188" s="256"/>
      <c r="G188" s="254"/>
      <c r="H188" s="254"/>
      <c r="I188" s="254"/>
    </row>
    <row r="189" spans="1:9" ht="15.75">
      <c r="A189" s="254"/>
      <c r="B189" s="254"/>
      <c r="C189" s="179"/>
      <c r="D189" s="225"/>
      <c r="E189" s="256"/>
      <c r="F189" s="256"/>
      <c r="G189" s="254"/>
      <c r="H189" s="254"/>
      <c r="I189" s="254"/>
    </row>
    <row r="190" spans="1:9" ht="15.75">
      <c r="A190" s="254"/>
      <c r="B190" s="254"/>
      <c r="C190" s="179"/>
      <c r="D190" s="225"/>
      <c r="E190" s="256"/>
      <c r="F190" s="256"/>
      <c r="G190" s="254"/>
      <c r="H190" s="254"/>
      <c r="I190" s="254"/>
    </row>
    <row r="191" spans="1:9" ht="15.75">
      <c r="A191" s="254"/>
      <c r="B191" s="254"/>
      <c r="C191" s="179"/>
      <c r="D191" s="225"/>
      <c r="E191" s="256"/>
      <c r="F191" s="256"/>
      <c r="G191" s="254"/>
      <c r="H191" s="254"/>
      <c r="I191" s="254"/>
    </row>
    <row r="192" spans="1:9" ht="15.75">
      <c r="A192" s="254"/>
      <c r="B192" s="254"/>
      <c r="C192" s="179"/>
      <c r="D192" s="225"/>
      <c r="E192" s="256"/>
      <c r="F192" s="256"/>
      <c r="G192" s="254"/>
      <c r="H192" s="254"/>
      <c r="I192" s="254"/>
    </row>
    <row r="193" spans="1:9" ht="15.75">
      <c r="A193" s="254"/>
      <c r="B193" s="254"/>
      <c r="C193" s="179"/>
      <c r="D193" s="225"/>
      <c r="E193" s="256"/>
      <c r="F193" s="256"/>
      <c r="G193" s="254"/>
      <c r="H193" s="254"/>
      <c r="I193" s="254"/>
    </row>
    <row r="194" spans="1:9" ht="15.75">
      <c r="A194" s="254"/>
      <c r="B194" s="254"/>
      <c r="C194" s="179"/>
      <c r="D194" s="225"/>
      <c r="E194" s="256"/>
      <c r="F194" s="256"/>
      <c r="G194" s="254"/>
      <c r="H194" s="254"/>
      <c r="I194" s="254"/>
    </row>
    <row r="195" spans="1:9" ht="10.5" customHeight="1">
      <c r="A195" s="254"/>
      <c r="B195" s="254"/>
      <c r="C195" s="179"/>
      <c r="D195" s="225"/>
      <c r="E195" s="256"/>
      <c r="F195" s="256"/>
      <c r="G195" s="254"/>
      <c r="H195" s="254"/>
      <c r="I195" s="254"/>
    </row>
    <row r="196" spans="1:9" ht="15.75">
      <c r="A196" s="404" t="s">
        <v>519</v>
      </c>
      <c r="B196" s="254"/>
      <c r="C196" s="179"/>
      <c r="D196" s="225"/>
      <c r="E196" s="256"/>
      <c r="F196" s="256"/>
      <c r="G196" s="254"/>
      <c r="H196" s="254"/>
      <c r="I196" s="254"/>
    </row>
    <row r="197" spans="1:9" ht="15.75">
      <c r="A197" s="405" t="s">
        <v>510</v>
      </c>
      <c r="B197" s="254"/>
      <c r="C197" s="179"/>
      <c r="D197" s="225"/>
      <c r="E197" s="256"/>
      <c r="F197" s="256"/>
      <c r="G197" s="254"/>
      <c r="H197" s="254"/>
      <c r="I197" s="254"/>
    </row>
    <row r="198" spans="1:9" ht="15.75">
      <c r="A198" s="254"/>
      <c r="B198" s="254"/>
      <c r="C198" s="179"/>
      <c r="D198"/>
      <c r="E198" s="256"/>
      <c r="F198" s="256"/>
      <c r="G198" s="254"/>
      <c r="H198" s="254"/>
      <c r="I198" s="254"/>
    </row>
    <row r="199" spans="1:9" ht="15.75">
      <c r="A199" s="254"/>
      <c r="B199" s="254"/>
      <c r="C199" s="179"/>
      <c r="D199" s="225"/>
      <c r="E199" s="256"/>
      <c r="F199" s="256"/>
      <c r="G199" s="254"/>
      <c r="H199" s="254"/>
      <c r="I199" s="254"/>
    </row>
    <row r="200" spans="1:9" ht="15.75">
      <c r="A200" s="254"/>
      <c r="B200" s="254"/>
      <c r="C200" s="179"/>
      <c r="D200" s="225"/>
      <c r="E200" s="256"/>
      <c r="F200" s="256"/>
      <c r="G200" s="254"/>
      <c r="H200" s="254"/>
      <c r="I200" s="254"/>
    </row>
    <row r="201" spans="1:9" ht="16.5" thickBot="1">
      <c r="A201" s="254" t="s">
        <v>482</v>
      </c>
      <c r="B201" s="254"/>
      <c r="C201" s="179"/>
      <c r="D201" s="225"/>
      <c r="E201" s="256"/>
      <c r="F201" s="256"/>
      <c r="G201" s="254"/>
      <c r="H201" s="254"/>
      <c r="I201" s="254"/>
    </row>
    <row r="202" spans="1:9" ht="19.5" thickBot="1">
      <c r="A202" s="415" t="s">
        <v>512</v>
      </c>
      <c r="B202" s="416"/>
      <c r="C202" s="179"/>
      <c r="D202" s="371" t="s">
        <v>516</v>
      </c>
      <c r="E202" s="501">
        <f>+'Volumen de gas'!C1</f>
        <v>203.90788157362374</v>
      </c>
      <c r="F202" s="414" t="s">
        <v>513</v>
      </c>
      <c r="G202" s="254"/>
      <c r="H202" s="254"/>
      <c r="I202" s="254"/>
    </row>
    <row r="203" spans="1:9" ht="6.75" customHeight="1" thickBot="1">
      <c r="A203" s="415"/>
      <c r="B203" s="416"/>
      <c r="C203" s="179"/>
      <c r="E203" s="372"/>
      <c r="F203" s="256"/>
      <c r="G203" s="254"/>
      <c r="H203" s="254"/>
      <c r="I203" s="254"/>
    </row>
    <row r="204" spans="1:9" ht="16.5" thickBot="1">
      <c r="A204" s="411" t="s">
        <v>556</v>
      </c>
      <c r="B204" s="254"/>
      <c r="C204" s="179"/>
      <c r="D204" s="441" t="s">
        <v>56</v>
      </c>
      <c r="E204" s="502">
        <f>+'Presiones de casing'!C18+460</f>
        <v>579.7156766091051</v>
      </c>
      <c r="F204" s="414" t="s">
        <v>407</v>
      </c>
      <c r="G204" s="254"/>
      <c r="H204" s="254"/>
      <c r="I204" s="254"/>
    </row>
    <row r="205" spans="1:9" ht="6.75" customHeight="1">
      <c r="A205" s="361"/>
      <c r="B205" s="254"/>
      <c r="C205" s="179"/>
      <c r="D205" s="225"/>
      <c r="E205" s="256"/>
      <c r="F205" s="256"/>
      <c r="G205" s="254"/>
      <c r="H205" s="254"/>
      <c r="I205" s="254"/>
    </row>
    <row r="206" spans="1:9" ht="31.5" customHeight="1">
      <c r="A206" s="569" t="s">
        <v>517</v>
      </c>
      <c r="B206" s="569"/>
      <c r="C206" s="569"/>
      <c r="D206" s="569"/>
      <c r="E206" s="569"/>
      <c r="F206" s="569"/>
      <c r="G206" s="569"/>
      <c r="H206" s="569"/>
      <c r="I206" s="569"/>
    </row>
    <row r="207" spans="1:9" ht="15.75">
      <c r="A207" s="254"/>
      <c r="B207" s="254"/>
      <c r="C207" s="179"/>
      <c r="D207"/>
      <c r="E207" s="256"/>
      <c r="F207" s="256"/>
      <c r="G207" s="254"/>
      <c r="H207" s="254"/>
      <c r="I207" s="254"/>
    </row>
    <row r="208" spans="1:9" ht="15.75">
      <c r="A208" s="254"/>
      <c r="B208" s="254"/>
      <c r="C208" s="179"/>
      <c r="D208"/>
      <c r="E208" s="256"/>
      <c r="F208" s="256"/>
      <c r="G208" s="254"/>
      <c r="H208" s="254"/>
      <c r="I208" s="254"/>
    </row>
    <row r="209" spans="1:9" ht="8.25" customHeight="1" thickBot="1">
      <c r="A209" s="254"/>
      <c r="B209" s="254"/>
      <c r="C209" s="179"/>
      <c r="D209" s="225"/>
      <c r="E209" s="256"/>
      <c r="F209" s="256"/>
      <c r="G209" s="254"/>
      <c r="H209" s="254"/>
      <c r="I209" s="254"/>
    </row>
    <row r="210" spans="1:9" ht="16.5" thickBot="1">
      <c r="A210" s="254"/>
      <c r="B210" s="254"/>
      <c r="C210" s="179"/>
      <c r="D210" s="371" t="s">
        <v>408</v>
      </c>
      <c r="E210" s="570">
        <f>+'Volumen de gas'!C4</f>
        <v>1.1255905511811024</v>
      </c>
      <c r="F210" s="571"/>
      <c r="G210" s="254"/>
      <c r="H210" s="254"/>
      <c r="I210" s="254"/>
    </row>
    <row r="211" spans="1:9" ht="7.5" customHeight="1" thickBot="1">
      <c r="A211" s="254"/>
      <c r="B211" s="254"/>
      <c r="C211" s="179"/>
      <c r="D211" s="225"/>
      <c r="E211" s="417"/>
      <c r="F211" s="417"/>
      <c r="G211" s="254"/>
      <c r="H211" s="254"/>
      <c r="I211" s="254"/>
    </row>
    <row r="212" spans="1:9" ht="16.5" thickBot="1">
      <c r="A212" s="411" t="s">
        <v>557</v>
      </c>
      <c r="B212" s="254"/>
      <c r="C212" s="179"/>
      <c r="D212" s="371" t="s">
        <v>280</v>
      </c>
      <c r="E212" s="572">
        <f>+'Volumen de gas'!C3</f>
        <v>0.9075837623772984</v>
      </c>
      <c r="F212" s="573"/>
      <c r="G212" s="254"/>
      <c r="H212" s="254"/>
      <c r="I212" s="254"/>
    </row>
    <row r="213" spans="1:9" ht="9" customHeight="1">
      <c r="A213" s="361"/>
      <c r="B213" s="254"/>
      <c r="C213" s="179"/>
      <c r="D213" s="225"/>
      <c r="E213" s="417"/>
      <c r="F213" s="417"/>
      <c r="G213" s="254"/>
      <c r="H213" s="254"/>
      <c r="I213" s="254"/>
    </row>
    <row r="214" spans="1:9" ht="31.5" customHeight="1">
      <c r="A214" s="569" t="s">
        <v>564</v>
      </c>
      <c r="B214" s="569"/>
      <c r="C214" s="569"/>
      <c r="D214" s="569"/>
      <c r="E214" s="569"/>
      <c r="F214" s="569"/>
      <c r="G214" s="569"/>
      <c r="H214" s="569"/>
      <c r="I214" s="569"/>
    </row>
    <row r="215" spans="1:9" ht="15.75">
      <c r="A215" s="254"/>
      <c r="B215" s="254"/>
      <c r="C215" s="254"/>
      <c r="D215" s="254"/>
      <c r="E215" s="254"/>
      <c r="F215" s="254"/>
      <c r="G215" s="254"/>
      <c r="H215" s="254"/>
      <c r="I215" s="254"/>
    </row>
    <row r="216" spans="1:9" ht="15.75">
      <c r="A216" s="254"/>
      <c r="B216" s="254"/>
      <c r="C216" s="254"/>
      <c r="D216"/>
      <c r="E216" s="254"/>
      <c r="F216" s="254"/>
      <c r="G216" s="254"/>
      <c r="H216" s="254"/>
      <c r="I216" s="254"/>
    </row>
    <row r="217" spans="1:9" ht="15.75">
      <c r="A217" s="405" t="s">
        <v>518</v>
      </c>
      <c r="B217" s="254"/>
      <c r="C217" s="254"/>
      <c r="D217"/>
      <c r="E217" s="254"/>
      <c r="F217" s="254"/>
      <c r="G217" s="254"/>
      <c r="H217" s="254"/>
      <c r="I217" s="254"/>
    </row>
    <row r="218" spans="1:9" ht="15.75">
      <c r="A218" s="254"/>
      <c r="B218" s="254"/>
      <c r="C218" s="254"/>
      <c r="D218"/>
      <c r="E218" s="254"/>
      <c r="F218" s="254"/>
      <c r="G218" s="254"/>
      <c r="H218" s="254"/>
      <c r="I218" s="254"/>
    </row>
    <row r="219" spans="1:9" ht="15.75">
      <c r="A219" s="254"/>
      <c r="B219" s="254"/>
      <c r="C219" s="254"/>
      <c r="D219"/>
      <c r="E219" s="254"/>
      <c r="F219" s="254"/>
      <c r="G219" s="254"/>
      <c r="H219" s="254"/>
      <c r="I219" s="254"/>
    </row>
    <row r="220" spans="1:9" ht="21.75" customHeight="1">
      <c r="A220" s="254"/>
      <c r="B220" s="254"/>
      <c r="C220" s="254"/>
      <c r="D220" s="254"/>
      <c r="E220" s="254"/>
      <c r="F220" s="254"/>
      <c r="G220" s="254"/>
      <c r="H220" s="254"/>
      <c r="I220" s="254"/>
    </row>
    <row r="221" spans="1:9" ht="15.75">
      <c r="A221" s="226" t="s">
        <v>476</v>
      </c>
      <c r="B221" s="254"/>
      <c r="C221" s="179"/>
      <c r="D221" s="225"/>
      <c r="E221" s="256"/>
      <c r="F221" s="256"/>
      <c r="G221" s="254"/>
      <c r="H221" s="254"/>
      <c r="I221" s="254"/>
    </row>
    <row r="222" spans="1:9" ht="95.25" customHeight="1">
      <c r="A222" s="518" t="s">
        <v>24</v>
      </c>
      <c r="B222" s="518"/>
      <c r="C222" s="518"/>
      <c r="D222" s="518"/>
      <c r="E222" s="518"/>
      <c r="F222" s="518"/>
      <c r="G222" s="518"/>
      <c r="H222" s="518"/>
      <c r="I222" s="518"/>
    </row>
    <row r="223" spans="1:9" ht="6.75" customHeight="1" thickBot="1">
      <c r="A223" s="281"/>
      <c r="B223" s="281"/>
      <c r="C223" s="281"/>
      <c r="D223" s="281"/>
      <c r="E223" s="281"/>
      <c r="F223" s="281"/>
      <c r="G223" s="281"/>
      <c r="H223" s="281"/>
      <c r="I223" s="281"/>
    </row>
    <row r="224" spans="1:9" ht="19.5" thickBot="1">
      <c r="A224" s="281"/>
      <c r="B224" s="468" t="s">
        <v>421</v>
      </c>
      <c r="C224" s="469"/>
      <c r="D224" s="469"/>
      <c r="E224" s="470">
        <f>+G224/14.2233</f>
        <v>42.184303220771554</v>
      </c>
      <c r="F224" s="471" t="s">
        <v>423</v>
      </c>
      <c r="G224" s="486">
        <v>600</v>
      </c>
      <c r="H224" s="472" t="s">
        <v>17</v>
      </c>
      <c r="I224" s="281"/>
    </row>
    <row r="225" spans="1:9" ht="19.5" thickBot="1">
      <c r="A225" s="227"/>
      <c r="B225" s="362" t="s">
        <v>422</v>
      </c>
      <c r="C225" s="363"/>
      <c r="D225" s="363"/>
      <c r="E225" s="369">
        <f>Tabla!H8</f>
        <v>68</v>
      </c>
      <c r="F225" s="251" t="s">
        <v>370</v>
      </c>
      <c r="G225" s="370">
        <f>+Tabla!H9</f>
        <v>381.82</v>
      </c>
      <c r="H225" s="364" t="str">
        <f>Tabla!I9</f>
        <v>SCF/bbl</v>
      </c>
      <c r="I225" s="227"/>
    </row>
    <row r="226" spans="1:9" ht="9.75" customHeight="1" thickBot="1">
      <c r="A226" s="227"/>
      <c r="B226" s="227"/>
      <c r="C226" s="227"/>
      <c r="E226" s="227"/>
      <c r="F226" s="227"/>
      <c r="G226" s="227"/>
      <c r="H226" s="227"/>
      <c r="I226" s="227"/>
    </row>
    <row r="227" spans="1:9" ht="26.25" thickBot="1">
      <c r="A227" s="254"/>
      <c r="B227" s="342" t="str">
        <f>Tabla!A1</f>
        <v>XL         [STB/ciclo]</v>
      </c>
      <c r="C227" s="343" t="str">
        <f>Tabla!B1</f>
        <v>Pc mín [psi]</v>
      </c>
      <c r="D227" s="343" t="str">
        <f>Tabla!C1</f>
        <v>Pc máx [psi]</v>
      </c>
      <c r="E227" s="343" t="str">
        <f>Tabla!D1</f>
        <v>P tubing [psi]</v>
      </c>
      <c r="F227" s="343" t="str">
        <f>Tabla!E1</f>
        <v>Vg [SCF/ciclo]</v>
      </c>
      <c r="G227" s="344" t="str">
        <f>Tabla!F1</f>
        <v>RGL mín [SCF/stb]</v>
      </c>
      <c r="I227" s="254"/>
    </row>
    <row r="228" spans="1:9" ht="15.75">
      <c r="A228" s="254"/>
      <c r="B228" s="274">
        <f>Tabla!A2</f>
        <v>0.25</v>
      </c>
      <c r="C228" s="359">
        <f>Tabla!B2</f>
        <v>187.99900686398246</v>
      </c>
      <c r="D228" s="359">
        <f>Tabla!C2</f>
        <v>223.96828656113635</v>
      </c>
      <c r="E228" s="359">
        <f>Tabla!D2</f>
        <v>171.11081110422012</v>
      </c>
      <c r="F228" s="359">
        <f>Tabla!E2</f>
        <v>2640.4390580714044</v>
      </c>
      <c r="G228" s="360">
        <f>Tabla!F2</f>
        <v>10561.756232285617</v>
      </c>
      <c r="I228" s="254"/>
    </row>
    <row r="229" spans="1:9" ht="15.75">
      <c r="A229" s="254"/>
      <c r="B229" s="273">
        <f>Tabla!A3</f>
        <v>0.5</v>
      </c>
      <c r="C229" s="354">
        <f>Tabla!B3</f>
        <v>210.3452738108657</v>
      </c>
      <c r="D229" s="354">
        <f>Tabla!C3</f>
        <v>250.58999697661855</v>
      </c>
      <c r="E229" s="354">
        <f>Tabla!D3</f>
        <v>176.568882291341</v>
      </c>
      <c r="F229" s="354">
        <f>Tabla!E3</f>
        <v>2724.6634519083914</v>
      </c>
      <c r="G229" s="355">
        <f>Tabla!F3</f>
        <v>5449.326903816783</v>
      </c>
      <c r="I229" s="254"/>
    </row>
    <row r="230" spans="1:9" ht="15.75">
      <c r="A230" s="254"/>
      <c r="B230" s="273">
        <f>Tabla!A4</f>
        <v>0.75</v>
      </c>
      <c r="C230" s="354">
        <f>Tabla!B4</f>
        <v>232.69154075774898</v>
      </c>
      <c r="D230" s="354">
        <f>Tabla!C4</f>
        <v>277.21170739210083</v>
      </c>
      <c r="E230" s="354">
        <f>Tabla!D4</f>
        <v>182.02695347846193</v>
      </c>
      <c r="F230" s="354">
        <f>Tabla!E4</f>
        <v>2808.887845745379</v>
      </c>
      <c r="G230" s="355">
        <f>Tabla!F4</f>
        <v>3745.1837943271717</v>
      </c>
      <c r="I230" s="254"/>
    </row>
    <row r="231" spans="1:9" ht="15.75">
      <c r="A231" s="254"/>
      <c r="B231" s="273">
        <f>Tabla!A5</f>
        <v>1</v>
      </c>
      <c r="C231" s="354">
        <f>Tabla!B5</f>
        <v>255.03780770463229</v>
      </c>
      <c r="D231" s="354">
        <f>Tabla!C5</f>
        <v>303.8334178075831</v>
      </c>
      <c r="E231" s="354">
        <f>Tabla!D5</f>
        <v>187.4850246655829</v>
      </c>
      <c r="F231" s="354">
        <f>Tabla!E5</f>
        <v>2893.1122395823672</v>
      </c>
      <c r="G231" s="355">
        <f>Tabla!F5</f>
        <v>2893.1122395823672</v>
      </c>
      <c r="I231" s="254"/>
    </row>
    <row r="232" spans="1:9" ht="15.75">
      <c r="A232" s="254"/>
      <c r="B232" s="273">
        <f>Tabla!A6</f>
        <v>1.25</v>
      </c>
      <c r="C232" s="354">
        <f>Tabla!B6</f>
        <v>277.3840746515156</v>
      </c>
      <c r="D232" s="354">
        <f>Tabla!C6</f>
        <v>330.4551282230654</v>
      </c>
      <c r="E232" s="354">
        <f>Tabla!D6</f>
        <v>192.94309585270386</v>
      </c>
      <c r="F232" s="354">
        <f>Tabla!E6</f>
        <v>2977.3366334193565</v>
      </c>
      <c r="G232" s="355">
        <f>Tabla!F6</f>
        <v>2381.869306735485</v>
      </c>
      <c r="I232" s="254"/>
    </row>
    <row r="233" spans="1:9" ht="15.75">
      <c r="A233" s="254"/>
      <c r="B233" s="273">
        <f>Tabla!A7</f>
        <v>1.5</v>
      </c>
      <c r="C233" s="354">
        <f>Tabla!B7</f>
        <v>299.7303415983988</v>
      </c>
      <c r="D233" s="354">
        <f>Tabla!C7</f>
        <v>357.0768386385476</v>
      </c>
      <c r="E233" s="354">
        <f>Tabla!D7</f>
        <v>198.4011670398247</v>
      </c>
      <c r="F233" s="354">
        <f>Tabla!E7</f>
        <v>3061.5610272563426</v>
      </c>
      <c r="G233" s="355">
        <f>Tabla!F7</f>
        <v>2041.0406848375617</v>
      </c>
      <c r="I233" s="254"/>
    </row>
    <row r="234" spans="1:9" ht="15.75">
      <c r="A234" s="254"/>
      <c r="B234" s="273">
        <f>Tabla!A8</f>
        <v>1.75</v>
      </c>
      <c r="C234" s="354">
        <f>Tabla!B8</f>
        <v>322.0766085452821</v>
      </c>
      <c r="D234" s="354">
        <f>Tabla!C8</f>
        <v>383.69854905402985</v>
      </c>
      <c r="E234" s="354">
        <f>Tabla!D8</f>
        <v>203.85923822694565</v>
      </c>
      <c r="F234" s="354">
        <f>Tabla!E8</f>
        <v>3145.7854210933306</v>
      </c>
      <c r="G234" s="355">
        <f>Tabla!F8</f>
        <v>1797.5916691961888</v>
      </c>
      <c r="I234" s="254"/>
    </row>
    <row r="235" spans="1:9" ht="15.75">
      <c r="A235" s="254"/>
      <c r="B235" s="273">
        <f>Tabla!A9</f>
        <v>2</v>
      </c>
      <c r="C235" s="354">
        <f>Tabla!B9</f>
        <v>344.4228754921654</v>
      </c>
      <c r="D235" s="354">
        <f>Tabla!C9</f>
        <v>410.32025946951217</v>
      </c>
      <c r="E235" s="354">
        <f>Tabla!D9</f>
        <v>209.3173094140666</v>
      </c>
      <c r="F235" s="354">
        <f>Tabla!E9</f>
        <v>3230.0098149303185</v>
      </c>
      <c r="G235" s="355">
        <f>Tabla!F9</f>
        <v>1615.0049074651592</v>
      </c>
      <c r="I235" s="254"/>
    </row>
    <row r="236" spans="1:9" ht="15.75">
      <c r="A236" s="254"/>
      <c r="B236" s="273">
        <f>Tabla!A10</f>
        <v>2.25</v>
      </c>
      <c r="C236" s="354">
        <f>Tabla!B10</f>
        <v>366.7691424390487</v>
      </c>
      <c r="D236" s="354">
        <f>Tabla!C10</f>
        <v>436.9419698849945</v>
      </c>
      <c r="E236" s="354">
        <f>Tabla!D10</f>
        <v>214.77538060118758</v>
      </c>
      <c r="F236" s="354">
        <f>Tabla!E10</f>
        <v>3314.234208767307</v>
      </c>
      <c r="G236" s="355">
        <f>Tabla!F10</f>
        <v>1472.9929816743586</v>
      </c>
      <c r="I236" s="254"/>
    </row>
    <row r="237" spans="1:9" ht="15.75">
      <c r="A237" s="254"/>
      <c r="B237" s="273">
        <f>Tabla!A11</f>
        <v>2.5</v>
      </c>
      <c r="C237" s="354">
        <f>Tabla!B11</f>
        <v>389.115409385932</v>
      </c>
      <c r="D237" s="354">
        <f>Tabla!C11</f>
        <v>463.56368030047673</v>
      </c>
      <c r="E237" s="354">
        <f>Tabla!D11</f>
        <v>220.2334517883085</v>
      </c>
      <c r="F237" s="354">
        <f>Tabla!E11</f>
        <v>3398.4586026042953</v>
      </c>
      <c r="G237" s="355">
        <f>Tabla!F11</f>
        <v>1359.383441041718</v>
      </c>
      <c r="I237" s="254"/>
    </row>
    <row r="238" spans="1:9" ht="15.75">
      <c r="A238" s="254"/>
      <c r="B238" s="273">
        <f>Tabla!A12</f>
        <v>2.75</v>
      </c>
      <c r="C238" s="354">
        <f>Tabla!B12</f>
        <v>411.4616763328153</v>
      </c>
      <c r="D238" s="354">
        <f>Tabla!C12</f>
        <v>490.185390715959</v>
      </c>
      <c r="E238" s="354">
        <f>Tabla!D12</f>
        <v>225.69152297542942</v>
      </c>
      <c r="F238" s="354">
        <f>Tabla!E12</f>
        <v>3482.682996441282</v>
      </c>
      <c r="G238" s="355">
        <f>Tabla!F12</f>
        <v>1266.4301805241025</v>
      </c>
      <c r="I238" s="254"/>
    </row>
    <row r="239" spans="1:9" ht="15.75">
      <c r="A239" s="254"/>
      <c r="B239" s="273">
        <f>Tabla!A13</f>
        <v>3</v>
      </c>
      <c r="C239" s="354">
        <f>Tabla!B13</f>
        <v>433.8079432796986</v>
      </c>
      <c r="D239" s="354">
        <f>Tabla!C13</f>
        <v>516.8071011314413</v>
      </c>
      <c r="E239" s="354">
        <f>Tabla!D13</f>
        <v>231.1495941625504</v>
      </c>
      <c r="F239" s="354">
        <f>Tabla!E13</f>
        <v>3566.90739027827</v>
      </c>
      <c r="G239" s="355">
        <f>Tabla!F13</f>
        <v>1188.9691300927568</v>
      </c>
      <c r="I239" s="254"/>
    </row>
    <row r="240" spans="1:9" ht="15.75">
      <c r="A240" s="254"/>
      <c r="B240" s="273">
        <f>Tabla!A14</f>
        <v>3.25</v>
      </c>
      <c r="C240" s="354">
        <f>Tabla!B14</f>
        <v>456.1542102265819</v>
      </c>
      <c r="D240" s="354">
        <f>Tabla!C14</f>
        <v>543.4288115469236</v>
      </c>
      <c r="E240" s="354">
        <f>Tabla!D14</f>
        <v>236.60766534967132</v>
      </c>
      <c r="F240" s="354">
        <f>Tabla!E14</f>
        <v>3651.131784115259</v>
      </c>
      <c r="G240" s="355">
        <f>Tabla!F14</f>
        <v>1123.4251643431567</v>
      </c>
      <c r="I240" s="254"/>
    </row>
    <row r="241" spans="1:9" ht="15.75">
      <c r="A241" s="254"/>
      <c r="B241" s="273">
        <f>Tabla!A15</f>
        <v>3.5</v>
      </c>
      <c r="C241" s="354">
        <f>Tabla!B15</f>
        <v>478.50047717346513</v>
      </c>
      <c r="D241" s="354">
        <f>Tabla!C15</f>
        <v>570.0505219624058</v>
      </c>
      <c r="E241" s="354">
        <f>Tabla!D15</f>
        <v>242.06573653679223</v>
      </c>
      <c r="F241" s="354">
        <f>Tabla!E15</f>
        <v>3735.356177952246</v>
      </c>
      <c r="G241" s="355">
        <f>Tabla!F15</f>
        <v>1067.2446222720703</v>
      </c>
      <c r="I241" s="254"/>
    </row>
    <row r="242" spans="1:9" ht="15.75">
      <c r="A242" s="254"/>
      <c r="B242" s="273">
        <f>Tabla!A16</f>
        <v>3.75</v>
      </c>
      <c r="C242" s="354">
        <f>Tabla!B16</f>
        <v>500.84674412034843</v>
      </c>
      <c r="D242" s="354">
        <f>Tabla!C16</f>
        <v>596.6722323778881</v>
      </c>
      <c r="E242" s="354">
        <f>Tabla!D16</f>
        <v>247.52380772391317</v>
      </c>
      <c r="F242" s="354">
        <f>Tabla!E16</f>
        <v>3819.5805717892345</v>
      </c>
      <c r="G242" s="355">
        <f>Tabla!F16</f>
        <v>1018.5548191437958</v>
      </c>
      <c r="I242" s="254"/>
    </row>
    <row r="243" spans="1:9" ht="15.75">
      <c r="A243" s="254"/>
      <c r="B243" s="273">
        <f>Tabla!A17</f>
        <v>4</v>
      </c>
      <c r="C243" s="354">
        <f>Tabla!B17</f>
        <v>523.1930110672317</v>
      </c>
      <c r="D243" s="354">
        <f>Tabla!C17</f>
        <v>623.2939427933704</v>
      </c>
      <c r="E243" s="354">
        <f>Tabla!D17</f>
        <v>252.98187891103413</v>
      </c>
      <c r="F243" s="354">
        <f>Tabla!E17</f>
        <v>3903.8049656262224</v>
      </c>
      <c r="G243" s="355">
        <f>Tabla!F17</f>
        <v>975.9512414065556</v>
      </c>
      <c r="I243" s="254"/>
    </row>
    <row r="244" spans="1:9" ht="15.75">
      <c r="A244" s="254"/>
      <c r="B244" s="273">
        <f>Tabla!A18</f>
        <v>4.25</v>
      </c>
      <c r="C244" s="354">
        <f>Tabla!B18</f>
        <v>545.539278014115</v>
      </c>
      <c r="D244" s="354">
        <f>Tabla!C18</f>
        <v>649.9156532088526</v>
      </c>
      <c r="E244" s="354">
        <f>Tabla!D18</f>
        <v>258.439950098155</v>
      </c>
      <c r="F244" s="354">
        <f>Tabla!E18</f>
        <v>3988.02935946321</v>
      </c>
      <c r="G244" s="355">
        <f>Tabla!F18</f>
        <v>938.3598492854611</v>
      </c>
      <c r="I244" s="254"/>
    </row>
    <row r="245" spans="1:9" ht="15.75">
      <c r="A245" s="254"/>
      <c r="B245" s="273">
        <f>Tabla!A19</f>
        <v>4.5</v>
      </c>
      <c r="C245" s="354">
        <f>Tabla!B19</f>
        <v>567.8855449609983</v>
      </c>
      <c r="D245" s="354">
        <f>Tabla!C19</f>
        <v>676.537363624335</v>
      </c>
      <c r="E245" s="354">
        <f>Tabla!D19</f>
        <v>263.89802128527606</v>
      </c>
      <c r="F245" s="354">
        <f>Tabla!E19</f>
        <v>4072.2537533001982</v>
      </c>
      <c r="G245" s="355">
        <f>Tabla!F19</f>
        <v>904.9452785111552</v>
      </c>
      <c r="I245" s="254"/>
    </row>
    <row r="246" spans="1:9" ht="15.75">
      <c r="A246" s="254"/>
      <c r="B246" s="273">
        <f>Tabla!A20</f>
        <v>4.75</v>
      </c>
      <c r="C246" s="354">
        <f>Tabla!B20</f>
        <v>590.2318119078816</v>
      </c>
      <c r="D246" s="354">
        <f>Tabla!C20</f>
        <v>703.1590740398171</v>
      </c>
      <c r="E246" s="354">
        <f>Tabla!D20</f>
        <v>269.35609247239694</v>
      </c>
      <c r="F246" s="354">
        <f>Tabla!E20</f>
        <v>4156.478147137186</v>
      </c>
      <c r="G246" s="355">
        <f>Tabla!F20</f>
        <v>875.0480309762497</v>
      </c>
      <c r="I246" s="254"/>
    </row>
    <row r="247" spans="1:9" ht="15.75">
      <c r="A247" s="254"/>
      <c r="B247" s="273">
        <f>Tabla!A21</f>
        <v>5</v>
      </c>
      <c r="C247" s="354">
        <f>Tabla!B21</f>
        <v>612.578078854765</v>
      </c>
      <c r="D247" s="354">
        <f>Tabla!C21</f>
        <v>729.7807844552995</v>
      </c>
      <c r="E247" s="354">
        <f>Tabla!D21</f>
        <v>274.81416365951793</v>
      </c>
      <c r="F247" s="354">
        <f>Tabla!E21</f>
        <v>4240.7025409741755</v>
      </c>
      <c r="G247" s="355">
        <f>Tabla!F21</f>
        <v>848.1405081948351</v>
      </c>
      <c r="I247" s="254"/>
    </row>
    <row r="248" spans="1:9" ht="15.75">
      <c r="A248" s="254"/>
      <c r="B248" s="273">
        <f>Tabla!A22</f>
        <v>5.25</v>
      </c>
      <c r="C248" s="354">
        <f>Tabla!B22</f>
        <v>634.9243458016482</v>
      </c>
      <c r="D248" s="354">
        <f>Tabla!C22</f>
        <v>756.4024948707818</v>
      </c>
      <c r="E248" s="354">
        <f>Tabla!D22</f>
        <v>280.27223484663887</v>
      </c>
      <c r="F248" s="354">
        <f>Tabla!E22</f>
        <v>4324.926934811162</v>
      </c>
      <c r="G248" s="355">
        <f>Tabla!F22</f>
        <v>823.7956066306975</v>
      </c>
      <c r="I248" s="254"/>
    </row>
    <row r="249" spans="1:9" ht="16.5" thickBot="1">
      <c r="A249" s="254"/>
      <c r="B249" s="356">
        <f>Tabla!A23</f>
        <v>5.5</v>
      </c>
      <c r="C249" s="357">
        <f>Tabla!B23</f>
        <v>657.2706127485314</v>
      </c>
      <c r="D249" s="357">
        <f>Tabla!C23</f>
        <v>783.024205286264</v>
      </c>
      <c r="E249" s="357">
        <f>Tabla!D23</f>
        <v>285.73030603375975</v>
      </c>
      <c r="F249" s="357">
        <f>Tabla!E23</f>
        <v>4409.15132864815</v>
      </c>
      <c r="G249" s="358">
        <f>Tabla!F23</f>
        <v>801.6638779360273</v>
      </c>
      <c r="I249" s="254"/>
    </row>
    <row r="250" spans="1:9" ht="9" customHeight="1">
      <c r="A250" s="254"/>
      <c r="B250" s="394"/>
      <c r="C250" s="256"/>
      <c r="D250" s="256"/>
      <c r="E250" s="256"/>
      <c r="F250" s="256"/>
      <c r="G250" s="256"/>
      <c r="I250" s="254"/>
    </row>
    <row r="251" spans="1:9" ht="48" customHeight="1">
      <c r="A251" s="518" t="s">
        <v>549</v>
      </c>
      <c r="B251" s="518"/>
      <c r="C251" s="518"/>
      <c r="D251" s="518"/>
      <c r="E251" s="518"/>
      <c r="F251" s="518"/>
      <c r="G251" s="518"/>
      <c r="H251" s="518"/>
      <c r="I251" s="518"/>
    </row>
    <row r="252" spans="1:9" ht="31.5" customHeight="1">
      <c r="A252" s="518" t="s">
        <v>550</v>
      </c>
      <c r="B252" s="518"/>
      <c r="C252" s="518"/>
      <c r="D252" s="518"/>
      <c r="E252" s="518"/>
      <c r="F252" s="518"/>
      <c r="G252" s="518"/>
      <c r="H252" s="518"/>
      <c r="I252" s="518"/>
    </row>
    <row r="253" spans="1:9" ht="15.75">
      <c r="A253" s="281"/>
      <c r="B253" s="281"/>
      <c r="C253" s="281"/>
      <c r="D253" s="281"/>
      <c r="E253" s="281"/>
      <c r="F253" s="281"/>
      <c r="G253" s="281"/>
      <c r="H253" s="281"/>
      <c r="I253" s="281"/>
    </row>
    <row r="254" ht="15.75">
      <c r="A254" s="226" t="s">
        <v>477</v>
      </c>
    </row>
    <row r="255" spans="1:9" ht="78.75" customHeight="1">
      <c r="A255" s="519" t="s">
        <v>447</v>
      </c>
      <c r="B255" s="519"/>
      <c r="C255" s="519"/>
      <c r="D255" s="519"/>
      <c r="E255" s="519"/>
      <c r="F255" s="519"/>
      <c r="G255" s="519"/>
      <c r="H255" s="519"/>
      <c r="I255" s="519"/>
    </row>
    <row r="256" spans="1:9" ht="7.5" customHeight="1">
      <c r="A256" s="254"/>
      <c r="B256" s="254"/>
      <c r="C256" s="254"/>
      <c r="D256" s="254"/>
      <c r="E256" s="254"/>
      <c r="F256" s="254"/>
      <c r="G256" s="254"/>
      <c r="H256" s="254"/>
      <c r="I256" s="254"/>
    </row>
    <row r="257" ht="15.75">
      <c r="A257" s="221" t="s">
        <v>368</v>
      </c>
    </row>
    <row r="258" spans="1:9" ht="53.25" customHeight="1">
      <c r="A258" s="518" t="s">
        <v>448</v>
      </c>
      <c r="B258" s="518"/>
      <c r="C258" s="518"/>
      <c r="D258" s="518"/>
      <c r="E258" s="518"/>
      <c r="F258" s="518"/>
      <c r="G258" s="518"/>
      <c r="H258" s="518"/>
      <c r="I258" s="518"/>
    </row>
    <row r="259" ht="15.75">
      <c r="A259" s="222" t="s">
        <v>372</v>
      </c>
    </row>
    <row r="260" ht="15.75">
      <c r="A260"/>
    </row>
    <row r="263" ht="8.25" customHeight="1" thickBot="1"/>
    <row r="264" spans="4:6" ht="19.5" thickBot="1">
      <c r="D264" s="242" t="s">
        <v>525</v>
      </c>
      <c r="E264" s="241">
        <f>+'1º IPR'!B10</f>
        <v>80.94371631572008</v>
      </c>
      <c r="F264" s="240" t="s">
        <v>364</v>
      </c>
    </row>
    <row r="265" spans="1:9" ht="6" customHeight="1">
      <c r="A265" s="254"/>
      <c r="B265" s="254"/>
      <c r="C265" s="254"/>
      <c r="D265" s="254"/>
      <c r="E265" s="254"/>
      <c r="F265" s="254"/>
      <c r="G265" s="254"/>
      <c r="H265" s="254"/>
      <c r="I265" s="254"/>
    </row>
    <row r="266" spans="1:9" ht="66.75" customHeight="1">
      <c r="A266" s="518" t="s">
        <v>449</v>
      </c>
      <c r="B266" s="518"/>
      <c r="C266" s="518"/>
      <c r="D266" s="518"/>
      <c r="E266" s="518"/>
      <c r="F266" s="518"/>
      <c r="G266" s="518"/>
      <c r="H266" s="518"/>
      <c r="I266" s="518"/>
    </row>
    <row r="267" spans="1:9" ht="6" customHeight="1" thickBot="1">
      <c r="A267" s="254"/>
      <c r="B267" s="254"/>
      <c r="C267" s="254"/>
      <c r="D267" s="254"/>
      <c r="E267" s="254"/>
      <c r="F267" s="254"/>
      <c r="G267" s="254"/>
      <c r="H267" s="254"/>
      <c r="I267" s="254"/>
    </row>
    <row r="268" spans="1:11" ht="21" thickBot="1">
      <c r="A268" s="207" t="s">
        <v>457</v>
      </c>
      <c r="B268" s="383"/>
      <c r="C268" s="383"/>
      <c r="D268" s="390">
        <f>+'Presiones de casing'!C26</f>
        <v>35.13892773735721</v>
      </c>
      <c r="E268" s="384" t="s">
        <v>363</v>
      </c>
      <c r="G268" s="575" t="s">
        <v>555</v>
      </c>
      <c r="H268" s="576"/>
      <c r="I268" s="577"/>
      <c r="J268" s="259"/>
      <c r="K268" s="259"/>
    </row>
    <row r="269" spans="1:9" ht="20.25">
      <c r="A269" s="209" t="s">
        <v>458</v>
      </c>
      <c r="B269" s="382"/>
      <c r="C269" s="382"/>
      <c r="D269" s="365">
        <f>+'Separador de gas'!B7</f>
        <v>30.240424145513934</v>
      </c>
      <c r="E269" s="366" t="s">
        <v>363</v>
      </c>
      <c r="G269" s="490" t="s">
        <v>524</v>
      </c>
      <c r="H269" s="388">
        <f>+'Separador de gas'!B9</f>
        <v>53.2588841261194</v>
      </c>
      <c r="I269" s="387" t="s">
        <v>364</v>
      </c>
    </row>
    <row r="270" spans="1:9" ht="21" thickBot="1">
      <c r="A270" s="212" t="s">
        <v>459</v>
      </c>
      <c r="B270" s="385"/>
      <c r="C270" s="385"/>
      <c r="D270" s="389">
        <f>+D268+D269</f>
        <v>65.37935188287113</v>
      </c>
      <c r="E270" s="386" t="s">
        <v>363</v>
      </c>
      <c r="G270" s="491" t="s">
        <v>523</v>
      </c>
      <c r="H270" s="439">
        <f>+'Separador de gas'!B10</f>
        <v>28.4383750538608</v>
      </c>
      <c r="I270" s="440" t="s">
        <v>370</v>
      </c>
    </row>
    <row r="271" spans="1:9" ht="6.75" customHeight="1">
      <c r="A271" s="254"/>
      <c r="B271" s="381"/>
      <c r="C271" s="402"/>
      <c r="D271" s="381"/>
      <c r="E271" s="381"/>
      <c r="F271" s="403"/>
      <c r="G271" s="381"/>
      <c r="H271" s="381"/>
      <c r="I271" s="254"/>
    </row>
    <row r="272" ht="15.75">
      <c r="A272" s="221" t="s">
        <v>371</v>
      </c>
    </row>
    <row r="273" ht="15.75">
      <c r="A273" s="222" t="s">
        <v>372</v>
      </c>
    </row>
    <row r="275" ht="15.75">
      <c r="A275"/>
    </row>
    <row r="277" spans="1:9" ht="15.75">
      <c r="A277" s="519" t="s">
        <v>375</v>
      </c>
      <c r="B277" s="519"/>
      <c r="C277" s="519"/>
      <c r="D277" s="519"/>
      <c r="E277" s="519"/>
      <c r="F277" s="519"/>
      <c r="G277" s="519"/>
      <c r="H277" s="519"/>
      <c r="I277" s="519"/>
    </row>
    <row r="278" spans="1:9" ht="16.5" thickBot="1">
      <c r="A278" s="519"/>
      <c r="B278" s="519"/>
      <c r="C278" s="519"/>
      <c r="D278" s="519"/>
      <c r="E278" s="519"/>
      <c r="F278" s="519"/>
      <c r="G278" s="519"/>
      <c r="H278" s="519"/>
      <c r="I278" s="519"/>
    </row>
    <row r="279" spans="3:6" ht="16.5" thickBot="1">
      <c r="C279" s="207" t="str">
        <f>Z!A2</f>
        <v>Psc</v>
      </c>
      <c r="D279" s="234">
        <f>Z!B2</f>
        <v>656.525</v>
      </c>
      <c r="F279" s="247" t="str">
        <f>Z!K5</f>
        <v>zn+1</v>
      </c>
    </row>
    <row r="280" spans="3:6" ht="15.75">
      <c r="C280" s="209" t="str">
        <f>Z!A3</f>
        <v>Tsc</v>
      </c>
      <c r="D280" s="235">
        <f>Z!B3</f>
        <v>348.29</v>
      </c>
      <c r="F280" s="246">
        <f>Z!K6</f>
        <v>0.9076449429013523</v>
      </c>
    </row>
    <row r="281" spans="3:6" ht="15.75">
      <c r="C281" s="209" t="s">
        <v>388</v>
      </c>
      <c r="D281" s="235">
        <f>Z!B4</f>
        <v>0.75</v>
      </c>
      <c r="F281" s="245">
        <f>Z!K7</f>
        <v>0.907583775826868</v>
      </c>
    </row>
    <row r="282" spans="3:6" ht="15.75">
      <c r="C282" s="209" t="str">
        <f>Z!A5</f>
        <v>T res [ºR]</v>
      </c>
      <c r="D282" s="235">
        <f>Z!B5</f>
        <v>631.4313532182103</v>
      </c>
      <c r="F282" s="245">
        <f>Z!K8</f>
        <v>0.9075837623772957</v>
      </c>
    </row>
    <row r="283" spans="3:6" ht="16.5" thickBot="1">
      <c r="C283" s="209" t="str">
        <f>Z!A6</f>
        <v>P res [psi]</v>
      </c>
      <c r="D283" s="235">
        <f>Z!B6</f>
        <v>1564.563</v>
      </c>
      <c r="F283" s="248">
        <f>Z!K9</f>
        <v>0.9075837623772984</v>
      </c>
    </row>
    <row r="284" spans="3:4" ht="15.75">
      <c r="C284" s="209" t="str">
        <f>Z!A7</f>
        <v>Ppr</v>
      </c>
      <c r="D284" s="235">
        <f>Z!B7</f>
        <v>2.3830973687216788</v>
      </c>
    </row>
    <row r="285" spans="3:4" ht="16.5" thickBot="1">
      <c r="C285" s="212" t="str">
        <f>Z!A8</f>
        <v>Tpr</v>
      </c>
      <c r="D285" s="236">
        <f>Z!B8</f>
        <v>1.8129471222780162</v>
      </c>
    </row>
    <row r="286" ht="3.75" customHeight="1"/>
    <row r="287" ht="20.25">
      <c r="A287" s="222" t="s">
        <v>456</v>
      </c>
    </row>
    <row r="288" ht="5.25" customHeight="1" thickBot="1"/>
    <row r="289" spans="4:6" ht="19.5" thickBot="1">
      <c r="D289" s="250" t="s">
        <v>282</v>
      </c>
      <c r="E289" s="272">
        <f>'Separador de gas'!$B$13</f>
        <v>0.01838987051157391</v>
      </c>
      <c r="F289" s="249" t="s">
        <v>370</v>
      </c>
    </row>
    <row r="290" spans="1:9" ht="5.25" customHeight="1">
      <c r="A290" s="254"/>
      <c r="B290" s="254"/>
      <c r="C290" s="254"/>
      <c r="D290" s="254"/>
      <c r="E290" s="254"/>
      <c r="F290" s="254"/>
      <c r="G290" s="254"/>
      <c r="H290" s="254"/>
      <c r="I290" s="254"/>
    </row>
    <row r="291" ht="15.75">
      <c r="A291" s="221" t="s">
        <v>373</v>
      </c>
    </row>
    <row r="292" ht="15.75">
      <c r="A292" s="222" t="s">
        <v>372</v>
      </c>
    </row>
    <row r="293" spans="3:4" ht="15.75">
      <c r="C293"/>
      <c r="D293"/>
    </row>
    <row r="295" ht="16.5" thickBot="1"/>
    <row r="296" spans="4:6" ht="19.5" thickBot="1">
      <c r="D296" s="250" t="s">
        <v>289</v>
      </c>
      <c r="E296" s="253">
        <f>+'Separador de gas'!B17</f>
        <v>1.1211602982748414</v>
      </c>
      <c r="F296" s="249" t="s">
        <v>370</v>
      </c>
    </row>
    <row r="297" spans="1:9" ht="4.5" customHeight="1">
      <c r="A297" s="254"/>
      <c r="B297" s="254"/>
      <c r="C297" s="254"/>
      <c r="D297" s="254"/>
      <c r="E297" s="254"/>
      <c r="F297" s="254"/>
      <c r="G297" s="254"/>
      <c r="H297" s="254"/>
      <c r="I297" s="254"/>
    </row>
    <row r="298" ht="15.75">
      <c r="A298" s="221" t="s">
        <v>293</v>
      </c>
    </row>
    <row r="299" spans="1:9" ht="15.75">
      <c r="A299" s="519" t="s">
        <v>530</v>
      </c>
      <c r="B299" s="519"/>
      <c r="C299" s="519"/>
      <c r="D299" s="519"/>
      <c r="E299" s="519"/>
      <c r="F299" s="519"/>
      <c r="G299" s="519"/>
      <c r="H299" s="519"/>
      <c r="I299" s="519"/>
    </row>
    <row r="300" spans="1:9" ht="15.75">
      <c r="A300" s="519"/>
      <c r="B300" s="519"/>
      <c r="C300" s="519"/>
      <c r="D300" s="519"/>
      <c r="E300" s="519"/>
      <c r="F300" s="519"/>
      <c r="G300" s="519"/>
      <c r="H300" s="519"/>
      <c r="I300" s="519"/>
    </row>
    <row r="301" spans="1:9" ht="7.5" customHeight="1" thickBot="1">
      <c r="A301" s="254"/>
      <c r="B301" s="254"/>
      <c r="C301" s="254"/>
      <c r="D301" s="254"/>
      <c r="E301" s="254"/>
      <c r="F301" s="254"/>
      <c r="G301" s="254"/>
      <c r="H301" s="254"/>
      <c r="I301" s="254"/>
    </row>
    <row r="302" spans="1:9" ht="15.75">
      <c r="A302" s="254"/>
      <c r="B302" s="254"/>
      <c r="C302" s="451" t="str">
        <f>'Separador de gas'!A18</f>
        <v>Caudal máximo</v>
      </c>
      <c r="D302" s="455"/>
      <c r="E302" s="456"/>
      <c r="F302" s="457">
        <f>'Separador de gas'!B18</f>
        <v>16.93097014925373</v>
      </c>
      <c r="G302" s="384" t="str">
        <f>'Separador de gas'!C18</f>
        <v>mcd</v>
      </c>
      <c r="H302" s="254"/>
      <c r="I302" s="254"/>
    </row>
    <row r="303" spans="1:9" ht="15.75">
      <c r="A303" s="254"/>
      <c r="B303" s="254"/>
      <c r="C303" s="463" t="str">
        <f>'Separador de gas'!A19</f>
        <v>Caudal deseado</v>
      </c>
      <c r="D303" s="464"/>
      <c r="E303" s="465"/>
      <c r="F303" s="466">
        <f>'Separador de gas'!B19</f>
        <v>15</v>
      </c>
      <c r="G303" s="467" t="str">
        <f>'Separador de gas'!C19</f>
        <v>mcd</v>
      </c>
      <c r="H303" s="254"/>
      <c r="I303" s="254"/>
    </row>
    <row r="304" spans="3:7" ht="15.75">
      <c r="C304" s="458" t="str">
        <f>'Separador de gas'!A20</f>
        <v>Gas libre en los punzados</v>
      </c>
      <c r="D304" s="453"/>
      <c r="E304" s="454"/>
      <c r="F304" s="264">
        <f>'Separador de gas'!B20</f>
        <v>12.166136979842046</v>
      </c>
      <c r="G304" s="215" t="str">
        <f>'Separador de gas'!C20</f>
        <v>mcd</v>
      </c>
    </row>
    <row r="305" spans="3:7" ht="16.5" thickBot="1">
      <c r="C305" s="459" t="str">
        <f>'Separador de gas'!A21</f>
        <v>Caudal de líquido en los punzados</v>
      </c>
      <c r="D305" s="460"/>
      <c r="E305" s="461"/>
      <c r="F305" s="462">
        <f>'Separador de gas'!B21</f>
        <v>16.526619758263003</v>
      </c>
      <c r="G305" s="218" t="str">
        <f>'Separador de gas'!C21</f>
        <v>mcd</v>
      </c>
    </row>
    <row r="306" spans="3:7" ht="7.5" customHeight="1">
      <c r="C306" s="225"/>
      <c r="D306" s="225"/>
      <c r="E306" s="225"/>
      <c r="F306" s="403"/>
      <c r="G306" s="225"/>
    </row>
    <row r="307" spans="1:9" ht="112.5" customHeight="1">
      <c r="A307" s="518" t="s">
        <v>558</v>
      </c>
      <c r="B307" s="518"/>
      <c r="C307" s="518"/>
      <c r="D307" s="518"/>
      <c r="E307" s="518"/>
      <c r="F307" s="518"/>
      <c r="G307" s="518"/>
      <c r="H307" s="518"/>
      <c r="I307" s="518"/>
    </row>
    <row r="308" spans="3:7" ht="7.5" customHeight="1" thickBot="1">
      <c r="C308" s="225"/>
      <c r="D308" s="225"/>
      <c r="E308" s="225"/>
      <c r="F308" s="403"/>
      <c r="G308" s="225"/>
    </row>
    <row r="309" spans="3:7" ht="15.75">
      <c r="C309" s="252" t="str">
        <f>'Separador de gas'!A23</f>
        <v>Caudal de gas en superficie</v>
      </c>
      <c r="D309" s="208"/>
      <c r="E309" s="208"/>
      <c r="F309" s="232">
        <f>'Separador de gas'!B23</f>
        <v>1019.890825578073</v>
      </c>
      <c r="G309" s="214" t="str">
        <f>'Separador de gas'!C23</f>
        <v>mcd</v>
      </c>
    </row>
    <row r="310" spans="3:7" ht="15.75">
      <c r="C310" s="231" t="str">
        <f>'Separador de gas'!A24</f>
        <v>Caudal de gas en superficie</v>
      </c>
      <c r="D310" s="210"/>
      <c r="E310" s="210"/>
      <c r="F310" s="223">
        <f>'Separador de gas'!B24</f>
        <v>36.017104597593494</v>
      </c>
      <c r="G310" s="215" t="str">
        <f>'Separador de gas'!C24</f>
        <v>Mscf/d</v>
      </c>
    </row>
    <row r="311" spans="3:7" ht="15.75">
      <c r="C311" s="231" t="str">
        <f>'Separador de gas'!A25</f>
        <v>Caudal de petróleo en superficie</v>
      </c>
      <c r="D311" s="210"/>
      <c r="E311" s="210"/>
      <c r="F311" s="216">
        <f>'Separador de gas'!B25</f>
        <v>12.6</v>
      </c>
      <c r="G311" s="215" t="str">
        <f>'Separador de gas'!C25</f>
        <v>mcd</v>
      </c>
    </row>
    <row r="312" spans="3:7" ht="16.5" thickBot="1">
      <c r="C312" s="233" t="str">
        <f>'Separador de gas'!A26</f>
        <v>Caudal de agua en superficie</v>
      </c>
      <c r="D312" s="211"/>
      <c r="E312" s="211"/>
      <c r="F312" s="217">
        <f>'Separador de gas'!B26</f>
        <v>2.4</v>
      </c>
      <c r="G312" s="218" t="str">
        <f>'Separador de gas'!C26</f>
        <v>mcd</v>
      </c>
    </row>
    <row r="313" spans="3:7" ht="7.5" customHeight="1">
      <c r="C313" s="225"/>
      <c r="D313" s="225"/>
      <c r="E313" s="225"/>
      <c r="F313" s="225"/>
      <c r="G313" s="225"/>
    </row>
    <row r="314" spans="1:9" ht="32.25" customHeight="1">
      <c r="A314" s="518" t="s">
        <v>551</v>
      </c>
      <c r="B314" s="518"/>
      <c r="C314" s="518"/>
      <c r="D314" s="518"/>
      <c r="E314" s="518"/>
      <c r="F314" s="518"/>
      <c r="G314" s="518"/>
      <c r="H314" s="518"/>
      <c r="I314" s="518"/>
    </row>
    <row r="315" spans="3:7" ht="15.75">
      <c r="C315" s="225"/>
      <c r="D315" s="225"/>
      <c r="E315" s="225"/>
      <c r="F315" s="225"/>
      <c r="G315" s="225"/>
    </row>
    <row r="316" ht="15.75">
      <c r="A316" s="226" t="s">
        <v>478</v>
      </c>
    </row>
    <row r="317" spans="1:9" ht="126.75" customHeight="1">
      <c r="A317" s="518" t="s">
        <v>552</v>
      </c>
      <c r="B317" s="518"/>
      <c r="C317" s="518"/>
      <c r="D317" s="518"/>
      <c r="E317" s="518"/>
      <c r="F317" s="518"/>
      <c r="G317" s="518"/>
      <c r="H317" s="518"/>
      <c r="I317" s="518"/>
    </row>
    <row r="318" spans="1:9" ht="8.25" customHeight="1" thickBot="1">
      <c r="A318" s="254"/>
      <c r="B318" s="254"/>
      <c r="C318" s="254"/>
      <c r="D318" s="254"/>
      <c r="E318" s="254"/>
      <c r="F318" s="254"/>
      <c r="G318" s="254"/>
      <c r="H318" s="254"/>
      <c r="I318" s="254"/>
    </row>
    <row r="319" spans="1:9" ht="16.5" thickBot="1">
      <c r="A319" s="476" t="s">
        <v>424</v>
      </c>
      <c r="B319" s="477"/>
      <c r="C319" s="363"/>
      <c r="D319" s="478"/>
      <c r="E319" s="479">
        <f>+'Volumen de gas'!C7</f>
        <v>3.25</v>
      </c>
      <c r="F319" s="478" t="s">
        <v>436</v>
      </c>
      <c r="I319" s="254"/>
    </row>
    <row r="320" spans="1:9" ht="8.25" customHeight="1" thickBot="1">
      <c r="A320" s="254"/>
      <c r="B320" s="254"/>
      <c r="I320" s="254"/>
    </row>
    <row r="321" spans="1:9" ht="16.5" thickBot="1">
      <c r="A321" s="374" t="s">
        <v>438</v>
      </c>
      <c r="B321" s="375"/>
      <c r="C321" s="376"/>
      <c r="D321" s="244"/>
      <c r="E321" s="373">
        <f>+'Volumen de gas'!C8</f>
        <v>29.027576197387518</v>
      </c>
      <c r="F321" s="244" t="s">
        <v>430</v>
      </c>
      <c r="I321" s="254"/>
    </row>
    <row r="322" spans="1:9" ht="7.5" customHeight="1" thickBot="1">
      <c r="A322" s="254"/>
      <c r="B322" s="254"/>
      <c r="I322" s="254"/>
    </row>
    <row r="323" spans="1:9" ht="19.5" thickBot="1">
      <c r="A323" s="374" t="s">
        <v>439</v>
      </c>
      <c r="B323" s="375"/>
      <c r="C323" s="376"/>
      <c r="D323" s="244"/>
      <c r="E323" s="373">
        <f>+'Volumen de gas'!C9</f>
        <v>49.608000000000004</v>
      </c>
      <c r="F323" s="244" t="s">
        <v>431</v>
      </c>
      <c r="I323" s="254"/>
    </row>
    <row r="324" spans="1:9" ht="9.75" customHeight="1" thickBot="1">
      <c r="A324" s="254"/>
      <c r="B324" s="254"/>
      <c r="I324" s="254"/>
    </row>
    <row r="325" spans="1:9" ht="19.5" thickBot="1">
      <c r="A325" s="374" t="s">
        <v>440</v>
      </c>
      <c r="B325" s="375"/>
      <c r="C325" s="376"/>
      <c r="D325" s="244"/>
      <c r="E325" s="373">
        <f>+'Volumen de gas'!C10</f>
        <v>10.465879265091864</v>
      </c>
      <c r="F325" s="244" t="s">
        <v>431</v>
      </c>
      <c r="I325" s="254"/>
    </row>
    <row r="326" spans="1:9" ht="7.5" customHeight="1" thickBot="1">
      <c r="A326" s="361"/>
      <c r="B326" s="254"/>
      <c r="I326" s="254"/>
    </row>
    <row r="327" spans="1:9" ht="19.5" thickBot="1">
      <c r="A327" s="374" t="s">
        <v>441</v>
      </c>
      <c r="B327" s="375"/>
      <c r="C327" s="376"/>
      <c r="D327" s="244"/>
      <c r="E327" s="373">
        <f>+'Volumen de gas'!C11</f>
        <v>39.14212073490814</v>
      </c>
      <c r="F327" s="244" t="s">
        <v>431</v>
      </c>
      <c r="I327" s="254"/>
    </row>
    <row r="328" spans="1:9" ht="9.75" customHeight="1">
      <c r="A328" s="361"/>
      <c r="B328" s="254"/>
      <c r="I328" s="254"/>
    </row>
    <row r="329" spans="1:9" ht="45.75" customHeight="1">
      <c r="A329" s="519" t="s">
        <v>535</v>
      </c>
      <c r="B329" s="519"/>
      <c r="C329" s="519"/>
      <c r="D329" s="519"/>
      <c r="E329" s="519"/>
      <c r="F329" s="519"/>
      <c r="G329" s="519"/>
      <c r="H329" s="519"/>
      <c r="I329" s="519"/>
    </row>
    <row r="330" spans="1:9" ht="16.5" thickBot="1">
      <c r="A330" s="254"/>
      <c r="B330" s="254"/>
      <c r="C330" s="254"/>
      <c r="D330" s="254"/>
      <c r="E330" s="254"/>
      <c r="F330" s="254"/>
      <c r="G330" s="254"/>
      <c r="H330" s="254"/>
      <c r="I330" s="254"/>
    </row>
    <row r="331" spans="1:9" ht="15.75">
      <c r="A331" s="254"/>
      <c r="B331" s="448" t="s">
        <v>531</v>
      </c>
      <c r="C331" s="234" t="s">
        <v>532</v>
      </c>
      <c r="D331" s="254"/>
      <c r="E331" s="254"/>
      <c r="F331" s="254"/>
      <c r="G331" s="254"/>
      <c r="H331" s="254"/>
      <c r="I331" s="254"/>
    </row>
    <row r="332" spans="1:9" ht="16.5" thickBot="1">
      <c r="A332" s="254"/>
      <c r="B332" s="356" t="s">
        <v>534</v>
      </c>
      <c r="C332" s="236" t="s">
        <v>533</v>
      </c>
      <c r="D332" s="254"/>
      <c r="E332" s="254"/>
      <c r="F332" s="254"/>
      <c r="G332" s="254"/>
      <c r="H332" s="254"/>
      <c r="I332" s="254"/>
    </row>
    <row r="333" spans="1:9" ht="15.75">
      <c r="A333" s="254"/>
      <c r="B333" s="274">
        <v>0</v>
      </c>
      <c r="C333" s="473">
        <v>140</v>
      </c>
      <c r="D333" s="254"/>
      <c r="E333" s="254"/>
      <c r="F333" s="254"/>
      <c r="G333" s="254"/>
      <c r="H333" s="254"/>
      <c r="I333" s="254"/>
    </row>
    <row r="334" spans="1:9" ht="15.75">
      <c r="A334" s="254"/>
      <c r="B334" s="273">
        <v>30</v>
      </c>
      <c r="C334" s="235">
        <v>330</v>
      </c>
      <c r="D334" s="254"/>
      <c r="E334" s="254"/>
      <c r="F334" s="254"/>
      <c r="G334" s="254"/>
      <c r="H334" s="254"/>
      <c r="I334" s="254"/>
    </row>
    <row r="335" spans="1:9" ht="15.75">
      <c r="A335" s="254"/>
      <c r="B335" s="273">
        <v>60</v>
      </c>
      <c r="C335" s="235">
        <v>390</v>
      </c>
      <c r="D335" s="254"/>
      <c r="E335" s="254"/>
      <c r="F335" s="254"/>
      <c r="G335" s="254"/>
      <c r="H335" s="254"/>
      <c r="I335" s="254"/>
    </row>
    <row r="336" spans="1:9" ht="15.75">
      <c r="A336" s="254"/>
      <c r="B336" s="273">
        <v>90</v>
      </c>
      <c r="C336" s="235">
        <v>420</v>
      </c>
      <c r="D336" s="254"/>
      <c r="E336" s="254"/>
      <c r="F336" s="254"/>
      <c r="G336" s="254"/>
      <c r="H336" s="254"/>
      <c r="I336" s="254"/>
    </row>
    <row r="337" spans="1:9" ht="16.5" thickBot="1">
      <c r="A337" s="254"/>
      <c r="B337" s="356">
        <v>120</v>
      </c>
      <c r="C337" s="236">
        <v>450</v>
      </c>
      <c r="D337" s="254"/>
      <c r="E337" s="254"/>
      <c r="F337" s="254"/>
      <c r="G337" s="254"/>
      <c r="H337" s="254"/>
      <c r="I337" s="254"/>
    </row>
    <row r="338" spans="1:9" ht="15.75">
      <c r="A338" s="254"/>
      <c r="B338" s="254"/>
      <c r="C338" s="254"/>
      <c r="D338" s="254"/>
      <c r="E338" s="254"/>
      <c r="F338" s="254"/>
      <c r="G338" s="254"/>
      <c r="H338" s="254"/>
      <c r="I338" s="254"/>
    </row>
    <row r="339" spans="1:9" ht="45.75" customHeight="1">
      <c r="A339" s="519" t="s">
        <v>553</v>
      </c>
      <c r="B339" s="519"/>
      <c r="C339" s="519"/>
      <c r="D339" s="519"/>
      <c r="E339" s="519"/>
      <c r="F339" s="519"/>
      <c r="G339" s="519"/>
      <c r="H339" s="519"/>
      <c r="I339" s="519"/>
    </row>
    <row r="340" spans="1:9" ht="6.75" customHeight="1" thickBot="1">
      <c r="A340" s="361"/>
      <c r="B340" s="254"/>
      <c r="I340" s="254"/>
    </row>
    <row r="341" spans="3:9" ht="19.5" thickBot="1">
      <c r="C341" s="374" t="s">
        <v>442</v>
      </c>
      <c r="D341" s="375"/>
      <c r="E341" s="376"/>
      <c r="F341" s="244"/>
      <c r="G341" s="373">
        <f>3.5*E325</f>
        <v>36.63057742782152</v>
      </c>
      <c r="H341" s="244" t="s">
        <v>431</v>
      </c>
      <c r="I341" s="254"/>
    </row>
    <row r="342" spans="1:9" ht="15.75">
      <c r="A342"/>
      <c r="B342" s="254"/>
      <c r="I342" s="254"/>
    </row>
    <row r="343" spans="1:9" ht="12.75" customHeight="1">
      <c r="A343" s="361"/>
      <c r="B343" s="254"/>
      <c r="I343" s="254"/>
    </row>
    <row r="344" spans="1:9" ht="31.5" customHeight="1">
      <c r="A344" s="518" t="s">
        <v>443</v>
      </c>
      <c r="B344" s="518"/>
      <c r="C344" s="518"/>
      <c r="D344" s="518"/>
      <c r="E344" s="518"/>
      <c r="F344" s="518"/>
      <c r="G344" s="518"/>
      <c r="H344" s="518"/>
      <c r="I344" s="518"/>
    </row>
    <row r="345" spans="1:9" ht="47.25" customHeight="1">
      <c r="A345" s="518" t="s">
        <v>547</v>
      </c>
      <c r="B345" s="518"/>
      <c r="C345" s="518"/>
      <c r="D345" s="518"/>
      <c r="E345" s="518"/>
      <c r="F345" s="518"/>
      <c r="G345" s="518"/>
      <c r="H345" s="518"/>
      <c r="I345" s="518"/>
    </row>
    <row r="346" spans="1:9" s="202" customFormat="1" ht="15.75">
      <c r="A346" s="475" t="s">
        <v>538</v>
      </c>
      <c r="B346" s="474"/>
      <c r="C346" s="474"/>
      <c r="D346" s="474"/>
      <c r="E346" s="474"/>
      <c r="F346" s="474"/>
      <c r="G346" s="474"/>
      <c r="H346" s="474"/>
      <c r="I346" s="474"/>
    </row>
    <row r="347" spans="1:9" s="202" customFormat="1" ht="15.75">
      <c r="A347" s="475" t="s">
        <v>539</v>
      </c>
      <c r="B347" s="474"/>
      <c r="C347" s="474"/>
      <c r="D347" s="474"/>
      <c r="E347" s="474"/>
      <c r="F347" s="474"/>
      <c r="G347" s="474"/>
      <c r="H347" s="474"/>
      <c r="I347" s="474"/>
    </row>
    <row r="348" spans="1:9" s="202" customFormat="1" ht="32.25" customHeight="1">
      <c r="A348" s="520" t="s">
        <v>540</v>
      </c>
      <c r="B348" s="520"/>
      <c r="C348" s="520"/>
      <c r="D348" s="520"/>
      <c r="E348" s="520"/>
      <c r="F348" s="520"/>
      <c r="G348" s="520"/>
      <c r="H348" s="520"/>
      <c r="I348" s="520"/>
    </row>
    <row r="349" spans="1:9" ht="15.75">
      <c r="A349" s="361" t="s">
        <v>541</v>
      </c>
      <c r="B349" s="254"/>
      <c r="C349" s="254"/>
      <c r="D349" s="254"/>
      <c r="E349" s="254"/>
      <c r="F349" s="254"/>
      <c r="G349" s="254"/>
      <c r="H349" s="254"/>
      <c r="I349" s="254"/>
    </row>
    <row r="350" spans="1:9" ht="9" customHeight="1" thickBot="1">
      <c r="A350" s="254"/>
      <c r="B350" s="254"/>
      <c r="C350" s="254"/>
      <c r="D350" s="254"/>
      <c r="E350" s="254"/>
      <c r="F350" s="254"/>
      <c r="G350" s="254"/>
      <c r="H350" s="254"/>
      <c r="I350" s="254"/>
    </row>
    <row r="351" spans="4:9" ht="15.75">
      <c r="D351" s="207" t="s">
        <v>536</v>
      </c>
      <c r="E351" s="383"/>
      <c r="F351" s="457">
        <f>+'Separador de gas'!B24*1000/Tabla!H9</f>
        <v>94.33006285054083</v>
      </c>
      <c r="G351" s="384" t="s">
        <v>537</v>
      </c>
      <c r="H351" s="254"/>
      <c r="I351" s="254"/>
    </row>
    <row r="352" spans="4:9" ht="15.75">
      <c r="D352" s="493" t="s">
        <v>542</v>
      </c>
      <c r="E352" s="492"/>
      <c r="F352" s="494">
        <f>+INDEX(Tabla!$A$2:$F$33,'Volumen de gas'!$F$6,6)</f>
        <v>1123.4251643431567</v>
      </c>
      <c r="G352" s="467" t="s">
        <v>543</v>
      </c>
      <c r="H352" s="254"/>
      <c r="I352" s="254"/>
    </row>
    <row r="353" spans="4:9" ht="31.5" customHeight="1">
      <c r="D353" s="514" t="s">
        <v>544</v>
      </c>
      <c r="E353" s="515"/>
      <c r="F353" s="495">
        <f>+(F352-'1º IPR'!B14)*Presentación!F351/1000</f>
        <v>99.55832208653236</v>
      </c>
      <c r="G353" s="496" t="s">
        <v>529</v>
      </c>
      <c r="H353" s="254"/>
      <c r="I353" s="254"/>
    </row>
    <row r="354" spans="4:9" ht="31.5" customHeight="1" thickBot="1">
      <c r="D354" s="516" t="s">
        <v>545</v>
      </c>
      <c r="E354" s="517"/>
      <c r="F354" s="497">
        <f>+INDEX(Tabla!$A$2:$F$33,'Volumen de gas'!$F$6,3)</f>
        <v>543.4288115469236</v>
      </c>
      <c r="G354" s="498" t="s">
        <v>17</v>
      </c>
      <c r="H354" s="254"/>
      <c r="I354" s="254"/>
    </row>
    <row r="355" spans="4:9" ht="7.5" customHeight="1">
      <c r="D355" s="487"/>
      <c r="E355" s="487"/>
      <c r="F355" s="488"/>
      <c r="G355" s="489"/>
      <c r="H355" s="254"/>
      <c r="I355" s="254"/>
    </row>
    <row r="356" spans="1:9" ht="29.25" customHeight="1">
      <c r="A356" s="519" t="s">
        <v>554</v>
      </c>
      <c r="B356" s="519"/>
      <c r="C356" s="519"/>
      <c r="D356" s="519"/>
      <c r="E356" s="519"/>
      <c r="F356" s="519"/>
      <c r="G356" s="519"/>
      <c r="H356" s="519"/>
      <c r="I356" s="519"/>
    </row>
    <row r="357" spans="1:9" ht="15.75">
      <c r="A357" s="361"/>
      <c r="B357" s="254"/>
      <c r="C357" s="254"/>
      <c r="D357" s="254"/>
      <c r="E357" s="254"/>
      <c r="F357" s="254"/>
      <c r="G357" s="254"/>
      <c r="H357" s="254"/>
      <c r="I357" s="254"/>
    </row>
    <row r="358" ht="15.75">
      <c r="A358" s="226" t="s">
        <v>479</v>
      </c>
    </row>
    <row r="359" spans="1:15" s="227" customFormat="1" ht="15.75" customHeight="1">
      <c r="A359" s="227" t="s">
        <v>460</v>
      </c>
      <c r="J359" s="222"/>
      <c r="K359" s="222"/>
      <c r="L359" s="222"/>
      <c r="M359" s="222"/>
      <c r="N359" s="222"/>
      <c r="O359" s="222"/>
    </row>
    <row r="360" spans="10:15" s="227" customFormat="1" ht="7.5" customHeight="1" thickBot="1">
      <c r="J360" s="222"/>
      <c r="K360" s="222"/>
      <c r="L360" s="222"/>
      <c r="M360" s="222"/>
      <c r="N360" s="222"/>
      <c r="O360" s="222"/>
    </row>
    <row r="361" spans="1:15" s="227" customFormat="1" ht="15.75">
      <c r="A361" s="563" t="s">
        <v>461</v>
      </c>
      <c r="B361" s="564"/>
      <c r="C361" s="564" t="s">
        <v>462</v>
      </c>
      <c r="D361" s="531" t="s">
        <v>472</v>
      </c>
      <c r="E361" s="531"/>
      <c r="F361" s="578">
        <v>2.5</v>
      </c>
      <c r="G361" s="579"/>
      <c r="J361" s="222"/>
      <c r="K361" s="222"/>
      <c r="L361" s="222"/>
      <c r="M361" s="222"/>
      <c r="N361" s="222"/>
      <c r="O361" s="222"/>
    </row>
    <row r="362" spans="1:7" ht="15.75">
      <c r="A362" s="567"/>
      <c r="B362" s="568"/>
      <c r="C362" s="568"/>
      <c r="D362" s="210" t="s">
        <v>469</v>
      </c>
      <c r="E362" s="210"/>
      <c r="F362" s="216">
        <v>2.325</v>
      </c>
      <c r="G362" s="215" t="s">
        <v>307</v>
      </c>
    </row>
    <row r="363" spans="1:7" ht="15.75">
      <c r="A363" s="567"/>
      <c r="B363" s="568"/>
      <c r="C363" s="568"/>
      <c r="D363" s="210" t="s">
        <v>470</v>
      </c>
      <c r="E363" s="210"/>
      <c r="F363" s="216">
        <v>2.5</v>
      </c>
      <c r="G363" s="215" t="s">
        <v>307</v>
      </c>
    </row>
    <row r="364" spans="1:7" ht="16.5" thickBot="1">
      <c r="A364" s="565"/>
      <c r="B364" s="566"/>
      <c r="C364" s="566"/>
      <c r="D364" s="543" t="s">
        <v>471</v>
      </c>
      <c r="E364" s="543"/>
      <c r="F364" s="217">
        <v>22.5</v>
      </c>
      <c r="G364" s="218" t="s">
        <v>34</v>
      </c>
    </row>
    <row r="365" spans="1:5" s="225" customFormat="1" ht="4.5" customHeight="1" thickBot="1">
      <c r="A365" s="499"/>
      <c r="B365" s="499"/>
      <c r="C365" s="499"/>
      <c r="D365" s="402"/>
      <c r="E365" s="402"/>
    </row>
    <row r="366" spans="1:8" ht="15.75">
      <c r="A366" s="563" t="s">
        <v>463</v>
      </c>
      <c r="B366" s="564"/>
      <c r="C366" s="564" t="s">
        <v>473</v>
      </c>
      <c r="D366" s="557" t="s">
        <v>468</v>
      </c>
      <c r="F366" s="559" t="s">
        <v>465</v>
      </c>
      <c r="G366" s="560"/>
      <c r="H366" s="557" t="s">
        <v>474</v>
      </c>
    </row>
    <row r="367" spans="1:8" ht="15.75" customHeight="1" thickBot="1">
      <c r="A367" s="565"/>
      <c r="B367" s="566"/>
      <c r="C367" s="566"/>
      <c r="D367" s="558"/>
      <c r="F367" s="561"/>
      <c r="G367" s="562"/>
      <c r="H367" s="558"/>
    </row>
    <row r="368" spans="1:8" s="225" customFormat="1" ht="5.25" customHeight="1" thickBot="1">
      <c r="A368" s="499"/>
      <c r="B368" s="499"/>
      <c r="C368" s="499"/>
      <c r="D368" s="499"/>
      <c r="F368" s="500"/>
      <c r="G368" s="500"/>
      <c r="H368" s="499"/>
    </row>
    <row r="369" spans="1:8" ht="33.75" customHeight="1">
      <c r="A369" s="563" t="s">
        <v>464</v>
      </c>
      <c r="B369" s="564"/>
      <c r="C369" s="564" t="s">
        <v>548</v>
      </c>
      <c r="D369" s="557" t="s">
        <v>468</v>
      </c>
      <c r="F369" s="563" t="s">
        <v>466</v>
      </c>
      <c r="G369" s="564"/>
      <c r="H369" s="557" t="s">
        <v>467</v>
      </c>
    </row>
    <row r="370" spans="1:8" ht="16.5" thickBot="1">
      <c r="A370" s="565"/>
      <c r="B370" s="566"/>
      <c r="C370" s="566"/>
      <c r="D370" s="558"/>
      <c r="F370" s="565"/>
      <c r="G370" s="566"/>
      <c r="H370" s="558"/>
    </row>
    <row r="373" spans="4:8" ht="15.75">
      <c r="D373" s="225"/>
      <c r="H373" s="225"/>
    </row>
  </sheetData>
  <mergeCells count="96">
    <mergeCell ref="A172:I173"/>
    <mergeCell ref="A266:I266"/>
    <mergeCell ref="A329:I329"/>
    <mergeCell ref="A339:I339"/>
    <mergeCell ref="A255:I255"/>
    <mergeCell ref="A222:I222"/>
    <mergeCell ref="A299:I300"/>
    <mergeCell ref="A131:I131"/>
    <mergeCell ref="A136:I136"/>
    <mergeCell ref="E152:F152"/>
    <mergeCell ref="E162:F162"/>
    <mergeCell ref="E143:F143"/>
    <mergeCell ref="A251:I251"/>
    <mergeCell ref="A258:I258"/>
    <mergeCell ref="D364:E364"/>
    <mergeCell ref="D361:E361"/>
    <mergeCell ref="G268:I268"/>
    <mergeCell ref="F361:G361"/>
    <mergeCell ref="A344:I344"/>
    <mergeCell ref="A206:I206"/>
    <mergeCell ref="E210:F210"/>
    <mergeCell ref="E212:F212"/>
    <mergeCell ref="A214:I214"/>
    <mergeCell ref="C366:C367"/>
    <mergeCell ref="C369:C370"/>
    <mergeCell ref="D369:D370"/>
    <mergeCell ref="D366:D367"/>
    <mergeCell ref="C114:E114"/>
    <mergeCell ref="A108:I108"/>
    <mergeCell ref="H366:H367"/>
    <mergeCell ref="H369:H370"/>
    <mergeCell ref="F366:G367"/>
    <mergeCell ref="A369:B370"/>
    <mergeCell ref="A366:B367"/>
    <mergeCell ref="F369:G370"/>
    <mergeCell ref="A361:B364"/>
    <mergeCell ref="C361:C364"/>
    <mergeCell ref="A30:C30"/>
    <mergeCell ref="A19:C19"/>
    <mergeCell ref="A79:B79"/>
    <mergeCell ref="A31:C31"/>
    <mergeCell ref="A58:I61"/>
    <mergeCell ref="G79:I79"/>
    <mergeCell ref="A103:I103"/>
    <mergeCell ref="A81:B81"/>
    <mergeCell ref="A80:B80"/>
    <mergeCell ref="C80:D80"/>
    <mergeCell ref="A66:I67"/>
    <mergeCell ref="C120:D120"/>
    <mergeCell ref="E163:F163"/>
    <mergeCell ref="E167:F167"/>
    <mergeCell ref="A75:I77"/>
    <mergeCell ref="E119:F119"/>
    <mergeCell ref="E122:F122"/>
    <mergeCell ref="C119:D119"/>
    <mergeCell ref="A104:I104"/>
    <mergeCell ref="A110:I110"/>
    <mergeCell ref="C111:G111"/>
    <mergeCell ref="A57:I57"/>
    <mergeCell ref="A14:C14"/>
    <mergeCell ref="F29:H29"/>
    <mergeCell ref="F30:H30"/>
    <mergeCell ref="A21:C21"/>
    <mergeCell ref="A22:C22"/>
    <mergeCell ref="A23:C23"/>
    <mergeCell ref="A29:C29"/>
    <mergeCell ref="A17:C17"/>
    <mergeCell ref="A36:C36"/>
    <mergeCell ref="D15:E15"/>
    <mergeCell ref="D18:E18"/>
    <mergeCell ref="A20:C20"/>
    <mergeCell ref="A277:I278"/>
    <mergeCell ref="A252:I252"/>
    <mergeCell ref="A39:C39"/>
    <mergeCell ref="A43:C43"/>
    <mergeCell ref="A32:C32"/>
    <mergeCell ref="A50:C50"/>
    <mergeCell ref="A33:C33"/>
    <mergeCell ref="A3:I3"/>
    <mergeCell ref="A55:I56"/>
    <mergeCell ref="A45:C45"/>
    <mergeCell ref="A35:C35"/>
    <mergeCell ref="A28:C28"/>
    <mergeCell ref="A13:C13"/>
    <mergeCell ref="A16:C16"/>
    <mergeCell ref="A26:C26"/>
    <mergeCell ref="A46:C46"/>
    <mergeCell ref="A34:C34"/>
    <mergeCell ref="A307:I307"/>
    <mergeCell ref="A314:I314"/>
    <mergeCell ref="A345:I345"/>
    <mergeCell ref="A348:I348"/>
    <mergeCell ref="D353:E353"/>
    <mergeCell ref="D354:E354"/>
    <mergeCell ref="A317:I317"/>
    <mergeCell ref="A356:I356"/>
  </mergeCells>
  <printOptions/>
  <pageMargins left="0.7874015748031497" right="0.2755905511811024" top="0.5905511811023623" bottom="0.5905511811023623" header="0.2755905511811024" footer="0"/>
  <pageSetup orientation="portrait" paperSize="5" r:id="rId22"/>
  <headerFooter alignWithMargins="0">
    <oddHeader>&amp;L&amp;"Batang,Normal"PRODUCCIÓN I&amp;R&amp;"Batang,Normal"YACIMIENTO FACING-2002</oddHeader>
  </headerFooter>
  <ignoredErrors>
    <ignoredError sqref="D45" formula="1"/>
  </ignoredErrors>
  <drawing r:id="rId21"/>
  <legacyDrawing r:id="rId20"/>
  <oleObjects>
    <oleObject progId="Equation.3" shapeId="1004720" r:id="rId1"/>
    <oleObject progId="Equation.3" shapeId="1609369" r:id="rId2"/>
    <oleObject progId="Equation.3" shapeId="2162260" r:id="rId3"/>
    <oleObject progId="Equation.3" shapeId="2295975" r:id="rId4"/>
    <oleObject progId="Equation.3" shapeId="2306245" r:id="rId5"/>
    <oleObject progId="Equation.3" shapeId="119436" r:id="rId6"/>
    <oleObject progId="Equation.3" shapeId="138013" r:id="rId7"/>
    <oleObject progId="Equation.3" shapeId="171133" r:id="rId8"/>
    <oleObject progId="Equation.3" shapeId="313094" r:id="rId9"/>
    <oleObject progId="Equation.3" shapeId="1064952" r:id="rId10"/>
    <oleObject progId="Equation.3" shapeId="1125122" r:id="rId11"/>
    <oleObject progId="Equation.3" shapeId="1186165" r:id="rId12"/>
    <oleObject progId="Equation.3" shapeId="1218569" r:id="rId13"/>
    <oleObject progId="Equation.3" shapeId="1270688" r:id="rId14"/>
    <oleObject progId="Equation.3" shapeId="1332197" r:id="rId15"/>
    <oleObject progId="Equation.3" shapeId="1453014" r:id="rId16"/>
    <oleObject progId="Equation.3" shapeId="1635912" r:id="rId17"/>
    <oleObject progId="Equation.3" shapeId="1646214" r:id="rId18"/>
    <oleObject progId="Equation.3" shapeId="1648925" r:id="rId19"/>
  </oleObjects>
</worksheet>
</file>

<file path=xl/worksheets/sheet3.xml><?xml version="1.0" encoding="utf-8"?>
<worksheet xmlns="http://schemas.openxmlformats.org/spreadsheetml/2006/main" xmlns:r="http://schemas.openxmlformats.org/officeDocument/2006/relationships">
  <sheetPr codeName="Hoja7"/>
  <dimension ref="A2:L24"/>
  <sheetViews>
    <sheetView workbookViewId="0" topLeftCell="A1">
      <selection activeCell="B27" sqref="B27"/>
    </sheetView>
  </sheetViews>
  <sheetFormatPr defaultColWidth="11.421875" defaultRowHeight="12.75"/>
  <cols>
    <col min="1" max="1" width="13.28125" style="185" bestFit="1" customWidth="1"/>
    <col min="2" max="2" width="11.421875" style="185" customWidth="1"/>
    <col min="3" max="3" width="15.140625" style="185" customWidth="1"/>
    <col min="4" max="10" width="0" style="185" hidden="1" customWidth="1"/>
    <col min="11" max="11" width="11.421875" style="185" customWidth="1"/>
    <col min="12" max="12" width="0" style="185" hidden="1" customWidth="1"/>
    <col min="13" max="16384" width="11.421875" style="185" customWidth="1"/>
  </cols>
  <sheetData>
    <row r="1" ht="13.5" thickBot="1"/>
    <row r="2" spans="1:2" ht="12.75">
      <c r="A2" s="186" t="s">
        <v>318</v>
      </c>
      <c r="B2" s="187">
        <f>756.8-131*B4-3.6*B4^2</f>
        <v>656.525</v>
      </c>
    </row>
    <row r="3" spans="1:2" ht="12.75">
      <c r="A3" s="188" t="s">
        <v>319</v>
      </c>
      <c r="B3" s="189">
        <f>((169.2-349.5*0.7-74*0.7^2)+460)</f>
        <v>348.29</v>
      </c>
    </row>
    <row r="4" spans="1:2" ht="13.5" thickBot="1">
      <c r="A4" s="188" t="s">
        <v>320</v>
      </c>
      <c r="B4" s="190">
        <f>+'I y II-Cálculos'!B1</f>
        <v>0.75</v>
      </c>
    </row>
    <row r="5" spans="1:12" ht="13.5" thickBot="1">
      <c r="A5" s="188" t="s">
        <v>321</v>
      </c>
      <c r="B5" s="191">
        <f>+Columna!B1+460</f>
        <v>631.4313532182103</v>
      </c>
      <c r="D5" s="185" t="s">
        <v>322</v>
      </c>
      <c r="E5" s="185" t="s">
        <v>323</v>
      </c>
      <c r="F5" s="192" t="s">
        <v>324</v>
      </c>
      <c r="G5" s="185" t="s">
        <v>325</v>
      </c>
      <c r="H5" s="192" t="s">
        <v>326</v>
      </c>
      <c r="I5" s="185" t="s">
        <v>327</v>
      </c>
      <c r="J5" s="185" t="s">
        <v>328</v>
      </c>
      <c r="K5" s="193" t="s">
        <v>329</v>
      </c>
      <c r="L5" s="192" t="s">
        <v>330</v>
      </c>
    </row>
    <row r="6" spans="1:12" ht="12.75">
      <c r="A6" s="188" t="s">
        <v>331</v>
      </c>
      <c r="B6" s="191">
        <f>+'1º IPR'!B7*14.2233</f>
        <v>1564.563</v>
      </c>
      <c r="D6" s="185" t="s">
        <v>332</v>
      </c>
      <c r="E6" s="194">
        <v>1</v>
      </c>
      <c r="F6" s="194">
        <f>0.27*$B$7/(E6*$B$8)</f>
        <v>0.35491177963666065</v>
      </c>
      <c r="G6" s="194">
        <v>0.8</v>
      </c>
      <c r="H6" s="194">
        <f>0.27*$B$7/(G6*$B$8)</f>
        <v>0.44363972454582573</v>
      </c>
      <c r="I6" s="194">
        <f>E6-(1+$B$22*F6+$B$23*F6^2-$B$24*F6^5+$B$19*(1+$B$20*F6^2)*(F6^2/$B$8^3)*EXP(-$B$20*F6^2))</f>
        <v>0.08779828485558605</v>
      </c>
      <c r="J6" s="194">
        <f>G6-(1+$B$22*H6+$B$23*H6^2-$B$24*H6^5+$B$19*(1+$B$20*H6^2)*(H6^2/$B$8^3)*EXP(-$B$20*H6^2))</f>
        <v>-0.10233377204262062</v>
      </c>
      <c r="K6" s="195">
        <f>E6-I6*(E6-G6)/(I6-J6)</f>
        <v>0.9076449429013523</v>
      </c>
      <c r="L6" s="196">
        <f>(K6-E6)/E6</f>
        <v>-0.09235505709864766</v>
      </c>
    </row>
    <row r="7" spans="1:12" ht="12.75">
      <c r="A7" s="188" t="s">
        <v>333</v>
      </c>
      <c r="B7" s="197">
        <f>B6/B2</f>
        <v>2.3830973687216788</v>
      </c>
      <c r="D7" s="185">
        <v>1</v>
      </c>
      <c r="E7" s="194">
        <f>K6</f>
        <v>0.9076449429013523</v>
      </c>
      <c r="F7" s="194">
        <f>0.27*$B$7/(E7*$B$8)</f>
        <v>0.3910249072750404</v>
      </c>
      <c r="G7" s="194">
        <f>E6</f>
        <v>1</v>
      </c>
      <c r="H7" s="194">
        <f>0.27*$B$7/(G7*$B$8)</f>
        <v>0.35491177963666065</v>
      </c>
      <c r="I7" s="194">
        <f>E7-(1+$B$22*F7+$B$23*F7^2-$B$24*F7^5+$B$19*(1+$B$20*F7^2)*(F7^2/$B$8^3)*EXP(-$B$20*F7^2))</f>
        <v>5.8110621564688714E-05</v>
      </c>
      <c r="J7" s="194">
        <f>G7-(1+$B$22*H7+$B$23*H7^2-$B$24*H7^5+$B$19*(1+$B$20*H7^2)*(H7^2/$B$8^3)*EXP(-$B$20*H7^2))</f>
        <v>0.08779828485558605</v>
      </c>
      <c r="K7" s="198">
        <f>E7-I7*(E7-G7)/(I7-J7)</f>
        <v>0.907583775826868</v>
      </c>
      <c r="L7" s="196">
        <f>(K7-E7)/E7</f>
        <v>-6.73909715056763E-05</v>
      </c>
    </row>
    <row r="8" spans="1:12" ht="13.5" thickBot="1">
      <c r="A8" s="199" t="s">
        <v>334</v>
      </c>
      <c r="B8" s="200">
        <f>B5/B3</f>
        <v>1.8129471222780162</v>
      </c>
      <c r="D8" s="185">
        <v>2</v>
      </c>
      <c r="E8" s="194">
        <f>K7</f>
        <v>0.907583775826868</v>
      </c>
      <c r="F8" s="194">
        <f>0.27*$B$7/(E8*$B$8)</f>
        <v>0.3910512605994007</v>
      </c>
      <c r="G8" s="194">
        <f>E7</f>
        <v>0.9076449429013523</v>
      </c>
      <c r="H8" s="194">
        <f>0.27*$B$7/(G8*$B$8)</f>
        <v>0.3910249072750404</v>
      </c>
      <c r="I8" s="194">
        <f>E8-(1+$B$22*F8+$B$23*F8^2-$B$24*F8^5+$B$19*(1+$B$20*F8^2)*(F8^2/$B$8^3)*EXP(-$B$20*F8^2))</f>
        <v>1.2774702740081523E-08</v>
      </c>
      <c r="J8" s="194">
        <f>G8-(1+$B$22*H8+$B$23*H8^2-$B$24*H8^5+$B$19*(1+$B$20*H8^2)*(H8^2/$B$8^3)*EXP(-$B$20*H8^2))</f>
        <v>5.8110621564688714E-05</v>
      </c>
      <c r="K8" s="198">
        <f>E8-I8*(E8-G8)/(I8-J8)</f>
        <v>0.9075837623772957</v>
      </c>
      <c r="L8" s="196">
        <f>(K8-E8)/E8</f>
        <v>-1.4819097369245547E-08</v>
      </c>
    </row>
    <row r="9" spans="4:12" ht="13.5" thickBot="1">
      <c r="D9" s="185">
        <v>3</v>
      </c>
      <c r="E9" s="194">
        <f>K8</f>
        <v>0.9075837623772957</v>
      </c>
      <c r="F9" s="194">
        <f>0.27*$B$7/(E9*$B$8)</f>
        <v>0.3910512663944275</v>
      </c>
      <c r="G9" s="194">
        <f>E8</f>
        <v>0.907583775826868</v>
      </c>
      <c r="H9" s="194">
        <f>0.27*$B$7/(G9*$B$8)</f>
        <v>0.3910512605994007</v>
      </c>
      <c r="I9" s="194">
        <f>E9-(1+$B$22*F9+$B$23*F9^2-$B$24*F9^5+$B$19*(1+$B$20*F9^2)*(F9^2/$B$8^3)*EXP(-$B$20*F9^2))</f>
        <v>-2.6645352591003757E-15</v>
      </c>
      <c r="J9" s="194">
        <f>G9-(1+$B$22*H9+$B$23*H9^2-$B$24*H9^5+$B$19*(1+$B$20*H9^2)*(H9^2/$B$8^3)*EXP(-$B$20*H9^2))</f>
        <v>1.2774702740081523E-08</v>
      </c>
      <c r="K9" s="201">
        <f>E9-I9*(E9-G9)/(I9-J9)</f>
        <v>0.9075837623772984</v>
      </c>
      <c r="L9" s="196">
        <f>(K9-E9)/E9</f>
        <v>3.0581833618229192E-15</v>
      </c>
    </row>
    <row r="10" spans="1:2" ht="12.75" hidden="1">
      <c r="A10" s="185" t="s">
        <v>335</v>
      </c>
      <c r="B10" s="185">
        <v>0.3265</v>
      </c>
    </row>
    <row r="11" spans="1:2" ht="12.75" hidden="1">
      <c r="A11" s="185" t="s">
        <v>336</v>
      </c>
      <c r="B11" s="185">
        <v>-1.07</v>
      </c>
    </row>
    <row r="12" spans="1:2" ht="12.75" hidden="1">
      <c r="A12" s="185" t="s">
        <v>337</v>
      </c>
      <c r="B12" s="185">
        <v>-0.5339</v>
      </c>
    </row>
    <row r="13" spans="1:2" ht="12.75" hidden="1">
      <c r="A13" s="185" t="s">
        <v>338</v>
      </c>
      <c r="B13" s="185">
        <v>0.01569</v>
      </c>
    </row>
    <row r="14" spans="1:2" ht="12.75" hidden="1">
      <c r="A14" s="185" t="s">
        <v>339</v>
      </c>
      <c r="B14" s="185">
        <v>-0.05165</v>
      </c>
    </row>
    <row r="15" spans="1:2" ht="12.75" hidden="1">
      <c r="A15" s="185" t="s">
        <v>340</v>
      </c>
      <c r="B15" s="185">
        <v>0.5475</v>
      </c>
    </row>
    <row r="16" spans="1:2" ht="12.75" hidden="1">
      <c r="A16" s="185" t="s">
        <v>341</v>
      </c>
      <c r="B16" s="185">
        <v>-0.7361</v>
      </c>
    </row>
    <row r="17" spans="1:2" ht="12.75" hidden="1">
      <c r="A17" s="185" t="s">
        <v>342</v>
      </c>
      <c r="B17" s="185">
        <v>0.1844</v>
      </c>
    </row>
    <row r="18" spans="1:2" ht="12.75" hidden="1">
      <c r="A18" s="185" t="s">
        <v>343</v>
      </c>
      <c r="B18" s="185">
        <v>0.1056</v>
      </c>
    </row>
    <row r="19" spans="1:2" ht="12.75" hidden="1">
      <c r="A19" s="185" t="s">
        <v>344</v>
      </c>
      <c r="B19" s="185">
        <v>0.6134</v>
      </c>
    </row>
    <row r="20" spans="1:2" ht="12.75" hidden="1">
      <c r="A20" s="185" t="s">
        <v>345</v>
      </c>
      <c r="B20" s="185">
        <v>0.721</v>
      </c>
    </row>
    <row r="21" ht="12.75" hidden="1">
      <c r="A21" s="192"/>
    </row>
    <row r="22" spans="1:2" ht="12.75" hidden="1">
      <c r="A22" s="185" t="s">
        <v>346</v>
      </c>
      <c r="B22" s="194">
        <f>$B$10+$B$11/$B$8+$B$12/$B$8^3+$B$13/$B$8^4+$B$14/$B$8^5</f>
        <v>-0.35448333258150166</v>
      </c>
    </row>
    <row r="23" spans="1:2" ht="12.75" hidden="1">
      <c r="A23" s="185" t="s">
        <v>347</v>
      </c>
      <c r="B23" s="194">
        <f>$B$15+$B$16/$B$8+$B$17/$B$8^2</f>
        <v>0.197579612073302</v>
      </c>
    </row>
    <row r="24" spans="1:2" ht="12.75" hidden="1">
      <c r="A24" s="185" t="s">
        <v>348</v>
      </c>
      <c r="B24" s="194">
        <f>$B$18*($B$16/$B$8+$B$17/$B$8^2)</f>
        <v>-0.03695159296505931</v>
      </c>
    </row>
  </sheetData>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9"/>
  <dimension ref="A1:AQ55"/>
  <sheetViews>
    <sheetView showGridLines="0" zoomScale="75" zoomScaleNormal="75" workbookViewId="0" topLeftCell="A1">
      <selection activeCell="J6" sqref="J6"/>
    </sheetView>
  </sheetViews>
  <sheetFormatPr defaultColWidth="11.421875" defaultRowHeight="12.75"/>
  <cols>
    <col min="1" max="1" width="32.28125" style="94" bestFit="1" customWidth="1"/>
    <col min="2" max="2" width="10.8515625" style="94" customWidth="1"/>
    <col min="3" max="3" width="14.421875" style="94" bestFit="1" customWidth="1"/>
    <col min="4" max="5" width="11.421875" style="94" customWidth="1"/>
    <col min="6" max="6" width="13.8515625" style="96" bestFit="1" customWidth="1"/>
    <col min="7" max="7" width="12.00390625" style="96" bestFit="1" customWidth="1"/>
    <col min="8" max="8" width="11.421875" style="96" customWidth="1"/>
    <col min="9" max="16384" width="11.421875" style="94" customWidth="1"/>
  </cols>
  <sheetData>
    <row r="1" spans="1:12" s="136" customFormat="1" ht="28.5" customHeight="1" thickBot="1">
      <c r="A1" s="137" t="s">
        <v>262</v>
      </c>
      <c r="B1" s="138">
        <f>+W27</f>
        <v>21</v>
      </c>
      <c r="C1" s="135"/>
      <c r="D1" s="135"/>
      <c r="E1" s="135"/>
      <c r="F1" s="135"/>
      <c r="J1" s="135"/>
      <c r="K1" s="135"/>
      <c r="L1" s="135"/>
    </row>
    <row r="2" ht="12.75" thickBot="1">
      <c r="F2" s="94"/>
    </row>
    <row r="3" spans="1:8" ht="12.75" customHeight="1">
      <c r="A3" s="149" t="s">
        <v>299</v>
      </c>
      <c r="B3" s="153">
        <f>INDEX('I y II-Cálculos'!$A$4:$AB$28,$W$27,16)</f>
        <v>1911</v>
      </c>
      <c r="C3" s="154" t="s">
        <v>64</v>
      </c>
      <c r="E3" s="581" t="s">
        <v>65</v>
      </c>
      <c r="F3" s="582"/>
      <c r="G3" s="583"/>
      <c r="H3" s="94"/>
    </row>
    <row r="4" spans="1:9" ht="15.75" thickBot="1">
      <c r="A4" s="150" t="s">
        <v>66</v>
      </c>
      <c r="B4" s="175">
        <f>INDEX('I y II-Cálculos'!$A$4:$AB$28,$W$27,3)</f>
        <v>16</v>
      </c>
      <c r="C4" s="155" t="s">
        <v>67</v>
      </c>
      <c r="E4" s="584"/>
      <c r="F4" s="585"/>
      <c r="G4" s="586"/>
      <c r="H4" s="94"/>
      <c r="I4" s="89"/>
    </row>
    <row r="5" spans="1:8" ht="12">
      <c r="A5" s="150" t="s">
        <v>68</v>
      </c>
      <c r="B5" s="104">
        <f>INDEX('I y II-Cálculos'!$A$4:$AB$28,$W$27,25)</f>
        <v>155.69751939656967</v>
      </c>
      <c r="C5" s="155" t="s">
        <v>69</v>
      </c>
      <c r="E5" s="139" t="s">
        <v>70</v>
      </c>
      <c r="F5" s="140" t="s">
        <v>71</v>
      </c>
      <c r="G5" s="141" t="s">
        <v>72</v>
      </c>
      <c r="H5" s="94"/>
    </row>
    <row r="6" spans="1:8" ht="12">
      <c r="A6" s="150" t="s">
        <v>74</v>
      </c>
      <c r="B6" s="104">
        <f>INDEX('I y II-Cálculos'!$A$4:$AB$28,$W$27,27)</f>
        <v>0.1875</v>
      </c>
      <c r="C6" s="155" t="s">
        <v>75</v>
      </c>
      <c r="D6" s="95"/>
      <c r="E6" s="142" t="s">
        <v>73</v>
      </c>
      <c r="F6" s="105" t="s">
        <v>267</v>
      </c>
      <c r="G6" s="143" t="s">
        <v>69</v>
      </c>
      <c r="H6" s="94"/>
    </row>
    <row r="7" spans="1:8" ht="12">
      <c r="A7" s="150" t="s">
        <v>77</v>
      </c>
      <c r="B7" s="104">
        <f>G8+E8/B6</f>
        <v>110</v>
      </c>
      <c r="C7" s="155" t="s">
        <v>69</v>
      </c>
      <c r="D7" s="96" t="s">
        <v>76</v>
      </c>
      <c r="E7" s="144">
        <v>0</v>
      </c>
      <c r="F7" s="124">
        <f>INDEX('I y II-Cálculos'!$A$4:$AB$28,$W$27,22)</f>
        <v>691.7787313455372</v>
      </c>
      <c r="G7" s="145">
        <f>B7</f>
        <v>110</v>
      </c>
      <c r="H7" s="94"/>
    </row>
    <row r="8" spans="1:8" ht="12.75" thickBot="1">
      <c r="A8" s="151" t="s">
        <v>78</v>
      </c>
      <c r="B8" s="152">
        <f>B6*(B7-B5)</f>
        <v>-8.568284886856814</v>
      </c>
      <c r="C8" s="156" t="s">
        <v>79</v>
      </c>
      <c r="D8" s="96" t="s">
        <v>76</v>
      </c>
      <c r="E8" s="146">
        <f>INDEX('I y II-Cálculos'!$A$4:$AB$28,$W$27,2)</f>
        <v>15</v>
      </c>
      <c r="F8" s="147">
        <f>INDEX('I y II-Cálculos'!$A$4:$AB$28,$W$27,23)</f>
        <v>1578.4851085487828</v>
      </c>
      <c r="G8" s="148">
        <f>INDEX('I y II-Cálculos'!$A$4:$AB$28,$W$27,7)</f>
        <v>30</v>
      </c>
      <c r="H8" s="94"/>
    </row>
    <row r="9" spans="1:8" ht="12">
      <c r="A9" s="150" t="s">
        <v>80</v>
      </c>
      <c r="B9" s="104">
        <f>INDEX('I y II-Cálculos'!$A$4:$AB$28,$W$27,28)</f>
        <v>16.93097014925373</v>
      </c>
      <c r="C9" s="155" t="s">
        <v>79</v>
      </c>
      <c r="D9" s="95" t="s">
        <v>76</v>
      </c>
      <c r="F9" s="94"/>
      <c r="G9" s="94"/>
      <c r="H9" s="94"/>
    </row>
    <row r="10" spans="1:8" ht="12">
      <c r="A10" s="150" t="s">
        <v>381</v>
      </c>
      <c r="B10" s="104">
        <f>INDEX('I y II-Cálculos'!$A$4:$AB$28,$W$27,26)</f>
        <v>80.94371631572008</v>
      </c>
      <c r="C10" s="155" t="s">
        <v>88</v>
      </c>
      <c r="D10" s="94" t="s">
        <v>76</v>
      </c>
      <c r="F10" s="94"/>
      <c r="G10" s="94"/>
      <c r="H10" s="94"/>
    </row>
    <row r="11" spans="1:8" ht="12">
      <c r="A11" s="150" t="s">
        <v>278</v>
      </c>
      <c r="B11" s="166">
        <f>INDEX('I y II-Cálculos'!$A$4:$AB$28,$W$27,18)</f>
        <v>171.194</v>
      </c>
      <c r="C11" s="155" t="s">
        <v>179</v>
      </c>
      <c r="F11" s="94"/>
      <c r="G11" s="94"/>
      <c r="H11" s="94"/>
    </row>
    <row r="12" spans="1:11" ht="12">
      <c r="A12" s="150" t="s">
        <v>286</v>
      </c>
      <c r="B12" s="157">
        <f>INDEX('I y II-Cálculos'!$A$4:$AB$28,$W$27,19)</f>
        <v>0.8761609907120743</v>
      </c>
      <c r="C12" s="155" t="s">
        <v>285</v>
      </c>
      <c r="F12" s="94"/>
      <c r="G12" s="94"/>
      <c r="H12" s="94"/>
      <c r="I12" s="589" t="s">
        <v>269</v>
      </c>
      <c r="J12" s="589"/>
      <c r="K12" s="157">
        <f>INDEX('I y II-Cálculos'!$A$4:$AB$28,$W$27,21)</f>
        <v>0.9022152321981425</v>
      </c>
    </row>
    <row r="13" spans="1:43" ht="12">
      <c r="A13" s="150" t="s">
        <v>357</v>
      </c>
      <c r="B13" s="206">
        <f>INDEX('I y II-Cálculos'!$A$4:$AB$28,$W$27,17)</f>
        <v>7</v>
      </c>
      <c r="C13" s="155" t="s">
        <v>307</v>
      </c>
      <c r="F13" s="94"/>
      <c r="G13" s="94"/>
      <c r="H13" s="94"/>
      <c r="AP13" s="97" t="s">
        <v>81</v>
      </c>
      <c r="AQ13" s="98">
        <f>B7/30</f>
        <v>3.6666666666666665</v>
      </c>
    </row>
    <row r="14" spans="1:8" ht="12">
      <c r="A14" s="150" t="s">
        <v>294</v>
      </c>
      <c r="B14" s="287">
        <f>INDEX('I y II-Cálculos'!$A$4:$AB$28,$W$27,11)</f>
        <v>68</v>
      </c>
      <c r="C14" s="155" t="s">
        <v>88</v>
      </c>
      <c r="F14" s="94"/>
      <c r="G14" s="94"/>
      <c r="H14" s="94"/>
    </row>
    <row r="15" spans="1:8" ht="12">
      <c r="A15" s="150" t="s">
        <v>2</v>
      </c>
      <c r="B15" s="287">
        <f>INDEX('I y II-Cálculos'!$A$4:$AB$28,$W$27,15)</f>
        <v>1914</v>
      </c>
      <c r="C15" s="155" t="s">
        <v>64</v>
      </c>
      <c r="F15" s="94"/>
      <c r="G15" s="94"/>
      <c r="H15" s="94"/>
    </row>
    <row r="16" spans="1:8" ht="12">
      <c r="A16" s="150" t="s">
        <v>397</v>
      </c>
      <c r="B16" s="314">
        <f>INDEX('I y II-Cálculos'!$A$4:$AB$28,$W$27,12)</f>
        <v>4</v>
      </c>
      <c r="C16" s="155" t="s">
        <v>304</v>
      </c>
      <c r="F16" s="94"/>
      <c r="G16" s="94"/>
      <c r="H16" s="94"/>
    </row>
    <row r="17" spans="1:8" ht="12">
      <c r="A17" s="150" t="s">
        <v>312</v>
      </c>
      <c r="B17" s="314">
        <f>INDEX('I y II-Cálculos'!$A$4:$AB$28,$W$27,22)</f>
        <v>691.7787313455372</v>
      </c>
      <c r="C17" s="155" t="s">
        <v>64</v>
      </c>
      <c r="F17" s="94"/>
      <c r="G17" s="94"/>
      <c r="H17" s="94"/>
    </row>
    <row r="18" spans="1:8" ht="12">
      <c r="A18" s="377" t="s">
        <v>454</v>
      </c>
      <c r="B18" s="314">
        <f>INDEX('I y II-Cálculos'!$A$4:$AB$28,$W$27,8)</f>
        <v>30</v>
      </c>
      <c r="C18" s="377" t="s">
        <v>250</v>
      </c>
      <c r="F18" s="94"/>
      <c r="G18" s="94"/>
      <c r="H18" s="94"/>
    </row>
    <row r="19" spans="6:12" ht="12.75" customHeight="1">
      <c r="F19" s="94"/>
      <c r="G19" s="94"/>
      <c r="H19" s="94"/>
      <c r="I19" s="588" t="s">
        <v>83</v>
      </c>
      <c r="J19" s="588" t="s">
        <v>84</v>
      </c>
      <c r="K19" s="588" t="s">
        <v>85</v>
      </c>
      <c r="L19" s="587" t="s">
        <v>82</v>
      </c>
    </row>
    <row r="20" spans="6:12" ht="12">
      <c r="F20" s="94"/>
      <c r="G20" s="94"/>
      <c r="H20" s="94"/>
      <c r="I20" s="588"/>
      <c r="J20" s="588"/>
      <c r="K20" s="588"/>
      <c r="L20" s="587"/>
    </row>
    <row r="21" spans="1:12" ht="12">
      <c r="A21" s="101"/>
      <c r="F21" s="94"/>
      <c r="G21" s="94"/>
      <c r="H21" s="94"/>
      <c r="I21" s="123">
        <f>$B$9*(1-0.2*(J21/$B$7)-0.8*(J21/$B$7)^2)</f>
        <v>0</v>
      </c>
      <c r="J21" s="99">
        <f>B7</f>
        <v>110</v>
      </c>
      <c r="K21" s="100">
        <f>B5</f>
        <v>155.69751939656967</v>
      </c>
      <c r="L21" s="99">
        <f>$B$3-10*J21/$K$12</f>
        <v>691.7787313455372</v>
      </c>
    </row>
    <row r="22" spans="1:12" ht="12">
      <c r="A22" s="101"/>
      <c r="F22" s="94"/>
      <c r="G22" s="94"/>
      <c r="H22" s="94"/>
      <c r="I22" s="123">
        <f aca="true" t="shared" si="0" ref="I22:I51">$B$9*(1-0.2*(J22/$B$7)-0.8*(J22/$B$7)^2)</f>
        <v>1.000808457711443</v>
      </c>
      <c r="J22" s="99">
        <f aca="true" t="shared" si="1" ref="J22:J51">J21-$AQ$13</f>
        <v>106.33333333333333</v>
      </c>
      <c r="K22" s="100">
        <f aca="true" t="shared" si="2" ref="K22:K51">K21</f>
        <v>155.69751939656967</v>
      </c>
      <c r="L22" s="99">
        <f aca="true" t="shared" si="3" ref="L22:L51">$B$3-10*J22/$K$12</f>
        <v>732.4194403006861</v>
      </c>
    </row>
    <row r="23" spans="1:12" ht="12">
      <c r="A23" s="101"/>
      <c r="E23" s="102"/>
      <c r="F23" s="94"/>
      <c r="G23" s="94"/>
      <c r="H23" s="94"/>
      <c r="I23" s="123">
        <f t="shared" si="0"/>
        <v>1.9715174129353257</v>
      </c>
      <c r="J23" s="99">
        <f t="shared" si="1"/>
        <v>102.66666666666666</v>
      </c>
      <c r="K23" s="100">
        <f t="shared" si="2"/>
        <v>155.69751939656967</v>
      </c>
      <c r="L23" s="99">
        <f t="shared" si="3"/>
        <v>773.0601492558349</v>
      </c>
    </row>
    <row r="24" spans="1:12" ht="12">
      <c r="A24" s="101"/>
      <c r="E24" s="102"/>
      <c r="F24" s="94"/>
      <c r="G24" s="94"/>
      <c r="H24" s="94"/>
      <c r="I24" s="123">
        <f t="shared" si="0"/>
        <v>2.9121268656716444</v>
      </c>
      <c r="J24" s="99">
        <f t="shared" si="1"/>
        <v>98.99999999999999</v>
      </c>
      <c r="K24" s="100">
        <f t="shared" si="2"/>
        <v>155.69751939656967</v>
      </c>
      <c r="L24" s="99">
        <f t="shared" si="3"/>
        <v>813.7008582109836</v>
      </c>
    </row>
    <row r="25" spans="1:12" ht="12">
      <c r="A25" s="101"/>
      <c r="E25" s="102"/>
      <c r="F25" s="94"/>
      <c r="G25" s="94"/>
      <c r="H25" s="94"/>
      <c r="I25" s="123">
        <f t="shared" si="0"/>
        <v>3.822636815920403</v>
      </c>
      <c r="J25" s="99">
        <f t="shared" si="1"/>
        <v>95.33333333333331</v>
      </c>
      <c r="K25" s="100">
        <f t="shared" si="2"/>
        <v>155.69751939656967</v>
      </c>
      <c r="L25" s="99">
        <f t="shared" si="3"/>
        <v>854.3415671661326</v>
      </c>
    </row>
    <row r="26" spans="1:12" ht="12">
      <c r="A26" s="101"/>
      <c r="E26" s="102"/>
      <c r="F26" s="94"/>
      <c r="G26" s="94"/>
      <c r="H26" s="94"/>
      <c r="I26" s="123">
        <f t="shared" si="0"/>
        <v>4.703047263681598</v>
      </c>
      <c r="J26" s="99">
        <f t="shared" si="1"/>
        <v>91.66666666666664</v>
      </c>
      <c r="K26" s="100">
        <f t="shared" si="2"/>
        <v>155.69751939656967</v>
      </c>
      <c r="L26" s="99">
        <f t="shared" si="3"/>
        <v>894.9822761212813</v>
      </c>
    </row>
    <row r="27" spans="1:23" ht="12">
      <c r="A27" s="101"/>
      <c r="E27" s="102"/>
      <c r="F27" s="94"/>
      <c r="G27" s="94"/>
      <c r="H27" s="94"/>
      <c r="I27" s="123">
        <f t="shared" si="0"/>
        <v>5.553358208955231</v>
      </c>
      <c r="J27" s="99">
        <f t="shared" si="1"/>
        <v>87.99999999999997</v>
      </c>
      <c r="K27" s="100">
        <f t="shared" si="2"/>
        <v>155.69751939656967</v>
      </c>
      <c r="L27" s="99">
        <f t="shared" si="3"/>
        <v>935.62298507643</v>
      </c>
      <c r="W27" s="94">
        <v>21</v>
      </c>
    </row>
    <row r="28" spans="1:12" ht="12">
      <c r="A28" s="101"/>
      <c r="E28" s="102"/>
      <c r="F28" s="94"/>
      <c r="G28" s="94"/>
      <c r="H28" s="94"/>
      <c r="I28" s="123">
        <f t="shared" si="0"/>
        <v>6.373569651741299</v>
      </c>
      <c r="J28" s="99">
        <f t="shared" si="1"/>
        <v>84.3333333333333</v>
      </c>
      <c r="K28" s="100">
        <f t="shared" si="2"/>
        <v>155.69751939656967</v>
      </c>
      <c r="L28" s="99">
        <f t="shared" si="3"/>
        <v>976.2636940315789</v>
      </c>
    </row>
    <row r="29" spans="1:12" ht="12">
      <c r="A29" s="101"/>
      <c r="E29" s="102"/>
      <c r="F29" s="94"/>
      <c r="G29" s="94"/>
      <c r="H29" s="94"/>
      <c r="I29" s="123">
        <f t="shared" si="0"/>
        <v>7.163681592039809</v>
      </c>
      <c r="J29" s="99">
        <f t="shared" si="1"/>
        <v>80.66666666666663</v>
      </c>
      <c r="K29" s="100">
        <f t="shared" si="2"/>
        <v>155.69751939656967</v>
      </c>
      <c r="L29" s="99">
        <f t="shared" si="3"/>
        <v>1016.9044029867277</v>
      </c>
    </row>
    <row r="30" spans="1:12" ht="12">
      <c r="A30" s="101"/>
      <c r="E30" s="102"/>
      <c r="F30" s="94"/>
      <c r="G30" s="94"/>
      <c r="H30" s="94"/>
      <c r="I30" s="123">
        <f t="shared" si="0"/>
        <v>7.923694029850754</v>
      </c>
      <c r="J30" s="99">
        <f t="shared" si="1"/>
        <v>76.99999999999996</v>
      </c>
      <c r="K30" s="100">
        <f t="shared" si="2"/>
        <v>155.69751939656967</v>
      </c>
      <c r="L30" s="99">
        <f t="shared" si="3"/>
        <v>1057.5451119418767</v>
      </c>
    </row>
    <row r="31" spans="1:12" ht="12">
      <c r="A31" s="101"/>
      <c r="E31" s="102"/>
      <c r="F31" s="94"/>
      <c r="G31" s="94"/>
      <c r="H31" s="94"/>
      <c r="I31" s="123">
        <f t="shared" si="0"/>
        <v>8.653606965174138</v>
      </c>
      <c r="J31" s="99">
        <f t="shared" si="1"/>
        <v>73.33333333333329</v>
      </c>
      <c r="K31" s="100">
        <f t="shared" si="2"/>
        <v>155.69751939656967</v>
      </c>
      <c r="L31" s="99">
        <f t="shared" si="3"/>
        <v>1098.1858208970255</v>
      </c>
    </row>
    <row r="32" spans="1:12" ht="12">
      <c r="A32" s="101"/>
      <c r="E32" s="102"/>
      <c r="F32" s="94"/>
      <c r="G32" s="94"/>
      <c r="H32" s="94"/>
      <c r="I32" s="123">
        <f t="shared" si="0"/>
        <v>9.353420398009959</v>
      </c>
      <c r="J32" s="99">
        <f t="shared" si="1"/>
        <v>69.66666666666661</v>
      </c>
      <c r="K32" s="100">
        <f t="shared" si="2"/>
        <v>155.69751939656967</v>
      </c>
      <c r="L32" s="99">
        <f t="shared" si="3"/>
        <v>1138.8265298521742</v>
      </c>
    </row>
    <row r="33" spans="1:12" ht="12">
      <c r="A33" s="101"/>
      <c r="E33" s="102"/>
      <c r="F33" s="94"/>
      <c r="G33" s="94"/>
      <c r="H33" s="94"/>
      <c r="I33" s="123">
        <f t="shared" si="0"/>
        <v>10.023134328358218</v>
      </c>
      <c r="J33" s="99">
        <f t="shared" si="1"/>
        <v>65.99999999999994</v>
      </c>
      <c r="K33" s="100">
        <f t="shared" si="2"/>
        <v>155.69751939656967</v>
      </c>
      <c r="L33" s="99">
        <f t="shared" si="3"/>
        <v>1179.467238807323</v>
      </c>
    </row>
    <row r="34" spans="1:12" ht="12">
      <c r="A34" s="101"/>
      <c r="E34" s="102"/>
      <c r="F34" s="94"/>
      <c r="G34" s="94"/>
      <c r="H34" s="94"/>
      <c r="I34" s="123">
        <f t="shared" si="0"/>
        <v>10.662748756218912</v>
      </c>
      <c r="J34" s="99">
        <f t="shared" si="1"/>
        <v>62.33333333333328</v>
      </c>
      <c r="K34" s="100">
        <f t="shared" si="2"/>
        <v>155.69751939656967</v>
      </c>
      <c r="L34" s="99">
        <f t="shared" si="3"/>
        <v>1220.1079477624717</v>
      </c>
    </row>
    <row r="35" spans="1:12" ht="12">
      <c r="A35" s="101"/>
      <c r="E35" s="102"/>
      <c r="F35" s="94"/>
      <c r="G35" s="94"/>
      <c r="H35" s="94"/>
      <c r="I35" s="123">
        <f t="shared" si="0"/>
        <v>11.272263681592047</v>
      </c>
      <c r="J35" s="99">
        <f t="shared" si="1"/>
        <v>58.666666666666615</v>
      </c>
      <c r="K35" s="100">
        <f t="shared" si="2"/>
        <v>155.69751939656967</v>
      </c>
      <c r="L35" s="99">
        <f t="shared" si="3"/>
        <v>1260.7486567176204</v>
      </c>
    </row>
    <row r="36" spans="1:12" ht="12">
      <c r="A36" s="101"/>
      <c r="E36" s="102"/>
      <c r="F36" s="94"/>
      <c r="G36" s="94"/>
      <c r="H36" s="94"/>
      <c r="I36" s="123">
        <f t="shared" si="0"/>
        <v>11.85167910447762</v>
      </c>
      <c r="J36" s="99">
        <f t="shared" si="1"/>
        <v>54.99999999999995</v>
      </c>
      <c r="K36" s="100">
        <f t="shared" si="2"/>
        <v>155.69751939656967</v>
      </c>
      <c r="L36" s="99">
        <f t="shared" si="3"/>
        <v>1301.3893656727691</v>
      </c>
    </row>
    <row r="37" spans="1:12" ht="12">
      <c r="A37" s="101"/>
      <c r="E37" s="102"/>
      <c r="G37" s="94"/>
      <c r="H37" s="94"/>
      <c r="I37" s="123">
        <f t="shared" si="0"/>
        <v>12.400995024875627</v>
      </c>
      <c r="J37" s="99">
        <f t="shared" si="1"/>
        <v>51.333333333333286</v>
      </c>
      <c r="K37" s="100">
        <f t="shared" si="2"/>
        <v>155.69751939656967</v>
      </c>
      <c r="L37" s="99">
        <f t="shared" si="3"/>
        <v>1342.030074627918</v>
      </c>
    </row>
    <row r="38" spans="1:12" ht="12">
      <c r="A38" s="101"/>
      <c r="E38" s="102"/>
      <c r="G38" s="94"/>
      <c r="H38" s="94"/>
      <c r="I38" s="123">
        <f>$B$9*(1-0.2*(J38/$B$7)-0.8*(J38/$B$7)^2)</f>
        <v>12.920211442786076</v>
      </c>
      <c r="J38" s="99">
        <f t="shared" si="1"/>
        <v>47.66666666666662</v>
      </c>
      <c r="K38" s="100">
        <f t="shared" si="2"/>
        <v>155.69751939656967</v>
      </c>
      <c r="L38" s="99">
        <f t="shared" si="3"/>
        <v>1382.6707835830666</v>
      </c>
    </row>
    <row r="39" spans="1:12" ht="12">
      <c r="A39" s="101"/>
      <c r="E39" s="102"/>
      <c r="G39" s="94"/>
      <c r="H39" s="94"/>
      <c r="I39" s="123">
        <f t="shared" si="0"/>
        <v>13.40932835820896</v>
      </c>
      <c r="J39" s="99">
        <f t="shared" si="1"/>
        <v>43.99999999999996</v>
      </c>
      <c r="K39" s="100">
        <f t="shared" si="2"/>
        <v>155.69751939656967</v>
      </c>
      <c r="L39" s="99">
        <f t="shared" si="3"/>
        <v>1423.3114925382154</v>
      </c>
    </row>
    <row r="40" spans="1:12" ht="12">
      <c r="A40" s="101"/>
      <c r="E40" s="102"/>
      <c r="G40" s="94"/>
      <c r="H40" s="94"/>
      <c r="I40" s="123">
        <f t="shared" si="0"/>
        <v>13.868345771144282</v>
      </c>
      <c r="J40" s="99">
        <f t="shared" si="1"/>
        <v>40.33333333333329</v>
      </c>
      <c r="K40" s="100">
        <f t="shared" si="2"/>
        <v>155.69751939656967</v>
      </c>
      <c r="L40" s="99">
        <f t="shared" si="3"/>
        <v>1463.952201493364</v>
      </c>
    </row>
    <row r="41" spans="1:12" ht="12">
      <c r="A41" s="101"/>
      <c r="E41" s="102"/>
      <c r="G41" s="94"/>
      <c r="H41" s="94"/>
      <c r="I41" s="123">
        <f t="shared" si="0"/>
        <v>14.297263681592044</v>
      </c>
      <c r="J41" s="99">
        <f t="shared" si="1"/>
        <v>36.66666666666663</v>
      </c>
      <c r="K41" s="100">
        <f t="shared" si="2"/>
        <v>155.69751939656967</v>
      </c>
      <c r="L41" s="99">
        <f t="shared" si="3"/>
        <v>1504.5929104485128</v>
      </c>
    </row>
    <row r="42" spans="1:12" ht="12">
      <c r="A42" s="101"/>
      <c r="E42" s="102"/>
      <c r="G42" s="94"/>
      <c r="H42" s="94"/>
      <c r="I42" s="123">
        <f t="shared" si="0"/>
        <v>14.696082089552242</v>
      </c>
      <c r="J42" s="99">
        <f t="shared" si="1"/>
        <v>32.999999999999964</v>
      </c>
      <c r="K42" s="100">
        <f t="shared" si="2"/>
        <v>155.69751939656967</v>
      </c>
      <c r="L42" s="99">
        <f t="shared" si="3"/>
        <v>1545.2336194036616</v>
      </c>
    </row>
    <row r="43" spans="1:12" ht="12">
      <c r="A43" s="101"/>
      <c r="E43" s="102"/>
      <c r="G43" s="94"/>
      <c r="H43" s="94"/>
      <c r="I43" s="123">
        <f t="shared" si="0"/>
        <v>15.06480099502488</v>
      </c>
      <c r="J43" s="99">
        <f t="shared" si="1"/>
        <v>29.333333333333297</v>
      </c>
      <c r="K43" s="100">
        <f t="shared" si="2"/>
        <v>155.69751939656967</v>
      </c>
      <c r="L43" s="99">
        <f t="shared" si="3"/>
        <v>1585.8743283588103</v>
      </c>
    </row>
    <row r="44" spans="1:12" ht="12">
      <c r="A44" s="101"/>
      <c r="G44" s="94"/>
      <c r="H44" s="94"/>
      <c r="I44" s="123">
        <f t="shared" si="0"/>
        <v>15.403420398009953</v>
      </c>
      <c r="J44" s="99">
        <f t="shared" si="1"/>
        <v>25.66666666666663</v>
      </c>
      <c r="K44" s="100">
        <f t="shared" si="2"/>
        <v>155.69751939656967</v>
      </c>
      <c r="L44" s="99">
        <f t="shared" si="3"/>
        <v>1626.515037313959</v>
      </c>
    </row>
    <row r="45" spans="1:12" ht="12">
      <c r="A45" s="101"/>
      <c r="G45" s="94"/>
      <c r="H45" s="94"/>
      <c r="I45" s="123">
        <f t="shared" si="0"/>
        <v>15.711940298507466</v>
      </c>
      <c r="J45" s="99">
        <f t="shared" si="1"/>
        <v>21.99999999999996</v>
      </c>
      <c r="K45" s="100">
        <f t="shared" si="2"/>
        <v>155.69751939656967</v>
      </c>
      <c r="L45" s="99">
        <f t="shared" si="3"/>
        <v>1667.1557462691078</v>
      </c>
    </row>
    <row r="46" spans="1:12" ht="12">
      <c r="A46" s="101"/>
      <c r="G46" s="94"/>
      <c r="H46" s="94"/>
      <c r="I46" s="123">
        <f t="shared" si="0"/>
        <v>15.990360696517417</v>
      </c>
      <c r="J46" s="99">
        <f t="shared" si="1"/>
        <v>18.333333333333293</v>
      </c>
      <c r="K46" s="100">
        <f t="shared" si="2"/>
        <v>155.69751939656967</v>
      </c>
      <c r="L46" s="99">
        <f t="shared" si="3"/>
        <v>1707.7964552242568</v>
      </c>
    </row>
    <row r="47" spans="1:12" ht="12">
      <c r="A47" s="101"/>
      <c r="G47" s="94"/>
      <c r="H47" s="94"/>
      <c r="I47" s="123">
        <f t="shared" si="0"/>
        <v>16.238681592039804</v>
      </c>
      <c r="J47" s="99">
        <f t="shared" si="1"/>
        <v>14.666666666666627</v>
      </c>
      <c r="K47" s="100">
        <f t="shared" si="2"/>
        <v>155.69751939656967</v>
      </c>
      <c r="L47" s="99">
        <f t="shared" si="3"/>
        <v>1748.4371641794055</v>
      </c>
    </row>
    <row r="48" spans="1:12" ht="12">
      <c r="A48" s="101"/>
      <c r="G48" s="94"/>
      <c r="H48" s="94"/>
      <c r="I48" s="123">
        <f t="shared" si="0"/>
        <v>16.45690298507463</v>
      </c>
      <c r="J48" s="99">
        <f t="shared" si="1"/>
        <v>10.999999999999961</v>
      </c>
      <c r="K48" s="100">
        <f t="shared" si="2"/>
        <v>155.69751939656967</v>
      </c>
      <c r="L48" s="99">
        <f t="shared" si="3"/>
        <v>1789.0778731345542</v>
      </c>
    </row>
    <row r="49" spans="7:12" ht="12">
      <c r="G49" s="94"/>
      <c r="H49" s="94"/>
      <c r="I49" s="123">
        <f t="shared" si="0"/>
        <v>16.645024875621893</v>
      </c>
      <c r="J49" s="99">
        <f t="shared" si="1"/>
        <v>7.333333333333295</v>
      </c>
      <c r="K49" s="100">
        <f t="shared" si="2"/>
        <v>155.69751939656967</v>
      </c>
      <c r="L49" s="99">
        <f t="shared" si="3"/>
        <v>1829.718582089703</v>
      </c>
    </row>
    <row r="50" spans="7:12" ht="12">
      <c r="G50" s="94"/>
      <c r="H50" s="94"/>
      <c r="I50" s="123">
        <f t="shared" si="0"/>
        <v>16.803047263681595</v>
      </c>
      <c r="J50" s="99">
        <f t="shared" si="1"/>
        <v>3.6666666666666283</v>
      </c>
      <c r="K50" s="100">
        <f t="shared" si="2"/>
        <v>155.69751939656967</v>
      </c>
      <c r="L50" s="99">
        <f t="shared" si="3"/>
        <v>1870.3592910448517</v>
      </c>
    </row>
    <row r="51" spans="7:12" ht="12">
      <c r="G51" s="94"/>
      <c r="H51" s="94"/>
      <c r="I51" s="123">
        <f t="shared" si="0"/>
        <v>16.93097014925373</v>
      </c>
      <c r="J51" s="99">
        <f t="shared" si="1"/>
        <v>-3.8191672047105385E-14</v>
      </c>
      <c r="K51" s="100">
        <f t="shared" si="2"/>
        <v>155.69751939656967</v>
      </c>
      <c r="L51" s="99">
        <f t="shared" si="3"/>
        <v>1911.0000000000005</v>
      </c>
    </row>
    <row r="52" spans="7:8" ht="12">
      <c r="G52" s="94"/>
      <c r="H52" s="94"/>
    </row>
    <row r="54" spans="1:3" ht="12">
      <c r="A54" s="103"/>
      <c r="C54" s="103"/>
    </row>
    <row r="55" ht="12">
      <c r="E55" s="103"/>
    </row>
  </sheetData>
  <mergeCells count="6">
    <mergeCell ref="E3:G4"/>
    <mergeCell ref="L19:L20"/>
    <mergeCell ref="I19:I20"/>
    <mergeCell ref="J19:J20"/>
    <mergeCell ref="K19:K20"/>
    <mergeCell ref="I12:J12"/>
  </mergeCells>
  <printOptions/>
  <pageMargins left="0.75" right="0.75" top="1" bottom="1" header="0" footer="0"/>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Hoja2"/>
  <dimension ref="A1:G26"/>
  <sheetViews>
    <sheetView workbookViewId="0" topLeftCell="A6">
      <selection activeCell="E22" sqref="E22"/>
    </sheetView>
  </sheetViews>
  <sheetFormatPr defaultColWidth="11.421875" defaultRowHeight="12.75"/>
  <cols>
    <col min="1" max="1" width="32.140625" style="0" customWidth="1"/>
    <col min="2" max="2" width="9.421875" style="0" customWidth="1"/>
    <col min="3" max="3" width="6.8515625" style="0" customWidth="1"/>
    <col min="4" max="4" width="5.421875" style="0" bestFit="1" customWidth="1"/>
    <col min="7" max="7" width="21.57421875" style="0" customWidth="1"/>
    <col min="8" max="8" width="6.57421875" style="0" bestFit="1" customWidth="1"/>
  </cols>
  <sheetData>
    <row r="1" spans="1:3" ht="12.75">
      <c r="A1" s="316" t="str">
        <f>Columna!A1</f>
        <v>Temperatura a prof de bomba</v>
      </c>
      <c r="B1" s="380">
        <f>Columna!B1</f>
        <v>171.43135321821032</v>
      </c>
      <c r="C1" s="316" t="str">
        <f>Columna!C1</f>
        <v>°F</v>
      </c>
    </row>
    <row r="2" spans="1:3" ht="15" thickBot="1">
      <c r="A2" s="162" t="s">
        <v>3</v>
      </c>
      <c r="B2" s="180">
        <f>+'1º IPR'!B10</f>
        <v>80.94371631572008</v>
      </c>
      <c r="C2" s="163" t="s">
        <v>283</v>
      </c>
    </row>
    <row r="3" spans="1:3" ht="13.5" thickBot="1">
      <c r="A3" s="126" t="s">
        <v>275</v>
      </c>
      <c r="B3" s="288">
        <f>+'1º IPR'!B15</f>
        <v>1914</v>
      </c>
      <c r="C3" s="127" t="s">
        <v>267</v>
      </c>
    </row>
    <row r="4" spans="1:3" ht="14.25">
      <c r="A4" s="126" t="s">
        <v>369</v>
      </c>
      <c r="B4" s="165">
        <f>(-'1º IPR'!B7/4+SQRT(POWER('1º IPR'!B7/4,2)-20*('Separador de gas'!B19/'1º IPR'!B9-1)*POWER('1º IPR'!B7,2)/4))/2</f>
        <v>30</v>
      </c>
      <c r="C4" s="163" t="s">
        <v>277</v>
      </c>
    </row>
    <row r="5" spans="1:3" ht="12.75">
      <c r="A5" s="162" t="s">
        <v>87</v>
      </c>
      <c r="B5" s="165">
        <f>+'1º IPR'!B3-10*'Separador de gas'!B4/'1º IPR'!K12</f>
        <v>1578.4851085487828</v>
      </c>
      <c r="C5" s="163" t="s">
        <v>267</v>
      </c>
    </row>
    <row r="6" spans="1:3" ht="12.75">
      <c r="A6" s="162" t="s">
        <v>276</v>
      </c>
      <c r="B6" s="160">
        <f>+B3-B5</f>
        <v>335.5148914512172</v>
      </c>
      <c r="C6" s="163" t="s">
        <v>64</v>
      </c>
    </row>
    <row r="7" spans="1:3" ht="14.25">
      <c r="A7" s="162" t="s">
        <v>281</v>
      </c>
      <c r="B7" s="160">
        <f>+B6*'1º IPR'!$K$12/10.01</f>
        <v>30.240424145513934</v>
      </c>
      <c r="C7" s="163" t="s">
        <v>277</v>
      </c>
    </row>
    <row r="8" spans="1:3" ht="14.25">
      <c r="A8" s="162" t="s">
        <v>455</v>
      </c>
      <c r="B8" s="165">
        <f>+B7+'Presiones de casing'!C26</f>
        <v>65.37935188287113</v>
      </c>
      <c r="C8" s="163" t="s">
        <v>277</v>
      </c>
    </row>
    <row r="9" spans="1:3" ht="14.25">
      <c r="A9" s="162" t="s">
        <v>453</v>
      </c>
      <c r="B9" s="165">
        <f>0.1342*'I y II-Cálculos'!$B$1*('1º IPR'!G7*10^(0.0125*'1º IPR'!$B$18)/10^(0.00091*'1º IPR'!B11))^1.2048</f>
        <v>53.2588841261194</v>
      </c>
      <c r="C9" s="169" t="s">
        <v>283</v>
      </c>
    </row>
    <row r="10" spans="1:3" ht="14.25">
      <c r="A10" s="171" t="s">
        <v>452</v>
      </c>
      <c r="B10" s="452">
        <f>0.1342*'I y II-Cálculos'!$B$1*(B8*10^(0.0125*'1º IPR'!$B$18)/10^(0.00091*B1))^1.2048</f>
        <v>28.4383750538608</v>
      </c>
      <c r="C10" s="172" t="s">
        <v>283</v>
      </c>
    </row>
    <row r="11" spans="1:3" ht="12.75">
      <c r="A11" s="168" t="s">
        <v>314</v>
      </c>
      <c r="B11" s="164">
        <f>+(('1º IPR'!B11-20)*'Separador de gas'!B3/'1º IPR'!B3+20-32)/1.8+273</f>
        <v>350.4618628990057</v>
      </c>
      <c r="C11" s="169" t="s">
        <v>279</v>
      </c>
    </row>
    <row r="12" spans="1:3" ht="12.75">
      <c r="A12" s="170" t="s">
        <v>280</v>
      </c>
      <c r="B12" s="161">
        <f>+Z!K9</f>
        <v>0.9075837623772984</v>
      </c>
      <c r="C12" s="127" t="s">
        <v>86</v>
      </c>
    </row>
    <row r="13" spans="1:3" ht="14.25">
      <c r="A13" s="171" t="s">
        <v>282</v>
      </c>
      <c r="B13" s="173">
        <f>0.00378*B12*B11/B8</f>
        <v>0.01838987051157391</v>
      </c>
      <c r="C13" s="172" t="s">
        <v>283</v>
      </c>
    </row>
    <row r="14" spans="1:3" ht="12.75">
      <c r="A14" s="168" t="s">
        <v>287</v>
      </c>
      <c r="B14" s="160">
        <f>+'I y II-Cálculos'!B1</f>
        <v>0.75</v>
      </c>
      <c r="C14" s="163" t="s">
        <v>86</v>
      </c>
    </row>
    <row r="15" spans="1:3" ht="12.75">
      <c r="A15" s="168" t="s">
        <v>288</v>
      </c>
      <c r="B15" s="167">
        <f>+'1º IPR'!B12</f>
        <v>0.8761609907120743</v>
      </c>
      <c r="C15" s="163" t="s">
        <v>86</v>
      </c>
    </row>
    <row r="16" spans="1:3" ht="12.75">
      <c r="A16" s="168" t="s">
        <v>284</v>
      </c>
      <c r="B16" s="167">
        <f>5.61*B10*POWER(B14/B15,0.5)+1.25*(1.8*(B11-273)+32)</f>
        <v>361.89597408967484</v>
      </c>
      <c r="C16" s="163"/>
    </row>
    <row r="17" spans="1:3" ht="13.5" thickBot="1">
      <c r="A17" s="425" t="s">
        <v>289</v>
      </c>
      <c r="B17" s="426">
        <f>0.972+0.000147*POWER(B16,1.175)</f>
        <v>1.1211602982748414</v>
      </c>
      <c r="C17" s="427"/>
    </row>
    <row r="18" spans="1:3" ht="13.5" thickBot="1">
      <c r="A18" s="428" t="s">
        <v>310</v>
      </c>
      <c r="B18" s="429">
        <f>+'1º IPR'!B9</f>
        <v>16.93097014925373</v>
      </c>
      <c r="C18" s="430" t="s">
        <v>73</v>
      </c>
    </row>
    <row r="19" spans="1:7" ht="13.5" thickBot="1">
      <c r="A19" s="378" t="s">
        <v>292</v>
      </c>
      <c r="B19" s="422">
        <v>15</v>
      </c>
      <c r="C19" s="379" t="s">
        <v>73</v>
      </c>
      <c r="E19" s="590" t="str">
        <f>+IF(B21&gt;B18,"MAL. Recalcular con un CAUDAL MENOR.","BIEN")</f>
        <v>BIEN</v>
      </c>
      <c r="F19" s="591"/>
      <c r="G19" s="592"/>
    </row>
    <row r="20" spans="1:7" ht="13.5" thickBot="1">
      <c r="A20" s="421" t="s">
        <v>520</v>
      </c>
      <c r="B20" s="424">
        <f>+B19*('1º IPR'!B10-'Separador de gas'!B10)*(1-'1º IPR'!B4/100)*'Separador de gas'!B13</f>
        <v>12.166136979842046</v>
      </c>
      <c r="C20" s="423" t="s">
        <v>73</v>
      </c>
      <c r="E20" s="593"/>
      <c r="F20" s="594"/>
      <c r="G20" s="595"/>
    </row>
    <row r="21" spans="1:3" s="176" customFormat="1" ht="13.5" thickBot="1">
      <c r="A21" s="431" t="s">
        <v>521</v>
      </c>
      <c r="B21" s="432">
        <f>+B19*((1-'1º IPR'!B4/100)*'Separador de gas'!B17+'1º IPR'!B4/100)</f>
        <v>16.526619758263003</v>
      </c>
      <c r="C21" s="433" t="s">
        <v>73</v>
      </c>
    </row>
    <row r="22" ht="13.5" thickBot="1"/>
    <row r="23" spans="1:3" ht="12.75">
      <c r="A23" s="324" t="s">
        <v>526</v>
      </c>
      <c r="B23" s="435">
        <f>+B20/B13+(1-'1º IPR'!B4/100)*'Separador de gas'!B19*'Separador de gas'!B10</f>
        <v>1019.890825578073</v>
      </c>
      <c r="C23" s="326" t="s">
        <v>73</v>
      </c>
    </row>
    <row r="24" spans="1:3" ht="12.75">
      <c r="A24" s="162" t="s">
        <v>526</v>
      </c>
      <c r="B24" s="160">
        <f>+B23*1000/30.48^3</f>
        <v>36.017104597593494</v>
      </c>
      <c r="C24" s="163" t="s">
        <v>529</v>
      </c>
    </row>
    <row r="25" spans="1:3" ht="12.75">
      <c r="A25" s="162" t="s">
        <v>527</v>
      </c>
      <c r="B25" s="161">
        <f>+B19*(1-'1º IPR'!B4/100)</f>
        <v>12.6</v>
      </c>
      <c r="C25" s="163" t="s">
        <v>73</v>
      </c>
    </row>
    <row r="26" spans="1:3" ht="13.5" thickBot="1">
      <c r="A26" s="327" t="s">
        <v>528</v>
      </c>
      <c r="B26" s="436">
        <f>+B19*'1º IPR'!B4/100</f>
        <v>2.4</v>
      </c>
      <c r="C26" s="330" t="s">
        <v>73</v>
      </c>
    </row>
  </sheetData>
  <mergeCells count="1">
    <mergeCell ref="E19:G20"/>
  </mergeCells>
  <printOptions/>
  <pageMargins left="0.75" right="0.75" top="1" bottom="1" header="0" footer="0"/>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Hoja6"/>
  <dimension ref="A1:H19"/>
  <sheetViews>
    <sheetView workbookViewId="0" topLeftCell="A1">
      <selection activeCell="B15" sqref="B15"/>
    </sheetView>
  </sheetViews>
  <sheetFormatPr defaultColWidth="11.421875" defaultRowHeight="12.75"/>
  <cols>
    <col min="1" max="1" width="36.00390625" style="0" bestFit="1" customWidth="1"/>
    <col min="2" max="2" width="12.00390625" style="185" bestFit="1" customWidth="1"/>
    <col min="3" max="3" width="8.57421875" style="0" customWidth="1"/>
  </cols>
  <sheetData>
    <row r="1" spans="1:3" ht="12.75">
      <c r="A1" s="125" t="s">
        <v>315</v>
      </c>
      <c r="B1" s="268">
        <f>+('Separador de gas'!B11-273)*1.8+32</f>
        <v>171.43135321821032</v>
      </c>
      <c r="C1" s="128" t="s">
        <v>179</v>
      </c>
    </row>
    <row r="3" spans="1:5" ht="13.5" thickBot="1">
      <c r="A3" s="289" t="s">
        <v>4</v>
      </c>
      <c r="E3" s="289" t="s">
        <v>414</v>
      </c>
    </row>
    <row r="4" spans="1:8" ht="12.75">
      <c r="A4" t="s">
        <v>6</v>
      </c>
      <c r="B4" s="304">
        <v>2.875</v>
      </c>
      <c r="C4" t="s">
        <v>307</v>
      </c>
      <c r="E4" s="324" t="s">
        <v>415</v>
      </c>
      <c r="F4" s="346"/>
      <c r="G4" s="347">
        <f>+'1º IPR'!B13</f>
        <v>7</v>
      </c>
      <c r="H4" s="326" t="s">
        <v>307</v>
      </c>
    </row>
    <row r="5" spans="1:8" ht="13.5" thickBot="1">
      <c r="A5" t="s">
        <v>19</v>
      </c>
      <c r="B5" s="269">
        <f>+PI()*B4^2/4</f>
        <v>6.491806694332033</v>
      </c>
      <c r="C5" t="s">
        <v>15</v>
      </c>
      <c r="E5" s="162" t="s">
        <v>5</v>
      </c>
      <c r="F5" s="316"/>
      <c r="G5" s="161">
        <f>+IF(G4=5.5,126.3,159.4)</f>
        <v>159.4</v>
      </c>
      <c r="H5" s="163" t="s">
        <v>416</v>
      </c>
    </row>
    <row r="6" spans="1:8" ht="13.5" thickBot="1">
      <c r="A6" t="s">
        <v>7</v>
      </c>
      <c r="B6" s="270">
        <v>2.44</v>
      </c>
      <c r="C6" t="s">
        <v>307</v>
      </c>
      <c r="E6" s="162" t="s">
        <v>5</v>
      </c>
      <c r="F6" s="316"/>
      <c r="G6" s="345">
        <f>+G5/25.4</f>
        <v>6.275590551181103</v>
      </c>
      <c r="H6" s="163" t="s">
        <v>307</v>
      </c>
    </row>
    <row r="7" spans="1:8" ht="13.5" thickBot="1">
      <c r="A7" t="s">
        <v>20</v>
      </c>
      <c r="B7" s="290">
        <f>+PI()*B6^2/4</f>
        <v>4.675946505603048</v>
      </c>
      <c r="C7" t="s">
        <v>15</v>
      </c>
      <c r="E7" s="349" t="s">
        <v>418</v>
      </c>
      <c r="F7" s="348"/>
      <c r="G7" s="351">
        <f>+PI()*G6^2/4</f>
        <v>30.931364745088338</v>
      </c>
      <c r="H7" s="350" t="s">
        <v>15</v>
      </c>
    </row>
    <row r="8" spans="1:3" ht="13.5" thickBot="1">
      <c r="A8" t="s">
        <v>16</v>
      </c>
      <c r="B8" s="269">
        <f>+B5-B7</f>
        <v>1.8158601887289851</v>
      </c>
      <c r="C8" t="s">
        <v>15</v>
      </c>
    </row>
    <row r="9" spans="1:8" ht="13.5" thickBot="1">
      <c r="A9" t="s">
        <v>374</v>
      </c>
      <c r="B9" s="181" t="s">
        <v>153</v>
      </c>
      <c r="E9" s="334" t="s">
        <v>417</v>
      </c>
      <c r="F9" s="352"/>
      <c r="G9" s="353">
        <f>+G7-B5</f>
        <v>24.439558050756304</v>
      </c>
      <c r="H9" s="337" t="s">
        <v>15</v>
      </c>
    </row>
    <row r="10" spans="1:3" ht="13.5" thickBot="1">
      <c r="A10" t="s">
        <v>8</v>
      </c>
      <c r="B10" s="181">
        <v>6.4</v>
      </c>
      <c r="C10" t="s">
        <v>14</v>
      </c>
    </row>
    <row r="11" spans="1:3" ht="12.75">
      <c r="A11" t="s">
        <v>9</v>
      </c>
      <c r="B11" s="290">
        <f>+'Separador de gas'!B3</f>
        <v>1914</v>
      </c>
      <c r="C11" t="s">
        <v>64</v>
      </c>
    </row>
    <row r="12" spans="1:2" ht="12.75">
      <c r="A12" t="s">
        <v>10</v>
      </c>
      <c r="B12" s="268">
        <f>+B11/9</f>
        <v>212.66666666666666</v>
      </c>
    </row>
    <row r="13" ht="13.5" thickBot="1"/>
    <row r="14" spans="1:3" s="177" customFormat="1" ht="17.25" thickBot="1">
      <c r="A14" s="293" t="s">
        <v>393</v>
      </c>
      <c r="B14" s="296">
        <v>52780</v>
      </c>
      <c r="C14" s="182" t="s">
        <v>18</v>
      </c>
    </row>
    <row r="15" spans="1:3" s="178" customFormat="1" ht="16.5">
      <c r="A15" s="293" t="s">
        <v>11</v>
      </c>
      <c r="B15" s="297">
        <f>+B10/0.3048*B11</f>
        <v>40188.97637795276</v>
      </c>
      <c r="C15" s="271" t="s">
        <v>18</v>
      </c>
    </row>
    <row r="16" spans="1:2" ht="17.25" thickBot="1">
      <c r="A16" s="293" t="s">
        <v>12</v>
      </c>
      <c r="B16" s="294" t="str">
        <f>+IF(B14&gt;B15,"BIEN","MAL")</f>
        <v>BIEN</v>
      </c>
    </row>
    <row r="17" spans="1:3" ht="17.25" thickBot="1">
      <c r="A17" s="293" t="s">
        <v>13</v>
      </c>
      <c r="B17" s="181">
        <v>5580</v>
      </c>
      <c r="C17" t="s">
        <v>17</v>
      </c>
    </row>
    <row r="18" spans="1:3" ht="16.5">
      <c r="A18" s="293" t="s">
        <v>11</v>
      </c>
      <c r="B18" s="297">
        <f>0.433*'1º IPR'!K12*Columna!B11/0.3048</f>
        <v>2453.155184603008</v>
      </c>
      <c r="C18" t="s">
        <v>17</v>
      </c>
    </row>
    <row r="19" spans="1:2" ht="16.5">
      <c r="A19" s="293" t="s">
        <v>12</v>
      </c>
      <c r="B19" s="294" t="str">
        <f>+IF(B17&gt;B18,"BIEN","MAL")</f>
        <v>BIEN</v>
      </c>
    </row>
  </sheetData>
  <printOptions/>
  <pageMargins left="0.75" right="0.75" top="1" bottom="1" header="0" footer="0"/>
  <pageSetup orientation="portrait" paperSize="5" r:id="rId2"/>
  <drawing r:id="rId1"/>
</worksheet>
</file>

<file path=xl/worksheets/sheet7.xml><?xml version="1.0" encoding="utf-8"?>
<worksheet xmlns="http://schemas.openxmlformats.org/spreadsheetml/2006/main" xmlns:r="http://schemas.openxmlformats.org/officeDocument/2006/relationships">
  <sheetPr codeName="Hoja3"/>
  <dimension ref="A1:D26"/>
  <sheetViews>
    <sheetView workbookViewId="0" topLeftCell="A1">
      <selection activeCell="C8" sqref="C8"/>
    </sheetView>
  </sheetViews>
  <sheetFormatPr defaultColWidth="11.421875" defaultRowHeight="12.75"/>
  <cols>
    <col min="1" max="1" width="54.8515625" style="0" bestFit="1" customWidth="1"/>
    <col min="2" max="2" width="8.8515625" style="185" bestFit="1" customWidth="1"/>
    <col min="3" max="3" width="11.421875" style="315" customWidth="1"/>
  </cols>
  <sheetData>
    <row r="1" spans="1:4" ht="12.75">
      <c r="A1" s="324" t="s">
        <v>62</v>
      </c>
      <c r="B1" s="325"/>
      <c r="C1" s="338">
        <v>12</v>
      </c>
      <c r="D1" s="326" t="s">
        <v>376</v>
      </c>
    </row>
    <row r="2" spans="1:4" ht="12.75">
      <c r="A2" s="162" t="s">
        <v>35</v>
      </c>
      <c r="B2" s="317" t="s">
        <v>27</v>
      </c>
      <c r="C2" s="318">
        <f>+C1/(0.454*Columna!B7)</f>
        <v>5.652698984045618</v>
      </c>
      <c r="D2" s="163" t="s">
        <v>17</v>
      </c>
    </row>
    <row r="3" spans="1:4" ht="12.75">
      <c r="A3" s="162" t="s">
        <v>36</v>
      </c>
      <c r="B3" s="317" t="s">
        <v>28</v>
      </c>
      <c r="C3" s="319">
        <f>10*14.2233</f>
        <v>142.233</v>
      </c>
      <c r="D3" s="163" t="s">
        <v>17</v>
      </c>
    </row>
    <row r="4" spans="1:4" ht="12.75">
      <c r="A4" s="162" t="s">
        <v>37</v>
      </c>
      <c r="B4" s="317" t="s">
        <v>29</v>
      </c>
      <c r="C4" s="318">
        <f>0.433*'1º IPR'!K12*C5</f>
        <v>67.5527830390494</v>
      </c>
      <c r="D4" s="163" t="s">
        <v>33</v>
      </c>
    </row>
    <row r="5" spans="1:4" ht="12.75">
      <c r="A5" s="162" t="s">
        <v>38</v>
      </c>
      <c r="B5" s="317" t="s">
        <v>32</v>
      </c>
      <c r="C5" s="332">
        <f>159000/(Columna!B7*2.54^2*30.48)</f>
        <v>172.91998706279549</v>
      </c>
      <c r="D5" s="163" t="s">
        <v>43</v>
      </c>
    </row>
    <row r="6" spans="1:4" ht="12.75">
      <c r="A6" s="162" t="s">
        <v>39</v>
      </c>
      <c r="B6" s="331" t="s">
        <v>30</v>
      </c>
      <c r="C6" s="323">
        <f>+'Volumen de gas'!C7</f>
        <v>3.25</v>
      </c>
      <c r="D6" s="127" t="s">
        <v>44</v>
      </c>
    </row>
    <row r="7" spans="1:4" ht="12.75">
      <c r="A7" s="162" t="s">
        <v>40</v>
      </c>
      <c r="B7" s="317" t="s">
        <v>31</v>
      </c>
      <c r="C7" s="333">
        <f>+'Separador de gas'!B3/0.3048</f>
        <v>6279.527559055118</v>
      </c>
      <c r="D7" s="163" t="s">
        <v>34</v>
      </c>
    </row>
    <row r="8" spans="1:4" ht="12.75">
      <c r="A8" s="162" t="s">
        <v>42</v>
      </c>
      <c r="B8" s="317" t="s">
        <v>41</v>
      </c>
      <c r="C8" s="318">
        <f>+C4*C10*C11^2/(64.4*C12/12)</f>
        <v>20.17733076555944</v>
      </c>
      <c r="D8" s="163" t="s">
        <v>33</v>
      </c>
    </row>
    <row r="9" spans="1:4" ht="12.75">
      <c r="A9" s="162" t="s">
        <v>394</v>
      </c>
      <c r="B9" s="317" t="s">
        <v>395</v>
      </c>
      <c r="C9" s="320">
        <f>+'1º IPR'!$K$12*Columna!$B$6*0.0254*'Presiones de casing'!$C$11*0.3048*100000/'1º IPR'!B16</f>
        <v>4260.7756717802595</v>
      </c>
      <c r="D9" s="163"/>
    </row>
    <row r="10" spans="1:4" ht="12.75">
      <c r="A10" s="162" t="s">
        <v>398</v>
      </c>
      <c r="B10" s="317" t="s">
        <v>46</v>
      </c>
      <c r="C10" s="321">
        <f>0.316/C9^0.25</f>
        <v>0.03911244048159309</v>
      </c>
      <c r="D10" s="163"/>
    </row>
    <row r="11" spans="1:4" ht="12.75">
      <c r="A11" s="162" t="s">
        <v>396</v>
      </c>
      <c r="B11" s="317" t="s">
        <v>47</v>
      </c>
      <c r="C11" s="322">
        <v>10</v>
      </c>
      <c r="D11" s="163" t="s">
        <v>48</v>
      </c>
    </row>
    <row r="12" spans="1:4" ht="12.75">
      <c r="A12" s="162" t="s">
        <v>498</v>
      </c>
      <c r="B12" s="317" t="s">
        <v>49</v>
      </c>
      <c r="C12" s="323">
        <f>+Columna!B6</f>
        <v>2.44</v>
      </c>
      <c r="D12" s="163" t="s">
        <v>307</v>
      </c>
    </row>
    <row r="13" spans="1:4" ht="12.75">
      <c r="A13" s="162" t="s">
        <v>50</v>
      </c>
      <c r="B13" s="317" t="s">
        <v>51</v>
      </c>
      <c r="C13" s="323">
        <f>1/C14</f>
        <v>332881.5623148849</v>
      </c>
      <c r="D13" s="163"/>
    </row>
    <row r="14" spans="1:4" ht="12.75">
      <c r="A14" s="162"/>
      <c r="B14" s="317" t="s">
        <v>61</v>
      </c>
      <c r="C14" s="323">
        <f>+C16*C11^2*C17/((C12/12)*64.4*(C18+460)*C19*C20)</f>
        <v>3.0040714572652216E-06</v>
      </c>
      <c r="D14" s="163"/>
    </row>
    <row r="15" spans="1:4" ht="12.75">
      <c r="A15" s="162" t="s">
        <v>394</v>
      </c>
      <c r="B15" s="317" t="s">
        <v>395</v>
      </c>
      <c r="C15" s="320">
        <f>+'1º IPR'!$K$12*Columna!$B$6*0.0254*'Presiones de casing'!$C$11*0.3048*100000/0.08</f>
        <v>213038.78358901298</v>
      </c>
      <c r="D15" s="163"/>
    </row>
    <row r="16" spans="1:4" ht="12.75">
      <c r="A16" s="162" t="s">
        <v>45</v>
      </c>
      <c r="B16" s="317" t="s">
        <v>52</v>
      </c>
      <c r="C16" s="321">
        <f>0.316/C15^0.25</f>
        <v>0.014708636465323643</v>
      </c>
      <c r="D16" s="163"/>
    </row>
    <row r="17" spans="1:4" ht="12.75">
      <c r="A17" s="162" t="s">
        <v>54</v>
      </c>
      <c r="B17" s="317" t="s">
        <v>55</v>
      </c>
      <c r="C17" s="318">
        <f>+'I y II-Cálculos'!B1</f>
        <v>0.75</v>
      </c>
      <c r="D17" s="163"/>
    </row>
    <row r="18" spans="1:4" ht="12.75">
      <c r="A18" s="162" t="s">
        <v>53</v>
      </c>
      <c r="B18" s="317" t="s">
        <v>56</v>
      </c>
      <c r="C18" s="318">
        <f>+(20*1.8+32+Columna!B1)/2</f>
        <v>119.71567660910516</v>
      </c>
      <c r="D18" s="163" t="s">
        <v>179</v>
      </c>
    </row>
    <row r="19" spans="1:4" ht="12.75">
      <c r="A19" s="162" t="s">
        <v>57</v>
      </c>
      <c r="B19" s="317" t="s">
        <v>280</v>
      </c>
      <c r="C19" s="321">
        <f>+Z!K9</f>
        <v>0.9075837623772984</v>
      </c>
      <c r="D19" s="163"/>
    </row>
    <row r="20" spans="1:4" ht="13.5" thickBot="1">
      <c r="A20" s="327" t="s">
        <v>59</v>
      </c>
      <c r="B20" s="328" t="s">
        <v>58</v>
      </c>
      <c r="C20" s="329">
        <v>53.3</v>
      </c>
      <c r="D20" s="330" t="s">
        <v>60</v>
      </c>
    </row>
    <row r="21" ht="13.5" thickBot="1"/>
    <row r="22" spans="1:4" ht="13.5" thickBot="1">
      <c r="A22" s="334" t="s">
        <v>399</v>
      </c>
      <c r="B22" s="335" t="s">
        <v>400</v>
      </c>
      <c r="C22" s="336">
        <f>+($C$2+14.7+$C$3+($C$4+$C$8)*C6)*(1+$C$7/$C$13)</f>
        <v>456.1542102265819</v>
      </c>
      <c r="D22" s="337" t="s">
        <v>17</v>
      </c>
    </row>
    <row r="23" ht="13.5" thickBot="1"/>
    <row r="24" spans="1:4" ht="13.5" thickBot="1">
      <c r="A24" s="334" t="s">
        <v>401</v>
      </c>
      <c r="B24" s="335" t="s">
        <v>402</v>
      </c>
      <c r="C24" s="336">
        <f>+C22*(Columna!$G$9+Columna!$B$7)/Columna!$G$9</f>
        <v>543.4288115469236</v>
      </c>
      <c r="D24" s="337" t="s">
        <v>17</v>
      </c>
    </row>
    <row r="25" ht="13.5" thickBot="1"/>
    <row r="26" spans="1:4" ht="13.5" thickBot="1">
      <c r="A26" s="334" t="s">
        <v>450</v>
      </c>
      <c r="B26" s="335" t="s">
        <v>451</v>
      </c>
      <c r="C26" s="336">
        <f>+(C24+C22)/2/14.2233</f>
        <v>35.13892773735721</v>
      </c>
      <c r="D26" s="337" t="s">
        <v>69</v>
      </c>
    </row>
  </sheetData>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codeName="Hoja4"/>
  <dimension ref="A1:F18"/>
  <sheetViews>
    <sheetView workbookViewId="0" topLeftCell="A4">
      <selection activeCell="E22" sqref="E22"/>
    </sheetView>
  </sheetViews>
  <sheetFormatPr defaultColWidth="11.421875" defaultRowHeight="12.75"/>
  <cols>
    <col min="1" max="1" width="31.8515625" style="0" bestFit="1" customWidth="1"/>
    <col min="2" max="2" width="8.140625" style="185" bestFit="1" customWidth="1"/>
    <col min="6" max="6" width="0" style="0" hidden="1" customWidth="1"/>
  </cols>
  <sheetData>
    <row r="1" spans="1:4" ht="12.75">
      <c r="A1" s="324" t="s">
        <v>403</v>
      </c>
      <c r="B1" s="325" t="s">
        <v>404</v>
      </c>
      <c r="C1" s="435">
        <f>+Columna!B7*'Presiones de casing'!C7/144</f>
        <v>203.90788157362374</v>
      </c>
      <c r="D1" s="326" t="s">
        <v>406</v>
      </c>
    </row>
    <row r="2" spans="1:4" ht="12.75">
      <c r="A2" s="162" t="s">
        <v>405</v>
      </c>
      <c r="B2" s="317" t="s">
        <v>56</v>
      </c>
      <c r="C2" s="160">
        <f>+'Presiones de casing'!C18+460</f>
        <v>579.7156766091051</v>
      </c>
      <c r="D2" s="163" t="s">
        <v>407</v>
      </c>
    </row>
    <row r="3" spans="1:4" ht="12.75">
      <c r="A3" s="162" t="s">
        <v>57</v>
      </c>
      <c r="B3" s="317" t="s">
        <v>280</v>
      </c>
      <c r="C3" s="434">
        <f>+'Presiones de casing'!C19</f>
        <v>0.9075837623772984</v>
      </c>
      <c r="D3" s="163"/>
    </row>
    <row r="4" spans="1:4" ht="13.5" thickBot="1">
      <c r="A4" s="327" t="s">
        <v>408</v>
      </c>
      <c r="B4" s="328"/>
      <c r="C4" s="436">
        <f>1+0.02*'Presiones de casing'!C7/1000</f>
        <v>1.1255905511811024</v>
      </c>
      <c r="D4" s="330"/>
    </row>
    <row r="5" spans="1:4" ht="10.5" customHeight="1" thickBot="1">
      <c r="A5" s="179"/>
      <c r="B5" s="480"/>
      <c r="C5" s="481"/>
      <c r="D5" s="179"/>
    </row>
    <row r="6" spans="1:6" ht="16.5" customHeight="1" thickBot="1">
      <c r="A6" s="482" t="s">
        <v>546</v>
      </c>
      <c r="B6" s="484" t="s">
        <v>30</v>
      </c>
      <c r="C6" s="483"/>
      <c r="D6" s="393" t="s">
        <v>44</v>
      </c>
      <c r="F6" s="485">
        <v>13</v>
      </c>
    </row>
    <row r="7" spans="1:4" ht="12.75">
      <c r="A7" s="324" t="s">
        <v>426</v>
      </c>
      <c r="B7" s="437" t="s">
        <v>30</v>
      </c>
      <c r="C7" s="161">
        <f>+INDEX(Tabla!A2:A33,'Volumen de gas'!F6,1)</f>
        <v>3.25</v>
      </c>
      <c r="D7" s="128" t="s">
        <v>44</v>
      </c>
    </row>
    <row r="8" spans="1:4" ht="12.75">
      <c r="A8" s="162" t="s">
        <v>427</v>
      </c>
      <c r="B8" s="317" t="s">
        <v>428</v>
      </c>
      <c r="C8" s="165">
        <f>+'Separador de gas'!B19/0.159/'Volumen de gas'!C7</f>
        <v>29.027576197387518</v>
      </c>
      <c r="D8" s="163" t="s">
        <v>430</v>
      </c>
    </row>
    <row r="9" spans="1:4" ht="12.75">
      <c r="A9" s="162" t="s">
        <v>425</v>
      </c>
      <c r="B9" s="317" t="s">
        <v>429</v>
      </c>
      <c r="C9" s="160">
        <f>24*60/C8</f>
        <v>49.608000000000004</v>
      </c>
      <c r="D9" s="163" t="s">
        <v>431</v>
      </c>
    </row>
    <row r="10" spans="1:4" ht="12.75">
      <c r="A10" s="162" t="s">
        <v>432</v>
      </c>
      <c r="B10" s="317" t="s">
        <v>433</v>
      </c>
      <c r="C10" s="160">
        <f>+'Separador de gas'!B3/0.3048/('Presiones de casing'!C11*60)</f>
        <v>10.465879265091864</v>
      </c>
      <c r="D10" s="163" t="s">
        <v>431</v>
      </c>
    </row>
    <row r="11" spans="1:4" ht="12.75">
      <c r="A11" s="162" t="s">
        <v>434</v>
      </c>
      <c r="B11" s="317" t="s">
        <v>435</v>
      </c>
      <c r="C11" s="160">
        <f>+C9-C10</f>
        <v>39.14212073490814</v>
      </c>
      <c r="D11" s="163" t="s">
        <v>431</v>
      </c>
    </row>
    <row r="12" spans="1:4" ht="13.5" thickBot="1">
      <c r="A12" s="327" t="s">
        <v>444</v>
      </c>
      <c r="B12" s="328" t="s">
        <v>445</v>
      </c>
      <c r="C12" s="438">
        <f>3.5*C10</f>
        <v>36.63057742782152</v>
      </c>
      <c r="D12" s="330" t="s">
        <v>431</v>
      </c>
    </row>
    <row r="13" spans="2:4" ht="12.75">
      <c r="B13" s="596" t="str">
        <f>+IF(C12&lt;C11,"BIEN","MAL. Elegir XL mayor.")</f>
        <v>BIEN</v>
      </c>
      <c r="C13" s="597"/>
      <c r="D13" s="598"/>
    </row>
    <row r="14" spans="2:4" ht="13.5" thickBot="1">
      <c r="B14" s="599"/>
      <c r="C14" s="600"/>
      <c r="D14" s="601"/>
    </row>
    <row r="17" ht="12.75">
      <c r="C17" s="185"/>
    </row>
    <row r="18" ht="12.75">
      <c r="C18" s="185"/>
    </row>
  </sheetData>
  <mergeCells count="1">
    <mergeCell ref="B13:D14"/>
  </mergeCells>
  <printOptions/>
  <pageMargins left="0.75" right="0.75" top="1" bottom="1" header="0" footer="0"/>
  <pageSetup orientation="portrait" paperSize="9"/>
  <ignoredErrors>
    <ignoredError sqref="C7" formulaRange="1"/>
  </ignoredErrors>
  <legacyDrawing r:id="rId1"/>
</worksheet>
</file>

<file path=xl/worksheets/sheet9.xml><?xml version="1.0" encoding="utf-8"?>
<worksheet xmlns="http://schemas.openxmlformats.org/spreadsheetml/2006/main" xmlns:r="http://schemas.openxmlformats.org/officeDocument/2006/relationships">
  <sheetPr codeName="Hoja10"/>
  <dimension ref="A1:I914"/>
  <sheetViews>
    <sheetView workbookViewId="0" topLeftCell="A1">
      <pane ySplit="1" topLeftCell="BM27" activePane="bottomLeft" state="frozen"/>
      <selection pane="topLeft" activeCell="A1" sqref="A1"/>
      <selection pane="bottomLeft" activeCell="H18" sqref="H18"/>
    </sheetView>
  </sheetViews>
  <sheetFormatPr defaultColWidth="11.421875" defaultRowHeight="12.75"/>
  <cols>
    <col min="1" max="1" width="10.140625" style="316" customWidth="1"/>
    <col min="2" max="2" width="9.421875" style="316" customWidth="1"/>
    <col min="3" max="3" width="10.140625" style="316" customWidth="1"/>
    <col min="4" max="6" width="11.421875" style="316" customWidth="1"/>
    <col min="7" max="7" width="15.421875" style="0" customWidth="1"/>
    <col min="8" max="8" width="12.28125" style="0" bestFit="1" customWidth="1"/>
  </cols>
  <sheetData>
    <row r="1" spans="1:6" ht="26.25" thickBot="1">
      <c r="A1" s="342" t="s">
        <v>437</v>
      </c>
      <c r="B1" s="343" t="s">
        <v>409</v>
      </c>
      <c r="C1" s="343" t="s">
        <v>410</v>
      </c>
      <c r="D1" s="343" t="s">
        <v>411</v>
      </c>
      <c r="E1" s="343" t="s">
        <v>412</v>
      </c>
      <c r="F1" s="344" t="s">
        <v>413</v>
      </c>
    </row>
    <row r="2" spans="1:6" ht="12.75">
      <c r="A2" s="418">
        <v>0.25</v>
      </c>
      <c r="B2" s="341">
        <f>+('Presiones de casing'!$C$2+14.7+'Presiones de casing'!$C$3+('Presiones de casing'!$C$4+'Presiones de casing'!$C$8)*A2)*(1+'Presiones de casing'!$C$7/'Presiones de casing'!$C$13)</f>
        <v>187.99900686398246</v>
      </c>
      <c r="C2" s="341">
        <f>+B2*(Columna!$G$9+Columna!$B$7)/Columna!$G$9</f>
        <v>223.96828656113635</v>
      </c>
      <c r="D2" s="419">
        <f>+B2-A2*'Presiones de casing'!$C$4</f>
        <v>171.11081110422012</v>
      </c>
      <c r="E2" s="419">
        <f>+'Volumen de gas'!$C$1*(Tabla!D2/14.7)*(520/'Volumen de gas'!$C$2)*('Volumen de gas'!$C$4/'Volumen de gas'!$C$3)</f>
        <v>2640.4390580714044</v>
      </c>
      <c r="F2" s="419">
        <f>+E2/A2</f>
        <v>10561.756232285617</v>
      </c>
    </row>
    <row r="3" spans="1:6" ht="12.75">
      <c r="A3" s="317">
        <v>0.5</v>
      </c>
      <c r="B3" s="339">
        <f>+('Presiones de casing'!$C$2+14.7+'Presiones de casing'!$C$3+('Presiones de casing'!$C$4+'Presiones de casing'!$C$8)*A3)*(1+'Presiones de casing'!$C$7/'Presiones de casing'!$C$13)</f>
        <v>210.3452738108657</v>
      </c>
      <c r="C3" s="339">
        <f>+B3*(Columna!$G$9+Columna!$B$7)/Columna!$G$9</f>
        <v>250.58999697661855</v>
      </c>
      <c r="D3" s="340">
        <f>+B3-A3*'Presiones de casing'!$C$4</f>
        <v>176.568882291341</v>
      </c>
      <c r="E3" s="340">
        <f>+'Volumen de gas'!$C$1*Tabla!D3/14.7*520/'Volumen de gas'!$C$2*'Volumen de gas'!$C$4/'Volumen de gas'!$C$3</f>
        <v>2724.6634519083914</v>
      </c>
      <c r="F3" s="340">
        <f aca="true" t="shared" si="0" ref="F3:F16">+E3/A3</f>
        <v>5449.326903816783</v>
      </c>
    </row>
    <row r="4" spans="1:6" ht="12.75">
      <c r="A4" s="317">
        <v>0.75</v>
      </c>
      <c r="B4" s="339">
        <f>+('Presiones de casing'!$C$2+14.7+'Presiones de casing'!$C$3+('Presiones de casing'!$C$4+'Presiones de casing'!$C$8)*A4)*(1+'Presiones de casing'!$C$7/'Presiones de casing'!$C$13)</f>
        <v>232.69154075774898</v>
      </c>
      <c r="C4" s="339">
        <f>+B4*(Columna!$G$9+Columna!$B$7)/Columna!$G$9</f>
        <v>277.21170739210083</v>
      </c>
      <c r="D4" s="340">
        <f>+B4-A4*'Presiones de casing'!$C$4</f>
        <v>182.02695347846193</v>
      </c>
      <c r="E4" s="340">
        <f>+'Volumen de gas'!$C$1*Tabla!D4/14.7*520/'Volumen de gas'!$C$2*'Volumen de gas'!$C$4/'Volumen de gas'!$C$3</f>
        <v>2808.887845745379</v>
      </c>
      <c r="F4" s="340">
        <f t="shared" si="0"/>
        <v>3745.1837943271717</v>
      </c>
    </row>
    <row r="5" spans="1:6" ht="12.75">
      <c r="A5" s="317">
        <v>1</v>
      </c>
      <c r="B5" s="339">
        <f>+('Presiones de casing'!$C$2+14.7+'Presiones de casing'!$C$3+('Presiones de casing'!$C$4+'Presiones de casing'!$C$8)*A5)*(1+'Presiones de casing'!$C$7/'Presiones de casing'!$C$13)</f>
        <v>255.03780770463229</v>
      </c>
      <c r="C5" s="339">
        <f>+B5*(Columna!$G$9+Columna!$B$7)/Columna!$G$9</f>
        <v>303.8334178075831</v>
      </c>
      <c r="D5" s="340">
        <f>+B5-A5*'Presiones de casing'!$C$4</f>
        <v>187.4850246655829</v>
      </c>
      <c r="E5" s="340">
        <f>+'Volumen de gas'!$C$1*Tabla!D5/14.7*520/'Volumen de gas'!$C$2*'Volumen de gas'!$C$4/'Volumen de gas'!$C$3</f>
        <v>2893.1122395823672</v>
      </c>
      <c r="F5" s="340">
        <f t="shared" si="0"/>
        <v>2893.1122395823672</v>
      </c>
    </row>
    <row r="6" spans="1:6" ht="13.5" thickBot="1">
      <c r="A6" s="317">
        <v>1.25</v>
      </c>
      <c r="B6" s="339">
        <f>+('Presiones de casing'!$C$2+14.7+'Presiones de casing'!$C$3+('Presiones de casing'!$C$4+'Presiones de casing'!$C$8)*A6)*(1+'Presiones de casing'!$C$7/'Presiones de casing'!$C$13)</f>
        <v>277.3840746515156</v>
      </c>
      <c r="C6" s="339">
        <f>+B6*(Columna!$G$9+Columna!$B$7)/Columna!$G$9</f>
        <v>330.4551282230654</v>
      </c>
      <c r="D6" s="340">
        <f>+B6-A6*'Presiones de casing'!$C$4</f>
        <v>192.94309585270386</v>
      </c>
      <c r="E6" s="340">
        <f>+'Volumen de gas'!$C$1*Tabla!D6/14.7*520/'Volumen de gas'!$C$2*'Volumen de gas'!$C$4/'Volumen de gas'!$C$3</f>
        <v>2977.3366334193565</v>
      </c>
      <c r="F6" s="340">
        <f t="shared" si="0"/>
        <v>2381.869306735485</v>
      </c>
    </row>
    <row r="7" spans="1:9" ht="13.5" thickBot="1">
      <c r="A7" s="317">
        <v>1.5</v>
      </c>
      <c r="B7" s="339">
        <f>+('Presiones de casing'!$C$2+14.7+'Presiones de casing'!$C$3+('Presiones de casing'!$C$4+'Presiones de casing'!$C$8)*A7)*(1+'Presiones de casing'!$C$7/'Presiones de casing'!$C$13)</f>
        <v>299.7303415983988</v>
      </c>
      <c r="C7" s="339">
        <f>+B7*(Columna!$G$9+Columna!$B$7)/Columna!$G$9</f>
        <v>357.0768386385476</v>
      </c>
      <c r="D7" s="340">
        <f>+B7-A7*'Presiones de casing'!$C$4</f>
        <v>198.4011670398247</v>
      </c>
      <c r="E7" s="340">
        <f>+'Volumen de gas'!$C$1*Tabla!D7/14.7*520/'Volumen de gas'!$C$2*'Volumen de gas'!$C$4/'Volumen de gas'!$C$3</f>
        <v>3061.5610272563426</v>
      </c>
      <c r="F7" s="340">
        <f t="shared" si="0"/>
        <v>2041.0406848375617</v>
      </c>
      <c r="H7" s="602" t="s">
        <v>419</v>
      </c>
      <c r="I7" s="603"/>
    </row>
    <row r="8" spans="1:9" ht="12.75">
      <c r="A8" s="317">
        <v>1.75</v>
      </c>
      <c r="B8" s="339">
        <f>+('Presiones de casing'!$C$2+14.7+'Presiones de casing'!$C$3+('Presiones de casing'!$C$4+'Presiones de casing'!$C$8)*A8)*(1+'Presiones de casing'!$C$7/'Presiones de casing'!$C$13)</f>
        <v>322.0766085452821</v>
      </c>
      <c r="C8" s="339">
        <f>+B8*(Columna!$G$9+Columna!$B$7)/Columna!$G$9</f>
        <v>383.69854905402985</v>
      </c>
      <c r="D8" s="340">
        <f>+B8-A8*'Presiones de casing'!$C$4</f>
        <v>203.85923822694565</v>
      </c>
      <c r="E8" s="340">
        <f>+'Volumen de gas'!$C$1*Tabla!D8/14.7*520/'Volumen de gas'!$C$2*'Volumen de gas'!$C$4/'Volumen de gas'!$C$3</f>
        <v>3145.7854210933306</v>
      </c>
      <c r="F8" s="340">
        <f t="shared" si="0"/>
        <v>1797.5916691961888</v>
      </c>
      <c r="H8" s="391">
        <f>+'1º IPR'!B14</f>
        <v>68</v>
      </c>
      <c r="I8" s="379" t="s">
        <v>88</v>
      </c>
    </row>
    <row r="9" spans="1:9" ht="13.5" thickBot="1">
      <c r="A9" s="317">
        <v>2</v>
      </c>
      <c r="B9" s="339">
        <f>+('Presiones de casing'!$C$2+14.7+'Presiones de casing'!$C$3+('Presiones de casing'!$C$4+'Presiones de casing'!$C$8)*A9)*(1+'Presiones de casing'!$C$7/'Presiones de casing'!$C$13)</f>
        <v>344.4228754921654</v>
      </c>
      <c r="C9" s="339">
        <f>+B9*(Columna!$G$9+Columna!$B$7)/Columna!$G$9</f>
        <v>410.32025946951217</v>
      </c>
      <c r="D9" s="340">
        <f>+B9-A9*'Presiones de casing'!$C$4</f>
        <v>209.3173094140666</v>
      </c>
      <c r="E9" s="340">
        <f>+'Volumen de gas'!$C$1*Tabla!D9/14.7*520/'Volumen de gas'!$C$2*'Volumen de gas'!$C$4/'Volumen de gas'!$C$3</f>
        <v>3230.0098149303185</v>
      </c>
      <c r="F9" s="340">
        <f t="shared" si="0"/>
        <v>1615.0049074651592</v>
      </c>
      <c r="H9" s="367">
        <f>+H8*5.615</f>
        <v>381.82</v>
      </c>
      <c r="I9" s="368" t="s">
        <v>420</v>
      </c>
    </row>
    <row r="10" spans="1:6" ht="13.5" thickBot="1">
      <c r="A10" s="317">
        <v>2.25</v>
      </c>
      <c r="B10" s="339">
        <f>+('Presiones de casing'!$C$2+14.7+'Presiones de casing'!$C$3+('Presiones de casing'!$C$4+'Presiones de casing'!$C$8)*A10)*(1+'Presiones de casing'!$C$7/'Presiones de casing'!$C$13)</f>
        <v>366.7691424390487</v>
      </c>
      <c r="C10" s="339">
        <f>+B10*(Columna!$G$9+Columna!$B$7)/Columna!$G$9</f>
        <v>436.9419698849945</v>
      </c>
      <c r="D10" s="340">
        <f>+B10-A10*'Presiones de casing'!$C$4</f>
        <v>214.77538060118758</v>
      </c>
      <c r="E10" s="340">
        <f>+'Volumen de gas'!$C$1*Tabla!D10/14.7*520/'Volumen de gas'!$C$2*'Volumen de gas'!$C$4/'Volumen de gas'!$C$3</f>
        <v>3314.234208767307</v>
      </c>
      <c r="F10" s="340">
        <f t="shared" si="0"/>
        <v>1472.9929816743586</v>
      </c>
    </row>
    <row r="11" spans="1:9" ht="13.5" thickBot="1">
      <c r="A11" s="317">
        <v>2.5</v>
      </c>
      <c r="B11" s="339">
        <f>+('Presiones de casing'!$C$2+14.7+'Presiones de casing'!$C$3+('Presiones de casing'!$C$4+'Presiones de casing'!$C$8)*A11)*(1+'Presiones de casing'!$C$7/'Presiones de casing'!$C$13)</f>
        <v>389.115409385932</v>
      </c>
      <c r="C11" s="339">
        <f>+B11*(Columna!$G$9+Columna!$B$7)/Columna!$G$9</f>
        <v>463.56368030047673</v>
      </c>
      <c r="D11" s="340">
        <f>+B11-A11*'Presiones de casing'!$C$4</f>
        <v>220.2334517883085</v>
      </c>
      <c r="E11" s="340">
        <f>+'Volumen de gas'!$C$1*Tabla!D11/14.7*520/'Volumen de gas'!$C$2*'Volumen de gas'!$C$4/'Volumen de gas'!$C$3</f>
        <v>3398.4586026042953</v>
      </c>
      <c r="F11" s="340">
        <f t="shared" si="0"/>
        <v>1359.383441041718</v>
      </c>
      <c r="H11" s="602" t="s">
        <v>402</v>
      </c>
      <c r="I11" s="603"/>
    </row>
    <row r="12" spans="1:9" ht="13.5" thickBot="1">
      <c r="A12" s="317">
        <v>2.75</v>
      </c>
      <c r="B12" s="339">
        <f>+('Presiones de casing'!$C$2+14.7+'Presiones de casing'!$C$3+('Presiones de casing'!$C$4+'Presiones de casing'!$C$8)*A12)*(1+'Presiones de casing'!$C$7/'Presiones de casing'!$C$13)</f>
        <v>411.4616763328153</v>
      </c>
      <c r="C12" s="339">
        <f>+B12*(Columna!$G$9+Columna!$B$7)/Columna!$G$9</f>
        <v>490.185390715959</v>
      </c>
      <c r="D12" s="340">
        <f>+B12-A12*'Presiones de casing'!$C$4</f>
        <v>225.69152297542942</v>
      </c>
      <c r="E12" s="340">
        <f>+'Volumen de gas'!$C$1*Tabla!D12/14.7*520/'Volumen de gas'!$C$2*'Volumen de gas'!$C$4/'Volumen de gas'!$C$3</f>
        <v>3482.682996441282</v>
      </c>
      <c r="F12" s="340">
        <f t="shared" si="0"/>
        <v>1266.4301805241025</v>
      </c>
      <c r="H12" s="392">
        <f>+Presentación!G224</f>
        <v>600</v>
      </c>
      <c r="I12" s="393" t="s">
        <v>17</v>
      </c>
    </row>
    <row r="13" spans="1:6" ht="12.75">
      <c r="A13" s="317">
        <v>3</v>
      </c>
      <c r="B13" s="339">
        <f>+('Presiones de casing'!$C$2+14.7+'Presiones de casing'!$C$3+('Presiones de casing'!$C$4+'Presiones de casing'!$C$8)*A13)*(1+'Presiones de casing'!$C$7/'Presiones de casing'!$C$13)</f>
        <v>433.8079432796986</v>
      </c>
      <c r="C13" s="339">
        <f>+B13*(Columna!$G$9+Columna!$B$7)/Columna!$G$9</f>
        <v>516.8071011314413</v>
      </c>
      <c r="D13" s="340">
        <f>+B13-A13*'Presiones de casing'!$C$4</f>
        <v>231.1495941625504</v>
      </c>
      <c r="E13" s="340">
        <f>+'Volumen de gas'!$C$1*Tabla!D13/14.7*520/'Volumen de gas'!$C$2*'Volumen de gas'!$C$4/'Volumen de gas'!$C$3</f>
        <v>3566.90739027827</v>
      </c>
      <c r="F13" s="340">
        <f t="shared" si="0"/>
        <v>1188.9691300927568</v>
      </c>
    </row>
    <row r="14" spans="1:6" ht="12.75">
      <c r="A14" s="317">
        <v>3.25</v>
      </c>
      <c r="B14" s="339">
        <f>+('Presiones de casing'!$C$2+14.7+'Presiones de casing'!$C$3+('Presiones de casing'!$C$4+'Presiones de casing'!$C$8)*A14)*(1+'Presiones de casing'!$C$7/'Presiones de casing'!$C$13)</f>
        <v>456.1542102265819</v>
      </c>
      <c r="C14" s="339">
        <f>+B14*(Columna!$G$9+Columna!$B$7)/Columna!$G$9</f>
        <v>543.4288115469236</v>
      </c>
      <c r="D14" s="340">
        <f>+B14-A14*'Presiones de casing'!$C$4</f>
        <v>236.60766534967132</v>
      </c>
      <c r="E14" s="340">
        <f>+'Volumen de gas'!$C$1*Tabla!D14/14.7*520/'Volumen de gas'!$C$2*'Volumen de gas'!$C$4/'Volumen de gas'!$C$3</f>
        <v>3651.131784115259</v>
      </c>
      <c r="F14" s="340">
        <f t="shared" si="0"/>
        <v>1123.4251643431567</v>
      </c>
    </row>
    <row r="15" spans="1:6" ht="12.75">
      <c r="A15" s="317">
        <v>3.5</v>
      </c>
      <c r="B15" s="339">
        <f>+('Presiones de casing'!$C$2+14.7+'Presiones de casing'!$C$3+('Presiones de casing'!$C$4+'Presiones de casing'!$C$8)*A15)*(1+'Presiones de casing'!$C$7/'Presiones de casing'!$C$13)</f>
        <v>478.50047717346513</v>
      </c>
      <c r="C15" s="339">
        <f>+B15*(Columna!$G$9+Columna!$B$7)/Columna!$G$9</f>
        <v>570.0505219624058</v>
      </c>
      <c r="D15" s="340">
        <f>+B15-A15*'Presiones de casing'!$C$4</f>
        <v>242.06573653679223</v>
      </c>
      <c r="E15" s="340">
        <f>+'Volumen de gas'!$C$1*Tabla!D15/14.7*520/'Volumen de gas'!$C$2*'Volumen de gas'!$C$4/'Volumen de gas'!$C$3</f>
        <v>3735.356177952246</v>
      </c>
      <c r="F15" s="340">
        <f t="shared" si="0"/>
        <v>1067.2446222720703</v>
      </c>
    </row>
    <row r="16" spans="1:6" ht="12.75">
      <c r="A16" s="317">
        <v>3.75</v>
      </c>
      <c r="B16" s="339">
        <f>+('Presiones de casing'!$C$2+14.7+'Presiones de casing'!$C$3+('Presiones de casing'!$C$4+'Presiones de casing'!$C$8)*A16)*(1+'Presiones de casing'!$C$7/'Presiones de casing'!$C$13)</f>
        <v>500.84674412034843</v>
      </c>
      <c r="C16" s="339">
        <f>+B16*(Columna!$G$9+Columna!$B$7)/Columna!$G$9</f>
        <v>596.6722323778881</v>
      </c>
      <c r="D16" s="340">
        <f>+B16-A16*'Presiones de casing'!$C$4</f>
        <v>247.52380772391317</v>
      </c>
      <c r="E16" s="340">
        <f>+'Volumen de gas'!$C$1*Tabla!D16/14.7*520/'Volumen de gas'!$C$2*'Volumen de gas'!$C$4/'Volumen de gas'!$C$3</f>
        <v>3819.5805717892345</v>
      </c>
      <c r="F16" s="340">
        <f t="shared" si="0"/>
        <v>1018.5548191437958</v>
      </c>
    </row>
    <row r="17" spans="1:6" ht="12.75">
      <c r="A17" s="317">
        <v>4</v>
      </c>
      <c r="B17" s="339">
        <f>+('Presiones de casing'!$C$2+14.7+'Presiones de casing'!$C$3+('Presiones de casing'!$C$4+'Presiones de casing'!$C$8)*A17)*(1+'Presiones de casing'!$C$7/'Presiones de casing'!$C$13)</f>
        <v>523.1930110672317</v>
      </c>
      <c r="C17" s="339">
        <f>+B17*(Columna!$G$9+Columna!$B$7)/Columna!$G$9</f>
        <v>623.2939427933704</v>
      </c>
      <c r="D17" s="340">
        <f>+B17-A17*'Presiones de casing'!$C$4</f>
        <v>252.98187891103413</v>
      </c>
      <c r="E17" s="340">
        <f>+'Volumen de gas'!$C$1*Tabla!D17/14.7*520/'Volumen de gas'!$C$2*'Volumen de gas'!$C$4/'Volumen de gas'!$C$3</f>
        <v>3903.8049656262224</v>
      </c>
      <c r="F17" s="340">
        <f>+E17/A17</f>
        <v>975.9512414065556</v>
      </c>
    </row>
    <row r="18" spans="1:6" ht="12.75">
      <c r="A18" s="317">
        <v>4.25</v>
      </c>
      <c r="B18" s="339">
        <f>+('Presiones de casing'!$C$2+14.7+'Presiones de casing'!$C$3+('Presiones de casing'!$C$4+'Presiones de casing'!$C$8)*A18)*(1+'Presiones de casing'!$C$7/'Presiones de casing'!$C$13)</f>
        <v>545.539278014115</v>
      </c>
      <c r="C18" s="339">
        <f>+B18*(Columna!$G$9+Columna!$B$7)/Columna!$G$9</f>
        <v>649.9156532088526</v>
      </c>
      <c r="D18" s="340">
        <f>+B18-A18*'Presiones de casing'!$C$4</f>
        <v>258.439950098155</v>
      </c>
      <c r="E18" s="340">
        <f>+'Volumen de gas'!$C$1*Tabla!D18/14.7*520/'Volumen de gas'!$C$2*'Volumen de gas'!$C$4/'Volumen de gas'!$C$3</f>
        <v>3988.02935946321</v>
      </c>
      <c r="F18" s="340">
        <f>+E18/A18</f>
        <v>938.3598492854611</v>
      </c>
    </row>
    <row r="19" spans="1:6" ht="12.75">
      <c r="A19" s="317">
        <v>4.5</v>
      </c>
      <c r="B19" s="339">
        <f>+('Presiones de casing'!$C$2+14.7+'Presiones de casing'!$C$3+('Presiones de casing'!$C$4+'Presiones de casing'!$C$8)*A19)*(1+'Presiones de casing'!$C$7/'Presiones de casing'!$C$13)</f>
        <v>567.8855449609983</v>
      </c>
      <c r="C19" s="339">
        <f>+B19*(Columna!$G$9+Columna!$B$7)/Columna!$G$9</f>
        <v>676.537363624335</v>
      </c>
      <c r="D19" s="340">
        <f>+B19-A19*'Presiones de casing'!$C$4</f>
        <v>263.89802128527606</v>
      </c>
      <c r="E19" s="340">
        <f>+'Volumen de gas'!$C$1*Tabla!D19/14.7*520/'Volumen de gas'!$C$2*'Volumen de gas'!$C$4/'Volumen de gas'!$C$3</f>
        <v>4072.2537533001982</v>
      </c>
      <c r="F19" s="340">
        <f aca="true" t="shared" si="1" ref="F19:F32">+E19/A19</f>
        <v>904.9452785111552</v>
      </c>
    </row>
    <row r="20" spans="1:6" ht="12.75">
      <c r="A20" s="317">
        <v>4.75</v>
      </c>
      <c r="B20" s="339">
        <f>+('Presiones de casing'!$C$2+14.7+'Presiones de casing'!$C$3+('Presiones de casing'!$C$4+'Presiones de casing'!$C$8)*A20)*(1+'Presiones de casing'!$C$7/'Presiones de casing'!$C$13)</f>
        <v>590.2318119078816</v>
      </c>
      <c r="C20" s="339">
        <f>+B20*(Columna!$G$9+Columna!$B$7)/Columna!$G$9</f>
        <v>703.1590740398171</v>
      </c>
      <c r="D20" s="340">
        <f>+B20-A20*'Presiones de casing'!$C$4</f>
        <v>269.35609247239694</v>
      </c>
      <c r="E20" s="340">
        <f>+'Volumen de gas'!$C$1*Tabla!D20/14.7*520/'Volumen de gas'!$C$2*'Volumen de gas'!$C$4/'Volumen de gas'!$C$3</f>
        <v>4156.478147137186</v>
      </c>
      <c r="F20" s="340">
        <f t="shared" si="1"/>
        <v>875.0480309762497</v>
      </c>
    </row>
    <row r="21" spans="1:6" ht="12.75">
      <c r="A21" s="317">
        <v>5</v>
      </c>
      <c r="B21" s="339">
        <f>+('Presiones de casing'!$C$2+14.7+'Presiones de casing'!$C$3+('Presiones de casing'!$C$4+'Presiones de casing'!$C$8)*A21)*(1+'Presiones de casing'!$C$7/'Presiones de casing'!$C$13)</f>
        <v>612.578078854765</v>
      </c>
      <c r="C21" s="339">
        <f>+B21*(Columna!$G$9+Columna!$B$7)/Columna!$G$9</f>
        <v>729.7807844552995</v>
      </c>
      <c r="D21" s="340">
        <f>+B21-A21*'Presiones de casing'!$C$4</f>
        <v>274.81416365951793</v>
      </c>
      <c r="E21" s="340">
        <f>+'Volumen de gas'!$C$1*Tabla!D21/14.7*520/'Volumen de gas'!$C$2*'Volumen de gas'!$C$4/'Volumen de gas'!$C$3</f>
        <v>4240.7025409741755</v>
      </c>
      <c r="F21" s="340">
        <f t="shared" si="1"/>
        <v>848.1405081948351</v>
      </c>
    </row>
    <row r="22" spans="1:6" ht="12.75">
      <c r="A22" s="317">
        <v>5.25</v>
      </c>
      <c r="B22" s="339">
        <f>+('Presiones de casing'!$C$2+14.7+'Presiones de casing'!$C$3+('Presiones de casing'!$C$4+'Presiones de casing'!$C$8)*A22)*(1+'Presiones de casing'!$C$7/'Presiones de casing'!$C$13)</f>
        <v>634.9243458016482</v>
      </c>
      <c r="C22" s="339">
        <f>+B22*(Columna!$G$9+Columna!$B$7)/Columna!$G$9</f>
        <v>756.4024948707818</v>
      </c>
      <c r="D22" s="340">
        <f>+B22-A22*'Presiones de casing'!$C$4</f>
        <v>280.27223484663887</v>
      </c>
      <c r="E22" s="340">
        <f>+'Volumen de gas'!$C$1*Tabla!D22/14.7*520/'Volumen de gas'!$C$2*'Volumen de gas'!$C$4/'Volumen de gas'!$C$3</f>
        <v>4324.926934811162</v>
      </c>
      <c r="F22" s="340">
        <f t="shared" si="1"/>
        <v>823.7956066306975</v>
      </c>
    </row>
    <row r="23" spans="1:6" ht="12.75">
      <c r="A23" s="317">
        <v>5.5</v>
      </c>
      <c r="B23" s="339">
        <f>+('Presiones de casing'!$C$2+14.7+'Presiones de casing'!$C$3+('Presiones de casing'!$C$4+'Presiones de casing'!$C$8)*A23)*(1+'Presiones de casing'!$C$7/'Presiones de casing'!$C$13)</f>
        <v>657.2706127485314</v>
      </c>
      <c r="C23" s="339">
        <f>+B23*(Columna!$G$9+Columna!$B$7)/Columna!$G$9</f>
        <v>783.024205286264</v>
      </c>
      <c r="D23" s="340">
        <f>+B23-A23*'Presiones de casing'!$C$4</f>
        <v>285.73030603375975</v>
      </c>
      <c r="E23" s="340">
        <f>+'Volumen de gas'!$C$1*Tabla!D23/14.7*520/'Volumen de gas'!$C$2*'Volumen de gas'!$C$4/'Volumen de gas'!$C$3</f>
        <v>4409.15132864815</v>
      </c>
      <c r="F23" s="340">
        <f t="shared" si="1"/>
        <v>801.6638779360273</v>
      </c>
    </row>
    <row r="24" spans="1:6" ht="12.75">
      <c r="A24" s="317">
        <v>5.75</v>
      </c>
      <c r="B24" s="339">
        <f>+('Presiones de casing'!$C$2+14.7+'Presiones de casing'!$C$3+('Presiones de casing'!$C$4+'Presiones de casing'!$C$8)*A24)*(1+'Presiones de casing'!$C$7/'Presiones de casing'!$C$13)</f>
        <v>679.6168796954147</v>
      </c>
      <c r="C24" s="339">
        <f>+B24*(Columna!$G$9+Columna!$B$7)/Columna!$G$9</f>
        <v>809.6459157017462</v>
      </c>
      <c r="D24" s="340">
        <f>+B24-A24*'Presiones de casing'!$C$4</f>
        <v>291.1883772208806</v>
      </c>
      <c r="E24" s="340">
        <f>+'Volumen de gas'!$C$1*Tabla!D24/14.7*520/'Volumen de gas'!$C$2*'Volumen de gas'!$C$4/'Volumen de gas'!$C$3</f>
        <v>4493.375722485137</v>
      </c>
      <c r="F24" s="340">
        <f t="shared" si="1"/>
        <v>781.4566473887195</v>
      </c>
    </row>
    <row r="25" spans="1:6" ht="12.75">
      <c r="A25" s="317">
        <v>6</v>
      </c>
      <c r="B25" s="339">
        <f>+('Presiones de casing'!$C$2+14.7+'Presiones de casing'!$C$3+('Presiones de casing'!$C$4+'Presiones de casing'!$C$8)*A25)*(1+'Presiones de casing'!$C$7/'Presiones de casing'!$C$13)</f>
        <v>701.963146642298</v>
      </c>
      <c r="C25" s="339">
        <f>+B25*(Columna!$G$9+Columna!$B$7)/Columna!$G$9</f>
        <v>836.2676261172286</v>
      </c>
      <c r="D25" s="340">
        <f>+B25-A25*'Presiones de casing'!$C$4</f>
        <v>296.6464484080017</v>
      </c>
      <c r="E25" s="340">
        <f>+'Volumen de gas'!$C$1*Tabla!D25/14.7*520/'Volumen de gas'!$C$2*'Volumen de gas'!$C$4/'Volumen de gas'!$C$3</f>
        <v>4577.600116322127</v>
      </c>
      <c r="F25" s="340">
        <f t="shared" si="1"/>
        <v>762.9333527203545</v>
      </c>
    </row>
    <row r="26" spans="1:6" ht="12.75">
      <c r="A26" s="317">
        <v>6.25</v>
      </c>
      <c r="B26" s="339">
        <f>+('Presiones de casing'!$C$2+14.7+'Presiones de casing'!$C$3+('Presiones de casing'!$C$4+'Presiones de casing'!$C$8)*A26)*(1+'Presiones de casing'!$C$7/'Presiones de casing'!$C$13)</f>
        <v>724.3094135891813</v>
      </c>
      <c r="C26" s="339">
        <f>+B26*(Columna!$G$9+Columna!$B$7)/Columna!$G$9</f>
        <v>862.8893365327108</v>
      </c>
      <c r="D26" s="340">
        <f>+B26-A26*'Presiones de casing'!$C$4</f>
        <v>302.10451959512255</v>
      </c>
      <c r="E26" s="340">
        <f>+'Volumen de gas'!$C$1*Tabla!D26/14.7*520/'Volumen de gas'!$C$2*'Volumen de gas'!$C$4/'Volumen de gas'!$C$3</f>
        <v>4661.824510159114</v>
      </c>
      <c r="F26" s="340">
        <f t="shared" si="1"/>
        <v>745.8919216254582</v>
      </c>
    </row>
    <row r="27" spans="1:6" ht="12.75">
      <c r="A27" s="317">
        <v>6.5</v>
      </c>
      <c r="B27" s="339">
        <f>+('Presiones de casing'!$C$2+14.7+'Presiones de casing'!$C$3+('Presiones de casing'!$C$4+'Presiones de casing'!$C$8)*A27)*(1+'Presiones de casing'!$C$7/'Presiones de casing'!$C$13)</f>
        <v>746.6556805360647</v>
      </c>
      <c r="C27" s="339">
        <f>+B27*(Columna!$G$9+Columna!$B$7)/Columna!$G$9</f>
        <v>889.5110469481931</v>
      </c>
      <c r="D27" s="340">
        <f>+B27-A27*'Presiones de casing'!$C$4</f>
        <v>307.56259078224355</v>
      </c>
      <c r="E27" s="340">
        <f>+'Volumen de gas'!$C$1*Tabla!D27/14.7*520/'Volumen de gas'!$C$2*'Volumen de gas'!$C$4/'Volumen de gas'!$C$3</f>
        <v>4746.048903996102</v>
      </c>
      <c r="F27" s="340">
        <f t="shared" si="1"/>
        <v>730.1613698455542</v>
      </c>
    </row>
    <row r="28" spans="1:6" ht="12.75">
      <c r="A28" s="317">
        <v>6.75</v>
      </c>
      <c r="B28" s="339">
        <f>+('Presiones de casing'!$C$2+14.7+'Presiones de casing'!$C$3+('Presiones de casing'!$C$4+'Presiones de casing'!$C$8)*A28)*(1+'Presiones de casing'!$C$7/'Presiones de casing'!$C$13)</f>
        <v>769.0019474829479</v>
      </c>
      <c r="C28" s="339">
        <f>+B28*(Columna!$G$9+Columna!$B$7)/Columna!$G$9</f>
        <v>916.1327573636754</v>
      </c>
      <c r="D28" s="340">
        <f>+B28-A28*'Presiones de casing'!$C$4</f>
        <v>313.0206619693644</v>
      </c>
      <c r="E28" s="340">
        <f>+'Volumen de gas'!$C$1*Tabla!D28/14.7*520/'Volumen de gas'!$C$2*'Volumen de gas'!$C$4/'Volumen de gas'!$C$3</f>
        <v>4830.273297833089</v>
      </c>
      <c r="F28" s="340">
        <f t="shared" si="1"/>
        <v>715.5960441234206</v>
      </c>
    </row>
    <row r="29" spans="1:6" ht="12.75">
      <c r="A29" s="317">
        <v>7</v>
      </c>
      <c r="B29" s="339">
        <f>+('Presiones de casing'!$C$2+14.7+'Presiones de casing'!$C$3+('Presiones de casing'!$C$4+'Presiones de casing'!$C$8)*A29)*(1+'Presiones de casing'!$C$7/'Presiones de casing'!$C$13)</f>
        <v>791.3482144298312</v>
      </c>
      <c r="C29" s="339">
        <f>+B29*(Columna!$G$9+Columna!$B$7)/Columna!$G$9</f>
        <v>942.7544677791576</v>
      </c>
      <c r="D29" s="340">
        <f>+B29-A29*'Presiones de casing'!$C$4</f>
        <v>318.47873315648536</v>
      </c>
      <c r="E29" s="340">
        <f>+'Volumen de gas'!$C$1*Tabla!D29/14.7*520/'Volumen de gas'!$C$2*'Volumen de gas'!$C$4/'Volumen de gas'!$C$3</f>
        <v>4914.497691670077</v>
      </c>
      <c r="F29" s="340">
        <f t="shared" si="1"/>
        <v>702.071098810011</v>
      </c>
    </row>
    <row r="30" spans="1:6" ht="12.75">
      <c r="A30" s="317">
        <v>7.25</v>
      </c>
      <c r="B30" s="339">
        <f>+('Presiones de casing'!$C$2+14.7+'Presiones de casing'!$C$3+('Presiones de casing'!$C$4+'Presiones de casing'!$C$8)*A30)*(1+'Presiones de casing'!$C$7/'Presiones de casing'!$C$13)</f>
        <v>813.6944813767145</v>
      </c>
      <c r="C30" s="339">
        <f>+B30*(Columna!$G$9+Columna!$B$7)/Columna!$G$9</f>
        <v>969.3761781946399</v>
      </c>
      <c r="D30" s="340">
        <f>+B30-A30*'Presiones de casing'!$C$4</f>
        <v>323.93680434360635</v>
      </c>
      <c r="E30" s="340">
        <f>+'Volumen de gas'!$C$1*Tabla!D30/14.7*520/'Volumen de gas'!$C$2*'Volumen de gas'!$C$4/'Volumen de gas'!$C$3</f>
        <v>4998.722085507066</v>
      </c>
      <c r="F30" s="340">
        <f t="shared" si="1"/>
        <v>689.4789083458022</v>
      </c>
    </row>
    <row r="31" spans="1:6" ht="12.75">
      <c r="A31" s="317">
        <v>7.5</v>
      </c>
      <c r="B31" s="339">
        <f>+('Presiones de casing'!$C$2+14.7+'Presiones de casing'!$C$3+('Presiones de casing'!$C$4+'Presiones de casing'!$C$8)*A31)*(1+'Presiones de casing'!$C$7/'Presiones de casing'!$C$13)</f>
        <v>836.0407483235977</v>
      </c>
      <c r="C31" s="339">
        <f>+B31*(Columna!$G$9+Columna!$B$7)/Columna!$G$9</f>
        <v>995.9978886101221</v>
      </c>
      <c r="D31" s="340">
        <f>+B31-A31*'Presiones de casing'!$C$4</f>
        <v>329.3948755307271</v>
      </c>
      <c r="E31" s="340">
        <f>+'Volumen de gas'!$C$1*Tabla!D31/14.7*520/'Volumen de gas'!$C$2*'Volumen de gas'!$C$4/'Volumen de gas'!$C$3</f>
        <v>5082.94647934405</v>
      </c>
      <c r="F31" s="340">
        <f t="shared" si="1"/>
        <v>677.7261972458733</v>
      </c>
    </row>
    <row r="32" spans="1:6" ht="12.75">
      <c r="A32" s="317">
        <v>7.75</v>
      </c>
      <c r="B32" s="339">
        <f>+('Presiones de casing'!$C$2+14.7+'Presiones de casing'!$C$3+('Presiones de casing'!$C$4+'Presiones de casing'!$C$8)*A32)*(1+'Presiones de casing'!$C$7/'Presiones de casing'!$C$13)</f>
        <v>858.387015270481</v>
      </c>
      <c r="C32" s="339">
        <f>+B32*(Columna!$G$9+Columna!$B$7)/Columna!$G$9</f>
        <v>1022.6195990256044</v>
      </c>
      <c r="D32" s="340">
        <f>+B32-A32*'Presiones de casing'!$C$4</f>
        <v>334.8529467178481</v>
      </c>
      <c r="E32" s="340">
        <f>+'Volumen de gas'!$C$1*Tabla!D32/14.7*520/'Volumen de gas'!$C$2*'Volumen de gas'!$C$4/'Volumen de gas'!$C$3</f>
        <v>5167.170873181039</v>
      </c>
      <c r="F32" s="340">
        <f t="shared" si="1"/>
        <v>666.7317255717469</v>
      </c>
    </row>
    <row r="33" spans="1:6" ht="12.75">
      <c r="A33" s="317">
        <v>8</v>
      </c>
      <c r="B33" s="339">
        <f>+('Presiones de casing'!$C$2+14.7+'Presiones de casing'!$C$3+('Presiones de casing'!$C$4+'Presiones de casing'!$C$8)*A33)*(1+'Presiones de casing'!$C$7/'Presiones de casing'!$C$13)</f>
        <v>880.7332822173643</v>
      </c>
      <c r="C33" s="339">
        <f>+B33*(Columna!$G$9+Columna!$B$7)/Columna!$G$9</f>
        <v>1049.2413094410867</v>
      </c>
      <c r="D33" s="340">
        <f>+B33-A33*'Presiones de casing'!$C$4</f>
        <v>340.31101790496905</v>
      </c>
      <c r="E33" s="340">
        <f>+'Volumen de gas'!$C$1*Tabla!D33/14.7*520/'Volumen de gas'!$C$2*'Volumen de gas'!$C$4/'Volumen de gas'!$C$3</f>
        <v>5251.395267018029</v>
      </c>
      <c r="F33" s="340">
        <f>+E33/A33</f>
        <v>656.4244083772536</v>
      </c>
    </row>
    <row r="34" spans="1:6" ht="12.75">
      <c r="A34" s="317">
        <v>8.25</v>
      </c>
      <c r="B34" s="339">
        <f>+('Presiones de casing'!$C$2+14.7+'Presiones de casing'!$C$3+('Presiones de casing'!$C$4+'Presiones de casing'!$C$8)*A34)*(1+'Presiones de casing'!$C$7/'Presiones de casing'!$C$13)</f>
        <v>903.0795491642475</v>
      </c>
      <c r="C34" s="339">
        <f>+B34*(Columna!$G$9+Columna!$B$7)/Columna!$G$9</f>
        <v>1075.8630198565688</v>
      </c>
      <c r="D34" s="340">
        <f>+B34-A34*'Presiones de casing'!$C$4</f>
        <v>345.76908909209</v>
      </c>
      <c r="E34" s="340">
        <f>+'Volumen de gas'!$C$1*Tabla!D34/14.7*520/'Volumen de gas'!$C$2*'Volumen de gas'!$C$4/'Volumen de gas'!$C$3</f>
        <v>5335.619660855016</v>
      </c>
      <c r="F34" s="340">
        <f>+E34/A34</f>
        <v>646.7417770733354</v>
      </c>
    </row>
    <row r="35" spans="1:6" ht="12.75">
      <c r="A35" s="317">
        <v>8.5</v>
      </c>
      <c r="B35" s="339">
        <f>+('Presiones de casing'!$C$2+14.7+'Presiones de casing'!$C$3+('Presiones de casing'!$C$4+'Presiones de casing'!$C$8)*A35)*(1+'Presiones de casing'!$C$7/'Presiones de casing'!$C$13)</f>
        <v>925.4258161111309</v>
      </c>
      <c r="C35" s="339">
        <f>+B35*(Columna!$G$9+Columna!$B$7)/Columna!$G$9</f>
        <v>1102.4847302720514</v>
      </c>
      <c r="D35" s="340">
        <f>+B35-A35*'Presiones de casing'!$C$4</f>
        <v>351.2271602792109</v>
      </c>
      <c r="E35" s="340">
        <f>+'Volumen de gas'!$C$1*Tabla!D35/14.7*520/'Volumen de gas'!$C$2*'Volumen de gas'!$C$4/'Volumen de gas'!$C$3</f>
        <v>5419.844054692004</v>
      </c>
      <c r="F35" s="340">
        <f aca="true" t="shared" si="2" ref="F35:F64">+E35/A35</f>
        <v>637.6287123167064</v>
      </c>
    </row>
    <row r="36" spans="1:6" ht="12.75">
      <c r="A36" s="317">
        <v>8.75</v>
      </c>
      <c r="B36" s="339">
        <f>+('Presiones de casing'!$C$2+14.7+'Presiones de casing'!$C$3+('Presiones de casing'!$C$4+'Presiones de casing'!$C$8)*A36)*(1+'Presiones de casing'!$C$7/'Presiones de casing'!$C$13)</f>
        <v>947.7720830580141</v>
      </c>
      <c r="C36" s="339">
        <f>+B36*(Columna!$G$9+Columna!$B$7)/Columna!$G$9</f>
        <v>1129.1064406875334</v>
      </c>
      <c r="D36" s="340">
        <f>+B36-A36*'Presiones de casing'!$C$4</f>
        <v>356.68523146633186</v>
      </c>
      <c r="E36" s="340">
        <f>+'Volumen de gas'!$C$1*Tabla!D36/14.7*520/'Volumen de gas'!$C$2*'Volumen de gas'!$C$4/'Volumen de gas'!$C$3</f>
        <v>5504.068448528992</v>
      </c>
      <c r="F36" s="340">
        <f t="shared" si="2"/>
        <v>629.0363941175991</v>
      </c>
    </row>
    <row r="37" spans="1:6" ht="12.75">
      <c r="A37" s="317">
        <v>9</v>
      </c>
      <c r="B37" s="339">
        <f>+('Presiones de casing'!$C$2+14.7+'Presiones de casing'!$C$3+('Presiones de casing'!$C$4+'Presiones de casing'!$C$8)*A37)*(1+'Presiones de casing'!$C$7/'Presiones de casing'!$C$13)</f>
        <v>970.1183500048975</v>
      </c>
      <c r="C37" s="339">
        <f>+B37*(Columna!$G$9+Columna!$B$7)/Columna!$G$9</f>
        <v>1155.7281511030158</v>
      </c>
      <c r="D37" s="340">
        <f>+B37-A37*'Presiones de casing'!$C$4</f>
        <v>362.1433026534529</v>
      </c>
      <c r="E37" s="340">
        <f>+'Volumen de gas'!$C$1*Tabla!D37/14.7*520/'Volumen de gas'!$C$2*'Volumen de gas'!$C$4/'Volumen de gas'!$C$3</f>
        <v>5588.292842365981</v>
      </c>
      <c r="F37" s="340">
        <f t="shared" si="2"/>
        <v>620.9214269295535</v>
      </c>
    </row>
    <row r="38" spans="1:6" ht="12.75">
      <c r="A38" s="317">
        <v>9.25</v>
      </c>
      <c r="B38" s="339">
        <f>+('Presiones de casing'!$C$2+14.7+'Presiones de casing'!$C$3+('Presiones de casing'!$C$4+'Presiones de casing'!$C$8)*A38)*(1+'Presiones de casing'!$C$7/'Presiones de casing'!$C$13)</f>
        <v>992.4646169517807</v>
      </c>
      <c r="C38" s="339">
        <f>+B38*(Columna!$G$9+Columna!$B$7)/Columna!$G$9</f>
        <v>1182.349861518498</v>
      </c>
      <c r="D38" s="340">
        <f>+B38-A38*'Presiones de casing'!$C$4</f>
        <v>367.60137384057373</v>
      </c>
      <c r="E38" s="340">
        <f>+'Volumen de gas'!$C$1*Tabla!D38/14.7*520/'Volumen de gas'!$C$2*'Volumen de gas'!$C$4/'Volumen de gas'!$C$3</f>
        <v>5672.517236202966</v>
      </c>
      <c r="F38" s="340">
        <f t="shared" si="2"/>
        <v>613.2451066165369</v>
      </c>
    </row>
    <row r="39" spans="1:6" ht="12.75">
      <c r="A39" s="317">
        <v>9.5</v>
      </c>
      <c r="B39" s="339">
        <f>+('Presiones de casing'!$C$2+14.7+'Presiones de casing'!$C$3+('Presiones de casing'!$C$4+'Presiones de casing'!$C$8)*A39)*(1+'Presiones de casing'!$C$7/'Presiones de casing'!$C$13)</f>
        <v>1014.810883898664</v>
      </c>
      <c r="C39" s="339">
        <f>+B39*(Columna!$G$9+Columna!$B$7)/Columna!$G$9</f>
        <v>1208.9715719339804</v>
      </c>
      <c r="D39" s="340">
        <f>+B39-A39*'Presiones de casing'!$C$4</f>
        <v>373.05944502769466</v>
      </c>
      <c r="E39" s="340">
        <f>+'Volumen de gas'!$C$1*Tabla!D39/14.7*520/'Volumen de gas'!$C$2*'Volumen de gas'!$C$4/'Volumen de gas'!$C$3</f>
        <v>5756.741630039955</v>
      </c>
      <c r="F39" s="340">
        <f t="shared" si="2"/>
        <v>605.9728031621006</v>
      </c>
    </row>
    <row r="40" spans="1:6" ht="12.75">
      <c r="A40" s="317">
        <v>9.75</v>
      </c>
      <c r="B40" s="339">
        <f>+('Presiones de casing'!$C$2+14.7+'Presiones de casing'!$C$3+('Presiones de casing'!$C$4+'Presiones de casing'!$C$8)*A40)*(1+'Presiones de casing'!$C$7/'Presiones de casing'!$C$13)</f>
        <v>1037.1571508455474</v>
      </c>
      <c r="C40" s="339">
        <f>+B40*(Columna!$G$9+Columna!$B$7)/Columna!$G$9</f>
        <v>1235.5932823494627</v>
      </c>
      <c r="D40" s="340">
        <f>+B40-A40*'Presiones de casing'!$C$4</f>
        <v>378.5175162148158</v>
      </c>
      <c r="E40" s="340">
        <f>+'Volumen de gas'!$C$1*Tabla!D40/14.7*520/'Volumen de gas'!$C$2*'Volumen de gas'!$C$4/'Volumen de gas'!$C$3</f>
        <v>5840.966023876947</v>
      </c>
      <c r="F40" s="340">
        <f t="shared" si="2"/>
        <v>599.0734383463534</v>
      </c>
    </row>
    <row r="41" spans="1:6" ht="12.75">
      <c r="A41" s="317">
        <v>10</v>
      </c>
      <c r="B41" s="339">
        <f>+('Presiones de casing'!$C$2+14.7+'Presiones de casing'!$C$3+('Presiones de casing'!$C$4+'Presiones de casing'!$C$8)*A41)*(1+'Presiones de casing'!$C$7/'Presiones de casing'!$C$13)</f>
        <v>1059.5034177924306</v>
      </c>
      <c r="C41" s="339">
        <f>+B41*(Columna!$G$9+Columna!$B$7)/Columna!$G$9</f>
        <v>1262.2149927649448</v>
      </c>
      <c r="D41" s="340">
        <f>+B41-A41*'Presiones de casing'!$C$4</f>
        <v>383.97558740193654</v>
      </c>
      <c r="E41" s="340">
        <f>+'Volumen de gas'!$C$1*Tabla!D41/14.7*520/'Volumen de gas'!$C$2*'Volumen de gas'!$C$4/'Volumen de gas'!$C$3</f>
        <v>5925.19041771393</v>
      </c>
      <c r="F41" s="340">
        <f t="shared" si="2"/>
        <v>592.5190417713931</v>
      </c>
    </row>
    <row r="42" spans="1:6" ht="12.75">
      <c r="A42" s="317">
        <v>10.25</v>
      </c>
      <c r="B42" s="339">
        <f>+('Presiones de casing'!$C$2+14.7+'Presiones de casing'!$C$3+('Presiones de casing'!$C$4+'Presiones de casing'!$C$8)*A42)*(1+'Presiones de casing'!$C$7/'Presiones de casing'!$C$13)</f>
        <v>1081.849684739314</v>
      </c>
      <c r="C42" s="339">
        <f>+B42*(Columna!$G$9+Columna!$B$7)/Columna!$G$9</f>
        <v>1288.8367031804273</v>
      </c>
      <c r="D42" s="340">
        <f>+B42-A42*'Presiones de casing'!$C$4</f>
        <v>389.4336585890576</v>
      </c>
      <c r="E42" s="340">
        <f>+'Volumen de gas'!$C$1*Tabla!D42/14.7*520/'Volumen de gas'!$C$2*'Volumen de gas'!$C$4/'Volumen de gas'!$C$3</f>
        <v>6009.41481155092</v>
      </c>
      <c r="F42" s="340">
        <f t="shared" si="2"/>
        <v>586.2843718586263</v>
      </c>
    </row>
    <row r="43" spans="1:6" ht="12.75">
      <c r="A43" s="317">
        <v>10.5</v>
      </c>
      <c r="B43" s="339">
        <f>+('Presiones de casing'!$C$2+14.7+'Presiones de casing'!$C$3+('Presiones de casing'!$C$4+'Presiones de casing'!$C$8)*A43)*(1+'Presiones de casing'!$C$7/'Presiones de casing'!$C$13)</f>
        <v>1104.1959516861973</v>
      </c>
      <c r="C43" s="339">
        <f>+B43*(Columna!$G$9+Columna!$B$7)/Columna!$G$9</f>
        <v>1315.4584135959096</v>
      </c>
      <c r="D43" s="340">
        <f>+B43-A43*'Presiones de casing'!$C$4</f>
        <v>394.89172977617864</v>
      </c>
      <c r="E43" s="340">
        <f>+'Volumen de gas'!$C$1*Tabla!D43/14.7*520/'Volumen de gas'!$C$2*'Volumen de gas'!$C$4/'Volumen de gas'!$C$3</f>
        <v>6093.639205387911</v>
      </c>
      <c r="F43" s="340">
        <f t="shared" si="2"/>
        <v>580.3465909893248</v>
      </c>
    </row>
    <row r="44" spans="1:6" ht="12.75">
      <c r="A44" s="317">
        <v>10.75</v>
      </c>
      <c r="B44" s="339">
        <f>+('Presiones de casing'!$C$2+14.7+'Presiones de casing'!$C$3+('Presiones de casing'!$C$4+'Presiones de casing'!$C$8)*A44)*(1+'Presiones de casing'!$C$7/'Presiones de casing'!$C$13)</f>
        <v>1126.5422186330804</v>
      </c>
      <c r="C44" s="339">
        <f>+B44*(Columna!$G$9+Columna!$B$7)/Columna!$G$9</f>
        <v>1342.0801240113917</v>
      </c>
      <c r="D44" s="340">
        <f>+B44-A44*'Presiones de casing'!$C$4</f>
        <v>400.34980096329934</v>
      </c>
      <c r="E44" s="340">
        <f>+'Volumen de gas'!$C$1*Tabla!D44/14.7*520/'Volumen de gas'!$C$2*'Volumen de gas'!$C$4/'Volumen de gas'!$C$3</f>
        <v>6177.863599224894</v>
      </c>
      <c r="F44" s="340">
        <f t="shared" si="2"/>
        <v>574.6849859744087</v>
      </c>
    </row>
    <row r="45" spans="1:6" ht="12.75">
      <c r="A45" s="317">
        <v>11</v>
      </c>
      <c r="B45" s="339">
        <f>+('Presiones de casing'!$C$2+14.7+'Presiones de casing'!$C$3+('Presiones de casing'!$C$4+'Presiones de casing'!$C$8)*A45)*(1+'Presiones de casing'!$C$7/'Presiones de casing'!$C$13)</f>
        <v>1148.8884855799638</v>
      </c>
      <c r="C45" s="339">
        <f>+B45*(Columna!$G$9+Columna!$B$7)/Columna!$G$9</f>
        <v>1368.701834426874</v>
      </c>
      <c r="D45" s="340">
        <f>+B45-A45*'Presiones de casing'!$C$4</f>
        <v>405.8078721504204</v>
      </c>
      <c r="E45" s="340">
        <f>+'Volumen de gas'!$C$1*Tabla!D45/14.7*520/'Volumen de gas'!$C$2*'Volumen de gas'!$C$4/'Volumen de gas'!$C$3</f>
        <v>6262.087993061884</v>
      </c>
      <c r="F45" s="340">
        <f t="shared" si="2"/>
        <v>569.2807266419894</v>
      </c>
    </row>
    <row r="46" spans="1:6" ht="12.75">
      <c r="A46" s="317">
        <v>11.25</v>
      </c>
      <c r="B46" s="339">
        <f>+('Presiones de casing'!$C$2+14.7+'Presiones de casing'!$C$3+('Presiones de casing'!$C$4+'Presiones de casing'!$C$8)*A46)*(1+'Presiones de casing'!$C$7/'Presiones de casing'!$C$13)</f>
        <v>1171.234752526847</v>
      </c>
      <c r="C46" s="339">
        <f>+B46*(Columna!$G$9+Columna!$B$7)/Columna!$G$9</f>
        <v>1395.323544842356</v>
      </c>
      <c r="D46" s="340">
        <f>+B46-A46*'Presiones de casing'!$C$4</f>
        <v>411.2659433375412</v>
      </c>
      <c r="E46" s="340">
        <f>+'Volumen de gas'!$C$1*Tabla!D46/14.7*520/'Volumen de gas'!$C$2*'Volumen de gas'!$C$4/'Volumen de gas'!$C$3</f>
        <v>6346.31238689887</v>
      </c>
      <c r="F46" s="340">
        <f t="shared" si="2"/>
        <v>564.1166566132329</v>
      </c>
    </row>
    <row r="47" spans="1:6" ht="12.75">
      <c r="A47" s="317">
        <v>11.5</v>
      </c>
      <c r="B47" s="339">
        <f>+('Presiones de casing'!$C$2+14.7+'Presiones de casing'!$C$3+('Presiones de casing'!$C$4+'Presiones de casing'!$C$8)*A47)*(1+'Presiones de casing'!$C$7/'Presiones de casing'!$C$13)</f>
        <v>1193.5810194737303</v>
      </c>
      <c r="C47" s="339">
        <f>+B47*(Columna!$G$9+Columna!$B$7)/Columna!$G$9</f>
        <v>1421.9452552578384</v>
      </c>
      <c r="D47" s="340">
        <f>+B47-A47*'Presiones de casing'!$C$4</f>
        <v>416.72401452466215</v>
      </c>
      <c r="E47" s="340">
        <f>+'Volumen de gas'!$C$1*Tabla!D47/14.7*520/'Volumen de gas'!$C$2*'Volumen de gas'!$C$4/'Volumen de gas'!$C$3</f>
        <v>6430.536780735856</v>
      </c>
      <c r="F47" s="340">
        <f t="shared" si="2"/>
        <v>559.1771113683353</v>
      </c>
    </row>
    <row r="48" spans="1:6" ht="12.75">
      <c r="A48" s="317">
        <v>11.75</v>
      </c>
      <c r="B48" s="339">
        <f>+('Presiones de casing'!$C$2+14.7+'Presiones de casing'!$C$3+('Presiones de casing'!$C$4+'Presiones de casing'!$C$8)*A48)*(1+'Presiones de casing'!$C$7/'Presiones de casing'!$C$13)</f>
        <v>1215.9272864206137</v>
      </c>
      <c r="C48" s="339">
        <f>+B48*(Columna!$G$9+Columna!$B$7)/Columna!$G$9</f>
        <v>1448.566965673321</v>
      </c>
      <c r="D48" s="340">
        <f>+B48-A48*'Presiones de casing'!$C$4</f>
        <v>422.1820857117832</v>
      </c>
      <c r="E48" s="340">
        <f>+'Volumen de gas'!$C$1*Tabla!D48/14.7*520/'Volumen de gas'!$C$2*'Volumen de gas'!$C$4/'Volumen de gas'!$C$3</f>
        <v>6514.761174572848</v>
      </c>
      <c r="F48" s="340">
        <f t="shared" si="2"/>
        <v>554.4477595381147</v>
      </c>
    </row>
    <row r="49" spans="1:6" ht="12.75">
      <c r="A49" s="317">
        <v>12</v>
      </c>
      <c r="B49" s="339">
        <f>+('Presiones de casing'!$C$2+14.7+'Presiones de casing'!$C$3+('Presiones de casing'!$C$4+'Presiones de casing'!$C$8)*A49)*(1+'Presiones de casing'!$C$7/'Presiones de casing'!$C$13)</f>
        <v>1238.2735533674968</v>
      </c>
      <c r="C49" s="339">
        <f>+B49*(Columna!$G$9+Columna!$B$7)/Columna!$G$9</f>
        <v>1475.1886760888028</v>
      </c>
      <c r="D49" s="340">
        <f>+B49-A49*'Presiones de casing'!$C$4</f>
        <v>427.640156898904</v>
      </c>
      <c r="E49" s="340">
        <f>+'Volumen de gas'!$C$1*Tabla!D49/14.7*520/'Volumen de gas'!$C$2*'Volumen de gas'!$C$4/'Volumen de gas'!$C$3</f>
        <v>6598.985568409836</v>
      </c>
      <c r="F49" s="340">
        <f t="shared" si="2"/>
        <v>549.9154640341529</v>
      </c>
    </row>
    <row r="50" spans="1:6" ht="12.75">
      <c r="A50" s="317">
        <v>12.25</v>
      </c>
      <c r="B50" s="339">
        <f>+('Presiones de casing'!$C$2+14.7+'Presiones de casing'!$C$3+('Presiones de casing'!$C$4+'Presiones de casing'!$C$8)*A50)*(1+'Presiones de casing'!$C$7/'Presiones de casing'!$C$13)</f>
        <v>1260.6198203143801</v>
      </c>
      <c r="C50" s="339">
        <f>+B50*(Columna!$G$9+Columna!$B$7)/Columna!$G$9</f>
        <v>1501.8103865042854</v>
      </c>
      <c r="D50" s="340">
        <f>+B50-A50*'Presiones de casing'!$C$4</f>
        <v>433.09822808602496</v>
      </c>
      <c r="E50" s="340">
        <f>+'Volumen de gas'!$C$1*Tabla!D50/14.7*520/'Volumen de gas'!$C$2*'Volumen de gas'!$C$4/'Volumen de gas'!$C$3</f>
        <v>6683.209962246821</v>
      </c>
      <c r="F50" s="340">
        <f t="shared" si="2"/>
        <v>545.568160183414</v>
      </c>
    </row>
    <row r="51" spans="1:6" ht="12.75">
      <c r="A51" s="317">
        <v>12.5</v>
      </c>
      <c r="B51" s="339">
        <f>+('Presiones de casing'!$C$2+14.7+'Presiones de casing'!$C$3+('Presiones de casing'!$C$4+'Presiones de casing'!$C$8)*A51)*(1+'Presiones de casing'!$C$7/'Presiones de casing'!$C$13)</f>
        <v>1282.9660872612633</v>
      </c>
      <c r="C51" s="339">
        <f>+B51*(Columna!$G$9+Columna!$B$7)/Columna!$G$9</f>
        <v>1528.4320969197674</v>
      </c>
      <c r="D51" s="340">
        <f>+B51-A51*'Presiones de casing'!$C$4</f>
        <v>438.5562992731458</v>
      </c>
      <c r="E51" s="340">
        <f>+'Volumen de gas'!$C$1*Tabla!D51/14.7*520/'Volumen de gas'!$C$2*'Volumen de gas'!$C$4/'Volumen de gas'!$C$3</f>
        <v>6767.434356083807</v>
      </c>
      <c r="F51" s="340">
        <f t="shared" si="2"/>
        <v>541.3947484867045</v>
      </c>
    </row>
    <row r="52" spans="1:6" ht="12.75">
      <c r="A52" s="317">
        <v>12.75</v>
      </c>
      <c r="B52" s="339">
        <f>+('Presiones de casing'!$C$2+14.7+'Presiones de casing'!$C$3+('Presiones de casing'!$C$4+'Presiones de casing'!$C$8)*A52)*(1+'Presiones de casing'!$C$7/'Presiones de casing'!$C$13)</f>
        <v>1305.3123542081469</v>
      </c>
      <c r="C52" s="339">
        <f>+B52*(Columna!$G$9+Columna!$B$7)/Columna!$G$9</f>
        <v>1555.05380733525</v>
      </c>
      <c r="D52" s="340">
        <f>+B52-A52*'Presiones de casing'!$C$4</f>
        <v>444.01437046026695</v>
      </c>
      <c r="E52" s="340">
        <f>+'Volumen de gas'!$C$1*Tabla!D52/14.7*520/'Volumen de gas'!$C$2*'Volumen de gas'!$C$4/'Volumen de gas'!$C$3</f>
        <v>6851.658749920799</v>
      </c>
      <c r="F52" s="340">
        <f t="shared" si="2"/>
        <v>537.3849999937881</v>
      </c>
    </row>
    <row r="53" spans="1:6" ht="12.75">
      <c r="A53" s="317">
        <v>13</v>
      </c>
      <c r="B53" s="339">
        <f>+('Presiones de casing'!$C$2+14.7+'Presiones de casing'!$C$3+('Presiones de casing'!$C$4+'Presiones de casing'!$C$8)*A53)*(1+'Presiones de casing'!$C$7/'Presiones de casing'!$C$13)</f>
        <v>1327.65862115503</v>
      </c>
      <c r="C53" s="339">
        <f>+B53*(Columna!$G$9+Columna!$B$7)/Columna!$G$9</f>
        <v>1581.675517750732</v>
      </c>
      <c r="D53" s="340">
        <f>+B53-A53*'Presiones de casing'!$C$4</f>
        <v>449.47244164738777</v>
      </c>
      <c r="E53" s="340">
        <f>+'Volumen de gas'!$C$1*Tabla!D53/14.7*520/'Volumen de gas'!$C$2*'Volumen de gas'!$C$4/'Volumen de gas'!$C$3</f>
        <v>6935.883143757785</v>
      </c>
      <c r="F53" s="340">
        <f t="shared" si="2"/>
        <v>533.5294725967526</v>
      </c>
    </row>
    <row r="54" spans="1:6" ht="12.75">
      <c r="A54" s="317">
        <v>13.25</v>
      </c>
      <c r="B54" s="339">
        <f>+('Presiones de casing'!$C$2+14.7+'Presiones de casing'!$C$3+('Presiones de casing'!$C$4+'Presiones de casing'!$C$8)*A54)*(1+'Presiones de casing'!$C$7/'Presiones de casing'!$C$13)</f>
        <v>1350.0048881019134</v>
      </c>
      <c r="C54" s="339">
        <f>+B54*(Columna!$G$9+Columna!$B$7)/Columna!$G$9</f>
        <v>1608.2972281662146</v>
      </c>
      <c r="D54" s="340">
        <f>+B54-A54*'Presiones de casing'!$C$4</f>
        <v>454.9305128345088</v>
      </c>
      <c r="E54" s="340">
        <f>+'Volumen de gas'!$C$1*Tabla!D54/14.7*520/'Volumen de gas'!$C$2*'Volumen de gas'!$C$4/'Volumen de gas'!$C$3</f>
        <v>7020.107537594776</v>
      </c>
      <c r="F54" s="340">
        <f t="shared" si="2"/>
        <v>529.8194367996057</v>
      </c>
    </row>
    <row r="55" spans="1:6" ht="12.75">
      <c r="A55" s="317">
        <v>13.5</v>
      </c>
      <c r="B55" s="339">
        <f>+('Presiones de casing'!$C$2+14.7+'Presiones de casing'!$C$3+('Presiones de casing'!$C$4+'Presiones de casing'!$C$8)*A55)*(1+'Presiones de casing'!$C$7/'Presiones de casing'!$C$13)</f>
        <v>1372.3511550487965</v>
      </c>
      <c r="C55" s="339">
        <f>+B55*(Columna!$G$9+Columna!$B$7)/Columna!$G$9</f>
        <v>1634.9189385816965</v>
      </c>
      <c r="D55" s="340">
        <f>+B55-A55*'Presiones de casing'!$C$4</f>
        <v>460.3885840216295</v>
      </c>
      <c r="E55" s="340">
        <f>+'Volumen de gas'!$C$1*Tabla!D55/14.7*520/'Volumen de gas'!$C$2*'Volumen de gas'!$C$4/'Volumen de gas'!$C$3</f>
        <v>7104.3319314317605</v>
      </c>
      <c r="F55" s="340">
        <f t="shared" si="2"/>
        <v>526.2468097356859</v>
      </c>
    </row>
    <row r="56" spans="1:6" ht="12.75">
      <c r="A56" s="317">
        <v>13.75</v>
      </c>
      <c r="B56" s="339">
        <f>+('Presiones de casing'!$C$2+14.7+'Presiones de casing'!$C$3+('Presiones de casing'!$C$4+'Presiones de casing'!$C$8)*A56)*(1+'Presiones de casing'!$C$7/'Presiones de casing'!$C$13)</f>
        <v>1394.6974219956799</v>
      </c>
      <c r="C56" s="339">
        <f>+B56*(Columna!$G$9+Columna!$B$7)/Columna!$G$9</f>
        <v>1661.540648997179</v>
      </c>
      <c r="D56" s="340">
        <f>+B56-A56*'Presiones de casing'!$C$4</f>
        <v>465.8466552087506</v>
      </c>
      <c r="E56" s="340">
        <f>+'Volumen de gas'!$C$1*Tabla!D56/14.7*520/'Volumen de gas'!$C$2*'Volumen de gas'!$C$4/'Volumen de gas'!$C$3</f>
        <v>7188.556325268749</v>
      </c>
      <c r="F56" s="340">
        <f t="shared" si="2"/>
        <v>522.8040963831818</v>
      </c>
    </row>
    <row r="57" spans="1:6" ht="12.75">
      <c r="A57" s="317">
        <v>14</v>
      </c>
      <c r="B57" s="339">
        <f>+('Presiones de casing'!$C$2+14.7+'Presiones de casing'!$C$3+('Presiones de casing'!$C$4+'Presiones de casing'!$C$8)*A57)*(1+'Presiones de casing'!$C$7/'Presiones de casing'!$C$13)</f>
        <v>1417.043688942563</v>
      </c>
      <c r="C57" s="339">
        <f>+B57*(Columna!$G$9+Columna!$B$7)/Columna!$G$9</f>
        <v>1688.162359412661</v>
      </c>
      <c r="D57" s="340">
        <f>+B57-A57*'Presiones de casing'!$C$4</f>
        <v>471.3047263958714</v>
      </c>
      <c r="E57" s="340">
        <f>+'Volumen de gas'!$C$1*Tabla!D57/14.7*520/'Volumen de gas'!$C$2*'Volumen de gas'!$C$4/'Volumen de gas'!$C$3</f>
        <v>7272.7807191057345</v>
      </c>
      <c r="F57" s="340">
        <f t="shared" si="2"/>
        <v>519.4843370789811</v>
      </c>
    </row>
    <row r="58" spans="1:6" ht="12.75">
      <c r="A58" s="317">
        <v>14.25</v>
      </c>
      <c r="B58" s="339">
        <f>+('Presiones de casing'!$C$2+14.7+'Presiones de casing'!$C$3+('Presiones de casing'!$C$4+'Presiones de casing'!$C$8)*A58)*(1+'Presiones de casing'!$C$7/'Presiones de casing'!$C$13)</f>
        <v>1439.3899558894466</v>
      </c>
      <c r="C58" s="339">
        <f>+B58*(Columna!$G$9+Columna!$B$7)/Columna!$G$9</f>
        <v>1714.7840698281436</v>
      </c>
      <c r="D58" s="340">
        <f>+B58-A58*'Presiones de casing'!$C$4</f>
        <v>476.76279758299256</v>
      </c>
      <c r="E58" s="340">
        <f>+'Volumen de gas'!$C$1*Tabla!D58/14.7*520/'Volumen de gas'!$C$2*'Volumen de gas'!$C$4/'Volumen de gas'!$C$3</f>
        <v>7357.0051129427275</v>
      </c>
      <c r="F58" s="340">
        <f t="shared" si="2"/>
        <v>516.2810605573844</v>
      </c>
    </row>
    <row r="59" spans="1:6" ht="12.75">
      <c r="A59" s="317">
        <v>14.5</v>
      </c>
      <c r="B59" s="339">
        <f>+('Presiones de casing'!$C$2+14.7+'Presiones de casing'!$C$3+('Presiones de casing'!$C$4+'Presiones de casing'!$C$8)*A59)*(1+'Presiones de casing'!$C$7/'Presiones de casing'!$C$13)</f>
        <v>1461.7362228363297</v>
      </c>
      <c r="C59" s="339">
        <f>+B59*(Columna!$G$9+Columna!$B$7)/Columna!$G$9</f>
        <v>1741.4057802436257</v>
      </c>
      <c r="D59" s="340">
        <f>+B59-A59*'Presiones de casing'!$C$4</f>
        <v>482.2208687701134</v>
      </c>
      <c r="E59" s="340">
        <f>+'Volumen de gas'!$C$1*Tabla!D59/14.7*520/'Volumen de gas'!$C$2*'Volumen de gas'!$C$4/'Volumen de gas'!$C$3</f>
        <v>7441.229506779712</v>
      </c>
      <c r="F59" s="340">
        <f t="shared" si="2"/>
        <v>513.1882418468767</v>
      </c>
    </row>
    <row r="60" spans="1:6" ht="12.75">
      <c r="A60" s="317">
        <v>14.75</v>
      </c>
      <c r="B60" s="339">
        <f>+('Presiones de casing'!$C$2+14.7+'Presiones de casing'!$C$3+('Presiones de casing'!$C$4+'Presiones de casing'!$C$8)*A60)*(1+'Presiones de casing'!$C$7/'Presiones de casing'!$C$13)</f>
        <v>1484.082489783213</v>
      </c>
      <c r="C60" s="339">
        <f>+B60*(Columna!$G$9+Columna!$B$7)/Columna!$G$9</f>
        <v>1768.027490659108</v>
      </c>
      <c r="D60" s="340">
        <f>+B60-A60*'Presiones de casing'!$C$4</f>
        <v>487.67893995723443</v>
      </c>
      <c r="E60" s="340">
        <f>+'Volumen de gas'!$C$1*Tabla!D60/14.7*520/'Volumen de gas'!$C$2*'Volumen de gas'!$C$4/'Volumen de gas'!$C$3</f>
        <v>7525.453900616703</v>
      </c>
      <c r="F60" s="340">
        <f t="shared" si="2"/>
        <v>510.2002644485901</v>
      </c>
    </row>
    <row r="61" spans="1:6" ht="12.75">
      <c r="A61" s="317">
        <v>15</v>
      </c>
      <c r="B61" s="339">
        <f>+('Presiones de casing'!$C$2+14.7+'Presiones de casing'!$C$3+('Presiones de casing'!$C$4+'Presiones de casing'!$C$8)*A61)*(1+'Presiones de casing'!$C$7/'Presiones de casing'!$C$13)</f>
        <v>1506.4287567300962</v>
      </c>
      <c r="C61" s="339">
        <f>+B61*(Columna!$G$9+Columna!$B$7)/Columna!$G$9</f>
        <v>1794.64920107459</v>
      </c>
      <c r="D61" s="340">
        <f>+B61-A61*'Presiones de casing'!$C$4</f>
        <v>493.13701114435514</v>
      </c>
      <c r="E61" s="340">
        <f>+'Volumen de gas'!$C$1*Tabla!D61/14.7*520/'Volumen de gas'!$C$2*'Volumen de gas'!$C$4/'Volumen de gas'!$C$3</f>
        <v>7609.678294453686</v>
      </c>
      <c r="F61" s="340">
        <f t="shared" si="2"/>
        <v>507.3118862969124</v>
      </c>
    </row>
    <row r="62" spans="1:6" ht="12.75">
      <c r="A62" s="317">
        <v>15.25</v>
      </c>
      <c r="B62" s="339">
        <f>+('Presiones de casing'!$C$2+14.7+'Presiones de casing'!$C$3+('Presiones de casing'!$C$4+'Presiones de casing'!$C$8)*A62)*(1+'Presiones de casing'!$C$7/'Presiones de casing'!$C$13)</f>
        <v>1528.7750236769796</v>
      </c>
      <c r="C62" s="339">
        <f>+B62*(Columna!$G$9+Columna!$B$7)/Columna!$G$9</f>
        <v>1821.2709114900726</v>
      </c>
      <c r="D62" s="340">
        <f>+B62-A62*'Presiones de casing'!$C$4</f>
        <v>498.5950823314763</v>
      </c>
      <c r="E62" s="340">
        <f>+'Volumen de gas'!$C$1*Tabla!D62/14.7*520/'Volumen de gas'!$C$2*'Volumen de gas'!$C$4/'Volumen de gas'!$C$3</f>
        <v>7693.902688290678</v>
      </c>
      <c r="F62" s="340">
        <f t="shared" si="2"/>
        <v>504.5182090682412</v>
      </c>
    </row>
    <row r="63" spans="1:6" ht="12.75">
      <c r="A63" s="317">
        <v>15.5</v>
      </c>
      <c r="B63" s="339">
        <f>+('Presiones de casing'!$C$2+14.7+'Presiones de casing'!$C$3+('Presiones de casing'!$C$4+'Presiones de casing'!$C$8)*A63)*(1+'Presiones de casing'!$C$7/'Presiones de casing'!$C$13)</f>
        <v>1551.121290623863</v>
      </c>
      <c r="C63" s="339">
        <f>+B63*(Columna!$G$9+Columna!$B$7)/Columna!$G$9</f>
        <v>1847.8926219055547</v>
      </c>
      <c r="D63" s="340">
        <f>+B63-A63*'Presiones de casing'!$C$4</f>
        <v>504.0531535185971</v>
      </c>
      <c r="E63" s="340">
        <f>+'Volumen de gas'!$C$1*Tabla!D63/14.7*520/'Volumen de gas'!$C$2*'Volumen de gas'!$C$4/'Volumen de gas'!$C$3</f>
        <v>7778.127082127665</v>
      </c>
      <c r="F63" s="340">
        <f t="shared" si="2"/>
        <v>501.81465045984936</v>
      </c>
    </row>
    <row r="64" spans="1:6" ht="12.75">
      <c r="A64" s="317">
        <v>15.75</v>
      </c>
      <c r="B64" s="339">
        <f>+('Presiones de casing'!$C$2+14.7+'Presiones de casing'!$C$3+('Presiones de casing'!$C$4+'Presiones de casing'!$C$8)*A64)*(1+'Presiones de casing'!$C$7/'Presiones de casing'!$C$13)</f>
        <v>1573.4675575707463</v>
      </c>
      <c r="C64" s="339">
        <f>+B64*(Columna!$G$9+Columna!$B$7)/Columna!$G$9</f>
        <v>1874.5143323210373</v>
      </c>
      <c r="D64" s="340">
        <f>+B64-A64*'Presiones de casing'!$C$4</f>
        <v>509.5112247057182</v>
      </c>
      <c r="E64" s="340">
        <f>+'Volumen de gas'!$C$1*Tabla!D64/14.7*520/'Volumen de gas'!$C$2*'Volumen de gas'!$C$4/'Volumen de gas'!$C$3</f>
        <v>7862.351475964654</v>
      </c>
      <c r="F64" s="340">
        <f t="shared" si="2"/>
        <v>499.19691910886695</v>
      </c>
    </row>
    <row r="65" spans="1:6" ht="12.75">
      <c r="A65" s="317">
        <v>16</v>
      </c>
      <c r="B65" s="339">
        <f>+('Presiones de casing'!$C$2+14.7+'Presiones de casing'!$C$3+('Presiones de casing'!$C$4+'Presiones de casing'!$C$8)*A65)*(1+'Presiones de casing'!$C$7/'Presiones de casing'!$C$13)</f>
        <v>1595.8138245176294</v>
      </c>
      <c r="C65" s="339">
        <f>+B65*(Columna!$G$9+Columna!$B$7)/Columna!$G$9</f>
        <v>1901.1360427365194</v>
      </c>
      <c r="D65" s="340">
        <f>+B65-A65*'Presiones de casing'!$C$4</f>
        <v>514.969295892839</v>
      </c>
      <c r="E65" s="340">
        <f>+'Volumen de gas'!$C$1*Tabla!D65/14.7*520/'Volumen de gas'!$C$2*'Volumen de gas'!$C$4/'Volumen de gas'!$C$3</f>
        <v>7946.575869801641</v>
      </c>
      <c r="F65" s="340">
        <f aca="true" t="shared" si="3" ref="F65:F128">+E65/A65</f>
        <v>496.66099186260254</v>
      </c>
    </row>
    <row r="66" spans="1:6" ht="12.75">
      <c r="A66" s="317">
        <v>16.25</v>
      </c>
      <c r="B66" s="339">
        <f>+('Presiones de casing'!$C$2+14.7+'Presiones de casing'!$C$3+('Presiones de casing'!$C$4+'Presiones de casing'!$C$8)*A66)*(1+'Presiones de casing'!$C$7/'Presiones de casing'!$C$13)</f>
        <v>1618.1600914645128</v>
      </c>
      <c r="C66" s="339">
        <f>+B66*(Columna!$G$9+Columna!$B$7)/Columna!$G$9</f>
        <v>1927.7577531520017</v>
      </c>
      <c r="D66" s="340">
        <f>+B66-A66*'Presiones de casing'!$C$4</f>
        <v>520.42736707996</v>
      </c>
      <c r="E66" s="340">
        <f>+'Volumen de gas'!$C$1*Tabla!D66/14.7*520/'Volumen de gas'!$C$2*'Volumen de gas'!$C$4/'Volumen de gas'!$C$3</f>
        <v>8030.80026363863</v>
      </c>
      <c r="F66" s="340">
        <f t="shared" si="3"/>
        <v>494.2030931469926</v>
      </c>
    </row>
    <row r="67" spans="1:6" ht="12.75">
      <c r="A67" s="317">
        <v>16.5</v>
      </c>
      <c r="B67" s="339">
        <f>+('Presiones de casing'!$C$2+14.7+'Presiones de casing'!$C$3+('Presiones de casing'!$C$4+'Presiones de casing'!$C$8)*A67)*(1+'Presiones de casing'!$C$7/'Presiones de casing'!$C$13)</f>
        <v>1640.506358411396</v>
      </c>
      <c r="C67" s="339">
        <f>+B67*(Columna!$G$9+Columna!$B$7)/Columna!$G$9</f>
        <v>1954.3794635674838</v>
      </c>
      <c r="D67" s="340">
        <f>+B67-A67*'Presiones de casing'!$C$4</f>
        <v>525.8854382670809</v>
      </c>
      <c r="E67" s="340">
        <f>+'Volumen de gas'!$C$1*Tabla!D67/14.7*520/'Volumen de gas'!$C$2*'Volumen de gas'!$C$4/'Volumen de gas'!$C$3</f>
        <v>8115.024657475616</v>
      </c>
      <c r="F67" s="340">
        <f t="shared" si="3"/>
        <v>491.81967621064337</v>
      </c>
    </row>
    <row r="68" spans="1:6" ht="12.75">
      <c r="A68" s="317">
        <v>16.75</v>
      </c>
      <c r="B68" s="339">
        <f>+('Presiones de casing'!$C$2+14.7+'Presiones de casing'!$C$3+('Presiones de casing'!$C$4+'Presiones de casing'!$C$8)*A68)*(1+'Presiones de casing'!$C$7/'Presiones de casing'!$C$13)</f>
        <v>1662.8526253582795</v>
      </c>
      <c r="C68" s="339">
        <f>+B68*(Columna!$G$9+Columna!$B$7)/Columna!$G$9</f>
        <v>1981.0011739829665</v>
      </c>
      <c r="D68" s="340">
        <f>+B68-A68*'Presiones de casing'!$C$4</f>
        <v>531.3435094542019</v>
      </c>
      <c r="E68" s="340">
        <f>+'Volumen de gas'!$C$1*Tabla!D68/14.7*520/'Volumen de gas'!$C$2*'Volumen de gas'!$C$4/'Volumen de gas'!$C$3</f>
        <v>8199.249051312605</v>
      </c>
      <c r="F68" s="340">
        <f t="shared" si="3"/>
        <v>489.5074060485137</v>
      </c>
    </row>
    <row r="69" spans="1:6" ht="12.75">
      <c r="A69" s="317">
        <v>17</v>
      </c>
      <c r="B69" s="339">
        <f>+('Presiones de casing'!$C$2+14.7+'Presiones de casing'!$C$3+('Presiones de casing'!$C$4+'Presiones de casing'!$C$8)*A69)*(1+'Presiones de casing'!$C$7/'Presiones de casing'!$C$13)</f>
        <v>1685.1988923051626</v>
      </c>
      <c r="C69" s="339">
        <f>+B69*(Columna!$G$9+Columna!$B$7)/Columna!$G$9</f>
        <v>2007.6228843984484</v>
      </c>
      <c r="D69" s="340">
        <f>+B69-A69*'Presiones de casing'!$C$4</f>
        <v>536.8015806413227</v>
      </c>
      <c r="E69" s="340">
        <f>+'Volumen de gas'!$C$1*Tabla!D69/14.7*520/'Volumen de gas'!$C$2*'Volumen de gas'!$C$4/'Volumen de gas'!$C$3</f>
        <v>8283.473445149591</v>
      </c>
      <c r="F69" s="340">
        <f t="shared" si="3"/>
        <v>487.2631438323289</v>
      </c>
    </row>
    <row r="70" spans="1:6" ht="12.75">
      <c r="A70" s="317">
        <v>17.25</v>
      </c>
      <c r="B70" s="339">
        <f>+('Presiones de casing'!$C$2+14.7+'Presiones de casing'!$C$3+('Presiones de casing'!$C$4+'Presiones de casing'!$C$8)*A70)*(1+'Presiones de casing'!$C$7/'Presiones de casing'!$C$13)</f>
        <v>1707.545159252046</v>
      </c>
      <c r="C70" s="339">
        <f>+B70*(Columna!$G$9+Columna!$B$7)/Columna!$G$9</f>
        <v>2034.244594813931</v>
      </c>
      <c r="D70" s="340">
        <f>+B70-A70*'Presiones de casing'!$C$4</f>
        <v>542.2596518284438</v>
      </c>
      <c r="E70" s="340">
        <f>+'Volumen de gas'!$C$1*Tabla!D70/14.7*520/'Volumen de gas'!$C$2*'Volumen de gas'!$C$4/'Volumen de gas'!$C$3</f>
        <v>8367.69783898658</v>
      </c>
      <c r="F70" s="340">
        <f t="shared" si="3"/>
        <v>485.0839326948742</v>
      </c>
    </row>
    <row r="71" spans="1:6" ht="12.75">
      <c r="A71" s="317">
        <v>17.5</v>
      </c>
      <c r="B71" s="339">
        <f>+('Presiones de casing'!$C$2+14.7+'Presiones de casing'!$C$3+('Presiones de casing'!$C$4+'Presiones de casing'!$C$8)*A71)*(1+'Presiones de casing'!$C$7/'Presiones de casing'!$C$13)</f>
        <v>1729.8914261989291</v>
      </c>
      <c r="C71" s="339">
        <f>+B71*(Columna!$G$9+Columna!$B$7)/Columna!$G$9</f>
        <v>2060.8663052294132</v>
      </c>
      <c r="D71" s="340">
        <f>+B71-A71*'Presiones de casing'!$C$4</f>
        <v>547.7177230155646</v>
      </c>
      <c r="E71" s="340">
        <f>+'Volumen de gas'!$C$1*Tabla!D71/14.7*520/'Volumen de gas'!$C$2*'Volumen de gas'!$C$4/'Volumen de gas'!$C$3</f>
        <v>8451.922232823566</v>
      </c>
      <c r="F71" s="340">
        <f t="shared" si="3"/>
        <v>482.96698473277524</v>
      </c>
    </row>
    <row r="72" spans="1:6" ht="12.75">
      <c r="A72" s="317">
        <v>17.75</v>
      </c>
      <c r="B72" s="339">
        <f>+('Presiones de casing'!$C$2+14.7+'Presiones de casing'!$C$3+('Presiones de casing'!$C$4+'Presiones de casing'!$C$8)*A72)*(1+'Presiones de casing'!$C$7/'Presiones de casing'!$C$13)</f>
        <v>1752.2376931458125</v>
      </c>
      <c r="C72" s="339">
        <f>+B72*(Columna!$G$9+Columna!$B$7)/Columna!$G$9</f>
        <v>2087.4880156448953</v>
      </c>
      <c r="D72" s="340">
        <f>+B72-A72*'Presiones de casing'!$C$4</f>
        <v>553.1757942026857</v>
      </c>
      <c r="E72" s="340">
        <f>+'Volumen de gas'!$C$1*Tabla!D72/14.7*520/'Volumen de gas'!$C$2*'Volumen de gas'!$C$4/'Volumen de gas'!$C$3</f>
        <v>8536.146626660558</v>
      </c>
      <c r="F72" s="340">
        <f t="shared" si="3"/>
        <v>480.9096691076371</v>
      </c>
    </row>
    <row r="73" spans="1:6" ht="12.75">
      <c r="A73" s="317">
        <v>18</v>
      </c>
      <c r="B73" s="339">
        <f>+('Presiones de casing'!$C$2+14.7+'Presiones de casing'!$C$3+('Presiones de casing'!$C$4+'Presiones de casing'!$C$8)*A73)*(1+'Presiones de casing'!$C$7/'Presiones de casing'!$C$13)</f>
        <v>1774.5839600926959</v>
      </c>
      <c r="C73" s="339">
        <f>+B73*(Columna!$G$9+Columna!$B$7)/Columna!$G$9</f>
        <v>2114.109726060378</v>
      </c>
      <c r="D73" s="340">
        <f>+B73-A73*'Presiones de casing'!$C$4</f>
        <v>558.6338653898067</v>
      </c>
      <c r="E73" s="340">
        <f>+'Volumen de gas'!$C$1*Tabla!D73/14.7*520/'Volumen de gas'!$C$2*'Volumen de gas'!$C$4/'Volumen de gas'!$C$3</f>
        <v>8620.371020497547</v>
      </c>
      <c r="F73" s="340">
        <f t="shared" si="3"/>
        <v>478.9095011387526</v>
      </c>
    </row>
    <row r="74" spans="1:6" ht="12.75">
      <c r="A74" s="317">
        <v>18.25</v>
      </c>
      <c r="B74" s="339">
        <f>+('Presiones de casing'!$C$2+14.7+'Presiones de casing'!$C$3+('Presiones de casing'!$C$4+'Presiones de casing'!$C$8)*A74)*(1+'Presiones de casing'!$C$7/'Presiones de casing'!$C$13)</f>
        <v>1796.9302270395792</v>
      </c>
      <c r="C74" s="339">
        <f>+B74*(Columna!$G$9+Columna!$B$7)/Columna!$G$9</f>
        <v>2140.73143647586</v>
      </c>
      <c r="D74" s="340">
        <f>+B74-A74*'Presiones de casing'!$C$4</f>
        <v>564.0919365769275</v>
      </c>
      <c r="E74" s="340">
        <f>+'Volumen de gas'!$C$1*Tabla!D74/14.7*520/'Volumen de gas'!$C$2*'Volumen de gas'!$C$4/'Volumen de gas'!$C$3</f>
        <v>8704.595414334532</v>
      </c>
      <c r="F74" s="340">
        <f t="shared" si="3"/>
        <v>476.9641322923031</v>
      </c>
    </row>
    <row r="75" spans="1:6" ht="12.75">
      <c r="A75" s="317">
        <v>18.5</v>
      </c>
      <c r="B75" s="339">
        <f>+('Presiones de casing'!$C$2+14.7+'Presiones de casing'!$C$3+('Presiones de casing'!$C$4+'Presiones de casing'!$C$8)*A75)*(1+'Presiones de casing'!$C$7/'Presiones de casing'!$C$13)</f>
        <v>1819.2764939864624</v>
      </c>
      <c r="C75" s="339">
        <f>+B75*(Columna!$G$9+Columna!$B$7)/Columna!$G$9</f>
        <v>2167.353146891342</v>
      </c>
      <c r="D75" s="340">
        <f>+B75-A75*'Presiones de casing'!$C$4</f>
        <v>569.5500077640484</v>
      </c>
      <c r="E75" s="340">
        <f>+'Volumen de gas'!$C$1*Tabla!D75/14.7*520/'Volumen de gas'!$C$2*'Volumen de gas'!$C$4/'Volumen de gas'!$C$3</f>
        <v>8788.819808171518</v>
      </c>
      <c r="F75" s="340">
        <f t="shared" si="3"/>
        <v>475.07134098224424</v>
      </c>
    </row>
    <row r="76" spans="1:6" ht="12.75">
      <c r="A76" s="317">
        <v>18.75</v>
      </c>
      <c r="B76" s="339">
        <f>+('Presiones de casing'!$C$2+14.7+'Presiones de casing'!$C$3+('Presiones de casing'!$C$4+'Presiones de casing'!$C$8)*A76)*(1+'Presiones de casing'!$C$7/'Presiones de casing'!$C$13)</f>
        <v>1841.6227609333457</v>
      </c>
      <c r="C76" s="339">
        <f>+B76*(Columna!$G$9+Columna!$B$7)/Columna!$G$9</f>
        <v>2193.9748573068246</v>
      </c>
      <c r="D76" s="340">
        <f>+B76-A76*'Presiones de casing'!$C$4</f>
        <v>575.0080789511694</v>
      </c>
      <c r="E76" s="340">
        <f>+'Volumen de gas'!$C$1*Tabla!D76/14.7*520/'Volumen de gas'!$C$2*'Volumen de gas'!$C$4/'Volumen de gas'!$C$3</f>
        <v>8873.044202008508</v>
      </c>
      <c r="F76" s="340">
        <f t="shared" si="3"/>
        <v>473.22902410712044</v>
      </c>
    </row>
    <row r="77" spans="1:6" ht="12.75">
      <c r="A77" s="317">
        <v>19</v>
      </c>
      <c r="B77" s="339">
        <f>+('Presiones de casing'!$C$2+14.7+'Presiones de casing'!$C$3+('Presiones de casing'!$C$4+'Presiones de casing'!$C$8)*A77)*(1+'Presiones de casing'!$C$7/'Presiones de casing'!$C$13)</f>
        <v>1863.9690278802289</v>
      </c>
      <c r="C77" s="339">
        <f>+B77*(Columna!$G$9+Columna!$B$7)/Columna!$G$9</f>
        <v>2220.5965677223066</v>
      </c>
      <c r="D77" s="340">
        <f>+B77-A77*'Presiones de casing'!$C$4</f>
        <v>580.4661501382902</v>
      </c>
      <c r="E77" s="340">
        <f>+'Volumen de gas'!$C$1*Tabla!D77/14.7*520/'Volumen de gas'!$C$2*'Volumen de gas'!$C$4/'Volumen de gas'!$C$3</f>
        <v>8957.268595845495</v>
      </c>
      <c r="F77" s="340">
        <f t="shared" si="3"/>
        <v>471.43518925502605</v>
      </c>
    </row>
    <row r="78" spans="1:6" ht="12.75">
      <c r="A78" s="317">
        <v>19.25</v>
      </c>
      <c r="B78" s="339">
        <f>+('Presiones de casing'!$C$2+14.7+'Presiones de casing'!$C$3+('Presiones de casing'!$C$4+'Presiones de casing'!$C$8)*A78)*(1+'Presiones de casing'!$C$7/'Presiones de casing'!$C$13)</f>
        <v>1886.315294827112</v>
      </c>
      <c r="C78" s="339">
        <f>+B78*(Columna!$G$9+Columna!$B$7)/Columna!$G$9</f>
        <v>2247.2182781377887</v>
      </c>
      <c r="D78" s="340">
        <f>+B78-A78*'Presiones de casing'!$C$4</f>
        <v>585.924221325411</v>
      </c>
      <c r="E78" s="340">
        <f>+'Volumen de gas'!$C$1*Tabla!D78/14.7*520/'Volumen de gas'!$C$2*'Volumen de gas'!$C$4/'Volumen de gas'!$C$3</f>
        <v>9041.492989682481</v>
      </c>
      <c r="F78" s="340">
        <f t="shared" si="3"/>
        <v>469.68794751597306</v>
      </c>
    </row>
    <row r="79" spans="1:6" ht="12.75">
      <c r="A79" s="317">
        <v>19.5</v>
      </c>
      <c r="B79" s="339">
        <f>+('Presiones de casing'!$C$2+14.7+'Presiones de casing'!$C$3+('Presiones de casing'!$C$4+'Presiones de casing'!$C$8)*A79)*(1+'Presiones de casing'!$C$7/'Presiones de casing'!$C$13)</f>
        <v>1908.6615617739956</v>
      </c>
      <c r="C79" s="339">
        <f>+B79*(Columna!$G$9+Columna!$B$7)/Columna!$G$9</f>
        <v>2273.8399885532713</v>
      </c>
      <c r="D79" s="340">
        <f>+B79-A79*'Presiones de casing'!$C$4</f>
        <v>591.3822925125323</v>
      </c>
      <c r="E79" s="340">
        <f>+'Volumen de gas'!$C$1*Tabla!D79/14.7*520/'Volumen de gas'!$C$2*'Volumen de gas'!$C$4/'Volumen de gas'!$C$3</f>
        <v>9125.717383519475</v>
      </c>
      <c r="F79" s="340">
        <f t="shared" si="3"/>
        <v>467.9855068471526</v>
      </c>
    </row>
    <row r="80" spans="1:6" ht="12.75">
      <c r="A80" s="317">
        <v>19.75</v>
      </c>
      <c r="B80" s="339">
        <f>+('Presiones de casing'!$C$2+14.7+'Presiones de casing'!$C$3+('Presiones de casing'!$C$4+'Presiones de casing'!$C$8)*A80)*(1+'Presiones de casing'!$C$7/'Presiones de casing'!$C$13)</f>
        <v>1931.0078287208787</v>
      </c>
      <c r="C80" s="339">
        <f>+B80*(Columna!$G$9+Columna!$B$7)/Columna!$G$9</f>
        <v>2300.4616989687534</v>
      </c>
      <c r="D80" s="340">
        <f>+B80-A80*'Presiones de casing'!$C$4</f>
        <v>596.8403636996529</v>
      </c>
      <c r="E80" s="340">
        <f>+'Volumen de gas'!$C$1*Tabla!D80/14.7*520/'Volumen de gas'!$C$2*'Volumen de gas'!$C$4/'Volumen de gas'!$C$3</f>
        <v>9209.941777356458</v>
      </c>
      <c r="F80" s="340">
        <f t="shared" si="3"/>
        <v>466.3261659420992</v>
      </c>
    </row>
    <row r="81" spans="1:6" ht="12.75">
      <c r="A81" s="317">
        <v>20</v>
      </c>
      <c r="B81" s="339">
        <f>+('Presiones de casing'!$C$2+14.7+'Presiones de casing'!$C$3+('Presiones de casing'!$C$4+'Presiones de casing'!$C$8)*A81)*(1+'Presiones de casing'!$C$7/'Presiones de casing'!$C$13)</f>
        <v>1953.354095667762</v>
      </c>
      <c r="C81" s="339">
        <f>+B81*(Columna!$G$9+Columna!$B$7)/Columna!$G$9</f>
        <v>2327.083409384236</v>
      </c>
      <c r="D81" s="340">
        <f>+B81-A81*'Presiones de casing'!$C$4</f>
        <v>602.298434886774</v>
      </c>
      <c r="E81" s="340">
        <f>+'Volumen de gas'!$C$1*Tabla!D81/14.7*520/'Volumen de gas'!$C$2*'Volumen de gas'!$C$4/'Volumen de gas'!$C$3</f>
        <v>9294.166171193445</v>
      </c>
      <c r="F81" s="340">
        <f t="shared" si="3"/>
        <v>464.7083085596722</v>
      </c>
    </row>
    <row r="82" spans="1:6" ht="12.75">
      <c r="A82" s="317">
        <v>20.25</v>
      </c>
      <c r="B82" s="339">
        <f>+('Presiones de casing'!$C$2+14.7+'Presiones de casing'!$C$3+('Presiones de casing'!$C$4+'Presiones de casing'!$C$8)*A82)*(1+'Presiones de casing'!$C$7/'Presiones de casing'!$C$13)</f>
        <v>1975.7003626146452</v>
      </c>
      <c r="C82" s="339">
        <f>+B82*(Columna!$G$9+Columna!$B$7)/Columna!$G$9</f>
        <v>2353.705119799718</v>
      </c>
      <c r="D82" s="340">
        <f>+B82-A82*'Presiones de casing'!$C$4</f>
        <v>607.7565060738948</v>
      </c>
      <c r="E82" s="340">
        <f>+'Volumen de gas'!$C$1*Tabla!D82/14.7*520/'Volumen de gas'!$C$2*'Volumen de gas'!$C$4/'Volumen de gas'!$C$3</f>
        <v>9378.390565030433</v>
      </c>
      <c r="F82" s="340">
        <f t="shared" si="3"/>
        <v>463.1303982731078</v>
      </c>
    </row>
    <row r="83" spans="1:6" ht="12.75">
      <c r="A83" s="317">
        <v>20.5</v>
      </c>
      <c r="B83" s="339">
        <f>+('Presiones de casing'!$C$2+14.7+'Presiones de casing'!$C$3+('Presiones de casing'!$C$4+'Presiones de casing'!$C$8)*A83)*(1+'Presiones de casing'!$C$7/'Presiones de casing'!$C$13)</f>
        <v>1998.0466295615286</v>
      </c>
      <c r="C83" s="339">
        <f>+B83*(Columna!$G$9+Columna!$B$7)/Columna!$G$9</f>
        <v>2380.3268302152</v>
      </c>
      <c r="D83" s="340">
        <f>+B83-A83*'Presiones de casing'!$C$4</f>
        <v>613.2145772610158</v>
      </c>
      <c r="E83" s="340">
        <f>+'Volumen de gas'!$C$1*Tabla!D83/14.7*520/'Volumen de gas'!$C$2*'Volumen de gas'!$C$4/'Volumen de gas'!$C$3</f>
        <v>9462.614958867422</v>
      </c>
      <c r="F83" s="340">
        <f t="shared" si="3"/>
        <v>461.59097360328883</v>
      </c>
    </row>
    <row r="84" spans="1:6" ht="12.75">
      <c r="A84" s="317">
        <v>20.75</v>
      </c>
      <c r="B84" s="339">
        <f>+('Presiones de casing'!$C$2+14.7+'Presiones de casing'!$C$3+('Presiones de casing'!$C$4+'Presiones de casing'!$C$8)*A84)*(1+'Presiones de casing'!$C$7/'Presiones de casing'!$C$13)</f>
        <v>2020.392896508412</v>
      </c>
      <c r="C84" s="339">
        <f>+B84*(Columna!$G$9+Columna!$B$7)/Columna!$G$9</f>
        <v>2406.9485406306826</v>
      </c>
      <c r="D84" s="340">
        <f>+B84-A84*'Presiones de casing'!$C$4</f>
        <v>618.6726484481369</v>
      </c>
      <c r="E84" s="340">
        <f>+'Volumen de gas'!$C$1*Tabla!D84/14.7*520/'Volumen de gas'!$C$2*'Volumen de gas'!$C$4/'Volumen de gas'!$C$3</f>
        <v>9546.839352704414</v>
      </c>
      <c r="F84" s="340">
        <f t="shared" si="3"/>
        <v>460.08864350382714</v>
      </c>
    </row>
    <row r="85" spans="1:6" ht="12.75">
      <c r="A85" s="317">
        <v>21</v>
      </c>
      <c r="B85" s="339">
        <f>+('Presiones de casing'!$C$2+14.7+'Presiones de casing'!$C$3+('Presiones de casing'!$C$4+'Presiones de casing'!$C$8)*A85)*(1+'Presiones de casing'!$C$7/'Presiones de casing'!$C$13)</f>
        <v>2042.7391634552953</v>
      </c>
      <c r="C85" s="339">
        <f>+B85*(Columna!$G$9+Columna!$B$7)/Columna!$G$9</f>
        <v>2433.570251046165</v>
      </c>
      <c r="D85" s="340">
        <f>+B85-A85*'Presiones de casing'!$C$4</f>
        <v>624.130719635258</v>
      </c>
      <c r="E85" s="340">
        <f>+'Volumen de gas'!$C$1*Tabla!D85/14.7*520/'Volumen de gas'!$C$2*'Volumen de gas'!$C$4/'Volumen de gas'!$C$3</f>
        <v>9631.063746541402</v>
      </c>
      <c r="F85" s="340">
        <f t="shared" si="3"/>
        <v>458.6220831686382</v>
      </c>
    </row>
    <row r="86" spans="1:6" ht="12.75">
      <c r="A86" s="317">
        <v>21.25</v>
      </c>
      <c r="B86" s="339">
        <f>+('Presiones de casing'!$C$2+14.7+'Presiones de casing'!$C$3+('Presiones de casing'!$C$4+'Presiones de casing'!$C$8)*A86)*(1+'Presiones de casing'!$C$7/'Presiones de casing'!$C$13)</f>
        <v>2065.0854304021786</v>
      </c>
      <c r="C86" s="339">
        <f>+B86*(Columna!$G$9+Columna!$B$7)/Columna!$G$9</f>
        <v>2460.191961461647</v>
      </c>
      <c r="D86" s="340">
        <f>+B86-A86*'Presiones de casing'!$C$4</f>
        <v>629.5887908223788</v>
      </c>
      <c r="E86" s="340">
        <f>+'Volumen de gas'!$C$1*Tabla!D86/14.7*520/'Volumen de gas'!$C$2*'Volumen de gas'!$C$4/'Volumen de gas'!$C$3</f>
        <v>9715.288140378389</v>
      </c>
      <c r="F86" s="340">
        <f t="shared" si="3"/>
        <v>457.1900301354536</v>
      </c>
    </row>
    <row r="87" spans="1:6" ht="12.75">
      <c r="A87" s="317">
        <v>21.5</v>
      </c>
      <c r="B87" s="339">
        <f>+('Presiones de casing'!$C$2+14.7+'Presiones de casing'!$C$3+('Presiones de casing'!$C$4+'Presiones de casing'!$C$8)*A87)*(1+'Presiones de casing'!$C$7/'Presiones de casing'!$C$13)</f>
        <v>2087.4316973490613</v>
      </c>
      <c r="C87" s="339">
        <f>+B87*(Columna!$G$9+Columna!$B$7)/Columna!$G$9</f>
        <v>2486.813671877129</v>
      </c>
      <c r="D87" s="340">
        <f>+B87-A87*'Presiones de casing'!$C$4</f>
        <v>635.0468620094991</v>
      </c>
      <c r="E87" s="340">
        <f>+'Volumen de gas'!$C$1*Tabla!D87/14.7*520/'Volumen de gas'!$C$2*'Volumen de gas'!$C$4/'Volumen de gas'!$C$3</f>
        <v>9799.512534215366</v>
      </c>
      <c r="F87" s="340">
        <f t="shared" si="3"/>
        <v>455.7912806611798</v>
      </c>
    </row>
    <row r="88" spans="1:6" ht="12.75">
      <c r="A88" s="317">
        <v>21.75</v>
      </c>
      <c r="B88" s="339">
        <f>+('Presiones de casing'!$C$2+14.7+'Presiones de casing'!$C$3+('Presiones de casing'!$C$4+'Presiones de casing'!$C$8)*A88)*(1+'Presiones de casing'!$C$7/'Presiones de casing'!$C$13)</f>
        <v>2109.777964295945</v>
      </c>
      <c r="C88" s="339">
        <f>+B88*(Columna!$G$9+Columna!$B$7)/Columna!$G$9</f>
        <v>2513.4353822926114</v>
      </c>
      <c r="D88" s="340">
        <f>+B88-A88*'Presiones de casing'!$C$4</f>
        <v>640.5049331966204</v>
      </c>
      <c r="E88" s="340">
        <f>+'Volumen de gas'!$C$1*Tabla!D88/14.7*520/'Volumen de gas'!$C$2*'Volumen de gas'!$C$4/'Volumen de gas'!$C$3</f>
        <v>9883.736928052362</v>
      </c>
      <c r="F88" s="340">
        <f t="shared" si="3"/>
        <v>454.424686347235</v>
      </c>
    </row>
    <row r="89" spans="1:6" ht="12.75">
      <c r="A89" s="317">
        <v>22</v>
      </c>
      <c r="B89" s="339">
        <f>+('Presiones de casing'!$C$2+14.7+'Presiones de casing'!$C$3+('Presiones de casing'!$C$4+'Presiones de casing'!$C$8)*A89)*(1+'Presiones de casing'!$C$7/'Presiones de casing'!$C$13)</f>
        <v>2132.1242312428285</v>
      </c>
      <c r="C89" s="339">
        <f>+B89*(Columna!$G$9+Columna!$B$7)/Columna!$G$9</f>
        <v>2540.057092708094</v>
      </c>
      <c r="D89" s="340">
        <f>+B89-A89*'Presiones de casing'!$C$4</f>
        <v>645.9630043837417</v>
      </c>
      <c r="E89" s="340">
        <f>+'Volumen de gas'!$C$1*Tabla!D89/14.7*520/'Volumen de gas'!$C$2*'Volumen de gas'!$C$4/'Volumen de gas'!$C$3</f>
        <v>9967.961321889354</v>
      </c>
      <c r="F89" s="340">
        <f t="shared" si="3"/>
        <v>453.0891509949706</v>
      </c>
    </row>
    <row r="90" spans="1:6" ht="12.75">
      <c r="A90" s="317">
        <v>22.25</v>
      </c>
      <c r="B90" s="339">
        <f>+('Presiones de casing'!$C$2+14.7+'Presiones de casing'!$C$3+('Presiones de casing'!$C$4+'Presiones de casing'!$C$8)*A90)*(1+'Presiones de casing'!$C$7/'Presiones de casing'!$C$13)</f>
        <v>2154.470498189712</v>
      </c>
      <c r="C90" s="339">
        <f>+B90*(Columna!$G$9+Columna!$B$7)/Columna!$G$9</f>
        <v>2566.678803123577</v>
      </c>
      <c r="D90" s="340">
        <f>+B90-A90*'Presiones de casing'!$C$4</f>
        <v>651.421075570863</v>
      </c>
      <c r="E90" s="340">
        <f>+'Volumen de gas'!$C$1*Tabla!D90/14.7*520/'Volumen de gas'!$C$2*'Volumen de gas'!$C$4/'Volumen de gas'!$C$3</f>
        <v>10052.185715726346</v>
      </c>
      <c r="F90" s="340">
        <f t="shared" si="3"/>
        <v>451.7836276730942</v>
      </c>
    </row>
    <row r="91" spans="1:6" ht="12.75">
      <c r="A91" s="317">
        <v>22.5</v>
      </c>
      <c r="B91" s="339">
        <f>+('Presiones de casing'!$C$2+14.7+'Presiones de casing'!$C$3+('Presiones de casing'!$C$4+'Presiones de casing'!$C$8)*A91)*(1+'Presiones de casing'!$C$7/'Presiones de casing'!$C$13)</f>
        <v>2176.8167651365948</v>
      </c>
      <c r="C91" s="339">
        <f>+B91*(Columna!$G$9+Columna!$B$7)/Columna!$G$9</f>
        <v>2593.3005135390586</v>
      </c>
      <c r="D91" s="340">
        <f>+B91-A91*'Presiones de casing'!$C$4</f>
        <v>656.8791467579833</v>
      </c>
      <c r="E91" s="340">
        <f>+'Volumen de gas'!$C$1*Tabla!D91/14.7*520/'Volumen de gas'!$C$2*'Volumen de gas'!$C$4/'Volumen de gas'!$C$3</f>
        <v>10136.410109563325</v>
      </c>
      <c r="F91" s="340">
        <f t="shared" si="3"/>
        <v>450.50711598059223</v>
      </c>
    </row>
    <row r="92" spans="1:6" ht="12.75">
      <c r="A92" s="317">
        <v>22.75</v>
      </c>
      <c r="B92" s="339">
        <f>+('Presiones de casing'!$C$2+14.7+'Presiones de casing'!$C$3+('Presiones de casing'!$C$4+'Presiones de casing'!$C$8)*A92)*(1+'Presiones de casing'!$C$7/'Presiones de casing'!$C$13)</f>
        <v>2199.163032083478</v>
      </c>
      <c r="C92" s="339">
        <f>+B92*(Columna!$G$9+Columna!$B$7)/Columna!$G$9</f>
        <v>2619.92222395454</v>
      </c>
      <c r="D92" s="340">
        <f>+B92-A92*'Presiones de casing'!$C$4</f>
        <v>662.3372179451039</v>
      </c>
      <c r="E92" s="340">
        <f>+'Volumen de gas'!$C$1*Tabla!D92/14.7*520/'Volumen de gas'!$C$2*'Volumen de gas'!$C$4/'Volumen de gas'!$C$3</f>
        <v>10220.634503400306</v>
      </c>
      <c r="F92" s="340">
        <f t="shared" si="3"/>
        <v>449.25865949012336</v>
      </c>
    </row>
    <row r="93" spans="1:6" ht="12.75">
      <c r="A93" s="317">
        <v>23</v>
      </c>
      <c r="B93" s="339">
        <f>+('Presiones de casing'!$C$2+14.7+'Presiones de casing'!$C$3+('Presiones de casing'!$C$4+'Presiones de casing'!$C$8)*A93)*(1+'Presiones de casing'!$C$7/'Presiones de casing'!$C$13)</f>
        <v>2221.5092990303615</v>
      </c>
      <c r="C93" s="339">
        <f>+B93*(Columna!$G$9+Columna!$B$7)/Columna!$G$9</f>
        <v>2646.543934370023</v>
      </c>
      <c r="D93" s="340">
        <f>+B93-A93*'Presiones de casing'!$C$4</f>
        <v>667.7952891322252</v>
      </c>
      <c r="E93" s="340">
        <f>+'Volumen de gas'!$C$1*Tabla!D93/14.7*520/'Volumen de gas'!$C$2*'Volumen de gas'!$C$4/'Volumen de gas'!$C$3</f>
        <v>10304.858897237302</v>
      </c>
      <c r="F93" s="340">
        <f t="shared" si="3"/>
        <v>448.0373433581436</v>
      </c>
    </row>
    <row r="94" spans="1:6" ht="12.75">
      <c r="A94" s="317">
        <v>23.25</v>
      </c>
      <c r="B94" s="339">
        <f>+('Presiones de casing'!$C$2+14.7+'Presiones de casing'!$C$3+('Presiones de casing'!$C$4+'Presiones de casing'!$C$8)*A94)*(1+'Presiones de casing'!$C$7/'Presiones de casing'!$C$13)</f>
        <v>2243.855565977245</v>
      </c>
      <c r="C94" s="339">
        <f>+B94*(Columna!$G$9+Columna!$B$7)/Columna!$G$9</f>
        <v>2673.1656447855053</v>
      </c>
      <c r="D94" s="340">
        <f>+B94-A94*'Presiones de casing'!$C$4</f>
        <v>673.2533603193465</v>
      </c>
      <c r="E94" s="340">
        <f>+'Volumen de gas'!$C$1*Tabla!D94/14.7*520/'Volumen de gas'!$C$2*'Volumen de gas'!$C$4/'Volumen de gas'!$C$3</f>
        <v>10389.083291074296</v>
      </c>
      <c r="F94" s="340">
        <f t="shared" si="3"/>
        <v>446.84229208921704</v>
      </c>
    </row>
    <row r="95" spans="1:6" ht="12.75">
      <c r="A95" s="317">
        <v>23.5</v>
      </c>
      <c r="B95" s="339">
        <f>+('Presiones de casing'!$C$2+14.7+'Presiones de casing'!$C$3+('Presiones de casing'!$C$4+'Presiones de casing'!$C$8)*A95)*(1+'Presiones de casing'!$C$7/'Presiones de casing'!$C$13)</f>
        <v>2266.201832924128</v>
      </c>
      <c r="C95" s="339">
        <f>+B95*(Columna!$G$9+Columna!$B$7)/Columna!$G$9</f>
        <v>2699.787355200988</v>
      </c>
      <c r="D95" s="340">
        <f>+B95-A95*'Presiones de casing'!$C$4</f>
        <v>678.7114315064673</v>
      </c>
      <c r="E95" s="340">
        <f>+'Volumen de gas'!$C$1*Tabla!D95/14.7*520/'Volumen de gas'!$C$2*'Volumen de gas'!$C$4/'Volumen de gas'!$C$3</f>
        <v>10473.307684911279</v>
      </c>
      <c r="F95" s="340">
        <f t="shared" si="3"/>
        <v>445.6726674430331</v>
      </c>
    </row>
    <row r="96" spans="1:6" ht="12.75">
      <c r="A96" s="317">
        <v>23.75</v>
      </c>
      <c r="B96" s="339">
        <f>+('Presiones de casing'!$C$2+14.7+'Presiones de casing'!$C$3+('Presiones de casing'!$C$4+'Presiones de casing'!$C$8)*A96)*(1+'Presiones de casing'!$C$7/'Presiones de casing'!$C$13)</f>
        <v>2288.548099871011</v>
      </c>
      <c r="C96" s="339">
        <f>+B96*(Columna!$G$9+Columna!$B$7)/Columna!$G$9</f>
        <v>2726.409065616469</v>
      </c>
      <c r="D96" s="340">
        <f>+B96-A96*'Presiones de casing'!$C$4</f>
        <v>684.1695026935877</v>
      </c>
      <c r="E96" s="340">
        <f>+'Volumen de gas'!$C$1*Tabla!D96/14.7*520/'Volumen de gas'!$C$2*'Volumen de gas'!$C$4/'Volumen de gas'!$C$3</f>
        <v>10557.53207874826</v>
      </c>
      <c r="F96" s="340">
        <f t="shared" si="3"/>
        <v>444.5276664736109</v>
      </c>
    </row>
    <row r="97" spans="1:6" ht="12.75">
      <c r="A97" s="317">
        <v>24</v>
      </c>
      <c r="B97" s="339">
        <f>+('Presiones de casing'!$C$2+14.7+'Presiones de casing'!$C$3+('Presiones de casing'!$C$4+'Presiones de casing'!$C$8)*A97)*(1+'Presiones de casing'!$C$7/'Presiones de casing'!$C$13)</f>
        <v>2310.8943668178945</v>
      </c>
      <c r="C97" s="339">
        <f>+B97*(Columna!$G$9+Columna!$B$7)/Columna!$G$9</f>
        <v>2753.030776031952</v>
      </c>
      <c r="D97" s="340">
        <f>+B97-A97*'Presiones de casing'!$C$4</f>
        <v>689.627573880709</v>
      </c>
      <c r="E97" s="340">
        <f>+'Volumen de gas'!$C$1*Tabla!D97/14.7*520/'Volumen de gas'!$C$2*'Volumen de gas'!$C$4/'Volumen de gas'!$C$3</f>
        <v>10641.75647258525</v>
      </c>
      <c r="F97" s="340">
        <f t="shared" si="3"/>
        <v>443.4065196910521</v>
      </c>
    </row>
    <row r="98" spans="1:6" ht="12.75">
      <c r="A98" s="317">
        <v>24.25</v>
      </c>
      <c r="B98" s="339">
        <f>+('Presiones de casing'!$C$2+14.7+'Presiones de casing'!$C$3+('Presiones de casing'!$C$4+'Presiones de casing'!$C$8)*A98)*(1+'Presiones de casing'!$C$7/'Presiones de casing'!$C$13)</f>
        <v>2333.240633764778</v>
      </c>
      <c r="C98" s="339">
        <f>+B98*(Columna!$G$9+Columna!$B$7)/Columna!$G$9</f>
        <v>2779.6524864474345</v>
      </c>
      <c r="D98" s="340">
        <f>+B98-A98*'Presiones de casing'!$C$4</f>
        <v>695.08564506783</v>
      </c>
      <c r="E98" s="340">
        <f>+'Volumen de gas'!$C$1*Tabla!D98/14.7*520/'Volumen de gas'!$C$2*'Volumen de gas'!$C$4/'Volumen de gas'!$C$3</f>
        <v>10725.980866422242</v>
      </c>
      <c r="F98" s="340">
        <f t="shared" si="3"/>
        <v>442.3084893369997</v>
      </c>
    </row>
    <row r="99" spans="1:6" ht="12.75">
      <c r="A99" s="317">
        <v>24.5</v>
      </c>
      <c r="B99" s="339">
        <f>+('Presiones de casing'!$C$2+14.7+'Presiones de casing'!$C$3+('Presiones de casing'!$C$4+'Presiones de casing'!$C$8)*A99)*(1+'Presiones de casing'!$C$7/'Presiones de casing'!$C$13)</f>
        <v>2355.586900711661</v>
      </c>
      <c r="C99" s="339">
        <f>+B99*(Columna!$G$9+Columna!$B$7)/Columna!$G$9</f>
        <v>2806.274196862916</v>
      </c>
      <c r="D99" s="340">
        <f>+B99-A99*'Presiones de casing'!$C$4</f>
        <v>700.5437162549508</v>
      </c>
      <c r="E99" s="340">
        <f>+'Volumen de gas'!$C$1*Tabla!D99/14.7*520/'Volumen de gas'!$C$2*'Volumen de gas'!$C$4/'Volumen de gas'!$C$3</f>
        <v>10810.205260259228</v>
      </c>
      <c r="F99" s="340">
        <f t="shared" si="3"/>
        <v>441.2328677656828</v>
      </c>
    </row>
    <row r="100" spans="1:6" ht="12.75">
      <c r="A100" s="317">
        <v>24.75</v>
      </c>
      <c r="B100" s="339">
        <f>+('Presiones de casing'!$C$2+14.7+'Presiones de casing'!$C$3+('Presiones de casing'!$C$4+'Presiones de casing'!$C$8)*A100)*(1+'Presiones de casing'!$C$7/'Presiones de casing'!$C$13)</f>
        <v>2377.933167658545</v>
      </c>
      <c r="C100" s="339">
        <f>+B100*(Columna!$G$9+Columna!$B$7)/Columna!$G$9</f>
        <v>2832.8959072783996</v>
      </c>
      <c r="D100" s="340">
        <f>+B100-A100*'Presiones de casing'!$C$4</f>
        <v>706.0017874420721</v>
      </c>
      <c r="E100" s="340">
        <f>+'Volumen de gas'!$C$1*Tabla!D100/14.7*520/'Volumen de gas'!$C$2*'Volumen de gas'!$C$4/'Volumen de gas'!$C$3</f>
        <v>10894.42965409622</v>
      </c>
      <c r="F100" s="340">
        <f t="shared" si="3"/>
        <v>440.17897592307963</v>
      </c>
    </row>
    <row r="101" spans="1:6" ht="12.75">
      <c r="A101" s="317">
        <v>25</v>
      </c>
      <c r="B101" s="339">
        <f>+('Presiones de casing'!$C$2+14.7+'Presiones de casing'!$C$3+('Presiones de casing'!$C$4+'Presiones de casing'!$C$8)*A101)*(1+'Presiones de casing'!$C$7/'Presiones de casing'!$C$13)</f>
        <v>2400.2794346054275</v>
      </c>
      <c r="C101" s="339">
        <f>+B101*(Columna!$G$9+Columna!$B$7)/Columna!$G$9</f>
        <v>2859.5176176938808</v>
      </c>
      <c r="D101" s="340">
        <f>+B101-A101*'Presiones de casing'!$C$4</f>
        <v>711.4598586291925</v>
      </c>
      <c r="E101" s="340">
        <f>+'Volumen de gas'!$C$1*Tabla!D101/14.7*520/'Volumen de gas'!$C$2*'Volumen de gas'!$C$4/'Volumen de gas'!$C$3</f>
        <v>10978.654047933202</v>
      </c>
      <c r="F101" s="340">
        <f t="shared" si="3"/>
        <v>439.1461619173281</v>
      </c>
    </row>
    <row r="102" spans="1:6" ht="12.75">
      <c r="A102" s="317">
        <v>25.25</v>
      </c>
      <c r="B102" s="339">
        <f>+('Presiones de casing'!$C$2+14.7+'Presiones de casing'!$C$3+('Presiones de casing'!$C$4+'Presiones de casing'!$C$8)*A102)*(1+'Presiones de casing'!$C$7/'Presiones de casing'!$C$13)</f>
        <v>2422.625701552311</v>
      </c>
      <c r="C102" s="339">
        <f>+B102*(Columna!$G$9+Columna!$B$7)/Columna!$G$9</f>
        <v>2886.1393281093633</v>
      </c>
      <c r="D102" s="340">
        <f>+B102-A102*'Presiones de casing'!$C$4</f>
        <v>716.9179298163137</v>
      </c>
      <c r="E102" s="340">
        <f>+'Volumen de gas'!$C$1*Tabla!D102/14.7*520/'Volumen de gas'!$C$2*'Volumen de gas'!$C$4/'Volumen de gas'!$C$3</f>
        <v>11062.878441770192</v>
      </c>
      <c r="F102" s="340">
        <f t="shared" si="3"/>
        <v>438.133799674067</v>
      </c>
    </row>
    <row r="103" spans="1:6" ht="12.75">
      <c r="A103" s="317">
        <v>25.5</v>
      </c>
      <c r="B103" s="339">
        <f>+('Presiones de casing'!$C$2+14.7+'Presiones de casing'!$C$3+('Presiones de casing'!$C$4+'Presiones de casing'!$C$8)*A103)*(1+'Presiones de casing'!$C$7/'Presiones de casing'!$C$13)</f>
        <v>2444.971968499194</v>
      </c>
      <c r="C103" s="339">
        <f>+B103*(Columna!$G$9+Columna!$B$7)/Columna!$G$9</f>
        <v>2912.761038524846</v>
      </c>
      <c r="D103" s="340">
        <f>+B103-A103*'Presiones de casing'!$C$4</f>
        <v>722.3760010034343</v>
      </c>
      <c r="E103" s="340">
        <f>+'Volumen de gas'!$C$1*Tabla!D103/14.7*520/'Volumen de gas'!$C$2*'Volumen de gas'!$C$4/'Volumen de gas'!$C$3</f>
        <v>11147.102835607178</v>
      </c>
      <c r="F103" s="340">
        <f t="shared" si="3"/>
        <v>437.14128767086976</v>
      </c>
    </row>
    <row r="104" spans="1:6" ht="12.75">
      <c r="A104" s="317">
        <v>25.75</v>
      </c>
      <c r="B104" s="339">
        <f>+('Presiones de casing'!$C$2+14.7+'Presiones de casing'!$C$3+('Presiones de casing'!$C$4+'Presiones de casing'!$C$8)*A104)*(1+'Presiones de casing'!$C$7/'Presiones de casing'!$C$13)</f>
        <v>2467.318235446078</v>
      </c>
      <c r="C104" s="339">
        <f>+B104*(Columna!$G$9+Columna!$B$7)/Columna!$G$9</f>
        <v>2939.382748940328</v>
      </c>
      <c r="D104" s="340">
        <f>+B104-A104*'Presiones de casing'!$C$4</f>
        <v>727.8340721905556</v>
      </c>
      <c r="E104" s="340">
        <f>+'Volumen de gas'!$C$1*Tabla!D104/14.7*520/'Volumen de gas'!$C$2*'Volumen de gas'!$C$4/'Volumen de gas'!$C$3</f>
        <v>11231.327229444169</v>
      </c>
      <c r="F104" s="340">
        <f t="shared" si="3"/>
        <v>436.1680477454046</v>
      </c>
    </row>
    <row r="105" spans="1:6" ht="12.75">
      <c r="A105" s="317">
        <v>26</v>
      </c>
      <c r="B105" s="339">
        <f>+('Presiones de casing'!$C$2+14.7+'Presiones de casing'!$C$3+('Presiones de casing'!$C$4+'Presiones de casing'!$C$8)*A105)*(1+'Presiones de casing'!$C$7/'Presiones de casing'!$C$13)</f>
        <v>2489.6645023929614</v>
      </c>
      <c r="C105" s="339">
        <f>+B105*(Columna!$G$9+Columna!$B$7)/Columna!$G$9</f>
        <v>2966.0044593558105</v>
      </c>
      <c r="D105" s="340">
        <f>+B105-A105*'Presiones de casing'!$C$4</f>
        <v>733.2921433776769</v>
      </c>
      <c r="E105" s="340">
        <f>+'Volumen de gas'!$C$1*Tabla!D105/14.7*520/'Volumen de gas'!$C$2*'Volumen de gas'!$C$4/'Volumen de gas'!$C$3</f>
        <v>11315.551623281162</v>
      </c>
      <c r="F105" s="340">
        <f t="shared" si="3"/>
        <v>435.2135239723524</v>
      </c>
    </row>
    <row r="106" spans="1:6" ht="12.75">
      <c r="A106" s="317">
        <v>26.25</v>
      </c>
      <c r="B106" s="339">
        <f>+('Presiones de casing'!$C$2+14.7+'Presiones de casing'!$C$3+('Presiones de casing'!$C$4+'Presiones de casing'!$C$8)*A106)*(1+'Presiones de casing'!$C$7/'Presiones de casing'!$C$13)</f>
        <v>2512.010769339844</v>
      </c>
      <c r="C106" s="339">
        <f>+B106*(Columna!$G$9+Columna!$B$7)/Columna!$G$9</f>
        <v>2992.6261697712926</v>
      </c>
      <c r="D106" s="340">
        <f>+B106-A106*'Presiones de casing'!$C$4</f>
        <v>738.7502145647973</v>
      </c>
      <c r="E106" s="340">
        <f>+'Volumen de gas'!$C$1*Tabla!D106/14.7*520/'Volumen de gas'!$C$2*'Volumen de gas'!$C$4/'Volumen de gas'!$C$3</f>
        <v>11399.776017118143</v>
      </c>
      <c r="F106" s="340">
        <f t="shared" si="3"/>
        <v>434.2771816045007</v>
      </c>
    </row>
    <row r="107" spans="1:6" ht="12.75">
      <c r="A107" s="317">
        <v>26.5</v>
      </c>
      <c r="B107" s="339">
        <f>+('Presiones de casing'!$C$2+14.7+'Presiones de casing'!$C$3+('Presiones de casing'!$C$4+'Presiones de casing'!$C$8)*A107)*(1+'Presiones de casing'!$C$7/'Presiones de casing'!$C$13)</f>
        <v>2534.357036286727</v>
      </c>
      <c r="C107" s="339">
        <f>+B107*(Columna!$G$9+Columna!$B$7)/Columna!$G$9</f>
        <v>3019.247880186774</v>
      </c>
      <c r="D107" s="340">
        <f>+B107-A107*'Presiones de casing'!$C$4</f>
        <v>744.2082857519181</v>
      </c>
      <c r="E107" s="340">
        <f>+'Volumen de gas'!$C$1*Tabla!D107/14.7*520/'Volumen de gas'!$C$2*'Volumen de gas'!$C$4/'Volumen de gas'!$C$3</f>
        <v>11484.000410955128</v>
      </c>
      <c r="F107" s="340">
        <f t="shared" si="3"/>
        <v>433.3585060737784</v>
      </c>
    </row>
    <row r="108" spans="1:6" ht="12.75">
      <c r="A108" s="317">
        <v>26.75</v>
      </c>
      <c r="B108" s="339">
        <f>+('Presiones de casing'!$C$2+14.7+'Presiones de casing'!$C$3+('Presiones de casing'!$C$4+'Presiones de casing'!$C$8)*A108)*(1+'Presiones de casing'!$C$7/'Presiones de casing'!$C$13)</f>
        <v>2556.7033032336108</v>
      </c>
      <c r="C108" s="339">
        <f>+B108*(Columna!$G$9+Columna!$B$7)/Columna!$G$9</f>
        <v>3045.8695906022567</v>
      </c>
      <c r="D108" s="340">
        <f>+B108-A108*'Presiones de casing'!$C$4</f>
        <v>749.6663569390394</v>
      </c>
      <c r="E108" s="340">
        <f>+'Volumen de gas'!$C$1*Tabla!D108/14.7*520/'Volumen de gas'!$C$2*'Volumen de gas'!$C$4/'Volumen de gas'!$C$3</f>
        <v>11568.22480479212</v>
      </c>
      <c r="F108" s="340">
        <f t="shared" si="3"/>
        <v>432.45700204830354</v>
      </c>
    </row>
    <row r="109" spans="1:6" ht="12.75">
      <c r="A109" s="317">
        <v>27</v>
      </c>
      <c r="B109" s="339">
        <f>+('Presiones de casing'!$C$2+14.7+'Presiones de casing'!$C$3+('Presiones de casing'!$C$4+'Presiones de casing'!$C$8)*A109)*(1+'Presiones de casing'!$C$7/'Presiones de casing'!$C$13)</f>
        <v>2579.0495701804944</v>
      </c>
      <c r="C109" s="339">
        <f>+B109*(Columna!$G$9+Columna!$B$7)/Columna!$G$9</f>
        <v>3072.4913010177397</v>
      </c>
      <c r="D109" s="340">
        <f>+B109-A109*'Presiones de casing'!$C$4</f>
        <v>755.1244281261604</v>
      </c>
      <c r="E109" s="340">
        <f>+'Volumen de gas'!$C$1*Tabla!D109/14.7*520/'Volumen de gas'!$C$2*'Volumen de gas'!$C$4/'Volumen de gas'!$C$3</f>
        <v>11652.449198629112</v>
      </c>
      <c r="F109" s="340">
        <f t="shared" si="3"/>
        <v>431.572192541819</v>
      </c>
    </row>
    <row r="110" spans="1:6" ht="12.75">
      <c r="A110" s="317">
        <v>27.25</v>
      </c>
      <c r="B110" s="339">
        <f>+('Presiones de casing'!$C$2+14.7+'Presiones de casing'!$C$3+('Presiones de casing'!$C$4+'Presiones de casing'!$C$8)*A110)*(1+'Presiones de casing'!$C$7/'Presiones de casing'!$C$13)</f>
        <v>2601.395837127378</v>
      </c>
      <c r="C110" s="339">
        <f>+B110*(Columna!$G$9+Columna!$B$7)/Columna!$G$9</f>
        <v>3099.1130114332223</v>
      </c>
      <c r="D110" s="340">
        <f>+B110-A110*'Presiones de casing'!$C$4</f>
        <v>760.5824993132817</v>
      </c>
      <c r="E110" s="340">
        <f>+'Volumen de gas'!$C$1*Tabla!D110/14.7*520/'Volumen de gas'!$C$2*'Volumen de gas'!$C$4/'Volumen de gas'!$C$3</f>
        <v>11736.673592466104</v>
      </c>
      <c r="F110" s="340">
        <f t="shared" si="3"/>
        <v>430.7036180721506</v>
      </c>
    </row>
    <row r="111" spans="1:6" ht="12.75">
      <c r="A111" s="317">
        <v>27.5</v>
      </c>
      <c r="B111" s="339">
        <f>+('Presiones de casing'!$C$2+14.7+'Presiones de casing'!$C$3+('Presiones de casing'!$C$4+'Presiones de casing'!$C$8)*A111)*(1+'Presiones de casing'!$C$7/'Presiones de casing'!$C$13)</f>
        <v>2623.74210407426</v>
      </c>
      <c r="C111" s="339">
        <f>+B111*(Columna!$G$9+Columna!$B$7)/Columna!$G$9</f>
        <v>3125.734721848703</v>
      </c>
      <c r="D111" s="340">
        <f>+B111-A111*'Presiones de casing'!$C$4</f>
        <v>766.0405705004016</v>
      </c>
      <c r="E111" s="340">
        <f>+'Volumen de gas'!$C$1*Tabla!D111/14.7*520/'Volumen de gas'!$C$2*'Volumen de gas'!$C$4/'Volumen de gas'!$C$3</f>
        <v>11820.897986303076</v>
      </c>
      <c r="F111" s="340">
        <f t="shared" si="3"/>
        <v>429.8508358655664</v>
      </c>
    </row>
    <row r="112" spans="1:6" ht="12.75">
      <c r="A112" s="317">
        <v>27.75</v>
      </c>
      <c r="B112" s="339">
        <f>+('Presiones de casing'!$C$2+14.7+'Presiones de casing'!$C$3+('Presiones de casing'!$C$4+'Presiones de casing'!$C$8)*A112)*(1+'Presiones de casing'!$C$7/'Presiones de casing'!$C$13)</f>
        <v>2646.0883710211438</v>
      </c>
      <c r="C112" s="339">
        <f>+B112*(Columna!$G$9+Columna!$B$7)/Columna!$G$9</f>
        <v>3152.356432264186</v>
      </c>
      <c r="D112" s="340">
        <f>+B112-A112*'Presiones de casing'!$C$4</f>
        <v>771.4986416875229</v>
      </c>
      <c r="E112" s="340">
        <f>+'Volumen de gas'!$C$1*Tabla!D112/14.7*520/'Volumen de gas'!$C$2*'Volumen de gas'!$C$4/'Volumen de gas'!$C$3</f>
        <v>11905.12238014007</v>
      </c>
      <c r="F112" s="340">
        <f t="shared" si="3"/>
        <v>429.0134191041467</v>
      </c>
    </row>
    <row r="113" spans="1:6" ht="12.75">
      <c r="A113" s="317">
        <v>28</v>
      </c>
      <c r="B113" s="339">
        <f>+('Presiones de casing'!$C$2+14.7+'Presiones de casing'!$C$3+('Presiones de casing'!$C$4+'Presiones de casing'!$C$8)*A113)*(1+'Presiones de casing'!$C$7/'Presiones de casing'!$C$13)</f>
        <v>2668.4346379680273</v>
      </c>
      <c r="C113" s="339">
        <f>+B113*(Columna!$G$9+Columna!$B$7)/Columna!$G$9</f>
        <v>3178.9781426796685</v>
      </c>
      <c r="D113" s="340">
        <f>+B113-A113*'Presiones de casing'!$C$4</f>
        <v>776.9567128746442</v>
      </c>
      <c r="E113" s="340">
        <f>+'Volumen de gas'!$C$1*Tabla!D113/14.7*520/'Volumen de gas'!$C$2*'Volumen de gas'!$C$4/'Volumen de gas'!$C$3</f>
        <v>11989.346773977064</v>
      </c>
      <c r="F113" s="340">
        <f t="shared" si="3"/>
        <v>428.19095621346656</v>
      </c>
    </row>
    <row r="114" spans="1:6" ht="12.75">
      <c r="A114" s="317">
        <v>28.25</v>
      </c>
      <c r="B114" s="339">
        <f>+('Presiones de casing'!$C$2+14.7+'Presiones de casing'!$C$3+('Presiones de casing'!$C$4+'Presiones de casing'!$C$8)*A114)*(1+'Presiones de casing'!$C$7/'Presiones de casing'!$C$13)</f>
        <v>2690.7809049149105</v>
      </c>
      <c r="C114" s="339">
        <f>+B114*(Columna!$G$9+Columna!$B$7)/Columna!$G$9</f>
        <v>3205.5998530951506</v>
      </c>
      <c r="D114" s="340">
        <f>+B114-A114*'Presiones de casing'!$C$4</f>
        <v>782.414784061765</v>
      </c>
      <c r="E114" s="340">
        <f>+'Volumen de gas'!$C$1*Tabla!D114/14.7*520/'Volumen de gas'!$C$2*'Volumen de gas'!$C$4/'Volumen de gas'!$C$3</f>
        <v>12073.571167814049</v>
      </c>
      <c r="F114" s="340">
        <f t="shared" si="3"/>
        <v>427.3830501881079</v>
      </c>
    </row>
    <row r="115" spans="1:6" ht="12.75">
      <c r="A115" s="317">
        <v>28.5</v>
      </c>
      <c r="B115" s="339">
        <f>+('Presiones de casing'!$C$2+14.7+'Presiones de casing'!$C$3+('Presiones de casing'!$C$4+'Presiones de casing'!$C$8)*A115)*(1+'Presiones de casing'!$C$7/'Presiones de casing'!$C$13)</f>
        <v>2713.127171861794</v>
      </c>
      <c r="C115" s="339">
        <f>+B115*(Columna!$G$9+Columna!$B$7)/Columna!$G$9</f>
        <v>3232.221563510633</v>
      </c>
      <c r="D115" s="340">
        <f>+B115-A115*'Presiones de casing'!$C$4</f>
        <v>787.872855248886</v>
      </c>
      <c r="E115" s="340">
        <f>+'Volumen de gas'!$C$1*Tabla!D115/14.7*520/'Volumen de gas'!$C$2*'Volumen de gas'!$C$4/'Volumen de gas'!$C$3</f>
        <v>12157.795561651039</v>
      </c>
      <c r="F115" s="340">
        <f t="shared" si="3"/>
        <v>426.589317952668</v>
      </c>
    </row>
    <row r="116" spans="1:6" ht="12.75">
      <c r="A116" s="317">
        <v>28.75</v>
      </c>
      <c r="B116" s="339">
        <f>+('Presiones de casing'!$C$2+14.7+'Presiones de casing'!$C$3+('Presiones de casing'!$C$4+'Presiones de casing'!$C$8)*A116)*(1+'Presiones de casing'!$C$7/'Presiones de casing'!$C$13)</f>
        <v>2735.4734388086767</v>
      </c>
      <c r="C116" s="339">
        <f>+B116*(Columna!$G$9+Columna!$B$7)/Columna!$G$9</f>
        <v>3258.8432739261148</v>
      </c>
      <c r="D116" s="340">
        <f>+B116-A116*'Presiones de casing'!$C$4</f>
        <v>793.3309264360064</v>
      </c>
      <c r="E116" s="340">
        <f>+'Volumen de gas'!$C$1*Tabla!D116/14.7*520/'Volumen de gas'!$C$2*'Volumen de gas'!$C$4/'Volumen de gas'!$C$3</f>
        <v>12242.019955488016</v>
      </c>
      <c r="F116" s="340">
        <f t="shared" si="3"/>
        <v>425.8093897561049</v>
      </c>
    </row>
    <row r="117" spans="1:6" ht="12.75">
      <c r="A117" s="317">
        <v>29</v>
      </c>
      <c r="B117" s="339">
        <f>+('Presiones de casing'!$C$2+14.7+'Presiones de casing'!$C$3+('Presiones de casing'!$C$4+'Presiones de casing'!$C$8)*A117)*(1+'Presiones de casing'!$C$7/'Presiones de casing'!$C$13)</f>
        <v>2757.8197057555603</v>
      </c>
      <c r="C117" s="339">
        <f>+B117*(Columna!$G$9+Columna!$B$7)/Columna!$G$9</f>
        <v>3285.4649843415973</v>
      </c>
      <c r="D117" s="340">
        <f>+B117-A117*'Presiones de casing'!$C$4</f>
        <v>798.7889976231277</v>
      </c>
      <c r="E117" s="340">
        <f>+'Volumen de gas'!$C$1*Tabla!D117/14.7*520/'Volumen de gas'!$C$2*'Volumen de gas'!$C$4/'Volumen de gas'!$C$3</f>
        <v>12326.24434932501</v>
      </c>
      <c r="F117" s="340">
        <f t="shared" si="3"/>
        <v>425.04290859741417</v>
      </c>
    </row>
    <row r="118" spans="1:6" ht="12.75">
      <c r="A118" s="317">
        <v>29.25</v>
      </c>
      <c r="B118" s="339">
        <f>+('Presiones de casing'!$C$2+14.7+'Presiones de casing'!$C$3+('Presiones de casing'!$C$4+'Presiones de casing'!$C$8)*A118)*(1+'Presiones de casing'!$C$7/'Presiones de casing'!$C$13)</f>
        <v>2780.1659727024435</v>
      </c>
      <c r="C118" s="339">
        <f>+B118*(Columna!$G$9+Columna!$B$7)/Columna!$G$9</f>
        <v>3312.08669475708</v>
      </c>
      <c r="D118" s="340">
        <f>+B118-A118*'Presiones de casing'!$C$4</f>
        <v>804.2470688102485</v>
      </c>
      <c r="E118" s="340">
        <f>+'Volumen de gas'!$C$1*Tabla!D118/14.7*520/'Volumen de gas'!$C$2*'Volumen de gas'!$C$4/'Volumen de gas'!$C$3</f>
        <v>12410.468743161999</v>
      </c>
      <c r="F118" s="340">
        <f t="shared" si="3"/>
        <v>424.2895296807521</v>
      </c>
    </row>
    <row r="119" spans="1:6" ht="12.75">
      <c r="A119" s="317">
        <v>29.5</v>
      </c>
      <c r="B119" s="339">
        <f>+('Presiones de casing'!$C$2+14.7+'Presiones de casing'!$C$3+('Presiones de casing'!$C$4+'Presiones de casing'!$C$8)*A119)*(1+'Presiones de casing'!$C$7/'Presiones de casing'!$C$13)</f>
        <v>2802.512239649327</v>
      </c>
      <c r="C119" s="339">
        <f>+B119*(Columna!$G$9+Columna!$B$7)/Columna!$G$9</f>
        <v>3338.7084051725624</v>
      </c>
      <c r="D119" s="340">
        <f>+B119-A119*'Presiones de casing'!$C$4</f>
        <v>809.7051399973698</v>
      </c>
      <c r="E119" s="340">
        <f>+'Volumen de gas'!$C$1*Tabla!D119/14.7*520/'Volumen de gas'!$C$2*'Volumen de gas'!$C$4/'Volumen de gas'!$C$3</f>
        <v>12494.693136998989</v>
      </c>
      <c r="F119" s="340">
        <f t="shared" si="3"/>
        <v>423.5489198982708</v>
      </c>
    </row>
    <row r="120" spans="1:6" ht="12.75">
      <c r="A120" s="317">
        <v>29.75</v>
      </c>
      <c r="B120" s="339">
        <f>+('Presiones de casing'!$C$2+14.7+'Presiones de casing'!$C$3+('Presiones de casing'!$C$4+'Presiones de casing'!$C$8)*A120)*(1+'Presiones de casing'!$C$7/'Presiones de casing'!$C$13)</f>
        <v>2824.8585065962106</v>
      </c>
      <c r="C120" s="339">
        <f>+B120*(Columna!$G$9+Columna!$B$7)/Columna!$G$9</f>
        <v>3365.330115588045</v>
      </c>
      <c r="D120" s="340">
        <f>+B120-A120*'Presiones de casing'!$C$4</f>
        <v>815.163211184491</v>
      </c>
      <c r="E120" s="340">
        <f>+'Volumen de gas'!$C$1*Tabla!D120/14.7*520/'Volumen de gas'!$C$2*'Volumen de gas'!$C$4/'Volumen de gas'!$C$3</f>
        <v>12578.917530835983</v>
      </c>
      <c r="F120" s="340">
        <f t="shared" si="3"/>
        <v>422.8207573390246</v>
      </c>
    </row>
    <row r="121" spans="1:6" ht="12.75">
      <c r="A121" s="317">
        <v>30</v>
      </c>
      <c r="B121" s="339">
        <f>+('Presiones de casing'!$C$2+14.7+'Presiones de casing'!$C$3+('Presiones de casing'!$C$4+'Presiones de casing'!$C$8)*A121)*(1+'Presiones de casing'!$C$7/'Presiones de casing'!$C$13)</f>
        <v>2847.2047735430933</v>
      </c>
      <c r="C121" s="339">
        <f>+B121*(Columna!$G$9+Columna!$B$7)/Columna!$G$9</f>
        <v>3391.9518260035265</v>
      </c>
      <c r="D121" s="340">
        <f>+B121-A121*'Presiones de casing'!$C$4</f>
        <v>820.6212823716112</v>
      </c>
      <c r="E121" s="340">
        <f>+'Volumen de gas'!$C$1*Tabla!D121/14.7*520/'Volumen de gas'!$C$2*'Volumen de gas'!$C$4/'Volumen de gas'!$C$3</f>
        <v>12663.14192467296</v>
      </c>
      <c r="F121" s="340">
        <f t="shared" si="3"/>
        <v>422.10473082243203</v>
      </c>
    </row>
    <row r="122" spans="1:6" ht="12.75">
      <c r="A122" s="317">
        <v>30.25</v>
      </c>
      <c r="B122" s="339">
        <f>+('Presiones de casing'!$C$2+14.7+'Presiones de casing'!$C$3+('Presiones de casing'!$C$4+'Presiones de casing'!$C$8)*A122)*(1+'Presiones de casing'!$C$7/'Presiones de casing'!$C$13)</f>
        <v>2869.5510404899765</v>
      </c>
      <c r="C122" s="339">
        <f>+B122*(Columna!$G$9+Columna!$B$7)/Columna!$G$9</f>
        <v>3418.5735364190086</v>
      </c>
      <c r="D122" s="340">
        <f>+B122-A122*'Presiones de casing'!$C$4</f>
        <v>826.079353558732</v>
      </c>
      <c r="E122" s="340">
        <f>+'Volumen de gas'!$C$1*Tabla!D122/14.7*520/'Volumen de gas'!$C$2*'Volumen de gas'!$C$4/'Volumen de gas'!$C$3</f>
        <v>12747.366318509945</v>
      </c>
      <c r="F122" s="340">
        <f t="shared" si="3"/>
        <v>421.4005394548742</v>
      </c>
    </row>
    <row r="123" spans="1:6" ht="12.75">
      <c r="A123" s="317">
        <v>30.5</v>
      </c>
      <c r="B123" s="339">
        <f>+('Presiones de casing'!$C$2+14.7+'Presiones de casing'!$C$3+('Presiones de casing'!$C$4+'Presiones de casing'!$C$8)*A123)*(1+'Presiones de casing'!$C$7/'Presiones de casing'!$C$13)</f>
        <v>2891.89730743686</v>
      </c>
      <c r="C123" s="339">
        <f>+B123*(Columna!$G$9+Columna!$B$7)/Columna!$G$9</f>
        <v>3445.195246834491</v>
      </c>
      <c r="D123" s="340">
        <f>+B123-A123*'Presiones de casing'!$C$4</f>
        <v>831.5374247458535</v>
      </c>
      <c r="E123" s="340">
        <f>+'Volumen de gas'!$C$1*Tabla!D123/14.7*520/'Volumen de gas'!$C$2*'Volumen de gas'!$C$4/'Volumen de gas'!$C$3</f>
        <v>12831.590712346942</v>
      </c>
      <c r="F123" s="340">
        <f t="shared" si="3"/>
        <v>420.7078922080965</v>
      </c>
    </row>
    <row r="124" spans="1:6" ht="12.75">
      <c r="A124" s="317">
        <v>30.75</v>
      </c>
      <c r="B124" s="339">
        <f>+('Presiones de casing'!$C$2+14.7+'Presiones de casing'!$C$3+('Presiones de casing'!$C$4+'Presiones de casing'!$C$8)*A124)*(1+'Presiones de casing'!$C$7/'Presiones de casing'!$C$13)</f>
        <v>2914.2435743837436</v>
      </c>
      <c r="C124" s="339">
        <f>+B124*(Columna!$G$9+Columna!$B$7)/Columna!$G$9</f>
        <v>3471.8169572499733</v>
      </c>
      <c r="D124" s="340">
        <f>+B124-A124*'Presiones de casing'!$C$4</f>
        <v>836.9954959329743</v>
      </c>
      <c r="E124" s="340">
        <f>+'Volumen de gas'!$C$1*Tabla!D124/14.7*520/'Volumen de gas'!$C$2*'Volumen de gas'!$C$4/'Volumen de gas'!$C$3</f>
        <v>12915.815106183929</v>
      </c>
      <c r="F124" s="340">
        <f t="shared" si="3"/>
        <v>420.0265075181766</v>
      </c>
    </row>
    <row r="125" spans="1:6" ht="12.75">
      <c r="A125" s="317">
        <v>31</v>
      </c>
      <c r="B125" s="339">
        <f>+('Presiones de casing'!$C$2+14.7+'Presiones de casing'!$C$3+('Presiones de casing'!$C$4+'Presiones de casing'!$C$8)*A125)*(1+'Presiones de casing'!$C$7/'Presiones de casing'!$C$13)</f>
        <v>2936.589841330627</v>
      </c>
      <c r="C125" s="339">
        <f>+B125*(Columna!$G$9+Columna!$B$7)/Columna!$G$9</f>
        <v>3498.4386676654567</v>
      </c>
      <c r="D125" s="340">
        <f>+B125-A125*'Presiones de casing'!$C$4</f>
        <v>842.4535671200956</v>
      </c>
      <c r="E125" s="340">
        <f>+'Volumen de gas'!$C$1*Tabla!D125/14.7*520/'Volumen de gas'!$C$2*'Volumen de gas'!$C$4/'Volumen de gas'!$C$3</f>
        <v>13000.039500020917</v>
      </c>
      <c r="F125" s="340">
        <f t="shared" si="3"/>
        <v>419.35611290390057</v>
      </c>
    </row>
    <row r="126" spans="1:6" ht="12.75">
      <c r="A126" s="317">
        <v>31.25</v>
      </c>
      <c r="B126" s="339">
        <f>+('Presiones de casing'!$C$2+14.7+'Presiones de casing'!$C$3+('Presiones de casing'!$C$4+'Presiones de casing'!$C$8)*A126)*(1+'Presiones de casing'!$C$7/'Presiones de casing'!$C$13)</f>
        <v>2958.9361082775094</v>
      </c>
      <c r="C126" s="339">
        <f>+B126*(Columna!$G$9+Columna!$B$7)/Columna!$G$9</f>
        <v>3525.0603780809374</v>
      </c>
      <c r="D126" s="340">
        <f>+B126-A126*'Presiones de casing'!$C$4</f>
        <v>847.9116383072155</v>
      </c>
      <c r="E126" s="340">
        <f>+'Volumen de gas'!$C$1*Tabla!D126/14.7*520/'Volumen de gas'!$C$2*'Volumen de gas'!$C$4/'Volumen de gas'!$C$3</f>
        <v>13084.263893857891</v>
      </c>
      <c r="F126" s="340">
        <f t="shared" si="3"/>
        <v>418.6964446034525</v>
      </c>
    </row>
    <row r="127" spans="1:6" ht="12.75">
      <c r="A127" s="317">
        <v>31.5</v>
      </c>
      <c r="B127" s="339">
        <f>+('Presiones de casing'!$C$2+14.7+'Presiones de casing'!$C$3+('Presiones de casing'!$C$4+'Presiones de casing'!$C$8)*A127)*(1+'Presiones de casing'!$C$7/'Presiones de casing'!$C$13)</f>
        <v>2981.282375224393</v>
      </c>
      <c r="C127" s="339">
        <f>+B127*(Columna!$G$9+Columna!$B$7)/Columna!$G$9</f>
        <v>3551.6820884964195</v>
      </c>
      <c r="D127" s="340">
        <f>+B127-A127*'Presiones de casing'!$C$4</f>
        <v>853.3697094943368</v>
      </c>
      <c r="E127" s="340">
        <f>+'Volumen de gas'!$C$1*Tabla!D127/14.7*520/'Volumen de gas'!$C$2*'Volumen de gas'!$C$4/'Volumen de gas'!$C$3</f>
        <v>13168.488287694887</v>
      </c>
      <c r="F127" s="340">
        <f t="shared" si="3"/>
        <v>418.0472472284091</v>
      </c>
    </row>
    <row r="128" spans="1:6" ht="12.75">
      <c r="A128" s="317">
        <v>31.75</v>
      </c>
      <c r="B128" s="339">
        <f>+('Presiones de casing'!$C$2+14.7+'Presiones de casing'!$C$3+('Presiones de casing'!$C$4+'Presiones de casing'!$C$8)*A128)*(1+'Presiones de casing'!$C$7/'Presiones de casing'!$C$13)</f>
        <v>3003.6286421712766</v>
      </c>
      <c r="C128" s="339">
        <f>+B128*(Columna!$G$9+Columna!$B$7)/Columna!$G$9</f>
        <v>3578.303798911903</v>
      </c>
      <c r="D128" s="340">
        <f>+B128-A128*'Presiones de casing'!$C$4</f>
        <v>858.8277806814581</v>
      </c>
      <c r="E128" s="340">
        <f>+'Volumen de gas'!$C$1*Tabla!D128/14.7*520/'Volumen de gas'!$C$2*'Volumen de gas'!$C$4/'Volumen de gas'!$C$3</f>
        <v>13252.712681531879</v>
      </c>
      <c r="F128" s="340">
        <f t="shared" si="3"/>
        <v>417.40827343407494</v>
      </c>
    </row>
    <row r="129" spans="1:6" ht="12.75">
      <c r="A129" s="317">
        <v>32</v>
      </c>
      <c r="B129" s="339">
        <f>+('Presiones de casing'!$C$2+14.7+'Presiones de casing'!$C$3+('Presiones de casing'!$C$4+'Presiones de casing'!$C$8)*A129)*(1+'Presiones de casing'!$C$7/'Presiones de casing'!$C$13)</f>
        <v>3025.97490911816</v>
      </c>
      <c r="C129" s="339">
        <f>+B129*(Columna!$G$9+Columna!$B$7)/Columna!$G$9</f>
        <v>3604.925509327385</v>
      </c>
      <c r="D129" s="340">
        <f>+B129-A129*'Presiones de casing'!$C$4</f>
        <v>864.2858518685794</v>
      </c>
      <c r="E129" s="340">
        <f>+'Volumen de gas'!$C$1*Tabla!D129/14.7*520/'Volumen de gas'!$C$2*'Volumen de gas'!$C$4/'Volumen de gas'!$C$3</f>
        <v>13336.937075368875</v>
      </c>
      <c r="F129" s="340">
        <f aca="true" t="shared" si="4" ref="F129:F192">+E129/A129</f>
        <v>416.7792836052773</v>
      </c>
    </row>
    <row r="130" spans="1:6" ht="12.75">
      <c r="A130" s="317">
        <v>32.25</v>
      </c>
      <c r="B130" s="339">
        <f>+('Presiones de casing'!$C$2+14.7+'Presiones de casing'!$C$3+('Presiones de casing'!$C$4+'Presiones de casing'!$C$8)*A130)*(1+'Presiones de casing'!$C$7/'Presiones de casing'!$C$13)</f>
        <v>3048.3211760650433</v>
      </c>
      <c r="C130" s="339">
        <f>+B130*(Columna!$G$9+Columna!$B$7)/Columna!$G$9</f>
        <v>3631.547219742867</v>
      </c>
      <c r="D130" s="340">
        <f>+B130-A130*'Presiones de casing'!$C$4</f>
        <v>869.7439230557002</v>
      </c>
      <c r="E130" s="340">
        <f>+'Volumen de gas'!$C$1*Tabla!D130/14.7*520/'Volumen de gas'!$C$2*'Volumen de gas'!$C$4/'Volumen de gas'!$C$3</f>
        <v>13421.161469205857</v>
      </c>
      <c r="F130" s="340">
        <f t="shared" si="4"/>
        <v>416.1600455567708</v>
      </c>
    </row>
    <row r="131" spans="1:6" ht="12.75">
      <c r="A131" s="317">
        <v>32.5</v>
      </c>
      <c r="B131" s="339">
        <f>+('Presiones de casing'!$C$2+14.7+'Presiones de casing'!$C$3+('Presiones de casing'!$C$4+'Presiones de casing'!$C$8)*A131)*(1+'Presiones de casing'!$C$7/'Presiones de casing'!$C$13)</f>
        <v>3070.667443011926</v>
      </c>
      <c r="C131" s="339">
        <f>+B131*(Columna!$G$9+Columna!$B$7)/Columna!$G$9</f>
        <v>3658.1689301583488</v>
      </c>
      <c r="D131" s="340">
        <f>+B131-A131*'Presiones de casing'!$C$4</f>
        <v>875.2019942428205</v>
      </c>
      <c r="E131" s="340">
        <f>+'Volumen de gas'!$C$1*Tabla!D131/14.7*520/'Volumen de gas'!$C$2*'Volumen de gas'!$C$4/'Volumen de gas'!$C$3</f>
        <v>13505.385863042837</v>
      </c>
      <c r="F131" s="340">
        <f t="shared" si="4"/>
        <v>415.5503342474719</v>
      </c>
    </row>
    <row r="132" spans="1:6" ht="12.75">
      <c r="A132" s="317">
        <v>32.75</v>
      </c>
      <c r="B132" s="339">
        <f>+('Presiones de casing'!$C$2+14.7+'Presiones de casing'!$C$3+('Presiones de casing'!$C$4+'Presiones de casing'!$C$8)*A132)*(1+'Presiones de casing'!$C$7/'Presiones de casing'!$C$13)</f>
        <v>3093.0137099588096</v>
      </c>
      <c r="C132" s="339">
        <f>+B132*(Columna!$G$9+Columna!$B$7)/Columna!$G$9</f>
        <v>3684.7906405738313</v>
      </c>
      <c r="D132" s="340">
        <f>+B132-A132*'Presiones de casing'!$C$4</f>
        <v>880.6600654299418</v>
      </c>
      <c r="E132" s="340">
        <f>+'Volumen de gas'!$C$1*Tabla!D132/14.7*520/'Volumen de gas'!$C$2*'Volumen de gas'!$C$4/'Volumen de gas'!$C$3</f>
        <v>13589.61025687983</v>
      </c>
      <c r="F132" s="340">
        <f t="shared" si="4"/>
        <v>414.94993150778106</v>
      </c>
    </row>
    <row r="133" spans="1:6" ht="12.75">
      <c r="A133" s="317">
        <v>33</v>
      </c>
      <c r="B133" s="339">
        <f>+('Presiones de casing'!$C$2+14.7+'Presiones de casing'!$C$3+('Presiones de casing'!$C$4+'Presiones de casing'!$C$8)*A133)*(1+'Presiones de casing'!$C$7/'Presiones de casing'!$C$13)</f>
        <v>3115.359976905693</v>
      </c>
      <c r="C133" s="339">
        <f>+B133*(Columna!$G$9+Columna!$B$7)/Columna!$G$9</f>
        <v>3711.412350989314</v>
      </c>
      <c r="D133" s="340">
        <f>+B133-A133*'Presiones de casing'!$C$4</f>
        <v>886.1181366170631</v>
      </c>
      <c r="E133" s="340">
        <f>+'Volumen de gas'!$C$1*Tabla!D133/14.7*520/'Volumen de gas'!$C$2*'Volumen de gas'!$C$4/'Volumen de gas'!$C$3</f>
        <v>13673.834650716824</v>
      </c>
      <c r="F133" s="340">
        <f t="shared" si="4"/>
        <v>414.3586257792977</v>
      </c>
    </row>
    <row r="134" spans="1:6" ht="12.75">
      <c r="A134" s="317">
        <v>33.25</v>
      </c>
      <c r="B134" s="339">
        <f>+('Presiones de casing'!$C$2+14.7+'Presiones de casing'!$C$3+('Presiones de casing'!$C$4+'Presiones de casing'!$C$8)*A134)*(1+'Presiones de casing'!$C$7/'Presiones de casing'!$C$13)</f>
        <v>3137.7062438525763</v>
      </c>
      <c r="C134" s="339">
        <f>+B134*(Columna!$G$9+Columna!$B$7)/Columna!$G$9</f>
        <v>3738.0340614047964</v>
      </c>
      <c r="D134" s="340">
        <f>+B134-A134*'Presiones de casing'!$C$4</f>
        <v>891.5762078041839</v>
      </c>
      <c r="E134" s="340">
        <f>+'Volumen de gas'!$C$1*Tabla!D134/14.7*520/'Volumen de gas'!$C$2*'Volumen de gas'!$C$4/'Volumen de gas'!$C$3</f>
        <v>13758.059044553811</v>
      </c>
      <c r="F134" s="340">
        <f t="shared" si="4"/>
        <v>413.77621186628005</v>
      </c>
    </row>
    <row r="135" spans="1:6" ht="12.75">
      <c r="A135" s="317">
        <v>33.5</v>
      </c>
      <c r="B135" s="339">
        <f>+('Presiones de casing'!$C$2+14.7+'Presiones de casing'!$C$3+('Presiones de casing'!$C$4+'Presiones de casing'!$C$8)*A135)*(1+'Presiones de casing'!$C$7/'Presiones de casing'!$C$13)</f>
        <v>3160.05251079946</v>
      </c>
      <c r="C135" s="339">
        <f>+B135*(Columna!$G$9+Columna!$B$7)/Columna!$G$9</f>
        <v>3764.655771820279</v>
      </c>
      <c r="D135" s="340">
        <f>+B135-A135*'Presiones de casing'!$C$4</f>
        <v>897.0342789913047</v>
      </c>
      <c r="E135" s="340">
        <f>+'Volumen de gas'!$C$1*Tabla!D135/14.7*520/'Volumen de gas'!$C$2*'Volumen de gas'!$C$4/'Volumen de gas'!$C$3</f>
        <v>13842.283438390798</v>
      </c>
      <c r="F135" s="340">
        <f t="shared" si="4"/>
        <v>413.20249069823274</v>
      </c>
    </row>
    <row r="136" spans="1:6" ht="12.75">
      <c r="A136" s="317">
        <v>33.75</v>
      </c>
      <c r="B136" s="339">
        <f>+('Presiones de casing'!$C$2+14.7+'Presiones de casing'!$C$3+('Presiones de casing'!$C$4+'Presiones de casing'!$C$8)*A136)*(1+'Presiones de casing'!$C$7/'Presiones de casing'!$C$13)</f>
        <v>3182.3987777463426</v>
      </c>
      <c r="C136" s="339">
        <f>+B136*(Columna!$G$9+Columna!$B$7)/Columna!$G$9</f>
        <v>3791.27748223576</v>
      </c>
      <c r="D136" s="340">
        <f>+B136-A136*'Presiones de casing'!$C$4</f>
        <v>902.4923501784251</v>
      </c>
      <c r="E136" s="340">
        <f>+'Volumen de gas'!$C$1*Tabla!D136/14.7*520/'Volumen de gas'!$C$2*'Volumen de gas'!$C$4/'Volumen de gas'!$C$3</f>
        <v>13926.507832227775</v>
      </c>
      <c r="F136" s="340">
        <f t="shared" si="4"/>
        <v>412.6372691030452</v>
      </c>
    </row>
    <row r="137" spans="1:6" ht="12.75">
      <c r="A137" s="317">
        <v>34</v>
      </c>
      <c r="B137" s="339">
        <f>+('Presiones de casing'!$C$2+14.7+'Presiones de casing'!$C$3+('Presiones de casing'!$C$4+'Presiones de casing'!$C$8)*A137)*(1+'Presiones de casing'!$C$7/'Presiones de casing'!$C$13)</f>
        <v>3204.745044693226</v>
      </c>
      <c r="C137" s="339">
        <f>+B137*(Columna!$G$9+Columna!$B$7)/Columna!$G$9</f>
        <v>3817.899192651243</v>
      </c>
      <c r="D137" s="340">
        <f>+B137-A137*'Presiones de casing'!$C$4</f>
        <v>907.9504213655464</v>
      </c>
      <c r="E137" s="340">
        <f>+'Volumen de gas'!$C$1*Tabla!D137/14.7*520/'Volumen de gas'!$C$2*'Volumen de gas'!$C$4/'Volumen de gas'!$C$3</f>
        <v>14010.732226064769</v>
      </c>
      <c r="F137" s="340">
        <f t="shared" si="4"/>
        <v>412.08035959014023</v>
      </c>
    </row>
    <row r="138" spans="1:6" ht="12.75">
      <c r="A138" s="317">
        <v>34.25</v>
      </c>
      <c r="B138" s="339">
        <f>+('Presiones de casing'!$C$2+14.7+'Presiones de casing'!$C$3+('Presiones de casing'!$C$4+'Presiones de casing'!$C$8)*A138)*(1+'Presiones de casing'!$C$7/'Presiones de casing'!$C$13)</f>
        <v>3227.0913116401093</v>
      </c>
      <c r="C138" s="339">
        <f>+B138*(Columna!$G$9+Columna!$B$7)/Columna!$G$9</f>
        <v>3844.520903066725</v>
      </c>
      <c r="D138" s="340">
        <f>+B138-A138*'Presiones de casing'!$C$4</f>
        <v>913.4084925526672</v>
      </c>
      <c r="E138" s="340">
        <f>+'Volumen de gas'!$C$1*Tabla!D138/14.7*520/'Volumen de gas'!$C$2*'Volumen de gas'!$C$4/'Volumen de gas'!$C$3</f>
        <v>14094.956619901752</v>
      </c>
      <c r="F138" s="340">
        <f t="shared" si="4"/>
        <v>411.53158014311686</v>
      </c>
    </row>
    <row r="139" spans="1:6" ht="12.75">
      <c r="A139" s="317">
        <v>34.5</v>
      </c>
      <c r="B139" s="339">
        <f>+('Presiones de casing'!$C$2+14.7+'Presiones de casing'!$C$3+('Presiones de casing'!$C$4+'Presiones de casing'!$C$8)*A139)*(1+'Presiones de casing'!$C$7/'Presiones de casing'!$C$13)</f>
        <v>3249.437578586993</v>
      </c>
      <c r="C139" s="339">
        <f>+B139*(Columna!$G$9+Columna!$B$7)/Columna!$G$9</f>
        <v>3871.1426134822077</v>
      </c>
      <c r="D139" s="340">
        <f>+B139-A139*'Presiones de casing'!$C$4</f>
        <v>918.8665637397885</v>
      </c>
      <c r="E139" s="340">
        <f>+'Volumen de gas'!$C$1*Tabla!D139/14.7*520/'Volumen de gas'!$C$2*'Volumen de gas'!$C$4/'Volumen de gas'!$C$3</f>
        <v>14179.181013738747</v>
      </c>
      <c r="F139" s="340">
        <f t="shared" si="4"/>
        <v>410.99075402141295</v>
      </c>
    </row>
    <row r="140" spans="1:6" ht="12.75">
      <c r="A140" s="317">
        <v>34.75</v>
      </c>
      <c r="B140" s="339">
        <f>+('Presiones de casing'!$C$2+14.7+'Presiones de casing'!$C$3+('Presiones de casing'!$C$4+'Presiones de casing'!$C$8)*A140)*(1+'Presiones de casing'!$C$7/'Presiones de casing'!$C$13)</f>
        <v>3271.7838455338765</v>
      </c>
      <c r="C140" s="339">
        <f>+B140*(Columna!$G$9+Columna!$B$7)/Columna!$G$9</f>
        <v>3897.7643238976907</v>
      </c>
      <c r="D140" s="340">
        <f>+B140-A140*'Presiones de casing'!$C$4</f>
        <v>924.3246349269098</v>
      </c>
      <c r="E140" s="340">
        <f>+'Volumen de gas'!$C$1*Tabla!D140/14.7*520/'Volumen de gas'!$C$2*'Volumen de gas'!$C$4/'Volumen de gas'!$C$3</f>
        <v>14263.405407575741</v>
      </c>
      <c r="F140" s="340">
        <f t="shared" si="4"/>
        <v>410.4577095705249</v>
      </c>
    </row>
    <row r="141" spans="1:6" ht="12.75">
      <c r="A141" s="317">
        <v>35</v>
      </c>
      <c r="B141" s="339">
        <f>+('Presiones de casing'!$C$2+14.7+'Presiones de casing'!$C$3+('Presiones de casing'!$C$4+'Presiones de casing'!$C$8)*A141)*(1+'Presiones de casing'!$C$7/'Presiones de casing'!$C$13)</f>
        <v>3294.1301124807587</v>
      </c>
      <c r="C141" s="339">
        <f>+B141*(Columna!$G$9+Columna!$B$7)/Columna!$G$9</f>
        <v>3924.3860343131714</v>
      </c>
      <c r="D141" s="340">
        <f>+B141-A141*'Presiones de casing'!$C$4</f>
        <v>929.7827061140297</v>
      </c>
      <c r="E141" s="340">
        <f>+'Volumen de gas'!$C$1*Tabla!D141/14.7*520/'Volumen de gas'!$C$2*'Volumen de gas'!$C$4/'Volumen de gas'!$C$3</f>
        <v>14347.629801412711</v>
      </c>
      <c r="F141" s="340">
        <f t="shared" si="4"/>
        <v>409.9322800403632</v>
      </c>
    </row>
    <row r="142" spans="1:6" ht="12.75">
      <c r="A142" s="317">
        <v>35.25</v>
      </c>
      <c r="B142" s="339">
        <f>+('Presiones de casing'!$C$2+14.7+'Presiones de casing'!$C$3+('Presiones de casing'!$C$4+'Presiones de casing'!$C$8)*A142)*(1+'Presiones de casing'!$C$7/'Presiones de casing'!$C$13)</f>
        <v>3316.4763794276423</v>
      </c>
      <c r="C142" s="339">
        <f>+B142*(Columna!$G$9+Columna!$B$7)/Columna!$G$9</f>
        <v>3951.007744728654</v>
      </c>
      <c r="D142" s="340">
        <f>+B142-A142*'Presiones de casing'!$C$4</f>
        <v>935.240777301151</v>
      </c>
      <c r="E142" s="340">
        <f>+'Volumen de gas'!$C$1*Tabla!D142/14.7*520/'Volumen de gas'!$C$2*'Volumen de gas'!$C$4/'Volumen de gas'!$C$3</f>
        <v>14431.854195249709</v>
      </c>
      <c r="F142" s="340">
        <f t="shared" si="4"/>
        <v>409.41430341133923</v>
      </c>
    </row>
    <row r="143" spans="1:6" ht="12.75">
      <c r="A143" s="317">
        <v>35.5</v>
      </c>
      <c r="B143" s="339">
        <f>+('Presiones de casing'!$C$2+14.7+'Presiones de casing'!$C$3+('Presiones de casing'!$C$4+'Presiones de casing'!$C$8)*A143)*(1+'Presiones de casing'!$C$7/'Presiones de casing'!$C$13)</f>
        <v>3338.822646374526</v>
      </c>
      <c r="C143" s="339">
        <f>+B143*(Columna!$G$9+Columna!$B$7)/Columna!$G$9</f>
        <v>3977.629455144137</v>
      </c>
      <c r="D143" s="340">
        <f>+B143-A143*'Presiones de casing'!$C$4</f>
        <v>940.6988484882722</v>
      </c>
      <c r="E143" s="340">
        <f>+'Volumen de gas'!$C$1*Tabla!D143/14.7*520/'Volumen de gas'!$C$2*'Volumen de gas'!$C$4/'Volumen de gas'!$C$3</f>
        <v>14516.0785890867</v>
      </c>
      <c r="F143" s="340">
        <f t="shared" si="4"/>
        <v>408.90362222779436</v>
      </c>
    </row>
    <row r="144" spans="1:6" ht="12.75">
      <c r="A144" s="317">
        <v>35.75</v>
      </c>
      <c r="B144" s="339">
        <f>+('Presiones de casing'!$C$2+14.7+'Presiones de casing'!$C$3+('Presiones de casing'!$C$4+'Presiones de casing'!$C$8)*A144)*(1+'Presiones de casing'!$C$7/'Presiones de casing'!$C$13)</f>
        <v>3361.1689133214095</v>
      </c>
      <c r="C144" s="339">
        <f>+B144*(Columna!$G$9+Columna!$B$7)/Columna!$G$9</f>
        <v>4004.2511655596195</v>
      </c>
      <c r="D144" s="340">
        <f>+B144-A144*'Presiones de casing'!$C$4</f>
        <v>946.1569196753935</v>
      </c>
      <c r="E144" s="340">
        <f>+'Volumen de gas'!$C$1*Tabla!D144/14.7*520/'Volumen de gas'!$C$2*'Volumen de gas'!$C$4/'Volumen de gas'!$C$3</f>
        <v>14600.302982923691</v>
      </c>
      <c r="F144" s="340">
        <f t="shared" si="4"/>
        <v>408.40008343842493</v>
      </c>
    </row>
    <row r="145" spans="1:6" ht="12.75">
      <c r="A145" s="317">
        <v>36</v>
      </c>
      <c r="B145" s="339">
        <f>+('Presiones de casing'!$C$2+14.7+'Presiones de casing'!$C$3+('Presiones de casing'!$C$4+'Presiones de casing'!$C$8)*A145)*(1+'Presiones de casing'!$C$7/'Presiones de casing'!$C$13)</f>
        <v>3383.5151802682926</v>
      </c>
      <c r="C145" s="339">
        <f>+B145*(Columna!$G$9+Columna!$B$7)/Columna!$G$9</f>
        <v>4030.872875975101</v>
      </c>
      <c r="D145" s="340">
        <f>+B145-A145*'Presiones de casing'!$C$4</f>
        <v>951.6149908625143</v>
      </c>
      <c r="E145" s="340">
        <f>+'Volumen de gas'!$C$1*Tabla!D145/14.7*520/'Volumen de gas'!$C$2*'Volumen de gas'!$C$4/'Volumen de gas'!$C$3</f>
        <v>14684.527376760678</v>
      </c>
      <c r="F145" s="340">
        <f t="shared" si="4"/>
        <v>407.90353824335216</v>
      </c>
    </row>
    <row r="146" spans="1:6" ht="12.75">
      <c r="A146" s="317">
        <v>36.25</v>
      </c>
      <c r="B146" s="339">
        <f>+('Presiones de casing'!$C$2+14.7+'Presiones de casing'!$C$3+('Presiones de casing'!$C$4+'Presiones de casing'!$C$8)*A146)*(1+'Presiones de casing'!$C$7/'Presiones de casing'!$C$13)</f>
        <v>3405.8614472151753</v>
      </c>
      <c r="C146" s="339">
        <f>+B146*(Columna!$G$9+Columna!$B$7)/Columna!$G$9</f>
        <v>4057.494586390583</v>
      </c>
      <c r="D146" s="340">
        <f>+B146-A146*'Presiones de casing'!$C$4</f>
        <v>957.0730620496347</v>
      </c>
      <c r="E146" s="340">
        <f>+'Volumen de gas'!$C$1*Tabla!D146/14.7*520/'Volumen de gas'!$C$2*'Volumen de gas'!$C$4/'Volumen de gas'!$C$3</f>
        <v>14768.751770597655</v>
      </c>
      <c r="F146" s="340">
        <f t="shared" si="4"/>
        <v>407.4138419475215</v>
      </c>
    </row>
    <row r="147" spans="1:6" ht="12.75">
      <c r="A147" s="317">
        <v>36.5</v>
      </c>
      <c r="B147" s="339">
        <f>+('Presiones de casing'!$C$2+14.7+'Presiones de casing'!$C$3+('Presiones de casing'!$C$4+'Presiones de casing'!$C$8)*A147)*(1+'Presiones de casing'!$C$7/'Presiones de casing'!$C$13)</f>
        <v>3428.207714162059</v>
      </c>
      <c r="C147" s="339">
        <f>+B147*(Columna!$G$9+Columna!$B$7)/Columna!$G$9</f>
        <v>4084.1162968060657</v>
      </c>
      <c r="D147" s="340">
        <f>+B147-A147*'Presiones de casing'!$C$4</f>
        <v>962.5311332367555</v>
      </c>
      <c r="E147" s="340">
        <f>+'Volumen de gas'!$C$1*Tabla!D147/14.7*520/'Volumen de gas'!$C$2*'Volumen de gas'!$C$4/'Volumen de gas'!$C$3</f>
        <v>14852.976164434647</v>
      </c>
      <c r="F147" s="340">
        <f t="shared" si="4"/>
        <v>406.9308538201273</v>
      </c>
    </row>
    <row r="148" spans="1:6" ht="12.75">
      <c r="A148" s="317">
        <v>36.75</v>
      </c>
      <c r="B148" s="339">
        <f>+('Presiones de casing'!$C$2+14.7+'Presiones de casing'!$C$3+('Presiones de casing'!$C$4+'Presiones de casing'!$C$8)*A148)*(1+'Presiones de casing'!$C$7/'Presiones de casing'!$C$13)</f>
        <v>3450.5539811089425</v>
      </c>
      <c r="C148" s="339">
        <f>+B148*(Columna!$G$9+Columna!$B$7)/Columna!$G$9</f>
        <v>4110.738007221548</v>
      </c>
      <c r="D148" s="340">
        <f>+B148-A148*'Presiones de casing'!$C$4</f>
        <v>967.9892044238768</v>
      </c>
      <c r="E148" s="340">
        <f>+'Volumen de gas'!$C$1*Tabla!D148/14.7*520/'Volumen de gas'!$C$2*'Volumen de gas'!$C$4/'Volumen de gas'!$C$3</f>
        <v>14937.200558271636</v>
      </c>
      <c r="F148" s="340">
        <f t="shared" si="4"/>
        <v>406.4544369597724</v>
      </c>
    </row>
    <row r="149" spans="1:6" ht="12.75">
      <c r="A149" s="317">
        <v>37</v>
      </c>
      <c r="B149" s="339">
        <f>+('Presiones de casing'!$C$2+14.7+'Presiones de casing'!$C$3+('Presiones de casing'!$C$4+'Presiones de casing'!$C$8)*A149)*(1+'Presiones de casing'!$C$7/'Presiones de casing'!$C$13)</f>
        <v>3472.9002480558256</v>
      </c>
      <c r="C149" s="339">
        <f>+B149*(Columna!$G$9+Columna!$B$7)/Columna!$G$9</f>
        <v>4137.35971763703</v>
      </c>
      <c r="D149" s="340">
        <f>+B149-A149*'Presiones de casing'!$C$4</f>
        <v>973.4472756109976</v>
      </c>
      <c r="E149" s="340">
        <f>+'Volumen de gas'!$C$1*Tabla!D149/14.7*520/'Volumen de gas'!$C$2*'Volumen de gas'!$C$4/'Volumen de gas'!$C$3</f>
        <v>15021.424952108624</v>
      </c>
      <c r="F149" s="340">
        <f t="shared" si="4"/>
        <v>405.9844581650979</v>
      </c>
    </row>
    <row r="150" spans="1:6" ht="12.75">
      <c r="A150" s="317">
        <v>37.25</v>
      </c>
      <c r="B150" s="339">
        <f>+('Presiones de casing'!$C$2+14.7+'Presiones de casing'!$C$3+('Presiones de casing'!$C$4+'Presiones de casing'!$C$8)*A150)*(1+'Presiones de casing'!$C$7/'Presiones de casing'!$C$13)</f>
        <v>3495.2465150027083</v>
      </c>
      <c r="C150" s="339">
        <f>+B150*(Columna!$G$9+Columna!$B$7)/Columna!$G$9</f>
        <v>4163.981428052512</v>
      </c>
      <c r="D150" s="340">
        <f>+B150-A150*'Presiones de casing'!$C$4</f>
        <v>978.905346798118</v>
      </c>
      <c r="E150" s="340">
        <f>+'Volumen de gas'!$C$1*Tabla!D150/14.7*520/'Volumen de gas'!$C$2*'Volumen de gas'!$C$4/'Volumen de gas'!$C$3</f>
        <v>15105.6493459456</v>
      </c>
      <c r="F150" s="340">
        <f t="shared" si="4"/>
        <v>405.5207878106201</v>
      </c>
    </row>
    <row r="151" spans="1:6" ht="12.75">
      <c r="A151" s="317">
        <v>37.5</v>
      </c>
      <c r="B151" s="339">
        <f>+('Presiones de casing'!$C$2+14.7+'Presiones de casing'!$C$3+('Presiones de casing'!$C$4+'Presiones de casing'!$C$8)*A151)*(1+'Presiones de casing'!$C$7/'Presiones de casing'!$C$13)</f>
        <v>3517.592781949592</v>
      </c>
      <c r="C151" s="339">
        <f>+B151*(Columna!$G$9+Columna!$B$7)/Columna!$G$9</f>
        <v>4190.6031384679945</v>
      </c>
      <c r="D151" s="340">
        <f>+B151-A151*'Presiones de casing'!$C$4</f>
        <v>984.3634179852393</v>
      </c>
      <c r="E151" s="340">
        <f>+'Volumen de gas'!$C$1*Tabla!D151/14.7*520/'Volumen de gas'!$C$2*'Volumen de gas'!$C$4/'Volumen de gas'!$C$3</f>
        <v>15189.873739782597</v>
      </c>
      <c r="F151" s="340">
        <f t="shared" si="4"/>
        <v>405.06329972753593</v>
      </c>
    </row>
    <row r="152" spans="1:6" ht="12.75">
      <c r="A152" s="317">
        <v>37.75</v>
      </c>
      <c r="B152" s="339">
        <f>+('Presiones de casing'!$C$2+14.7+'Presiones de casing'!$C$3+('Presiones de casing'!$C$4+'Presiones de casing'!$C$8)*A152)*(1+'Presiones de casing'!$C$7/'Presiones de casing'!$C$13)</f>
        <v>3539.9390488964755</v>
      </c>
      <c r="C152" s="339">
        <f>+B152*(Columna!$G$9+Columna!$B$7)/Columna!$G$9</f>
        <v>4217.2248488834775</v>
      </c>
      <c r="D152" s="340">
        <f>+B152-A152*'Presiones de casing'!$C$4</f>
        <v>989.8214891723605</v>
      </c>
      <c r="E152" s="340">
        <f>+'Volumen de gas'!$C$1*Tabla!D152/14.7*520/'Volumen de gas'!$C$2*'Volumen de gas'!$C$4/'Volumen de gas'!$C$3</f>
        <v>15274.098133619591</v>
      </c>
      <c r="F152" s="340">
        <f t="shared" si="4"/>
        <v>404.61187108926066</v>
      </c>
    </row>
    <row r="153" spans="1:6" ht="12.75">
      <c r="A153" s="317">
        <v>38</v>
      </c>
      <c r="B153" s="339">
        <f>+('Presiones de casing'!$C$2+14.7+'Presiones de casing'!$C$3+('Presiones de casing'!$C$4+'Presiones de casing'!$C$8)*A153)*(1+'Presiones de casing'!$C$7/'Presiones de casing'!$C$13)</f>
        <v>3562.2853158433586</v>
      </c>
      <c r="C153" s="339">
        <f>+B153*(Columna!$G$9+Columna!$B$7)/Columna!$G$9</f>
        <v>4243.84655929896</v>
      </c>
      <c r="D153" s="340">
        <f>+B153-A153*'Presiones de casing'!$C$4</f>
        <v>995.2795603594814</v>
      </c>
      <c r="E153" s="340">
        <f>+'Volumen de gas'!$C$1*Tabla!D153/14.7*520/'Volumen de gas'!$C$2*'Volumen de gas'!$C$4/'Volumen de gas'!$C$3</f>
        <v>15358.322527456574</v>
      </c>
      <c r="F153" s="340">
        <f t="shared" si="4"/>
        <v>404.1663823014888</v>
      </c>
    </row>
    <row r="154" spans="1:6" ht="12.75">
      <c r="A154" s="317">
        <v>38.25</v>
      </c>
      <c r="B154" s="339">
        <f>+('Presiones de casing'!$C$2+14.7+'Presiones de casing'!$C$3+('Presiones de casing'!$C$4+'Presiones de casing'!$C$8)*A154)*(1+'Presiones de casing'!$C$7/'Presiones de casing'!$C$13)</f>
        <v>3584.631582790242</v>
      </c>
      <c r="C154" s="339">
        <f>+B154*(Columna!$G$9+Columna!$B$7)/Columna!$G$9</f>
        <v>4270.468269714442</v>
      </c>
      <c r="D154" s="340">
        <f>+B154-A154*'Presiones de casing'!$C$4</f>
        <v>1000.7376315466026</v>
      </c>
      <c r="E154" s="340">
        <f>+'Volumen de gas'!$C$1*Tabla!D154/14.7*520/'Volumen de gas'!$C$2*'Volumen de gas'!$C$4/'Volumen de gas'!$C$3</f>
        <v>15442.546921293568</v>
      </c>
      <c r="F154" s="340">
        <f t="shared" si="4"/>
        <v>403.72671689656386</v>
      </c>
    </row>
    <row r="155" spans="1:6" ht="12.75">
      <c r="A155" s="317">
        <v>38.5</v>
      </c>
      <c r="B155" s="339">
        <f>+('Presiones de casing'!$C$2+14.7+'Presiones de casing'!$C$3+('Presiones de casing'!$C$4+'Presiones de casing'!$C$8)*A155)*(1+'Presiones de casing'!$C$7/'Presiones de casing'!$C$13)</f>
        <v>3606.977849737125</v>
      </c>
      <c r="C155" s="339">
        <f>+B155*(Columna!$G$9+Columna!$B$7)/Columna!$G$9</f>
        <v>4297.089980129924</v>
      </c>
      <c r="D155" s="340">
        <f>+B155-A155*'Presiones de casing'!$C$4</f>
        <v>1006.195702733723</v>
      </c>
      <c r="E155" s="340">
        <f>+'Volumen de gas'!$C$1*Tabla!D155/14.7*520/'Volumen de gas'!$C$2*'Volumen de gas'!$C$4/'Volumen de gas'!$C$3</f>
        <v>15526.771315130545</v>
      </c>
      <c r="F155" s="340">
        <f t="shared" si="4"/>
        <v>403.2927614319622</v>
      </c>
    </row>
    <row r="156" spans="1:6" ht="12.75">
      <c r="A156" s="317">
        <v>38.75</v>
      </c>
      <c r="B156" s="339">
        <f>+('Presiones de casing'!$C$2+14.7+'Presiones de casing'!$C$3+('Presiones de casing'!$C$4+'Presiones de casing'!$C$8)*A156)*(1+'Presiones de casing'!$C$7/'Presiones de casing'!$C$13)</f>
        <v>3629.3241166840085</v>
      </c>
      <c r="C156" s="339">
        <f>+B156*(Columna!$G$9+Columna!$B$7)/Columna!$G$9</f>
        <v>4323.711690545406</v>
      </c>
      <c r="D156" s="340">
        <f>+B156-A156*'Presiones de casing'!$C$4</f>
        <v>1011.6537739208443</v>
      </c>
      <c r="E156" s="340">
        <f>+'Volumen de gas'!$C$1*Tabla!D156/14.7*520/'Volumen de gas'!$C$2*'Volumen de gas'!$C$4/'Volumen de gas'!$C$3</f>
        <v>15610.995708967539</v>
      </c>
      <c r="F156" s="340">
        <f t="shared" si="4"/>
        <v>402.8644053927107</v>
      </c>
    </row>
    <row r="157" spans="1:6" ht="12.75">
      <c r="A157" s="317">
        <v>39</v>
      </c>
      <c r="B157" s="339">
        <f>+('Presiones de casing'!$C$2+14.7+'Presiones de casing'!$C$3+('Presiones de casing'!$C$4+'Presiones de casing'!$C$8)*A157)*(1+'Presiones de casing'!$C$7/'Presiones de casing'!$C$13)</f>
        <v>3651.6703836308916</v>
      </c>
      <c r="C157" s="339">
        <f>+B157*(Columna!$G$9+Columna!$B$7)/Columna!$G$9</f>
        <v>4350.333400960888</v>
      </c>
      <c r="D157" s="340">
        <f>+B157-A157*'Presiones de casing'!$C$4</f>
        <v>1017.1118451079651</v>
      </c>
      <c r="E157" s="340">
        <f>+'Volumen de gas'!$C$1*Tabla!D157/14.7*520/'Volumen de gas'!$C$2*'Volumen de gas'!$C$4/'Volumen de gas'!$C$3</f>
        <v>15695.220102804526</v>
      </c>
      <c r="F157" s="340">
        <f t="shared" si="4"/>
        <v>402.4415410975519</v>
      </c>
    </row>
    <row r="158" spans="1:6" ht="12.75">
      <c r="A158" s="317">
        <v>39.25</v>
      </c>
      <c r="B158" s="339">
        <f>+('Presiones de casing'!$C$2+14.7+'Presiones de casing'!$C$3+('Presiones de casing'!$C$4+'Presiones de casing'!$C$8)*A158)*(1+'Presiones de casing'!$C$7/'Presiones de casing'!$C$13)</f>
        <v>3674.016650577775</v>
      </c>
      <c r="C158" s="339">
        <f>+B158*(Columna!$G$9+Columna!$B$7)/Columna!$G$9</f>
        <v>4376.95511137637</v>
      </c>
      <c r="D158" s="340">
        <f>+B158-A158*'Presiones de casing'!$C$4</f>
        <v>1022.5699162950864</v>
      </c>
      <c r="E158" s="340">
        <f>+'Volumen de gas'!$C$1*Tabla!D158/14.7*520/'Volumen de gas'!$C$2*'Volumen de gas'!$C$4/'Volumen de gas'!$C$3</f>
        <v>15779.44449664152</v>
      </c>
      <c r="F158" s="340">
        <f t="shared" si="4"/>
        <v>402.0240636087011</v>
      </c>
    </row>
    <row r="159" spans="1:6" ht="12.75">
      <c r="A159" s="317">
        <v>39.5</v>
      </c>
      <c r="B159" s="339">
        <f>+('Presiones de casing'!$C$2+14.7+'Presiones de casing'!$C$3+('Presiones de casing'!$C$4+'Presiones de casing'!$C$8)*A159)*(1+'Presiones de casing'!$C$7/'Presiones de casing'!$C$13)</f>
        <v>3696.3629175246588</v>
      </c>
      <c r="C159" s="339">
        <f>+B159*(Columna!$G$9+Columna!$B$7)/Columna!$G$9</f>
        <v>4403.576821791853</v>
      </c>
      <c r="D159" s="340">
        <f>+B159-A159*'Presiones de casing'!$C$4</f>
        <v>1028.0279874822072</v>
      </c>
      <c r="E159" s="340">
        <f>+'Volumen de gas'!$C$1*Tabla!D159/14.7*520/'Volumen de gas'!$C$2*'Volumen de gas'!$C$4/'Volumen de gas'!$C$3</f>
        <v>15863.668890478506</v>
      </c>
      <c r="F159" s="340">
        <f t="shared" si="4"/>
        <v>401.6118706450255</v>
      </c>
    </row>
    <row r="160" spans="1:6" ht="12.75">
      <c r="A160" s="317">
        <v>39.75</v>
      </c>
      <c r="B160" s="339">
        <f>+('Presiones de casing'!$C$2+14.7+'Presiones de casing'!$C$3+('Presiones de casing'!$C$4+'Presiones de casing'!$C$8)*A160)*(1+'Presiones de casing'!$C$7/'Presiones de casing'!$C$13)</f>
        <v>3718.7091844715414</v>
      </c>
      <c r="C160" s="339">
        <f>+B160*(Columna!$G$9+Columna!$B$7)/Columna!$G$9</f>
        <v>4430.198532207335</v>
      </c>
      <c r="D160" s="340">
        <f>+B160-A160*'Presiones de casing'!$C$4</f>
        <v>1033.4860586693276</v>
      </c>
      <c r="E160" s="340">
        <f>+'Volumen de gas'!$C$1*Tabla!D160/14.7*520/'Volumen de gas'!$C$2*'Volumen de gas'!$C$4/'Volumen de gas'!$C$3</f>
        <v>15947.893284315483</v>
      </c>
      <c r="F160" s="340">
        <f t="shared" si="4"/>
        <v>401.20486249850273</v>
      </c>
    </row>
    <row r="161" spans="1:6" ht="12.75">
      <c r="A161" s="317">
        <v>40</v>
      </c>
      <c r="B161" s="339">
        <f>+('Presiones de casing'!$C$2+14.7+'Presiones de casing'!$C$3+('Presiones de casing'!$C$4+'Presiones de casing'!$C$8)*A161)*(1+'Presiones de casing'!$C$7/'Presiones de casing'!$C$13)</f>
        <v>3741.0554514184246</v>
      </c>
      <c r="C161" s="339">
        <f>+B161*(Columna!$G$9+Columna!$B$7)/Columna!$G$9</f>
        <v>4456.820242622817</v>
      </c>
      <c r="D161" s="340">
        <f>+B161-A161*'Presiones de casing'!$C$4</f>
        <v>1038.9441298564484</v>
      </c>
      <c r="E161" s="340">
        <f>+'Volumen de gas'!$C$1*Tabla!D161/14.7*520/'Volumen de gas'!$C$2*'Volumen de gas'!$C$4/'Volumen de gas'!$C$3</f>
        <v>16032.11767815247</v>
      </c>
      <c r="F161" s="340">
        <f t="shared" si="4"/>
        <v>400.80294195381174</v>
      </c>
    </row>
    <row r="162" spans="1:6" ht="12.75">
      <c r="A162" s="317">
        <v>40.25</v>
      </c>
      <c r="B162" s="339">
        <f>+('Presiones de casing'!$C$2+14.7+'Presiones de casing'!$C$3+('Presiones de casing'!$C$4+'Presiones de casing'!$C$8)*A162)*(1+'Presiones de casing'!$C$7/'Presiones de casing'!$C$13)</f>
        <v>3763.401718365308</v>
      </c>
      <c r="C162" s="339">
        <f>+B162*(Columna!$G$9+Columna!$B$7)/Columna!$G$9</f>
        <v>4483.441953038299</v>
      </c>
      <c r="D162" s="340">
        <f>+B162-A162*'Presiones de casing'!$C$4</f>
        <v>1044.4022010435697</v>
      </c>
      <c r="E162" s="340">
        <f>+'Volumen de gas'!$C$1*Tabla!D162/14.7*520/'Volumen de gas'!$C$2*'Volumen de gas'!$C$4/'Volumen de gas'!$C$3</f>
        <v>16116.342071989464</v>
      </c>
      <c r="F162" s="340">
        <f t="shared" si="4"/>
        <v>400.40601421091833</v>
      </c>
    </row>
    <row r="163" spans="1:6" ht="12.75">
      <c r="A163" s="317">
        <v>40.5</v>
      </c>
      <c r="B163" s="339">
        <f>+('Presiones de casing'!$C$2+14.7+'Presiones de casing'!$C$3+('Presiones de casing'!$C$4+'Presiones de casing'!$C$8)*A163)*(1+'Presiones de casing'!$C$7/'Presiones de casing'!$C$13)</f>
        <v>3785.7479853121918</v>
      </c>
      <c r="C163" s="339">
        <f>+B163*(Columna!$G$9+Columna!$B$7)/Columna!$G$9</f>
        <v>4510.063663453782</v>
      </c>
      <c r="D163" s="340">
        <f>+B163-A163*'Presiones de casing'!$C$4</f>
        <v>1049.860272230691</v>
      </c>
      <c r="E163" s="340">
        <f>+'Volumen de gas'!$C$1*Tabla!D163/14.7*520/'Volumen de gas'!$C$2*'Volumen de gas'!$C$4/'Volumen de gas'!$C$3</f>
        <v>16200.566465826454</v>
      </c>
      <c r="F163" s="340">
        <f t="shared" si="4"/>
        <v>400.01398681052973</v>
      </c>
    </row>
    <row r="164" spans="1:6" ht="12.75">
      <c r="A164" s="317">
        <v>40.75</v>
      </c>
      <c r="B164" s="339">
        <f>+('Presiones de casing'!$C$2+14.7+'Presiones de casing'!$C$3+('Presiones de casing'!$C$4+'Presiones de casing'!$C$8)*A164)*(1+'Presiones de casing'!$C$7/'Presiones de casing'!$C$13)</f>
        <v>3808.0942522590753</v>
      </c>
      <c r="C164" s="339">
        <f>+B164*(Columna!$G$9+Columna!$B$7)/Columna!$G$9</f>
        <v>4536.685373869264</v>
      </c>
      <c r="D164" s="340">
        <f>+B164-A164*'Presiones de casing'!$C$4</f>
        <v>1055.3183434178122</v>
      </c>
      <c r="E164" s="340">
        <f>+'Volumen de gas'!$C$1*Tabla!D164/14.7*520/'Volumen de gas'!$C$2*'Volumen de gas'!$C$4/'Volumen de gas'!$C$3</f>
        <v>16284.790859663452</v>
      </c>
      <c r="F164" s="340">
        <f t="shared" si="4"/>
        <v>399.6267695622933</v>
      </c>
    </row>
    <row r="165" spans="1:6" ht="12.75">
      <c r="A165" s="317">
        <v>41</v>
      </c>
      <c r="B165" s="339">
        <f>+('Presiones de casing'!$C$2+14.7+'Presiones de casing'!$C$3+('Presiones de casing'!$C$4+'Presiones de casing'!$C$8)*A165)*(1+'Presiones de casing'!$C$7/'Presiones de casing'!$C$13)</f>
        <v>3830.4405192059576</v>
      </c>
      <c r="C165" s="339">
        <f>+B165*(Columna!$G$9+Columna!$B$7)/Columna!$G$9</f>
        <v>4563.3070842847455</v>
      </c>
      <c r="D165" s="340">
        <f>+B165-A165*'Presiones de casing'!$C$4</f>
        <v>1060.7764146049321</v>
      </c>
      <c r="E165" s="340">
        <f>+'Volumen de gas'!$C$1*Tabla!D165/14.7*520/'Volumen de gas'!$C$2*'Volumen de gas'!$C$4/'Volumen de gas'!$C$3</f>
        <v>16369.015253500422</v>
      </c>
      <c r="F165" s="340">
        <f t="shared" si="4"/>
        <v>399.24427447562005</v>
      </c>
    </row>
    <row r="166" spans="1:6" ht="12.75">
      <c r="A166" s="317">
        <v>41.25</v>
      </c>
      <c r="B166" s="339">
        <f>+('Presiones de casing'!$C$2+14.7+'Presiones de casing'!$C$3+('Presiones de casing'!$C$4+'Presiones de casing'!$C$8)*A166)*(1+'Presiones de casing'!$C$7/'Presiones de casing'!$C$13)</f>
        <v>3852.786786152841</v>
      </c>
      <c r="C166" s="339">
        <f>+B166*(Columna!$G$9+Columna!$B$7)/Columna!$G$9</f>
        <v>4589.9287947002285</v>
      </c>
      <c r="D166" s="340">
        <f>+B166-A166*'Presiones de casing'!$C$4</f>
        <v>1066.2344857920534</v>
      </c>
      <c r="E166" s="340">
        <f>+'Volumen de gas'!$C$1*Tabla!D166/14.7*520/'Volumen de gas'!$C$2*'Volumen de gas'!$C$4/'Volumen de gas'!$C$3</f>
        <v>16453.239647337414</v>
      </c>
      <c r="F166" s="340">
        <f t="shared" si="4"/>
        <v>398.8664156930282</v>
      </c>
    </row>
    <row r="167" spans="1:6" ht="12.75">
      <c r="A167" s="317">
        <v>41.5</v>
      </c>
      <c r="B167" s="339">
        <f>+('Presiones de casing'!$C$2+14.7+'Presiones de casing'!$C$3+('Presiones de casing'!$C$4+'Presiones de casing'!$C$8)*A167)*(1+'Presiones de casing'!$C$7/'Presiones de casing'!$C$13)</f>
        <v>3875.1330530997247</v>
      </c>
      <c r="C167" s="339">
        <f>+B167*(Columna!$G$9+Columna!$B$7)/Columna!$G$9</f>
        <v>4616.550505115711</v>
      </c>
      <c r="D167" s="340">
        <f>+B167-A167*'Presiones de casing'!$C$4</f>
        <v>1071.6925569791747</v>
      </c>
      <c r="E167" s="340">
        <f>+'Volumen de gas'!$C$1*Tabla!D167/14.7*520/'Volumen de gas'!$C$2*'Volumen de gas'!$C$4/'Volumen de gas'!$C$3</f>
        <v>16537.46404117441</v>
      </c>
      <c r="F167" s="340">
        <f t="shared" si="4"/>
        <v>398.49310942588943</v>
      </c>
    </row>
    <row r="168" spans="1:6" ht="12.75">
      <c r="A168" s="317">
        <v>41.75</v>
      </c>
      <c r="B168" s="339">
        <f>+('Presiones de casing'!$C$2+14.7+'Presiones de casing'!$C$3+('Presiones de casing'!$C$4+'Presiones de casing'!$C$8)*A168)*(1+'Presiones de casing'!$C$7/'Presiones de casing'!$C$13)</f>
        <v>3897.4793200466083</v>
      </c>
      <c r="C168" s="339">
        <f>+B168*(Columna!$G$9+Columna!$B$7)/Columna!$G$9</f>
        <v>4643.172215531194</v>
      </c>
      <c r="D168" s="340">
        <f>+B168-A168*'Presiones de casing'!$C$4</f>
        <v>1077.150628166296</v>
      </c>
      <c r="E168" s="340">
        <f>+'Volumen de gas'!$C$1*Tabla!D168/14.7*520/'Volumen de gas'!$C$2*'Volumen de gas'!$C$4/'Volumen de gas'!$C$3</f>
        <v>16621.6884350114</v>
      </c>
      <c r="F168" s="340">
        <f t="shared" si="4"/>
        <v>398.12427389248865</v>
      </c>
    </row>
    <row r="169" spans="1:6" ht="12.75">
      <c r="A169" s="317">
        <v>42</v>
      </c>
      <c r="B169" s="339">
        <f>+('Presiones de casing'!$C$2+14.7+'Presiones de casing'!$C$3+('Presiones de casing'!$C$4+'Presiones de casing'!$C$8)*A169)*(1+'Presiones de casing'!$C$7/'Presiones de casing'!$C$13)</f>
        <v>3919.8255869934915</v>
      </c>
      <c r="C169" s="339">
        <f>+B169*(Columna!$G$9+Columna!$B$7)/Columna!$G$9</f>
        <v>4669.793925946676</v>
      </c>
      <c r="D169" s="340">
        <f>+B169-A169*'Presiones de casing'!$C$4</f>
        <v>1082.6086993534168</v>
      </c>
      <c r="E169" s="340">
        <f>+'Volumen de gas'!$C$1*Tabla!D169/14.7*520/'Volumen de gas'!$C$2*'Volumen de gas'!$C$4/'Volumen de gas'!$C$3</f>
        <v>16705.912828848388</v>
      </c>
      <c r="F169" s="340">
        <f t="shared" si="4"/>
        <v>397.75982925829493</v>
      </c>
    </row>
    <row r="170" spans="1:6" ht="12.75">
      <c r="A170" s="317">
        <v>42.25</v>
      </c>
      <c r="B170" s="339">
        <f>+('Presiones de casing'!$C$2+14.7+'Presiones de casing'!$C$3+('Presiones de casing'!$C$4+'Presiones de casing'!$C$8)*A170)*(1+'Presiones de casing'!$C$7/'Presiones de casing'!$C$13)</f>
        <v>3942.171853940374</v>
      </c>
      <c r="C170" s="339">
        <f>+B170*(Columna!$G$9+Columna!$B$7)/Columna!$G$9</f>
        <v>4696.415636362157</v>
      </c>
      <c r="D170" s="340">
        <f>+B170-A170*'Presiones de casing'!$C$4</f>
        <v>1088.0667705405367</v>
      </c>
      <c r="E170" s="340">
        <f>+'Volumen de gas'!$C$1*Tabla!D170/14.7*520/'Volumen de gas'!$C$2*'Volumen de gas'!$C$4/'Volumen de gas'!$C$3</f>
        <v>16790.13722268536</v>
      </c>
      <c r="F170" s="340">
        <f t="shared" si="4"/>
        <v>397.3996975783517</v>
      </c>
    </row>
    <row r="171" spans="1:6" ht="12.75">
      <c r="A171" s="317">
        <v>42.5</v>
      </c>
      <c r="B171" s="339">
        <f>+('Presiones de casing'!$C$2+14.7+'Presiones de casing'!$C$3+('Presiones de casing'!$C$4+'Presiones de casing'!$C$8)*A171)*(1+'Presiones de casing'!$C$7/'Presiones de casing'!$C$13)</f>
        <v>3964.5181208872577</v>
      </c>
      <c r="C171" s="339">
        <f>+B171*(Columna!$G$9+Columna!$B$7)/Columna!$G$9</f>
        <v>4723.03734677764</v>
      </c>
      <c r="D171" s="340">
        <f>+B171-A171*'Presiones de casing'!$C$4</f>
        <v>1093.524841727658</v>
      </c>
      <c r="E171" s="340">
        <f>+'Volumen de gas'!$C$1*Tabla!D171/14.7*520/'Volumen de gas'!$C$2*'Volumen de gas'!$C$4/'Volumen de gas'!$C$3</f>
        <v>16874.361616522354</v>
      </c>
      <c r="F171" s="340">
        <f t="shared" si="4"/>
        <v>397.04380274170245</v>
      </c>
    </row>
    <row r="172" spans="1:6" ht="12.75">
      <c r="A172" s="317">
        <v>42.75</v>
      </c>
      <c r="B172" s="339">
        <f>+('Presiones de casing'!$C$2+14.7+'Presiones de casing'!$C$3+('Presiones de casing'!$C$4+'Presiones de casing'!$C$8)*A172)*(1+'Presiones de casing'!$C$7/'Presiones de casing'!$C$13)</f>
        <v>3986.8643878341413</v>
      </c>
      <c r="C172" s="339">
        <f>+B172*(Columna!$G$9+Columna!$B$7)/Columna!$G$9</f>
        <v>4749.659057193123</v>
      </c>
      <c r="D172" s="340">
        <f>+B172-A172*'Presiones de casing'!$C$4</f>
        <v>1098.9829129147793</v>
      </c>
      <c r="E172" s="340">
        <f>+'Volumen de gas'!$C$1*Tabla!D172/14.7*520/'Volumen de gas'!$C$2*'Volumen de gas'!$C$4/'Volumen de gas'!$C$3</f>
        <v>16958.586010359348</v>
      </c>
      <c r="F172" s="340">
        <f t="shared" si="4"/>
        <v>396.6920704177625</v>
      </c>
    </row>
    <row r="173" spans="1:6" ht="12.75">
      <c r="A173" s="317">
        <v>43</v>
      </c>
      <c r="B173" s="339">
        <f>+('Presiones de casing'!$C$2+14.7+'Presiones de casing'!$C$3+('Presiones de casing'!$C$4+'Presiones de casing'!$C$8)*A173)*(1+'Presiones de casing'!$C$7/'Presiones de casing'!$C$13)</f>
        <v>4009.2106547810245</v>
      </c>
      <c r="C173" s="339">
        <f>+B173*(Columna!$G$9+Columna!$B$7)/Columna!$G$9</f>
        <v>4776.280767608605</v>
      </c>
      <c r="D173" s="340">
        <f>+B173-A173*'Presiones de casing'!$C$4</f>
        <v>1104.4409841019</v>
      </c>
      <c r="E173" s="340">
        <f>+'Volumen de gas'!$C$1*Tabla!D173/14.7*520/'Volumen de gas'!$C$2*'Volumen de gas'!$C$4/'Volumen de gas'!$C$3</f>
        <v>17042.810404196334</v>
      </c>
      <c r="F173" s="340">
        <f t="shared" si="4"/>
        <v>396.34442800456594</v>
      </c>
    </row>
    <row r="174" spans="1:6" ht="12.75">
      <c r="A174" s="317">
        <v>43.25</v>
      </c>
      <c r="B174" s="339">
        <f>+('Presiones de casing'!$C$2+14.7+'Presiones de casing'!$C$3+('Presiones de casing'!$C$4+'Presiones de casing'!$C$8)*A174)*(1+'Presiones de casing'!$C$7/'Presiones de casing'!$C$13)</f>
        <v>4031.556921727908</v>
      </c>
      <c r="C174" s="339">
        <f>+B174*(Columna!$G$9+Columna!$B$7)/Columna!$G$9</f>
        <v>4802.902478024088</v>
      </c>
      <c r="D174" s="340">
        <f>+B174-A174*'Presiones de casing'!$C$4</f>
        <v>1109.8990552890214</v>
      </c>
      <c r="E174" s="340">
        <f>+'Volumen de gas'!$C$1*Tabla!D174/14.7*520/'Volumen de gas'!$C$2*'Volumen de gas'!$C$4/'Volumen de gas'!$C$3</f>
        <v>17127.034798033324</v>
      </c>
      <c r="F174" s="340">
        <f t="shared" si="4"/>
        <v>396.0008045788052</v>
      </c>
    </row>
    <row r="175" spans="1:6" ht="12.75">
      <c r="A175" s="317">
        <v>43.5</v>
      </c>
      <c r="B175" s="339">
        <f>+('Presiones de casing'!$C$2+14.7+'Presiones de casing'!$C$3+('Presiones de casing'!$C$4+'Presiones de casing'!$C$8)*A175)*(1+'Presiones de casing'!$C$7/'Presiones de casing'!$C$13)</f>
        <v>4053.9031886747907</v>
      </c>
      <c r="C175" s="339">
        <f>+B175*(Columna!$G$9+Columna!$B$7)/Columna!$G$9</f>
        <v>4829.524188439569</v>
      </c>
      <c r="D175" s="340">
        <f>+B175-A175*'Presiones de casing'!$C$4</f>
        <v>1115.3571264761417</v>
      </c>
      <c r="E175" s="340">
        <f>+'Volumen de gas'!$C$1*Tabla!D175/14.7*520/'Volumen de gas'!$C$2*'Volumen de gas'!$C$4/'Volumen de gas'!$C$3</f>
        <v>17211.259191870304</v>
      </c>
      <c r="F175" s="340">
        <f t="shared" si="4"/>
        <v>395.6611308475932</v>
      </c>
    </row>
    <row r="176" spans="1:6" ht="12.75">
      <c r="A176" s="317">
        <v>43.75</v>
      </c>
      <c r="B176" s="339">
        <f>+('Presiones de casing'!$C$2+14.7+'Presiones de casing'!$C$3+('Presiones de casing'!$C$4+'Presiones de casing'!$C$8)*A176)*(1+'Presiones de casing'!$C$7/'Presiones de casing'!$C$13)</f>
        <v>4076.249455621674</v>
      </c>
      <c r="C176" s="339">
        <f>+B176*(Columna!$G$9+Columna!$B$7)/Columna!$G$9</f>
        <v>4856.145898855051</v>
      </c>
      <c r="D176" s="340">
        <f>+B176-A176*'Presiones de casing'!$C$4</f>
        <v>1120.8151976632626</v>
      </c>
      <c r="E176" s="340">
        <f>+'Volumen de gas'!$C$1*Tabla!D176/14.7*520/'Volumen de gas'!$C$2*'Volumen de gas'!$C$4/'Volumen de gas'!$C$3</f>
        <v>17295.48358570729</v>
      </c>
      <c r="F176" s="340">
        <f t="shared" si="4"/>
        <v>395.3253391018809</v>
      </c>
    </row>
    <row r="177" spans="1:6" ht="12.75">
      <c r="A177" s="317">
        <v>44</v>
      </c>
      <c r="B177" s="339">
        <f>+('Presiones de casing'!$C$2+14.7+'Presiones de casing'!$C$3+('Presiones de casing'!$C$4+'Presiones de casing'!$C$8)*A177)*(1+'Presiones de casing'!$C$7/'Presiones de casing'!$C$13)</f>
        <v>4098.595722568558</v>
      </c>
      <c r="C177" s="339">
        <f>+B177*(Columna!$G$9+Columna!$B$7)/Columna!$G$9</f>
        <v>4882.767609270534</v>
      </c>
      <c r="D177" s="340">
        <f>+B177-A177*'Presiones de casing'!$C$4</f>
        <v>1126.2732688503843</v>
      </c>
      <c r="E177" s="340">
        <f>+'Volumen de gas'!$C$1*Tabla!D177/14.7*520/'Volumen de gas'!$C$2*'Volumen de gas'!$C$4/'Volumen de gas'!$C$3</f>
        <v>17379.70797954429</v>
      </c>
      <c r="F177" s="340">
        <f t="shared" si="4"/>
        <v>394.99336317146117</v>
      </c>
    </row>
    <row r="178" spans="1:6" ht="12.75">
      <c r="A178" s="317">
        <v>44.25</v>
      </c>
      <c r="B178" s="339">
        <f>+('Presiones de casing'!$C$2+14.7+'Presiones de casing'!$C$3+('Presiones de casing'!$C$4+'Presiones de casing'!$C$8)*A178)*(1+'Presiones de casing'!$C$7/'Presiones de casing'!$C$13)</f>
        <v>4120.941989515441</v>
      </c>
      <c r="C178" s="339">
        <f>+B178*(Columna!$G$9+Columna!$B$7)/Columna!$G$9</f>
        <v>4909.389319686015</v>
      </c>
      <c r="D178" s="340">
        <f>+B178-A178*'Presiones de casing'!$C$4</f>
        <v>1131.7313400375047</v>
      </c>
      <c r="E178" s="340">
        <f>+'Volumen de gas'!$C$1*Tabla!D178/14.7*520/'Volumen de gas'!$C$2*'Volumen de gas'!$C$4/'Volumen de gas'!$C$3</f>
        <v>17463.93237338127</v>
      </c>
      <c r="F178" s="340">
        <f t="shared" si="4"/>
        <v>394.6651383814976</v>
      </c>
    </row>
    <row r="179" spans="1:6" ht="12.75">
      <c r="A179" s="317">
        <v>44.5</v>
      </c>
      <c r="B179" s="339">
        <f>+('Presiones de casing'!$C$2+14.7+'Presiones de casing'!$C$3+('Presiones de casing'!$C$4+'Presiones de casing'!$C$8)*A179)*(1+'Presiones de casing'!$C$7/'Presiones de casing'!$C$13)</f>
        <v>4143.288256462324</v>
      </c>
      <c r="C179" s="339">
        <f>+B179*(Columna!$G$9+Columna!$B$7)/Columna!$G$9</f>
        <v>4936.011030101498</v>
      </c>
      <c r="D179" s="340">
        <f>+B179-A179*'Presiones de casing'!$C$4</f>
        <v>1137.189411224626</v>
      </c>
      <c r="E179" s="340">
        <f>+'Volumen de gas'!$C$1*Tabla!D179/14.7*520/'Volumen de gas'!$C$2*'Volumen de gas'!$C$4/'Volumen de gas'!$C$3</f>
        <v>17548.156767218265</v>
      </c>
      <c r="F179" s="340">
        <f t="shared" si="4"/>
        <v>394.3406015105228</v>
      </c>
    </row>
    <row r="180" spans="1:6" ht="12.75">
      <c r="A180" s="317">
        <v>44.75</v>
      </c>
      <c r="B180" s="339">
        <f>+('Presiones de casing'!$C$2+14.7+'Presiones de casing'!$C$3+('Presiones de casing'!$C$4+'Presiones de casing'!$C$8)*A180)*(1+'Presiones de casing'!$C$7/'Presiones de casing'!$C$13)</f>
        <v>4165.634523409207</v>
      </c>
      <c r="C180" s="339">
        <f>+B180*(Columna!$G$9+Columna!$B$7)/Columna!$G$9</f>
        <v>4962.63274051698</v>
      </c>
      <c r="D180" s="340">
        <f>+B180-A180*'Presiones de casing'!$C$4</f>
        <v>1142.6474824117463</v>
      </c>
      <c r="E180" s="340">
        <f>+'Volumen de gas'!$C$1*Tabla!D180/14.7*520/'Volumen de gas'!$C$2*'Volumen de gas'!$C$4/'Volumen de gas'!$C$3</f>
        <v>17632.381161055244</v>
      </c>
      <c r="F180" s="340">
        <f t="shared" si="4"/>
        <v>394.0196907498379</v>
      </c>
    </row>
    <row r="181" spans="1:6" ht="12.75">
      <c r="A181" s="317">
        <v>45</v>
      </c>
      <c r="B181" s="339">
        <f>+('Presiones de casing'!$C$2+14.7+'Presiones de casing'!$C$3+('Presiones de casing'!$C$4+'Presiones de casing'!$C$8)*A181)*(1+'Presiones de casing'!$C$7/'Presiones de casing'!$C$13)</f>
        <v>4187.98079035609</v>
      </c>
      <c r="C181" s="339">
        <f>+B181*(Columna!$G$9+Columna!$B$7)/Columna!$G$9</f>
        <v>4989.2544509324625</v>
      </c>
      <c r="D181" s="340">
        <f>+B181-A181*'Presiones de casing'!$C$4</f>
        <v>1148.1055535988676</v>
      </c>
      <c r="E181" s="340">
        <f>+'Volumen de gas'!$C$1*Tabla!D181/14.7*520/'Volumen de gas'!$C$2*'Volumen de gas'!$C$4/'Volumen de gas'!$C$3</f>
        <v>17716.605554892234</v>
      </c>
      <c r="F181" s="340">
        <f t="shared" si="4"/>
        <v>393.7023456642719</v>
      </c>
    </row>
    <row r="182" spans="1:6" ht="12.75">
      <c r="A182" s="317">
        <v>45.25</v>
      </c>
      <c r="B182" s="339">
        <f>+('Presiones de casing'!$C$2+14.7+'Presiones de casing'!$C$3+('Presiones de casing'!$C$4+'Presiones de casing'!$C$8)*A182)*(1+'Presiones de casing'!$C$7/'Presiones de casing'!$C$13)</f>
        <v>4210.327057302974</v>
      </c>
      <c r="C182" s="339">
        <f>+B182*(Columna!$G$9+Columna!$B$7)/Columna!$G$9</f>
        <v>5015.876161347945</v>
      </c>
      <c r="D182" s="340">
        <f>+B182-A182*'Presiones de casing'!$C$4</f>
        <v>1153.5636247859884</v>
      </c>
      <c r="E182" s="340">
        <f>+'Volumen de gas'!$C$1*Tabla!D182/14.7*520/'Volumen de gas'!$C$2*'Volumen de gas'!$C$4/'Volumen de gas'!$C$3</f>
        <v>17800.829948729224</v>
      </c>
      <c r="F182" s="340">
        <f t="shared" si="4"/>
        <v>393.388507154237</v>
      </c>
    </row>
    <row r="183" spans="1:6" ht="12.75">
      <c r="A183" s="317">
        <v>45.5</v>
      </c>
      <c r="B183" s="339">
        <f>+('Presiones de casing'!$C$2+14.7+'Presiones de casing'!$C$3+('Presiones de casing'!$C$4+'Presiones de casing'!$C$8)*A183)*(1+'Presiones de casing'!$C$7/'Presiones de casing'!$C$13)</f>
        <v>4232.673324249858</v>
      </c>
      <c r="C183" s="339">
        <f>+B183*(Columna!$G$9+Columna!$B$7)/Columna!$G$9</f>
        <v>5042.497871763428</v>
      </c>
      <c r="D183" s="340">
        <f>+B183-A183*'Presiones de casing'!$C$4</f>
        <v>1159.0216959731097</v>
      </c>
      <c r="E183" s="340">
        <f>+'Volumen de gas'!$C$1*Tabla!D183/14.7*520/'Volumen de gas'!$C$2*'Volumen de gas'!$C$4/'Volumen de gas'!$C$3</f>
        <v>17885.054342566214</v>
      </c>
      <c r="F183" s="340">
        <f t="shared" si="4"/>
        <v>393.07811741903765</v>
      </c>
    </row>
    <row r="184" spans="1:6" ht="12.75">
      <c r="A184" s="317">
        <v>45.75</v>
      </c>
      <c r="B184" s="339">
        <f>+('Presiones de casing'!$C$2+14.7+'Presiones de casing'!$C$3+('Presiones de casing'!$C$4+'Presiones de casing'!$C$8)*A184)*(1+'Presiones de casing'!$C$7/'Presiones de casing'!$C$13)</f>
        <v>4255.019591196741</v>
      </c>
      <c r="C184" s="339">
        <f>+B184*(Columna!$G$9+Columna!$B$7)/Columna!$G$9</f>
        <v>5069.119582178911</v>
      </c>
      <c r="D184" s="340">
        <f>+B184-A184*'Presiones de casing'!$C$4</f>
        <v>1164.479767160231</v>
      </c>
      <c r="E184" s="340">
        <f>+'Volumen de gas'!$C$1*Tabla!D184/14.7*520/'Volumen de gas'!$C$2*'Volumen de gas'!$C$4/'Volumen de gas'!$C$3</f>
        <v>17969.278736403212</v>
      </c>
      <c r="F184" s="340">
        <f t="shared" si="4"/>
        <v>392.7711199213817</v>
      </c>
    </row>
    <row r="185" spans="1:6" ht="12.75">
      <c r="A185" s="317">
        <v>46</v>
      </c>
      <c r="B185" s="339">
        <f>+('Presiones de casing'!$C$2+14.7+'Presiones de casing'!$C$3+('Presiones de casing'!$C$4+'Presiones de casing'!$C$8)*A185)*(1+'Presiones de casing'!$C$7/'Presiones de casing'!$C$13)</f>
        <v>4277.365858143624</v>
      </c>
      <c r="C185" s="339">
        <f>+B185*(Columna!$G$9+Columna!$B$7)/Columna!$G$9</f>
        <v>5095.741292594392</v>
      </c>
      <c r="D185" s="340">
        <f>+B185-A185*'Presiones de casing'!$C$4</f>
        <v>1169.9378383473513</v>
      </c>
      <c r="E185" s="340">
        <f>+'Volumen de gas'!$C$1*Tabla!D185/14.7*520/'Volumen de gas'!$C$2*'Volumen de gas'!$C$4/'Volumen de gas'!$C$3</f>
        <v>18053.503130240188</v>
      </c>
      <c r="F185" s="340">
        <f t="shared" si="4"/>
        <v>392.46745935304756</v>
      </c>
    </row>
    <row r="186" spans="1:6" ht="12.75">
      <c r="A186" s="317">
        <v>46.25</v>
      </c>
      <c r="B186" s="339">
        <f>+('Presiones de casing'!$C$2+14.7+'Presiones de casing'!$C$3+('Presiones de casing'!$C$4+'Presiones de casing'!$C$8)*A186)*(1+'Presiones de casing'!$C$7/'Presiones de casing'!$C$13)</f>
        <v>4299.712125090507</v>
      </c>
      <c r="C186" s="339">
        <f>+B186*(Columna!$G$9+Columna!$B$7)/Columna!$G$9</f>
        <v>5122.363003009874</v>
      </c>
      <c r="D186" s="340">
        <f>+B186-A186*'Presiones de casing'!$C$4</f>
        <v>1175.3959095344717</v>
      </c>
      <c r="E186" s="340">
        <f>+'Volumen de gas'!$C$1*Tabla!D186/14.7*520/'Volumen de gas'!$C$2*'Volumen de gas'!$C$4/'Volumen de gas'!$C$3</f>
        <v>18137.72752407717</v>
      </c>
      <c r="F186" s="340">
        <f t="shared" si="4"/>
        <v>392.16708160166854</v>
      </c>
    </row>
    <row r="187" spans="1:6" ht="12.75">
      <c r="A187" s="317">
        <v>46.5</v>
      </c>
      <c r="B187" s="339">
        <f>+('Presiones de casing'!$C$2+14.7+'Presiones de casing'!$C$3+('Presiones de casing'!$C$4+'Presiones de casing'!$C$8)*A187)*(1+'Presiones de casing'!$C$7/'Presiones de casing'!$C$13)</f>
        <v>4322.05839203739</v>
      </c>
      <c r="C187" s="339">
        <f>+B187*(Columna!$G$9+Columna!$B$7)/Columna!$G$9</f>
        <v>5148.984713425356</v>
      </c>
      <c r="D187" s="340">
        <f>+B187-A187*'Presiones de casing'!$C$4</f>
        <v>1180.853980721593</v>
      </c>
      <c r="E187" s="340">
        <f>+'Volumen de gas'!$C$1*Tabla!D187/14.7*520/'Volumen de gas'!$C$2*'Volumen de gas'!$C$4/'Volumen de gas'!$C$3</f>
        <v>18221.95191791416</v>
      </c>
      <c r="F187" s="340">
        <f t="shared" si="4"/>
        <v>391.8699337185841</v>
      </c>
    </row>
    <row r="188" spans="1:6" ht="12.75">
      <c r="A188" s="317">
        <v>46.75</v>
      </c>
      <c r="B188" s="339">
        <f>+('Presiones de casing'!$C$2+14.7+'Presiones de casing'!$C$3+('Presiones de casing'!$C$4+'Presiones de casing'!$C$8)*A188)*(1+'Presiones de casing'!$C$7/'Presiones de casing'!$C$13)</f>
        <v>4344.404658984274</v>
      </c>
      <c r="C188" s="339">
        <f>+B188*(Columna!$G$9+Columna!$B$7)/Columna!$G$9</f>
        <v>5175.606423840839</v>
      </c>
      <c r="D188" s="340">
        <f>+B188-A188*'Presiones de casing'!$C$4</f>
        <v>1186.3120519087142</v>
      </c>
      <c r="E188" s="340">
        <f>+'Volumen de gas'!$C$1*Tabla!D188/14.7*520/'Volumen de gas'!$C$2*'Volumen de gas'!$C$4/'Volumen de gas'!$C$3</f>
        <v>18306.176311751155</v>
      </c>
      <c r="F188" s="340">
        <f t="shared" si="4"/>
        <v>391.5759638877252</v>
      </c>
    </row>
    <row r="189" spans="1:6" ht="12.75">
      <c r="A189" s="317">
        <v>47</v>
      </c>
      <c r="B189" s="339">
        <f>+('Presiones de casing'!$C$2+14.7+'Presiones de casing'!$C$3+('Presiones de casing'!$C$4+'Presiones de casing'!$C$8)*A189)*(1+'Presiones de casing'!$C$7/'Presiones de casing'!$C$13)</f>
        <v>4366.750925931157</v>
      </c>
      <c r="C189" s="339">
        <f>+B189*(Columna!$G$9+Columna!$B$7)/Columna!$G$9</f>
        <v>5202.228134256321</v>
      </c>
      <c r="D189" s="340">
        <f>+B189-A189*'Presiones de casing'!$C$4</f>
        <v>1191.7701230958355</v>
      </c>
      <c r="E189" s="340">
        <f>+'Volumen de gas'!$C$1*Tabla!D189/14.7*520/'Volumen de gas'!$C$2*'Volumen de gas'!$C$4/'Volumen de gas'!$C$3</f>
        <v>18390.40070558815</v>
      </c>
      <c r="F189" s="340">
        <f t="shared" si="4"/>
        <v>391.2851213954925</v>
      </c>
    </row>
    <row r="190" spans="1:6" ht="12.75">
      <c r="A190" s="317">
        <v>47.25</v>
      </c>
      <c r="B190" s="339">
        <f>+('Presiones de casing'!$C$2+14.7+'Presiones de casing'!$C$3+('Presiones de casing'!$C$4+'Presiones de casing'!$C$8)*A190)*(1+'Presiones de casing'!$C$7/'Presiones de casing'!$C$13)</f>
        <v>4389.097192878041</v>
      </c>
      <c r="C190" s="339">
        <f>+B190*(Columna!$G$9+Columna!$B$7)/Columna!$G$9</f>
        <v>5228.849844671804</v>
      </c>
      <c r="D190" s="340">
        <f>+B190-A190*'Presiones de casing'!$C$4</f>
        <v>1197.2281942829568</v>
      </c>
      <c r="E190" s="340">
        <f>+'Volumen de gas'!$C$1*Tabla!D190/14.7*520/'Volumen de gas'!$C$2*'Volumen de gas'!$C$4/'Volumen de gas'!$C$3</f>
        <v>18474.625099425146</v>
      </c>
      <c r="F190" s="340">
        <f t="shared" si="4"/>
        <v>390.9973566015904</v>
      </c>
    </row>
    <row r="191" spans="1:6" ht="12.75">
      <c r="A191" s="317">
        <v>47.5</v>
      </c>
      <c r="B191" s="339">
        <f>+('Presiones de casing'!$C$2+14.7+'Presiones de casing'!$C$3+('Presiones de casing'!$C$4+'Presiones de casing'!$C$8)*A191)*(1+'Presiones de casing'!$C$7/'Presiones de casing'!$C$13)</f>
        <v>4411.443459824924</v>
      </c>
      <c r="C191" s="339">
        <f>+B191*(Columna!$G$9+Columna!$B$7)/Columna!$G$9</f>
        <v>5255.471555087285</v>
      </c>
      <c r="D191" s="340">
        <f>+B191-A191*'Presiones de casing'!$C$4</f>
        <v>1202.6862654700772</v>
      </c>
      <c r="E191" s="340">
        <f>+'Volumen de gas'!$C$1*Tabla!D191/14.7*520/'Volumen de gas'!$C$2*'Volumen de gas'!$C$4/'Volumen de gas'!$C$3</f>
        <v>18558.849493262118</v>
      </c>
      <c r="F191" s="340">
        <f t="shared" si="4"/>
        <v>390.7126209107814</v>
      </c>
    </row>
    <row r="192" spans="1:6" ht="12.75">
      <c r="A192" s="317">
        <v>47.75</v>
      </c>
      <c r="B192" s="339">
        <f>+('Presiones de casing'!$C$2+14.7+'Presiones de casing'!$C$3+('Presiones de casing'!$C$4+'Presiones de casing'!$C$8)*A192)*(1+'Presiones de casing'!$C$7/'Presiones de casing'!$C$13)</f>
        <v>4433.789726771807</v>
      </c>
      <c r="C192" s="339">
        <f>+B192*(Columna!$G$9+Columna!$B$7)/Columna!$G$9</f>
        <v>5282.093265502768</v>
      </c>
      <c r="D192" s="340">
        <f>+B192-A192*'Presiones de casing'!$C$4</f>
        <v>1208.1443366571984</v>
      </c>
      <c r="E192" s="340">
        <f>+'Volumen de gas'!$C$1*Tabla!D192/14.7*520/'Volumen de gas'!$C$2*'Volumen de gas'!$C$4/'Volumen de gas'!$C$3</f>
        <v>18643.073887099108</v>
      </c>
      <c r="F192" s="340">
        <f t="shared" si="4"/>
        <v>390.43086674553103</v>
      </c>
    </row>
    <row r="193" spans="1:6" ht="12.75">
      <c r="A193" s="317">
        <v>48</v>
      </c>
      <c r="B193" s="339">
        <f>+('Presiones de casing'!$C$2+14.7+'Presiones de casing'!$C$3+('Presiones de casing'!$C$4+'Presiones de casing'!$C$8)*A193)*(1+'Presiones de casing'!$C$7/'Presiones de casing'!$C$13)</f>
        <v>4456.135993718691</v>
      </c>
      <c r="C193" s="339">
        <f>+B193*(Columna!$G$9+Columna!$B$7)/Columna!$G$9</f>
        <v>5308.714975918251</v>
      </c>
      <c r="D193" s="340">
        <f>+B193-A193*'Presiones de casing'!$C$4</f>
        <v>1213.6024078443197</v>
      </c>
      <c r="E193" s="340">
        <f>+'Volumen de gas'!$C$1*Tabla!D193/14.7*520/'Volumen de gas'!$C$2*'Volumen de gas'!$C$4/'Volumen de gas'!$C$3</f>
        <v>18727.298280936106</v>
      </c>
      <c r="F193" s="340">
        <f aca="true" t="shared" si="5" ref="F193:F256">+E193/A193</f>
        <v>390.1520475195022</v>
      </c>
    </row>
    <row r="194" spans="1:6" ht="12.75">
      <c r="A194" s="317">
        <v>48.25</v>
      </c>
      <c r="B194" s="339">
        <f>+('Presiones de casing'!$C$2+14.7+'Presiones de casing'!$C$3+('Presiones de casing'!$C$4+'Presiones de casing'!$C$8)*A194)*(1+'Presiones de casing'!$C$7/'Presiones de casing'!$C$13)</f>
        <v>4478.482260665573</v>
      </c>
      <c r="C194" s="339">
        <f>+B194*(Columna!$G$9+Columna!$B$7)/Columna!$G$9</f>
        <v>5335.336686333732</v>
      </c>
      <c r="D194" s="340">
        <f>+B194-A194*'Presiones de casing'!$C$4</f>
        <v>1219.0604790314396</v>
      </c>
      <c r="E194" s="340">
        <f>+'Volumen de gas'!$C$1*Tabla!D194/14.7*520/'Volumen de gas'!$C$2*'Volumen de gas'!$C$4/'Volumen de gas'!$C$3</f>
        <v>18811.522674773074</v>
      </c>
      <c r="F194" s="340">
        <f t="shared" si="5"/>
        <v>389.8761176118772</v>
      </c>
    </row>
    <row r="195" spans="1:6" ht="12.75">
      <c r="A195" s="317">
        <v>48.5</v>
      </c>
      <c r="B195" s="339">
        <f>+('Presiones de casing'!$C$2+14.7+'Presiones de casing'!$C$3+('Presiones de casing'!$C$4+'Presiones de casing'!$C$8)*A195)*(1+'Presiones de casing'!$C$7/'Presiones de casing'!$C$13)</f>
        <v>4500.828527612457</v>
      </c>
      <c r="C195" s="339">
        <f>+B195*(Columna!$G$9+Columna!$B$7)/Columna!$G$9</f>
        <v>5361.958396749214</v>
      </c>
      <c r="D195" s="340">
        <f>+B195-A195*'Presiones de casing'!$C$4</f>
        <v>1224.518550218561</v>
      </c>
      <c r="E195" s="340">
        <f>+'Volumen de gas'!$C$1*Tabla!D195/14.7*520/'Volumen de gas'!$C$2*'Volumen de gas'!$C$4/'Volumen de gas'!$C$3</f>
        <v>18895.747068610068</v>
      </c>
      <c r="F195" s="340">
        <f t="shared" si="5"/>
        <v>389.6030323424756</v>
      </c>
    </row>
    <row r="196" spans="1:6" ht="12.75">
      <c r="A196" s="317">
        <v>48.75</v>
      </c>
      <c r="B196" s="339">
        <f>+('Presiones de casing'!$C$2+14.7+'Presiones de casing'!$C$3+('Presiones de casing'!$C$4+'Presiones de casing'!$C$8)*A196)*(1+'Presiones de casing'!$C$7/'Presiones de casing'!$C$13)</f>
        <v>4523.17479455934</v>
      </c>
      <c r="C196" s="339">
        <f>+B196*(Columna!$G$9+Columna!$B$7)/Columna!$G$9</f>
        <v>5388.5801071646965</v>
      </c>
      <c r="D196" s="340">
        <f>+B196-A196*'Presiones de casing'!$C$4</f>
        <v>1229.9766214056813</v>
      </c>
      <c r="E196" s="340">
        <f>+'Volumen de gas'!$C$1*Tabla!D196/14.7*520/'Volumen de gas'!$C$2*'Volumen de gas'!$C$4/'Volumen de gas'!$C$3</f>
        <v>18979.97146244705</v>
      </c>
      <c r="F196" s="340">
        <f t="shared" si="5"/>
        <v>389.3327479476318</v>
      </c>
    </row>
    <row r="197" spans="1:6" ht="12.75">
      <c r="A197" s="317">
        <v>49</v>
      </c>
      <c r="B197" s="339">
        <f>+('Presiones de casing'!$C$2+14.7+'Presiones de casing'!$C$3+('Presiones de casing'!$C$4+'Presiones de casing'!$C$8)*A197)*(1+'Presiones de casing'!$C$7/'Presiones de casing'!$C$13)</f>
        <v>4545.521061506223</v>
      </c>
      <c r="C197" s="339">
        <f>+B197*(Columna!$G$9+Columna!$B$7)/Columna!$G$9</f>
        <v>5415.2018175801795</v>
      </c>
      <c r="D197" s="340">
        <f>+B197-A197*'Presiones de casing'!$C$4</f>
        <v>1235.4346925928025</v>
      </c>
      <c r="E197" s="340">
        <f>+'Volumen de gas'!$C$1*Tabla!D197/14.7*520/'Volumen de gas'!$C$2*'Volumen de gas'!$C$4/'Volumen de gas'!$C$3</f>
        <v>19064.19585628404</v>
      </c>
      <c r="F197" s="340">
        <f t="shared" si="5"/>
        <v>389.06522155681716</v>
      </c>
    </row>
    <row r="198" spans="1:6" ht="12.75">
      <c r="A198" s="317">
        <v>49.25</v>
      </c>
      <c r="B198" s="339">
        <f>+('Presiones de casing'!$C$2+14.7+'Presiones de casing'!$C$3+('Presiones de casing'!$C$4+'Presiones de casing'!$C$8)*A198)*(1+'Presiones de casing'!$C$7/'Presiones de casing'!$C$13)</f>
        <v>4567.867328453107</v>
      </c>
      <c r="C198" s="339">
        <f>+B198*(Columna!$G$9+Columna!$B$7)/Columna!$G$9</f>
        <v>5441.8235279956625</v>
      </c>
      <c r="D198" s="340">
        <f>+B198-A198*'Presiones de casing'!$C$4</f>
        <v>1240.8927637799238</v>
      </c>
      <c r="E198" s="340">
        <f>+'Volumen de gas'!$C$1*Tabla!D198/14.7*520/'Volumen de gas'!$C$2*'Volumen de gas'!$C$4/'Volumen de gas'!$C$3</f>
        <v>19148.42025012103</v>
      </c>
      <c r="F198" s="340">
        <f t="shared" si="5"/>
        <v>388.8004111699702</v>
      </c>
    </row>
    <row r="199" spans="1:6" ht="12.75">
      <c r="A199" s="317">
        <v>49.5</v>
      </c>
      <c r="B199" s="339">
        <f>+('Presiones de casing'!$C$2+14.7+'Presiones de casing'!$C$3+('Presiones de casing'!$C$4+'Presiones de casing'!$C$8)*A199)*(1+'Presiones de casing'!$C$7/'Presiones de casing'!$C$13)</f>
        <v>4590.2135953999905</v>
      </c>
      <c r="C199" s="339">
        <f>+B199*(Columna!$G$9+Columna!$B$7)/Columna!$G$9</f>
        <v>5468.445238411145</v>
      </c>
      <c r="D199" s="340">
        <f>+B199-A199*'Presiones de casing'!$C$4</f>
        <v>1246.350834967045</v>
      </c>
      <c r="E199" s="340">
        <f>+'Volumen de gas'!$C$1*Tabla!D199/14.7*520/'Volumen de gas'!$C$2*'Volumen de gas'!$C$4/'Volumen de gas'!$C$3</f>
        <v>19232.644643958032</v>
      </c>
      <c r="F199" s="340">
        <f t="shared" si="5"/>
        <v>388.5382756355158</v>
      </c>
    </row>
    <row r="200" spans="1:6" ht="12.75">
      <c r="A200" s="317">
        <v>49.75</v>
      </c>
      <c r="B200" s="339">
        <f>+('Presiones de casing'!$C$2+14.7+'Presiones de casing'!$C$3+('Presiones de casing'!$C$4+'Presiones de casing'!$C$8)*A200)*(1+'Presiones de casing'!$C$7/'Presiones de casing'!$C$13)</f>
        <v>4612.559862346874</v>
      </c>
      <c r="C200" s="339">
        <f>+B200*(Columna!$G$9+Columna!$B$7)/Columna!$G$9</f>
        <v>5495.066948826628</v>
      </c>
      <c r="D200" s="340">
        <f>+B200-A200*'Presiones de casing'!$C$4</f>
        <v>1251.8089061541664</v>
      </c>
      <c r="E200" s="340">
        <f>+'Volumen de gas'!$C$1*Tabla!D200/14.7*520/'Volumen de gas'!$C$2*'Volumen de gas'!$C$4/'Volumen de gas'!$C$3</f>
        <v>19316.869037795022</v>
      </c>
      <c r="F200" s="340">
        <f t="shared" si="5"/>
        <v>388.2787746290457</v>
      </c>
    </row>
    <row r="201" spans="1:6" ht="12.75">
      <c r="A201" s="317">
        <v>50</v>
      </c>
      <c r="B201" s="339">
        <f>+('Presiones de casing'!$C$2+14.7+'Presiones de casing'!$C$3+('Presiones de casing'!$C$4+'Presiones de casing'!$C$8)*A201)*(1+'Presiones de casing'!$C$7/'Presiones de casing'!$C$13)</f>
        <v>4634.906129293757</v>
      </c>
      <c r="C201" s="339">
        <f>+B201*(Columna!$G$9+Columna!$B$7)/Columna!$G$9</f>
        <v>5521.688659242109</v>
      </c>
      <c r="D201" s="340">
        <f>+B201-A201*'Presiones de casing'!$C$4</f>
        <v>1257.2669773412867</v>
      </c>
      <c r="E201" s="340">
        <f>+'Volumen de gas'!$C$1*Tabla!D201/14.7*520/'Volumen de gas'!$C$2*'Volumen de gas'!$C$4/'Volumen de gas'!$C$3</f>
        <v>19401.093431632</v>
      </c>
      <c r="F201" s="340">
        <f t="shared" si="5"/>
        <v>388.02186863264</v>
      </c>
    </row>
    <row r="202" spans="1:6" ht="12.75">
      <c r="A202" s="317">
        <v>50.25</v>
      </c>
      <c r="B202" s="339">
        <f>+('Presiones de casing'!$C$2+14.7+'Presiones de casing'!$C$3+('Presiones de casing'!$C$4+'Presiones de casing'!$C$8)*A202)*(1+'Presiones de casing'!$C$7/'Presiones de casing'!$C$13)</f>
        <v>4657.252396240639</v>
      </c>
      <c r="C202" s="339">
        <f>+B202*(Columna!$G$9+Columna!$B$7)/Columna!$G$9</f>
        <v>5548.31036965759</v>
      </c>
      <c r="D202" s="340">
        <f>+B202-A202*'Presiones de casing'!$C$4</f>
        <v>1262.7250485284071</v>
      </c>
      <c r="E202" s="340">
        <f>+'Volumen de gas'!$C$1*Tabla!D202/14.7*520/'Volumen de gas'!$C$2*'Volumen de gas'!$C$4/'Volumen de gas'!$C$3</f>
        <v>19485.317825468977</v>
      </c>
      <c r="F202" s="340">
        <f t="shared" si="5"/>
        <v>387.7675189148055</v>
      </c>
    </row>
    <row r="203" spans="1:6" ht="12.75">
      <c r="A203" s="317">
        <v>50.5</v>
      </c>
      <c r="B203" s="339">
        <f>+('Presiones de casing'!$C$2+14.7+'Presiones de casing'!$C$3+('Presiones de casing'!$C$4+'Presiones de casing'!$C$8)*A203)*(1+'Presiones de casing'!$C$7/'Presiones de casing'!$C$13)</f>
        <v>4679.598663187523</v>
      </c>
      <c r="C203" s="339">
        <f>+B203*(Columna!$G$9+Columna!$B$7)/Columna!$G$9</f>
        <v>5574.932080073074</v>
      </c>
      <c r="D203" s="340">
        <f>+B203-A203*'Presiones de casing'!$C$4</f>
        <v>1268.1831197155284</v>
      </c>
      <c r="E203" s="340">
        <f>+'Volumen de gas'!$C$1*Tabla!D203/14.7*520/'Volumen de gas'!$C$2*'Volumen de gas'!$C$4/'Volumen de gas'!$C$3</f>
        <v>19569.54221930597</v>
      </c>
      <c r="F203" s="340">
        <f t="shared" si="5"/>
        <v>387.51568751100933</v>
      </c>
    </row>
    <row r="204" spans="1:6" ht="12.75">
      <c r="A204" s="317">
        <v>50.75</v>
      </c>
      <c r="B204" s="339">
        <f>+('Presiones de casing'!$C$2+14.7+'Presiones de casing'!$C$3+('Presiones de casing'!$C$4+'Presiones de casing'!$C$8)*A204)*(1+'Presiones de casing'!$C$7/'Presiones de casing'!$C$13)</f>
        <v>4701.944930134407</v>
      </c>
      <c r="C204" s="339">
        <f>+B204*(Columna!$G$9+Columna!$B$7)/Columna!$G$9</f>
        <v>5601.553790488556</v>
      </c>
      <c r="D204" s="340">
        <f>+B204-A204*'Presiones de casing'!$C$4</f>
        <v>1273.6411909026497</v>
      </c>
      <c r="E204" s="340">
        <f>+'Volumen de gas'!$C$1*Tabla!D204/14.7*520/'Volumen de gas'!$C$2*'Volumen de gas'!$C$4/'Volumen de gas'!$C$3</f>
        <v>19653.766613142965</v>
      </c>
      <c r="F204" s="340">
        <f t="shared" si="5"/>
        <v>387.2663372047875</v>
      </c>
    </row>
    <row r="205" spans="1:6" ht="12.75">
      <c r="A205" s="317">
        <v>51</v>
      </c>
      <c r="B205" s="339">
        <f>+('Presiones de casing'!$C$2+14.7+'Presiones de casing'!$C$3+('Presiones de casing'!$C$4+'Presiones de casing'!$C$8)*A205)*(1+'Presiones de casing'!$C$7/'Presiones de casing'!$C$13)</f>
        <v>4724.29119708129</v>
      </c>
      <c r="C205" s="339">
        <f>+B205*(Columna!$G$9+Columna!$B$7)/Columna!$G$9</f>
        <v>5628.175500904038</v>
      </c>
      <c r="D205" s="340">
        <f>+B205-A205*'Presiones de casing'!$C$4</f>
        <v>1279.0992620897705</v>
      </c>
      <c r="E205" s="340">
        <f>+'Volumen de gas'!$C$1*Tabla!D205/14.7*520/'Volumen de gas'!$C$2*'Volumen de gas'!$C$4/'Volumen de gas'!$C$3</f>
        <v>19737.991006979948</v>
      </c>
      <c r="F205" s="340">
        <f t="shared" si="5"/>
        <v>387.01943150941077</v>
      </c>
    </row>
    <row r="206" spans="1:6" ht="12.75">
      <c r="A206" s="317">
        <v>51.25</v>
      </c>
      <c r="B206" s="339">
        <f>+('Presiones de casing'!$C$2+14.7+'Presiones de casing'!$C$3+('Presiones de casing'!$C$4+'Presiones de casing'!$C$8)*A206)*(1+'Presiones de casing'!$C$7/'Presiones de casing'!$C$13)</f>
        <v>4746.637464028173</v>
      </c>
      <c r="C206" s="339">
        <f>+B206*(Columna!$G$9+Columna!$B$7)/Columna!$G$9</f>
        <v>5654.797211319519</v>
      </c>
      <c r="D206" s="340">
        <f>+B206-A206*'Presiones de casing'!$C$4</f>
        <v>1284.5573332768909</v>
      </c>
      <c r="E206" s="340">
        <f>+'Volumen de gas'!$C$1*Tabla!D206/14.7*520/'Volumen de gas'!$C$2*'Volumen de gas'!$C$4/'Volumen de gas'!$C$3</f>
        <v>19822.215400816935</v>
      </c>
      <c r="F206" s="340">
        <f t="shared" si="5"/>
        <v>386.77493465008655</v>
      </c>
    </row>
    <row r="207" spans="1:6" ht="12.75">
      <c r="A207" s="317">
        <v>51.5</v>
      </c>
      <c r="B207" s="339">
        <f>+('Presiones de casing'!$C$2+14.7+'Presiones de casing'!$C$3+('Presiones de casing'!$C$4+'Presiones de casing'!$C$8)*A207)*(1+'Presiones de casing'!$C$7/'Presiones de casing'!$C$13)</f>
        <v>4768.9837309750565</v>
      </c>
      <c r="C207" s="339">
        <f>+B207*(Columna!$G$9+Columna!$B$7)/Columna!$G$9</f>
        <v>5681.418921735002</v>
      </c>
      <c r="D207" s="340">
        <f>+B207-A207*'Presiones de casing'!$C$4</f>
        <v>1290.0154044640121</v>
      </c>
      <c r="E207" s="340">
        <f>+'Volumen de gas'!$C$1*Tabla!D207/14.7*520/'Volumen de gas'!$C$2*'Volumen de gas'!$C$4/'Volumen de gas'!$C$3</f>
        <v>19906.43979465393</v>
      </c>
      <c r="F207" s="340">
        <f t="shared" si="5"/>
        <v>386.5328115466782</v>
      </c>
    </row>
    <row r="208" spans="1:6" ht="12.75">
      <c r="A208" s="317">
        <v>51.75</v>
      </c>
      <c r="B208" s="339">
        <f>+('Presiones de casing'!$C$2+14.7+'Presiones de casing'!$C$3+('Presiones de casing'!$C$4+'Presiones de casing'!$C$8)*A208)*(1+'Presiones de casing'!$C$7/'Presiones de casing'!$C$13)</f>
        <v>4791.32999792194</v>
      </c>
      <c r="C208" s="339">
        <f>+B208*(Columna!$G$9+Columna!$B$7)/Columna!$G$9</f>
        <v>5708.040632150484</v>
      </c>
      <c r="D208" s="340">
        <f>+B208-A208*'Presiones de casing'!$C$4</f>
        <v>1295.4734756511334</v>
      </c>
      <c r="E208" s="340">
        <f>+'Volumen de gas'!$C$1*Tabla!D208/14.7*520/'Volumen de gas'!$C$2*'Volumen de gas'!$C$4/'Volumen de gas'!$C$3</f>
        <v>19990.664188490915</v>
      </c>
      <c r="F208" s="340">
        <f t="shared" si="5"/>
        <v>386.2930277969259</v>
      </c>
    </row>
    <row r="209" spans="1:6" ht="12.75">
      <c r="A209" s="317">
        <v>52</v>
      </c>
      <c r="B209" s="339">
        <f>+('Presiones de casing'!$C$2+14.7+'Presiones de casing'!$C$3+('Presiones de casing'!$C$4+'Presiones de casing'!$C$8)*A209)*(1+'Presiones de casing'!$C$7/'Presiones de casing'!$C$13)</f>
        <v>4813.676264868823</v>
      </c>
      <c r="C209" s="339">
        <f>+B209*(Columna!$G$9+Columna!$B$7)/Columna!$G$9</f>
        <v>5734.662342565965</v>
      </c>
      <c r="D209" s="340">
        <f>+B209-A209*'Presiones de casing'!$C$4</f>
        <v>1300.9315468382538</v>
      </c>
      <c r="E209" s="340">
        <f>+'Volumen de gas'!$C$1*Tabla!D209/14.7*520/'Volumen de gas'!$C$2*'Volumen de gas'!$C$4/'Volumen de gas'!$C$3</f>
        <v>20074.888582327898</v>
      </c>
      <c r="F209" s="340">
        <f t="shared" si="5"/>
        <v>386.0555496601519</v>
      </c>
    </row>
    <row r="210" spans="1:6" ht="12.75">
      <c r="A210" s="317">
        <v>52.25</v>
      </c>
      <c r="B210" s="339">
        <f>+('Presiones de casing'!$C$2+14.7+'Presiones de casing'!$C$3+('Presiones de casing'!$C$4+'Presiones de casing'!$C$8)*A210)*(1+'Presiones de casing'!$C$7/'Presiones de casing'!$C$13)</f>
        <v>4836.022531815706</v>
      </c>
      <c r="C210" s="339">
        <f>+B210*(Columna!$G$9+Columna!$B$7)/Columna!$G$9</f>
        <v>5761.284052981449</v>
      </c>
      <c r="D210" s="340">
        <f>+B210-A210*'Presiones de casing'!$C$4</f>
        <v>1306.389618025375</v>
      </c>
      <c r="E210" s="340">
        <f>+'Volumen de gas'!$C$1*Tabla!D210/14.7*520/'Volumen de gas'!$C$2*'Volumen de gas'!$C$4/'Volumen de gas'!$C$3</f>
        <v>20159.112976164888</v>
      </c>
      <c r="F210" s="340">
        <f t="shared" si="5"/>
        <v>385.82034404143326</v>
      </c>
    </row>
    <row r="211" spans="1:6" ht="12.75">
      <c r="A211" s="317">
        <v>52.5</v>
      </c>
      <c r="B211" s="339">
        <f>+('Presiones de casing'!$C$2+14.7+'Presiones de casing'!$C$3+('Presiones de casing'!$C$4+'Presiones de casing'!$C$8)*A211)*(1+'Presiones de casing'!$C$7/'Presiones de casing'!$C$13)</f>
        <v>4858.368798762589</v>
      </c>
      <c r="C211" s="339">
        <f>+B211*(Columna!$G$9+Columna!$B$7)/Columna!$G$9</f>
        <v>5787.9057633969305</v>
      </c>
      <c r="D211" s="340">
        <f>+B211-A211*'Presiones de casing'!$C$4</f>
        <v>1311.8476892124954</v>
      </c>
      <c r="E211" s="340">
        <f>+'Volumen de gas'!$C$1*Tabla!D211/14.7*520/'Volumen de gas'!$C$2*'Volumen de gas'!$C$4/'Volumen de gas'!$C$3</f>
        <v>20243.337370001864</v>
      </c>
      <c r="F211" s="340">
        <f t="shared" si="5"/>
        <v>385.587378476226</v>
      </c>
    </row>
    <row r="212" spans="1:6" ht="12.75">
      <c r="A212" s="317">
        <v>52.75</v>
      </c>
      <c r="B212" s="339">
        <f>+('Presiones de casing'!$C$2+14.7+'Presiones de casing'!$C$3+('Presiones de casing'!$C$4+'Presiones de casing'!$C$8)*A212)*(1+'Presiones de casing'!$C$7/'Presiones de casing'!$C$13)</f>
        <v>4880.715065709473</v>
      </c>
      <c r="C212" s="339">
        <f>+B212*(Columna!$G$9+Columna!$B$7)/Columna!$G$9</f>
        <v>5814.5274738124135</v>
      </c>
      <c r="D212" s="340">
        <f>+B212-A212*'Presiones de casing'!$C$4</f>
        <v>1317.3057603996167</v>
      </c>
      <c r="E212" s="340">
        <f>+'Volumen de gas'!$C$1*Tabla!D212/14.7*520/'Volumen de gas'!$C$2*'Volumen de gas'!$C$4/'Volumen de gas'!$C$3</f>
        <v>20327.561763838858</v>
      </c>
      <c r="F212" s="340">
        <f t="shared" si="5"/>
        <v>385.3566211154286</v>
      </c>
    </row>
    <row r="213" spans="1:6" ht="12.75">
      <c r="A213" s="317">
        <v>53</v>
      </c>
      <c r="B213" s="339">
        <f>+('Presiones de casing'!$C$2+14.7+'Presiones de casing'!$C$3+('Presiones de casing'!$C$4+'Presiones de casing'!$C$8)*A213)*(1+'Presiones de casing'!$C$7/'Presiones de casing'!$C$13)</f>
        <v>4903.061332656356</v>
      </c>
      <c r="C213" s="339">
        <f>+B213*(Columna!$G$9+Columna!$B$7)/Columna!$G$9</f>
        <v>5841.149184227896</v>
      </c>
      <c r="D213" s="340">
        <f>+B213-A213*'Presiones de casing'!$C$4</f>
        <v>1322.763831586738</v>
      </c>
      <c r="E213" s="340">
        <f>+'Volumen de gas'!$C$1*Tabla!D213/14.7*520/'Volumen de gas'!$C$2*'Volumen de gas'!$C$4/'Volumen de gas'!$C$3</f>
        <v>20411.786157675855</v>
      </c>
      <c r="F213" s="340">
        <f t="shared" si="5"/>
        <v>385.1280407108652</v>
      </c>
    </row>
    <row r="214" spans="1:6" ht="12.75">
      <c r="A214" s="317">
        <v>53.25</v>
      </c>
      <c r="B214" s="339">
        <f>+('Presiones de casing'!$C$2+14.7+'Presiones de casing'!$C$3+('Presiones de casing'!$C$4+'Presiones de casing'!$C$8)*A214)*(1+'Presiones de casing'!$C$7/'Presiones de casing'!$C$13)</f>
        <v>4925.40759960324</v>
      </c>
      <c r="C214" s="339">
        <f>+B214*(Columna!$G$9+Columna!$B$7)/Columna!$G$9</f>
        <v>5867.770894643379</v>
      </c>
      <c r="D214" s="340">
        <f>+B214-A214*'Presiones de casing'!$C$4</f>
        <v>1328.2219027738593</v>
      </c>
      <c r="E214" s="340">
        <f>+'Volumen de gas'!$C$1*Tabla!D214/14.7*520/'Volumen de gas'!$C$2*'Volumen de gas'!$C$4/'Volumen de gas'!$C$3</f>
        <v>20496.010551512845</v>
      </c>
      <c r="F214" s="340">
        <f t="shared" si="5"/>
        <v>384.9016066011802</v>
      </c>
    </row>
    <row r="215" spans="1:6" ht="12.75">
      <c r="A215" s="317">
        <v>53.5</v>
      </c>
      <c r="B215" s="339">
        <f>+('Presiones de casing'!$C$2+14.7+'Presiones de casing'!$C$3+('Presiones de casing'!$C$4+'Presiones de casing'!$C$8)*A215)*(1+'Presiones de casing'!$C$7/'Presiones de casing'!$C$13)</f>
        <v>4947.753866550123</v>
      </c>
      <c r="C215" s="339">
        <f>+B215*(Columna!$G$9+Columna!$B$7)/Columna!$G$9</f>
        <v>5894.392605058861</v>
      </c>
      <c r="D215" s="340">
        <f>+B215-A215*'Presiones de casing'!$C$4</f>
        <v>1333.6799739609805</v>
      </c>
      <c r="E215" s="340">
        <f>+'Volumen de gas'!$C$1*Tabla!D215/14.7*520/'Volumen de gas'!$C$2*'Volumen de gas'!$C$4/'Volumen de gas'!$C$3</f>
        <v>20580.234945349835</v>
      </c>
      <c r="F215" s="340">
        <f t="shared" si="5"/>
        <v>384.67728869812777</v>
      </c>
    </row>
    <row r="216" spans="1:6" ht="12.75">
      <c r="A216" s="317">
        <v>53.75</v>
      </c>
      <c r="B216" s="339">
        <f>+('Presiones de casing'!$C$2+14.7+'Presiones de casing'!$C$3+('Presiones de casing'!$C$4+'Presiones de casing'!$C$8)*A216)*(1+'Presiones de casing'!$C$7/'Presiones de casing'!$C$13)</f>
        <v>4970.100133497006</v>
      </c>
      <c r="C216" s="339">
        <f>+B216*(Columna!$G$9+Columna!$B$7)/Columna!$G$9</f>
        <v>5921.014315474343</v>
      </c>
      <c r="D216" s="340">
        <f>+B216-A216*'Presiones de casing'!$C$4</f>
        <v>1339.138045148101</v>
      </c>
      <c r="E216" s="340">
        <f>+'Volumen de gas'!$C$1*Tabla!D216/14.7*520/'Volumen de gas'!$C$2*'Volumen de gas'!$C$4/'Volumen de gas'!$C$3</f>
        <v>20664.459339186822</v>
      </c>
      <c r="F216" s="340">
        <f t="shared" si="5"/>
        <v>384.4550574732432</v>
      </c>
    </row>
    <row r="217" spans="1:6" ht="12.75">
      <c r="A217" s="317">
        <v>54</v>
      </c>
      <c r="B217" s="339">
        <f>+('Presiones de casing'!$C$2+14.7+'Presiones de casing'!$C$3+('Presiones de casing'!$C$4+'Presiones de casing'!$C$8)*A217)*(1+'Presiones de casing'!$C$7/'Presiones de casing'!$C$13)</f>
        <v>4992.446400443889</v>
      </c>
      <c r="C217" s="339">
        <f>+B217*(Columna!$G$9+Columna!$B$7)/Columna!$G$9</f>
        <v>5947.636025889825</v>
      </c>
      <c r="D217" s="340">
        <f>+B217-A217*'Presiones de casing'!$C$4</f>
        <v>1344.5961163352208</v>
      </c>
      <c r="E217" s="340">
        <f>+'Volumen de gas'!$C$1*Tabla!D217/14.7*520/'Volumen de gas'!$C$2*'Volumen de gas'!$C$4/'Volumen de gas'!$C$3</f>
        <v>20748.683733023794</v>
      </c>
      <c r="F217" s="340">
        <f t="shared" si="5"/>
        <v>384.2348839448851</v>
      </c>
    </row>
    <row r="218" spans="1:6" ht="12.75">
      <c r="A218" s="317">
        <v>54.25</v>
      </c>
      <c r="B218" s="339">
        <f>+('Presiones de casing'!$C$2+14.7+'Presiones de casing'!$C$3+('Presiones de casing'!$C$4+'Presiones de casing'!$C$8)*A218)*(1+'Presiones de casing'!$C$7/'Presiones de casing'!$C$13)</f>
        <v>5014.792667390772</v>
      </c>
      <c r="C218" s="339">
        <f>+B218*(Columna!$G$9+Columna!$B$7)/Columna!$G$9</f>
        <v>5974.257736305307</v>
      </c>
      <c r="D218" s="340">
        <f>+B218-A218*'Presiones de casing'!$C$4</f>
        <v>1350.054187522342</v>
      </c>
      <c r="E218" s="340">
        <f>+'Volumen de gas'!$C$1*Tabla!D218/14.7*520/'Volumen de gas'!$C$2*'Volumen de gas'!$C$4/'Volumen de gas'!$C$3</f>
        <v>20832.908126860788</v>
      </c>
      <c r="F218" s="340">
        <f t="shared" si="5"/>
        <v>384.01673966563663</v>
      </c>
    </row>
    <row r="219" spans="1:6" ht="12.75">
      <c r="A219" s="317">
        <v>54.5</v>
      </c>
      <c r="B219" s="339">
        <f>+('Presiones de casing'!$C$2+14.7+'Presiones de casing'!$C$3+('Presiones de casing'!$C$4+'Presiones de casing'!$C$8)*A219)*(1+'Presiones de casing'!$C$7/'Presiones de casing'!$C$13)</f>
        <v>5037.138934337656</v>
      </c>
      <c r="C219" s="339">
        <f>+B219*(Columna!$G$9+Columna!$B$7)/Columna!$G$9</f>
        <v>6000.879446720789</v>
      </c>
      <c r="D219" s="340">
        <f>+B219-A219*'Presiones de casing'!$C$4</f>
        <v>1355.5122587094634</v>
      </c>
      <c r="E219" s="340">
        <f>+'Volumen de gas'!$C$1*Tabla!D219/14.7*520/'Volumen de gas'!$C$2*'Volumen de gas'!$C$4/'Volumen de gas'!$C$3</f>
        <v>20917.132520697778</v>
      </c>
      <c r="F219" s="340">
        <f t="shared" si="5"/>
        <v>383.80059671005097</v>
      </c>
    </row>
    <row r="220" spans="1:6" ht="12.75">
      <c r="A220" s="317">
        <v>54.75</v>
      </c>
      <c r="B220" s="339">
        <f>+('Presiones de casing'!$C$2+14.7+'Presiones de casing'!$C$3+('Presiones de casing'!$C$4+'Presiones de casing'!$C$8)*A220)*(1+'Presiones de casing'!$C$7/'Presiones de casing'!$C$13)</f>
        <v>5059.4852012845395</v>
      </c>
      <c r="C220" s="339">
        <f>+B220*(Columna!$G$9+Columna!$B$7)/Columna!$G$9</f>
        <v>6027.501157136272</v>
      </c>
      <c r="D220" s="340">
        <f>+B220-A220*'Presiones de casing'!$C$4</f>
        <v>1360.9703298965846</v>
      </c>
      <c r="E220" s="340">
        <f>+'Volumen de gas'!$C$1*Tabla!D220/14.7*520/'Volumen de gas'!$C$2*'Volumen de gas'!$C$4/'Volumen de gas'!$C$3</f>
        <v>21001.356914534776</v>
      </c>
      <c r="F220" s="340">
        <f t="shared" si="5"/>
        <v>383.5864276627356</v>
      </c>
    </row>
    <row r="221" spans="1:6" ht="12.75">
      <c r="A221" s="317">
        <v>55</v>
      </c>
      <c r="B221" s="339">
        <f>+('Presiones de casing'!$C$2+14.7+'Presiones de casing'!$C$3+('Presiones de casing'!$C$4+'Presiones de casing'!$C$8)*A221)*(1+'Presiones de casing'!$C$7/'Presiones de casing'!$C$13)</f>
        <v>5081.831468231422</v>
      </c>
      <c r="C221" s="339">
        <f>+B221*(Columna!$G$9+Columna!$B$7)/Columna!$G$9</f>
        <v>6054.122867551753</v>
      </c>
      <c r="D221" s="340">
        <f>+B221-A221*'Presiones de casing'!$C$4</f>
        <v>1366.428401083705</v>
      </c>
      <c r="E221" s="340">
        <f>+'Volumen de gas'!$C$1*Tabla!D221/14.7*520/'Volumen de gas'!$C$2*'Volumen de gas'!$C$4/'Volumen de gas'!$C$3</f>
        <v>21085.581308371748</v>
      </c>
      <c r="F221" s="340">
        <f t="shared" si="5"/>
        <v>383.37420560675906</v>
      </c>
    </row>
    <row r="222" spans="1:6" ht="12.75">
      <c r="A222" s="317">
        <v>55.25</v>
      </c>
      <c r="B222" s="339">
        <f>+('Presiones de casing'!$C$2+14.7+'Presiones de casing'!$C$3+('Presiones de casing'!$C$4+'Presiones de casing'!$C$8)*A222)*(1+'Presiones de casing'!$C$7/'Presiones de casing'!$C$13)</f>
        <v>5104.177735178306</v>
      </c>
      <c r="C222" s="339">
        <f>+B222*(Columna!$G$9+Columna!$B$7)/Columna!$G$9</f>
        <v>6080.744577967237</v>
      </c>
      <c r="D222" s="340">
        <f>+B222-A222*'Presiones de casing'!$C$4</f>
        <v>1371.8864722708263</v>
      </c>
      <c r="E222" s="340">
        <f>+'Volumen de gas'!$C$1*Tabla!D222/14.7*520/'Volumen de gas'!$C$2*'Volumen de gas'!$C$4/'Volumen de gas'!$C$3</f>
        <v>21169.80570220874</v>
      </c>
      <c r="F222" s="340">
        <f t="shared" si="5"/>
        <v>383.1639041123754</v>
      </c>
    </row>
    <row r="223" spans="1:6" ht="12.75">
      <c r="A223" s="317">
        <v>55.5</v>
      </c>
      <c r="B223" s="339">
        <f>+('Presiones de casing'!$C$2+14.7+'Presiones de casing'!$C$3+('Presiones de casing'!$C$4+'Presiones de casing'!$C$8)*A223)*(1+'Presiones de casing'!$C$7/'Presiones de casing'!$C$13)</f>
        <v>5126.524002125189</v>
      </c>
      <c r="C223" s="339">
        <f>+B223*(Columna!$G$9+Columna!$B$7)/Columna!$G$9</f>
        <v>6107.366288382719</v>
      </c>
      <c r="D223" s="340">
        <f>+B223-A223*'Presiones de casing'!$C$4</f>
        <v>1377.3445434579476</v>
      </c>
      <c r="E223" s="340">
        <f>+'Volumen de gas'!$C$1*Tabla!D223/14.7*520/'Volumen de gas'!$C$2*'Volumen de gas'!$C$4/'Volumen de gas'!$C$3</f>
        <v>21254.030096045743</v>
      </c>
      <c r="F223" s="340">
        <f t="shared" si="5"/>
        <v>382.95549722604943</v>
      </c>
    </row>
    <row r="224" spans="1:6" ht="12.75">
      <c r="A224" s="317">
        <v>55.75</v>
      </c>
      <c r="B224" s="339">
        <f>+('Presiones de casing'!$C$2+14.7+'Presiones de casing'!$C$3+('Presiones de casing'!$C$4+'Presiones de casing'!$C$8)*A224)*(1+'Presiones de casing'!$C$7/'Presiones de casing'!$C$13)</f>
        <v>5148.870269072073</v>
      </c>
      <c r="C224" s="339">
        <f>+B224*(Columna!$G$9+Columna!$B$7)/Columna!$G$9</f>
        <v>6133.987998798202</v>
      </c>
      <c r="D224" s="340">
        <f>+B224-A224*'Presiones de casing'!$C$4</f>
        <v>1382.8026146450688</v>
      </c>
      <c r="E224" s="340">
        <f>+'Volumen de gas'!$C$1*Tabla!D224/14.7*520/'Volumen de gas'!$C$2*'Volumen de gas'!$C$4/'Volumen de gas'!$C$3</f>
        <v>21338.25448988273</v>
      </c>
      <c r="F224" s="340">
        <f t="shared" si="5"/>
        <v>382.7489594597799</v>
      </c>
    </row>
    <row r="225" spans="1:6" ht="12.75">
      <c r="A225" s="317">
        <v>56</v>
      </c>
      <c r="B225" s="339">
        <f>+('Presiones de casing'!$C$2+14.7+'Presiones de casing'!$C$3+('Presiones de casing'!$C$4+'Presiones de casing'!$C$8)*A225)*(1+'Presiones de casing'!$C$7/'Presiones de casing'!$C$13)</f>
        <v>5171.216536018955</v>
      </c>
      <c r="C225" s="339">
        <f>+B225*(Columna!$G$9+Columna!$B$7)/Columna!$G$9</f>
        <v>6160.6097092136815</v>
      </c>
      <c r="D225" s="340">
        <f>+B225-A225*'Presiones de casing'!$C$4</f>
        <v>1388.2606858321883</v>
      </c>
      <c r="E225" s="340">
        <f>+'Volumen de gas'!$C$1*Tabla!D225/14.7*520/'Volumen de gas'!$C$2*'Volumen de gas'!$C$4/'Volumen de gas'!$C$3</f>
        <v>21422.478883719694</v>
      </c>
      <c r="F225" s="340">
        <f t="shared" si="5"/>
        <v>382.5442657807088</v>
      </c>
    </row>
    <row r="226" spans="1:6" ht="12.75">
      <c r="A226" s="317">
        <v>56.25</v>
      </c>
      <c r="B226" s="339">
        <f>+('Presiones de casing'!$C$2+14.7+'Presiones de casing'!$C$3+('Presiones de casing'!$C$4+'Presiones de casing'!$C$8)*A226)*(1+'Presiones de casing'!$C$7/'Presiones de casing'!$C$13)</f>
        <v>5193.562802965838</v>
      </c>
      <c r="C226" s="339">
        <f>+B226*(Columna!$G$9+Columna!$B$7)/Columna!$G$9</f>
        <v>6187.2314196291645</v>
      </c>
      <c r="D226" s="340">
        <f>+B226-A226*'Presiones de casing'!$C$4</f>
        <v>1393.7187570193096</v>
      </c>
      <c r="E226" s="340">
        <f>+'Volumen de gas'!$C$1*Tabla!D226/14.7*520/'Volumen de gas'!$C$2*'Volumen de gas'!$C$4/'Volumen de gas'!$C$3</f>
        <v>21506.703277556688</v>
      </c>
      <c r="F226" s="340">
        <f t="shared" si="5"/>
        <v>382.3413916010078</v>
      </c>
    </row>
    <row r="227" spans="1:6" ht="12.75">
      <c r="A227" s="317">
        <v>56.5</v>
      </c>
      <c r="B227" s="339">
        <f>+('Presiones de casing'!$C$2+14.7+'Presiones de casing'!$C$3+('Presiones de casing'!$C$4+'Presiones de casing'!$C$8)*A227)*(1+'Presiones de casing'!$C$7/'Presiones de casing'!$C$13)</f>
        <v>5215.909069912722</v>
      </c>
      <c r="C227" s="339">
        <f>+B227*(Columna!$G$9+Columna!$B$7)/Columna!$G$9</f>
        <v>6213.853130044647</v>
      </c>
      <c r="D227" s="340">
        <f>+B227-A227*'Presiones de casing'!$C$4</f>
        <v>1399.1768282064309</v>
      </c>
      <c r="E227" s="340">
        <f>+'Volumen de gas'!$C$1*Tabla!D227/14.7*520/'Volumen de gas'!$C$2*'Volumen de gas'!$C$4/'Volumen de gas'!$C$3</f>
        <v>21590.92767139368</v>
      </c>
      <c r="F227" s="340">
        <f t="shared" si="5"/>
        <v>382.1403127680298</v>
      </c>
    </row>
    <row r="228" spans="1:6" ht="12.75">
      <c r="A228" s="317">
        <v>56.75</v>
      </c>
      <c r="B228" s="339">
        <f>+('Presiones de casing'!$C$2+14.7+'Presiones de casing'!$C$3+('Presiones de casing'!$C$4+'Presiones de casing'!$C$8)*A228)*(1+'Presiones de casing'!$C$7/'Presiones de casing'!$C$13)</f>
        <v>5238.255336859605</v>
      </c>
      <c r="C228" s="339">
        <f>+B228*(Columna!$G$9+Columna!$B$7)/Columna!$G$9</f>
        <v>6240.4748404601305</v>
      </c>
      <c r="D228" s="340">
        <f>+B228-A228*'Presiones de casing'!$C$4</f>
        <v>1404.6348993935517</v>
      </c>
      <c r="E228" s="340">
        <f>+'Volumen de gas'!$C$1*Tabla!D228/14.7*520/'Volumen de gas'!$C$2*'Volumen de gas'!$C$4/'Volumen de gas'!$C$3</f>
        <v>21675.152065230664</v>
      </c>
      <c r="F228" s="340">
        <f t="shared" si="5"/>
        <v>381.94100555472534</v>
      </c>
    </row>
    <row r="229" spans="1:6" ht="12.75">
      <c r="A229" s="317">
        <v>57</v>
      </c>
      <c r="B229" s="339">
        <f>+('Presiones de casing'!$C$2+14.7+'Presiones de casing'!$C$3+('Presiones de casing'!$C$4+'Presiones de casing'!$C$8)*A229)*(1+'Presiones de casing'!$C$7/'Presiones de casing'!$C$13)</f>
        <v>5260.601603806489</v>
      </c>
      <c r="C229" s="339">
        <f>+B229*(Columna!$G$9+Columna!$B$7)/Columna!$G$9</f>
        <v>6267.096550875613</v>
      </c>
      <c r="D229" s="340">
        <f>+B229-A229*'Presiones de casing'!$C$4</f>
        <v>1410.092970580673</v>
      </c>
      <c r="E229" s="340">
        <f>+'Volumen de gas'!$C$1*Tabla!D229/14.7*520/'Volumen de gas'!$C$2*'Volumen de gas'!$C$4/'Volumen de gas'!$C$3</f>
        <v>21759.376459067666</v>
      </c>
      <c r="F229" s="340">
        <f t="shared" si="5"/>
        <v>381.7434466503099</v>
      </c>
    </row>
    <row r="230" spans="1:6" ht="12.75">
      <c r="A230" s="317">
        <v>57.25</v>
      </c>
      <c r="B230" s="339">
        <f>+('Presiones de casing'!$C$2+14.7+'Presiones de casing'!$C$3+('Presiones de casing'!$C$4+'Presiones de casing'!$C$8)*A230)*(1+'Presiones de casing'!$C$7/'Presiones de casing'!$C$13)</f>
        <v>5282.947870753372</v>
      </c>
      <c r="C230" s="339">
        <f>+B230*(Columna!$G$9+Columna!$B$7)/Columna!$G$9</f>
        <v>6293.718261291095</v>
      </c>
      <c r="D230" s="340">
        <f>+B230-A230*'Presiones de casing'!$C$4</f>
        <v>1415.5510417677933</v>
      </c>
      <c r="E230" s="340">
        <f>+'Volumen de gas'!$C$1*Tabla!D230/14.7*520/'Volumen de gas'!$C$2*'Volumen de gas'!$C$4/'Volumen de gas'!$C$3</f>
        <v>21843.600852904645</v>
      </c>
      <c r="F230" s="340">
        <f t="shared" si="5"/>
        <v>381.5476131511728</v>
      </c>
    </row>
    <row r="231" spans="1:6" ht="12.75">
      <c r="A231" s="317">
        <v>57.5</v>
      </c>
      <c r="B231" s="339">
        <f>+('Presiones de casing'!$C$2+14.7+'Presiones de casing'!$C$3+('Presiones de casing'!$C$4+'Presiones de casing'!$C$8)*A231)*(1+'Presiones de casing'!$C$7/'Presiones de casing'!$C$13)</f>
        <v>5305.294137700255</v>
      </c>
      <c r="C231" s="339">
        <f>+B231*(Columna!$G$9+Columna!$B$7)/Columna!$G$9</f>
        <v>6320.339971706577</v>
      </c>
      <c r="D231" s="340">
        <f>+B231-A231*'Presiones de casing'!$C$4</f>
        <v>1421.0091129549146</v>
      </c>
      <c r="E231" s="340">
        <f>+'Volumen de gas'!$C$1*Tabla!D231/14.7*520/'Volumen de gas'!$C$2*'Volumen de gas'!$C$4/'Volumen de gas'!$C$3</f>
        <v>21927.825246741628</v>
      </c>
      <c r="F231" s="340">
        <f t="shared" si="5"/>
        <v>381.3534825520283</v>
      </c>
    </row>
    <row r="232" spans="1:6" ht="12.75">
      <c r="A232" s="317">
        <v>57.75</v>
      </c>
      <c r="B232" s="339">
        <f>+('Presiones de casing'!$C$2+14.7+'Presiones de casing'!$C$3+('Presiones de casing'!$C$4+'Presiones de casing'!$C$8)*A232)*(1+'Presiones de casing'!$C$7/'Presiones de casing'!$C$13)</f>
        <v>5327.640404647139</v>
      </c>
      <c r="C232" s="339">
        <f>+B232*(Columna!$G$9+Columna!$B$7)/Columna!$G$9</f>
        <v>6346.961682122059</v>
      </c>
      <c r="D232" s="340">
        <f>+B232-A232*'Presiones de casing'!$C$4</f>
        <v>1426.4671841420359</v>
      </c>
      <c r="E232" s="340">
        <f>+'Volumen de gas'!$C$1*Tabla!D232/14.7*520/'Volumen de gas'!$C$2*'Volumen de gas'!$C$4/'Volumen de gas'!$C$3</f>
        <v>22012.04964057863</v>
      </c>
      <c r="F232" s="340">
        <f t="shared" si="5"/>
        <v>381.16103273729226</v>
      </c>
    </row>
    <row r="233" spans="1:6" ht="12.75">
      <c r="A233" s="317">
        <v>58</v>
      </c>
      <c r="B233" s="339">
        <f>+('Presiones de casing'!$C$2+14.7+'Presiones de casing'!$C$3+('Presiones de casing'!$C$4+'Presiones de casing'!$C$8)*A233)*(1+'Presiones de casing'!$C$7/'Presiones de casing'!$C$13)</f>
        <v>5349.986671594022</v>
      </c>
      <c r="C233" s="339">
        <f>+B233*(Columna!$G$9+Columna!$B$7)/Columna!$G$9</f>
        <v>6373.583392537541</v>
      </c>
      <c r="D233" s="340">
        <f>+B233-A233*'Presiones de casing'!$C$4</f>
        <v>1431.9252553291562</v>
      </c>
      <c r="E233" s="340">
        <f>+'Volumen de gas'!$C$1*Tabla!D233/14.7*520/'Volumen de gas'!$C$2*'Volumen de gas'!$C$4/'Volumen de gas'!$C$3</f>
        <v>22096.274034415605</v>
      </c>
      <c r="F233" s="340">
        <f t="shared" si="5"/>
        <v>380.97024197268286</v>
      </c>
    </row>
    <row r="234" spans="1:6" ht="12.75">
      <c r="A234" s="317">
        <v>58.25</v>
      </c>
      <c r="B234" s="339">
        <f>+('Presiones de casing'!$C$2+14.7+'Presiones de casing'!$C$3+('Presiones de casing'!$C$4+'Presiones de casing'!$C$8)*A234)*(1+'Presiones de casing'!$C$7/'Presiones de casing'!$C$13)</f>
        <v>5372.332938540905</v>
      </c>
      <c r="C234" s="339">
        <f>+B234*(Columna!$G$9+Columna!$B$7)/Columna!$G$9</f>
        <v>6400.205102953024</v>
      </c>
      <c r="D234" s="340">
        <f>+B234-A234*'Presiones de casing'!$C$4</f>
        <v>1437.3833265162775</v>
      </c>
      <c r="E234" s="340">
        <f>+'Volumen de gas'!$C$1*Tabla!D234/14.7*520/'Volumen de gas'!$C$2*'Volumen de gas'!$C$4/'Volumen de gas'!$C$3</f>
        <v>22180.4984282526</v>
      </c>
      <c r="F234" s="340">
        <f t="shared" si="5"/>
        <v>380.7810888970403</v>
      </c>
    </row>
    <row r="235" spans="1:6" ht="12.75">
      <c r="A235" s="317">
        <v>58.5</v>
      </c>
      <c r="B235" s="339">
        <f>+('Presiones de casing'!$C$2+14.7+'Presiones de casing'!$C$3+('Presiones de casing'!$C$4+'Presiones de casing'!$C$8)*A235)*(1+'Presiones de casing'!$C$7/'Presiones de casing'!$C$13)</f>
        <v>5394.679205487788</v>
      </c>
      <c r="C235" s="339">
        <f>+B235*(Columna!$G$9+Columna!$B$7)/Columna!$G$9</f>
        <v>6426.826813368505</v>
      </c>
      <c r="D235" s="340">
        <f>+B235-A235*'Presiones de casing'!$C$4</f>
        <v>1442.841397703398</v>
      </c>
      <c r="E235" s="340">
        <f>+'Volumen de gas'!$C$1*Tabla!D235/14.7*520/'Volumen de gas'!$C$2*'Volumen de gas'!$C$4/'Volumen de gas'!$C$3</f>
        <v>22264.72282208957</v>
      </c>
      <c r="F235" s="340">
        <f t="shared" si="5"/>
        <v>380.59355251435164</v>
      </c>
    </row>
    <row r="236" spans="1:6" ht="12.75">
      <c r="A236" s="317">
        <v>58.75</v>
      </c>
      <c r="B236" s="339">
        <f>+('Presiones de casing'!$C$2+14.7+'Presiones de casing'!$C$3+('Presiones de casing'!$C$4+'Presiones de casing'!$C$8)*A236)*(1+'Presiones de casing'!$C$7/'Presiones de casing'!$C$13)</f>
        <v>5417.025472434671</v>
      </c>
      <c r="C236" s="339">
        <f>+B236*(Columna!$G$9+Columna!$B$7)/Columna!$G$9</f>
        <v>6453.448523783988</v>
      </c>
      <c r="D236" s="340">
        <f>+B236-A236*'Presiones de casing'!$C$4</f>
        <v>1448.2994688905192</v>
      </c>
      <c r="E236" s="340">
        <f>+'Volumen de gas'!$C$1*Tabla!D236/14.7*520/'Volumen de gas'!$C$2*'Volumen de gas'!$C$4/'Volumen de gas'!$C$3</f>
        <v>22348.94721592657</v>
      </c>
      <c r="F236" s="340">
        <f t="shared" si="5"/>
        <v>380.4076121859842</v>
      </c>
    </row>
    <row r="237" spans="1:6" ht="12.75">
      <c r="A237" s="317">
        <v>59</v>
      </c>
      <c r="B237" s="339">
        <f>+('Presiones de casing'!$C$2+14.7+'Presiones de casing'!$C$3+('Presiones de casing'!$C$4+'Presiones de casing'!$C$8)*A237)*(1+'Presiones de casing'!$C$7/'Presiones de casing'!$C$13)</f>
        <v>5439.371739381555</v>
      </c>
      <c r="C237" s="339">
        <f>+B237*(Columna!$G$9+Columna!$B$7)/Columna!$G$9</f>
        <v>6480.07023419947</v>
      </c>
      <c r="D237" s="340">
        <f>+B237-A237*'Presiones de casing'!$C$4</f>
        <v>1453.7575400776404</v>
      </c>
      <c r="E237" s="340">
        <f>+'Volumen de gas'!$C$1*Tabla!D237/14.7*520/'Volumen de gas'!$C$2*'Volumen de gas'!$C$4/'Volumen de gas'!$C$3</f>
        <v>22433.171609763565</v>
      </c>
      <c r="F237" s="340">
        <f t="shared" si="5"/>
        <v>380.22324762311126</v>
      </c>
    </row>
    <row r="238" spans="1:6" ht="12.75">
      <c r="A238" s="317">
        <v>59.25</v>
      </c>
      <c r="B238" s="339">
        <f>+('Presiones de casing'!$C$2+14.7+'Presiones de casing'!$C$3+('Presiones de casing'!$C$4+'Presiones de casing'!$C$8)*A238)*(1+'Presiones de casing'!$C$7/'Presiones de casing'!$C$13)</f>
        <v>5461.718006328439</v>
      </c>
      <c r="C238" s="339">
        <f>+B238*(Columna!$G$9+Columna!$B$7)/Columna!$G$9</f>
        <v>6506.691944614953</v>
      </c>
      <c r="D238" s="340">
        <f>+B238-A238*'Presiones de casing'!$C$4</f>
        <v>1459.2156112647617</v>
      </c>
      <c r="E238" s="340">
        <f>+'Volumen de gas'!$C$1*Tabla!D238/14.7*520/'Volumen de gas'!$C$2*'Volumen de gas'!$C$4/'Volumen de gas'!$C$3</f>
        <v>22517.396003600556</v>
      </c>
      <c r="F238" s="340">
        <f t="shared" si="5"/>
        <v>380.04043887933426</v>
      </c>
    </row>
    <row r="239" spans="1:6" ht="12.75">
      <c r="A239" s="317">
        <v>59.5</v>
      </c>
      <c r="B239" s="339">
        <f>+('Presiones de casing'!$C$2+14.7+'Presiones de casing'!$C$3+('Presiones de casing'!$C$4+'Presiones de casing'!$C$8)*A239)*(1+'Presiones de casing'!$C$7/'Presiones de casing'!$C$13)</f>
        <v>5484.064273275322</v>
      </c>
      <c r="C239" s="339">
        <f>+B239*(Columna!$G$9+Columna!$B$7)/Columna!$G$9</f>
        <v>6533.313655030435</v>
      </c>
      <c r="D239" s="340">
        <f>+B239-A239*'Presiones de casing'!$C$4</f>
        <v>1464.673682451883</v>
      </c>
      <c r="E239" s="340">
        <f>+'Volumen de gas'!$C$1*Tabla!D239/14.7*520/'Volumen de gas'!$C$2*'Volumen de gas'!$C$4/'Volumen de gas'!$C$3</f>
        <v>22601.620397437553</v>
      </c>
      <c r="F239" s="340">
        <f t="shared" si="5"/>
        <v>379.8591663434883</v>
      </c>
    </row>
    <row r="240" spans="1:6" ht="12.75">
      <c r="A240" s="317">
        <v>59.75</v>
      </c>
      <c r="B240" s="339">
        <f>+('Presiones de casing'!$C$2+14.7+'Presiones de casing'!$C$3+('Presiones de casing'!$C$4+'Presiones de casing'!$C$8)*A240)*(1+'Presiones de casing'!$C$7/'Presiones de casing'!$C$13)</f>
        <v>5506.410540222204</v>
      </c>
      <c r="C240" s="339">
        <f>+B240*(Columna!$G$9+Columna!$B$7)/Columna!$G$9</f>
        <v>6559.935365445916</v>
      </c>
      <c r="D240" s="340">
        <f>+B240-A240*'Presiones de casing'!$C$4</f>
        <v>1470.131753639002</v>
      </c>
      <c r="E240" s="340">
        <f>+'Volumen de gas'!$C$1*Tabla!D240/14.7*520/'Volumen de gas'!$C$2*'Volumen de gas'!$C$4/'Volumen de gas'!$C$3</f>
        <v>22685.84479127451</v>
      </c>
      <c r="F240" s="340">
        <f t="shared" si="5"/>
        <v>379.6794107326278</v>
      </c>
    </row>
    <row r="241" spans="1:6" ht="12.75">
      <c r="A241" s="317">
        <v>60</v>
      </c>
      <c r="B241" s="339">
        <f>+('Presiones de casing'!$C$2+14.7+'Presiones de casing'!$C$3+('Presiones de casing'!$C$4+'Presiones de casing'!$C$8)*A241)*(1+'Presiones de casing'!$C$7/'Presiones de casing'!$C$13)</f>
        <v>5528.756807169088</v>
      </c>
      <c r="C241" s="339">
        <f>+B241*(Columna!$G$9+Columna!$B$7)/Columna!$G$9</f>
        <v>6586.557075861399</v>
      </c>
      <c r="D241" s="340">
        <f>+B241-A241*'Presiones de casing'!$C$4</f>
        <v>1475.5898248261233</v>
      </c>
      <c r="E241" s="340">
        <f>+'Volumen de gas'!$C$1*Tabla!D241/14.7*520/'Volumen de gas'!$C$2*'Volumen de gas'!$C$4/'Volumen de gas'!$C$3</f>
        <v>22770.0691851115</v>
      </c>
      <c r="F241" s="340">
        <f t="shared" si="5"/>
        <v>379.5011530851917</v>
      </c>
    </row>
    <row r="242" spans="1:6" ht="12.75">
      <c r="A242" s="317">
        <v>60.25</v>
      </c>
      <c r="B242" s="339">
        <f>+('Presiones de casing'!$C$2+14.7+'Presiones de casing'!$C$3+('Presiones de casing'!$C$4+'Presiones de casing'!$C$8)*A242)*(1+'Presiones de casing'!$C$7/'Presiones de casing'!$C$13)</f>
        <v>5551.103074115971</v>
      </c>
      <c r="C242" s="339">
        <f>+B242*(Columna!$G$9+Columna!$B$7)/Columna!$G$9</f>
        <v>6613.1787862768815</v>
      </c>
      <c r="D242" s="340">
        <f>+B242-A242*'Presiones de casing'!$C$4</f>
        <v>1481.0478960132446</v>
      </c>
      <c r="E242" s="340">
        <f>+'Volumen de gas'!$C$1*Tabla!D242/14.7*520/'Volumen de gas'!$C$2*'Volumen de gas'!$C$4/'Volumen de gas'!$C$3</f>
        <v>22854.293578948498</v>
      </c>
      <c r="F242" s="340">
        <f t="shared" si="5"/>
        <v>379.3243747543319</v>
      </c>
    </row>
    <row r="243" spans="1:6" ht="12.75">
      <c r="A243" s="317">
        <v>60.5</v>
      </c>
      <c r="B243" s="339">
        <f>+('Presiones de casing'!$C$2+14.7+'Presiones de casing'!$C$3+('Presiones de casing'!$C$4+'Presiones de casing'!$C$8)*A243)*(1+'Presiones de casing'!$C$7/'Presiones de casing'!$C$13)</f>
        <v>5573.449341062855</v>
      </c>
      <c r="C243" s="339">
        <f>+B243*(Columna!$G$9+Columna!$B$7)/Columna!$G$9</f>
        <v>6639.800496692364</v>
      </c>
      <c r="D243" s="340">
        <f>+B243-A243*'Presiones de casing'!$C$4</f>
        <v>1486.5059672003658</v>
      </c>
      <c r="E243" s="340">
        <f>+'Volumen de gas'!$C$1*Tabla!D243/14.7*520/'Volumen de gas'!$C$2*'Volumen de gas'!$C$4/'Volumen de gas'!$C$3</f>
        <v>22938.51797278549</v>
      </c>
      <c r="F243" s="340">
        <f t="shared" si="5"/>
        <v>379.149057401413</v>
      </c>
    </row>
    <row r="244" spans="1:6" ht="12.75">
      <c r="A244" s="317">
        <v>60.75</v>
      </c>
      <c r="B244" s="339">
        <f>+('Presiones de casing'!$C$2+14.7+'Presiones de casing'!$C$3+('Presiones de casing'!$C$4+'Presiones de casing'!$C$8)*A244)*(1+'Presiones de casing'!$C$7/'Presiones de casing'!$C$13)</f>
        <v>5595.795608009738</v>
      </c>
      <c r="C244" s="339">
        <f>+B244*(Columna!$G$9+Columna!$B$7)/Columna!$G$9</f>
        <v>6666.422207107847</v>
      </c>
      <c r="D244" s="340">
        <f>+B244-A244*'Presiones de casing'!$C$4</f>
        <v>1491.9640383874876</v>
      </c>
      <c r="E244" s="340">
        <f>+'Volumen de gas'!$C$1*Tabla!D244/14.7*520/'Volumen de gas'!$C$2*'Volumen de gas'!$C$4/'Volumen de gas'!$C$3</f>
        <v>23022.742366622486</v>
      </c>
      <c r="F244" s="340">
        <f t="shared" si="5"/>
        <v>378.97518298967054</v>
      </c>
    </row>
    <row r="245" spans="1:6" ht="12.75">
      <c r="A245" s="317">
        <v>61</v>
      </c>
      <c r="B245" s="339">
        <f>+('Presiones de casing'!$C$2+14.7+'Presiones de casing'!$C$3+('Presiones de casing'!$C$4+'Presiones de casing'!$C$8)*A245)*(1+'Presiones de casing'!$C$7/'Presiones de casing'!$C$13)</f>
        <v>5618.141874956621</v>
      </c>
      <c r="C245" s="339">
        <f>+B245*(Columna!$G$9+Columna!$B$7)/Columna!$G$9</f>
        <v>6693.043917523328</v>
      </c>
      <c r="D245" s="340">
        <f>+B245-A245*'Presiones de casing'!$C$4</f>
        <v>1497.422109574608</v>
      </c>
      <c r="E245" s="340">
        <f>+'Volumen de gas'!$C$1*Tabla!D245/14.7*520/'Volumen de gas'!$C$2*'Volumen de gas'!$C$4/'Volumen de gas'!$C$3</f>
        <v>23106.966760459465</v>
      </c>
      <c r="F245" s="340">
        <f t="shared" si="5"/>
        <v>378.802733778024</v>
      </c>
    </row>
    <row r="246" spans="1:6" ht="12.75">
      <c r="A246" s="317">
        <v>61.25</v>
      </c>
      <c r="B246" s="339">
        <f>+('Presiones de casing'!$C$2+14.7+'Presiones de casing'!$C$3+('Presiones de casing'!$C$4+'Presiones de casing'!$C$8)*A246)*(1+'Presiones de casing'!$C$7/'Presiones de casing'!$C$13)</f>
        <v>5640.488141903505</v>
      </c>
      <c r="C246" s="339">
        <f>+B246*(Columna!$G$9+Columna!$B$7)/Columna!$G$9</f>
        <v>6719.66562793881</v>
      </c>
      <c r="D246" s="340">
        <f>+B246-A246*'Presiones de casing'!$C$4</f>
        <v>1502.8801807617283</v>
      </c>
      <c r="E246" s="340">
        <f>+'Volumen de gas'!$C$1*Tabla!D246/14.7*520/'Volumen de gas'!$C$2*'Volumen de gas'!$C$4/'Volumen de gas'!$C$3</f>
        <v>23191.191154296448</v>
      </c>
      <c r="F246" s="340">
        <f t="shared" si="5"/>
        <v>378.63169231504406</v>
      </c>
    </row>
    <row r="247" spans="1:6" ht="12.75">
      <c r="A247" s="317">
        <v>61.5</v>
      </c>
      <c r="B247" s="339">
        <f>+('Presiones de casing'!$C$2+14.7+'Presiones de casing'!$C$3+('Presiones de casing'!$C$4+'Presiones de casing'!$C$8)*A247)*(1+'Presiones de casing'!$C$7/'Presiones de casing'!$C$13)</f>
        <v>5662.834408850388</v>
      </c>
      <c r="C247" s="339">
        <f>+B247*(Columna!$G$9+Columna!$B$7)/Columna!$G$9</f>
        <v>6746.287338354294</v>
      </c>
      <c r="D247" s="340">
        <f>+B247-A247*'Presiones de casing'!$C$4</f>
        <v>1508.3382519488496</v>
      </c>
      <c r="E247" s="340">
        <f>+'Volumen de gas'!$C$1*Tabla!D247/14.7*520/'Volumen de gas'!$C$2*'Volumen de gas'!$C$4/'Volumen de gas'!$C$3</f>
        <v>23275.415548133442</v>
      </c>
      <c r="F247" s="340">
        <f t="shared" si="5"/>
        <v>378.4620414330641</v>
      </c>
    </row>
    <row r="248" spans="1:6" ht="12.75">
      <c r="A248" s="317">
        <v>61.75</v>
      </c>
      <c r="B248" s="339">
        <f>+('Presiones de casing'!$C$2+14.7+'Presiones de casing'!$C$3+('Presiones de casing'!$C$4+'Presiones de casing'!$C$8)*A248)*(1+'Presiones de casing'!$C$7/'Presiones de casing'!$C$13)</f>
        <v>5685.180675797271</v>
      </c>
      <c r="C248" s="339">
        <f>+B248*(Columna!$G$9+Columna!$B$7)/Columna!$G$9</f>
        <v>6772.909048769775</v>
      </c>
      <c r="D248" s="340">
        <f>+B248-A248*'Presiones de casing'!$C$4</f>
        <v>1513.79632313597</v>
      </c>
      <c r="E248" s="340">
        <f>+'Volumen de gas'!$C$1*Tabla!D248/14.7*520/'Volumen de gas'!$C$2*'Volumen de gas'!$C$4/'Volumen de gas'!$C$3</f>
        <v>23359.63994197042</v>
      </c>
      <c r="F248" s="340">
        <f t="shared" si="5"/>
        <v>378.293764242436</v>
      </c>
    </row>
    <row r="249" spans="1:6" ht="12.75">
      <c r="A249" s="317">
        <v>62</v>
      </c>
      <c r="B249" s="339">
        <f>+('Presiones de casing'!$C$2+14.7+'Presiones de casing'!$C$3+('Presiones de casing'!$C$4+'Presiones de casing'!$C$8)*A249)*(1+'Presiones de casing'!$C$7/'Presiones de casing'!$C$13)</f>
        <v>5707.526942744154</v>
      </c>
      <c r="C249" s="339">
        <f>+B249*(Columna!$G$9+Columna!$B$7)/Columna!$G$9</f>
        <v>6799.530759185258</v>
      </c>
      <c r="D249" s="340">
        <f>+B249-A249*'Presiones de casing'!$C$4</f>
        <v>1519.2543943230912</v>
      </c>
      <c r="E249" s="340">
        <f>+'Volumen de gas'!$C$1*Tabla!D249/14.7*520/'Volumen de gas'!$C$2*'Volumen de gas'!$C$4/'Volumen de gas'!$C$3</f>
        <v>23443.86433580742</v>
      </c>
      <c r="F249" s="340">
        <f t="shared" si="5"/>
        <v>378.1268441259261</v>
      </c>
    </row>
    <row r="250" spans="1:6" ht="12.75">
      <c r="A250" s="317">
        <v>62.25</v>
      </c>
      <c r="B250" s="339">
        <f>+('Presiones de casing'!$C$2+14.7+'Presiones de casing'!$C$3+('Presiones de casing'!$C$4+'Presiones de casing'!$C$8)*A250)*(1+'Presiones de casing'!$C$7/'Presiones de casing'!$C$13)</f>
        <v>5729.873209691037</v>
      </c>
      <c r="C250" s="339">
        <f>+B250*(Columna!$G$9+Columna!$B$7)/Columna!$G$9</f>
        <v>6826.152469600739</v>
      </c>
      <c r="D250" s="340">
        <f>+B250-A250*'Presiones de casing'!$C$4</f>
        <v>1524.7124655102116</v>
      </c>
      <c r="E250" s="340">
        <f>+'Volumen de gas'!$C$1*Tabla!D250/14.7*520/'Volumen de gas'!$C$2*'Volumen de gas'!$C$4/'Volumen de gas'!$C$3</f>
        <v>23528.088729644394</v>
      </c>
      <c r="F250" s="340">
        <f t="shared" si="5"/>
        <v>377.9612647332433</v>
      </c>
    </row>
    <row r="251" spans="1:6" ht="12.75">
      <c r="A251" s="317">
        <v>62.5</v>
      </c>
      <c r="B251" s="339">
        <f>+('Presiones de casing'!$C$2+14.7+'Presiones de casing'!$C$3+('Presiones de casing'!$C$4+'Presiones de casing'!$C$8)*A251)*(1+'Presiones de casing'!$C$7/'Presiones de casing'!$C$13)</f>
        <v>5752.219476637921</v>
      </c>
      <c r="C251" s="339">
        <f>+B251*(Columna!$G$9+Columna!$B$7)/Columna!$G$9</f>
        <v>6852.774180016221</v>
      </c>
      <c r="D251" s="340">
        <f>+B251-A251*'Presiones de casing'!$C$4</f>
        <v>1530.1705366973329</v>
      </c>
      <c r="E251" s="340">
        <f>+'Volumen de gas'!$C$1*Tabla!D251/14.7*520/'Volumen de gas'!$C$2*'Volumen de gas'!$C$4/'Volumen de gas'!$C$3</f>
        <v>23612.31312348138</v>
      </c>
      <c r="F251" s="340">
        <f t="shared" si="5"/>
        <v>377.7970099757021</v>
      </c>
    </row>
    <row r="252" spans="1:6" ht="12.75">
      <c r="A252" s="317">
        <v>62.75</v>
      </c>
      <c r="B252" s="339">
        <f>+('Presiones de casing'!$C$2+14.7+'Presiones de casing'!$C$3+('Presiones de casing'!$C$4+'Presiones de casing'!$C$8)*A252)*(1+'Presiones de casing'!$C$7/'Presiones de casing'!$C$13)</f>
        <v>5774.565743584804</v>
      </c>
      <c r="C252" s="339">
        <f>+B252*(Columna!$G$9+Columna!$B$7)/Columna!$G$9</f>
        <v>6879.395890431704</v>
      </c>
      <c r="D252" s="340">
        <f>+B252-A252*'Presiones de casing'!$C$4</f>
        <v>1535.6286078844541</v>
      </c>
      <c r="E252" s="340">
        <f>+'Volumen de gas'!$C$1*Tabla!D252/14.7*520/'Volumen de gas'!$C$2*'Volumen de gas'!$C$4/'Volumen de gas'!$C$3</f>
        <v>23696.537517318382</v>
      </c>
      <c r="F252" s="340">
        <f t="shared" si="5"/>
        <v>377.6340640210101</v>
      </c>
    </row>
    <row r="253" spans="1:6" ht="12.75">
      <c r="A253" s="317">
        <v>63</v>
      </c>
      <c r="B253" s="339">
        <f>+('Presiones de casing'!$C$2+14.7+'Presiones de casing'!$C$3+('Presiones de casing'!$C$4+'Presiones de casing'!$C$8)*A253)*(1+'Presiones de casing'!$C$7/'Presiones de casing'!$C$13)</f>
        <v>5796.912010531688</v>
      </c>
      <c r="C253" s="339">
        <f>+B253*(Columna!$G$9+Columna!$B$7)/Columna!$G$9</f>
        <v>6906.017600847187</v>
      </c>
      <c r="D253" s="340">
        <f>+B253-A253*'Presiones de casing'!$C$4</f>
        <v>1541.0866790715754</v>
      </c>
      <c r="E253" s="340">
        <f>+'Volumen de gas'!$C$1*Tabla!D253/14.7*520/'Volumen de gas'!$C$2*'Volumen de gas'!$C$4/'Volumen de gas'!$C$3</f>
        <v>23780.761911155372</v>
      </c>
      <c r="F253" s="340">
        <f t="shared" si="5"/>
        <v>377.4724112881805</v>
      </c>
    </row>
    <row r="254" spans="1:6" ht="12.75">
      <c r="A254" s="317">
        <v>63.25</v>
      </c>
      <c r="B254" s="339">
        <f>+('Presiones de casing'!$C$2+14.7+'Presiones de casing'!$C$3+('Presiones de casing'!$C$4+'Presiones de casing'!$C$8)*A254)*(1+'Presiones de casing'!$C$7/'Presiones de casing'!$C$13)</f>
        <v>5819.2582774785715</v>
      </c>
      <c r="C254" s="339">
        <f>+B254*(Columna!$G$9+Columna!$B$7)/Columna!$G$9</f>
        <v>6932.63931126267</v>
      </c>
      <c r="D254" s="340">
        <f>+B254-A254*'Presiones de casing'!$C$4</f>
        <v>1546.5447502586967</v>
      </c>
      <c r="E254" s="340">
        <f>+'Volumen de gas'!$C$1*Tabla!D254/14.7*520/'Volumen de gas'!$C$2*'Volumen de gas'!$C$4/'Volumen de gas'!$C$3</f>
        <v>23864.986304992366</v>
      </c>
      <c r="F254" s="340">
        <f t="shared" si="5"/>
        <v>377.31203644256703</v>
      </c>
    </row>
    <row r="255" spans="1:6" ht="12.75">
      <c r="A255" s="317">
        <v>63.5</v>
      </c>
      <c r="B255" s="339">
        <f>+('Presiones de casing'!$C$2+14.7+'Presiones de casing'!$C$3+('Presiones de casing'!$C$4+'Presiones de casing'!$C$8)*A255)*(1+'Presiones de casing'!$C$7/'Presiones de casing'!$C$13)</f>
        <v>5841.604544425454</v>
      </c>
      <c r="C255" s="339">
        <f>+B255*(Columna!$G$9+Columna!$B$7)/Columna!$G$9</f>
        <v>6959.261021678151</v>
      </c>
      <c r="D255" s="340">
        <f>+B255-A255*'Presiones de casing'!$C$4</f>
        <v>1552.002821445817</v>
      </c>
      <c r="E255" s="340">
        <f>+'Volumen de gas'!$C$1*Tabla!D255/14.7*520/'Volumen de gas'!$C$2*'Volumen de gas'!$C$4/'Volumen de gas'!$C$3</f>
        <v>23949.210698829338</v>
      </c>
      <c r="F255" s="340">
        <f t="shared" si="5"/>
        <v>377.1529243910132</v>
      </c>
    </row>
    <row r="256" spans="1:6" ht="12.75">
      <c r="A256" s="317">
        <v>63.75</v>
      </c>
      <c r="B256" s="339">
        <f>+('Presiones de casing'!$C$2+14.7+'Presiones de casing'!$C$3+('Presiones de casing'!$C$4+'Presiones de casing'!$C$8)*A256)*(1+'Presiones de casing'!$C$7/'Presiones de casing'!$C$13)</f>
        <v>5863.950811372337</v>
      </c>
      <c r="C256" s="339">
        <f>+B256*(Columna!$G$9+Columna!$B$7)/Columna!$G$9</f>
        <v>6985.8827320936325</v>
      </c>
      <c r="D256" s="340">
        <f>+B256-A256*'Presiones de casing'!$C$4</f>
        <v>1557.4608926329374</v>
      </c>
      <c r="E256" s="340">
        <f>+'Volumen de gas'!$C$1*Tabla!D256/14.7*520/'Volumen de gas'!$C$2*'Volumen de gas'!$C$4/'Volumen de gas'!$C$3</f>
        <v>24033.435092666325</v>
      </c>
      <c r="F256" s="340">
        <f t="shared" si="5"/>
        <v>376.9950602771188</v>
      </c>
    </row>
    <row r="257" spans="1:6" ht="12.75">
      <c r="A257" s="317">
        <v>64</v>
      </c>
      <c r="B257" s="339">
        <f>+('Presiones de casing'!$C$2+14.7+'Presiones de casing'!$C$3+('Presiones de casing'!$C$4+'Presiones de casing'!$C$8)*A257)*(1+'Presiones de casing'!$C$7/'Presiones de casing'!$C$13)</f>
        <v>5886.29707831922</v>
      </c>
      <c r="C257" s="339">
        <f>+B257*(Columna!$G$9+Columna!$B$7)/Columna!$G$9</f>
        <v>7012.5044425091155</v>
      </c>
      <c r="D257" s="340">
        <f>+B257-A257*'Presiones de casing'!$C$4</f>
        <v>1562.9189638200587</v>
      </c>
      <c r="E257" s="340">
        <f>+'Volumen de gas'!$C$1*Tabla!D257/14.7*520/'Volumen de gas'!$C$2*'Volumen de gas'!$C$4/'Volumen de gas'!$C$3</f>
        <v>24117.659486503315</v>
      </c>
      <c r="F257" s="340">
        <f aca="true" t="shared" si="6" ref="F257:F320">+E257/A257</f>
        <v>376.8384294766143</v>
      </c>
    </row>
    <row r="258" spans="1:6" ht="12.75">
      <c r="A258" s="317">
        <v>64.25</v>
      </c>
      <c r="B258" s="339">
        <f>+('Presiones de casing'!$C$2+14.7+'Presiones de casing'!$C$3+('Presiones de casing'!$C$4+'Presiones de casing'!$C$8)*A258)*(1+'Presiones de casing'!$C$7/'Presiones de casing'!$C$13)</f>
        <v>5908.643345266104</v>
      </c>
      <c r="C258" s="339">
        <f>+B258*(Columna!$G$9+Columna!$B$7)/Columna!$G$9</f>
        <v>7039.126152924598</v>
      </c>
      <c r="D258" s="340">
        <f>+B258-A258*'Presiones de casing'!$C$4</f>
        <v>1568.37703500718</v>
      </c>
      <c r="E258" s="340">
        <f>+'Volumen de gas'!$C$1*Tabla!D258/14.7*520/'Volumen de gas'!$C$2*'Volumen de gas'!$C$4/'Volumen de gas'!$C$3</f>
        <v>24201.88388034031</v>
      </c>
      <c r="F258" s="340">
        <f t="shared" si="6"/>
        <v>376.68301759284526</v>
      </c>
    </row>
    <row r="259" spans="1:6" ht="12.75">
      <c r="A259" s="317">
        <v>64.5</v>
      </c>
      <c r="B259" s="339">
        <f>+('Presiones de casing'!$C$2+14.7+'Presiones de casing'!$C$3+('Presiones de casing'!$C$4+'Presiones de casing'!$C$8)*A259)*(1+'Presiones de casing'!$C$7/'Presiones de casing'!$C$13)</f>
        <v>5930.989612212988</v>
      </c>
      <c r="C259" s="339">
        <f>+B259*(Columna!$G$9+Columna!$B$7)/Columna!$G$9</f>
        <v>7065.7478633400815</v>
      </c>
      <c r="D259" s="340">
        <f>+B259-A259*'Presiones de casing'!$C$4</f>
        <v>1573.8351061943013</v>
      </c>
      <c r="E259" s="340">
        <f>+'Volumen de gas'!$C$1*Tabla!D259/14.7*520/'Volumen de gas'!$C$2*'Volumen de gas'!$C$4/'Volumen de gas'!$C$3</f>
        <v>24286.108274177306</v>
      </c>
      <c r="F259" s="340">
        <f t="shared" si="6"/>
        <v>376.5288104523613</v>
      </c>
    </row>
    <row r="260" spans="1:6" ht="12.75">
      <c r="A260" s="317">
        <v>64.75</v>
      </c>
      <c r="B260" s="339">
        <f>+('Presiones de casing'!$C$2+14.7+'Presiones de casing'!$C$3+('Presiones de casing'!$C$4+'Presiones de casing'!$C$8)*A260)*(1+'Presiones de casing'!$C$7/'Presiones de casing'!$C$13)</f>
        <v>5953.33587915987</v>
      </c>
      <c r="C260" s="339">
        <f>+B260*(Columna!$G$9+Columna!$B$7)/Columna!$G$9</f>
        <v>7092.369573755563</v>
      </c>
      <c r="D260" s="340">
        <f>+B260-A260*'Presiones de casing'!$C$4</f>
        <v>1579.2931773814216</v>
      </c>
      <c r="E260" s="340">
        <f>+'Volumen de gas'!$C$1*Tabla!D260/14.7*520/'Volumen de gas'!$C$2*'Volumen de gas'!$C$4/'Volumen de gas'!$C$3</f>
        <v>24370.332668014278</v>
      </c>
      <c r="F260" s="340">
        <f t="shared" si="6"/>
        <v>376.37579410060664</v>
      </c>
    </row>
    <row r="261" spans="1:6" ht="12.75">
      <c r="A261" s="317">
        <v>65</v>
      </c>
      <c r="B261" s="339">
        <f>+('Presiones de casing'!$C$2+14.7+'Presiones de casing'!$C$3+('Presiones de casing'!$C$4+'Presiones de casing'!$C$8)*A261)*(1+'Presiones de casing'!$C$7/'Presiones de casing'!$C$13)</f>
        <v>5975.682146106754</v>
      </c>
      <c r="C261" s="339">
        <f>+B261*(Columna!$G$9+Columna!$B$7)/Columna!$G$9</f>
        <v>7118.991284171045</v>
      </c>
      <c r="D261" s="340">
        <f>+B261-A261*'Presiones de casing'!$C$4</f>
        <v>1584.751248568543</v>
      </c>
      <c r="E261" s="340">
        <f>+'Volumen de gas'!$C$1*Tabla!D261/14.7*520/'Volumen de gas'!$C$2*'Volumen de gas'!$C$4/'Volumen de gas'!$C$3</f>
        <v>24454.557061851272</v>
      </c>
      <c r="F261" s="340">
        <f t="shared" si="6"/>
        <v>376.2239547977119</v>
      </c>
    </row>
    <row r="262" spans="1:6" ht="12.75">
      <c r="A262" s="317">
        <v>65.25</v>
      </c>
      <c r="B262" s="339">
        <f>+('Presiones de casing'!$C$2+14.7+'Presiones de casing'!$C$3+('Presiones de casing'!$C$4+'Presiones de casing'!$C$8)*A262)*(1+'Presiones de casing'!$C$7/'Presiones de casing'!$C$13)</f>
        <v>5998.028413053637</v>
      </c>
      <c r="C262" s="339">
        <f>+B262*(Columna!$G$9+Columna!$B$7)/Columna!$G$9</f>
        <v>7145.612994586528</v>
      </c>
      <c r="D262" s="340">
        <f>+B262-A262*'Presiones de casing'!$C$4</f>
        <v>1590.2093197556642</v>
      </c>
      <c r="E262" s="340">
        <f>+'Volumen de gas'!$C$1*Tabla!D262/14.7*520/'Volumen de gas'!$C$2*'Volumen de gas'!$C$4/'Volumen de gas'!$C$3</f>
        <v>24538.78145568827</v>
      </c>
      <c r="F262" s="340">
        <f t="shared" si="6"/>
        <v>376.07327901437964</v>
      </c>
    </row>
    <row r="263" spans="1:6" ht="12.75">
      <c r="A263" s="317">
        <v>65.5</v>
      </c>
      <c r="B263" s="339">
        <f>+('Presiones de casing'!$C$2+14.7+'Presiones de casing'!$C$3+('Presiones de casing'!$C$4+'Presiones de casing'!$C$8)*A263)*(1+'Presiones de casing'!$C$7/'Presiones de casing'!$C$13)</f>
        <v>6020.374680000521</v>
      </c>
      <c r="C263" s="339">
        <f>+B263*(Columna!$G$9+Columna!$B$7)/Columna!$G$9</f>
        <v>7172.23470500201</v>
      </c>
      <c r="D263" s="340">
        <f>+B263-A263*'Presiones de casing'!$C$4</f>
        <v>1595.6673909427855</v>
      </c>
      <c r="E263" s="340">
        <f>+'Volumen de gas'!$C$1*Tabla!D263/14.7*520/'Volumen de gas'!$C$2*'Volumen de gas'!$C$4/'Volumen de gas'!$C$3</f>
        <v>24623.00584952526</v>
      </c>
      <c r="F263" s="340">
        <f t="shared" si="6"/>
        <v>375.9237534278666</v>
      </c>
    </row>
    <row r="264" spans="1:6" ht="12.75">
      <c r="A264" s="317">
        <v>65.75</v>
      </c>
      <c r="B264" s="339">
        <f>+('Presiones de casing'!$C$2+14.7+'Presiones de casing'!$C$3+('Presiones de casing'!$C$4+'Presiones de casing'!$C$8)*A264)*(1+'Presiones de casing'!$C$7/'Presiones de casing'!$C$13)</f>
        <v>6042.720946947404</v>
      </c>
      <c r="C264" s="339">
        <f>+B264*(Columna!$G$9+Columna!$B$7)/Columna!$G$9</f>
        <v>7198.856415417491</v>
      </c>
      <c r="D264" s="340">
        <f>+B264-A264*'Presiones de casing'!$C$4</f>
        <v>1601.1254621299058</v>
      </c>
      <c r="E264" s="340">
        <f>+'Volumen de gas'!$C$1*Tabla!D264/14.7*520/'Volumen de gas'!$C$2*'Volumen de gas'!$C$4/'Volumen de gas'!$C$3</f>
        <v>24707.23024336224</v>
      </c>
      <c r="F264" s="340">
        <f t="shared" si="6"/>
        <v>375.7753649180569</v>
      </c>
    </row>
    <row r="265" spans="1:6" ht="12.75">
      <c r="A265" s="317">
        <v>66</v>
      </c>
      <c r="B265" s="339">
        <f>+('Presiones de casing'!$C$2+14.7+'Presiones de casing'!$C$3+('Presiones de casing'!$C$4+'Presiones de casing'!$C$8)*A265)*(1+'Presiones de casing'!$C$7/'Presiones de casing'!$C$13)</f>
        <v>6065.067213894286</v>
      </c>
      <c r="C265" s="339">
        <f>+B265*(Columna!$G$9+Columna!$B$7)/Columna!$G$9</f>
        <v>7225.478125832974</v>
      </c>
      <c r="D265" s="340">
        <f>+B265-A265*'Presiones de casing'!$C$4</f>
        <v>1606.5835333170262</v>
      </c>
      <c r="E265" s="340">
        <f>+'Volumen de gas'!$C$1*Tabla!D265/14.7*520/'Volumen de gas'!$C$2*'Volumen de gas'!$C$4/'Volumen de gas'!$C$3</f>
        <v>24791.45463719922</v>
      </c>
      <c r="F265" s="340">
        <f t="shared" si="6"/>
        <v>375.6281005636245</v>
      </c>
    </row>
    <row r="266" spans="1:6" ht="12.75">
      <c r="A266" s="317">
        <v>66.25</v>
      </c>
      <c r="B266" s="339">
        <f>+('Presiones de casing'!$C$2+14.7+'Presiones de casing'!$C$3+('Presiones de casing'!$C$4+'Presiones de casing'!$C$8)*A266)*(1+'Presiones de casing'!$C$7/'Presiones de casing'!$C$13)</f>
        <v>6087.41348084117</v>
      </c>
      <c r="C266" s="339">
        <f>+B266*(Columna!$G$9+Columna!$B$7)/Columna!$G$9</f>
        <v>7252.099836248456</v>
      </c>
      <c r="D266" s="340">
        <f>+B266-A266*'Presiones de casing'!$C$4</f>
        <v>1612.0416045041475</v>
      </c>
      <c r="E266" s="340">
        <f>+'Volumen de gas'!$C$1*Tabla!D266/14.7*520/'Volumen de gas'!$C$2*'Volumen de gas'!$C$4/'Volumen de gas'!$C$3</f>
        <v>24875.679031036216</v>
      </c>
      <c r="F266" s="340">
        <f t="shared" si="6"/>
        <v>375.4819476382825</v>
      </c>
    </row>
    <row r="267" spans="1:6" ht="12.75">
      <c r="A267" s="317">
        <v>66.5</v>
      </c>
      <c r="B267" s="339">
        <f>+('Presiones de casing'!$C$2+14.7+'Presiones de casing'!$C$3+('Presiones de casing'!$C$4+'Presiones de casing'!$C$8)*A267)*(1+'Presiones de casing'!$C$7/'Presiones de casing'!$C$13)</f>
        <v>6109.759747788054</v>
      </c>
      <c r="C267" s="339">
        <f>+B267*(Columna!$G$9+Columna!$B$7)/Columna!$G$9</f>
        <v>7278.721546663939</v>
      </c>
      <c r="D267" s="340">
        <f>+B267-A267*'Presiones de casing'!$C$4</f>
        <v>1617.4996756912687</v>
      </c>
      <c r="E267" s="340">
        <f>+'Volumen de gas'!$C$1*Tabla!D267/14.7*520/'Volumen de gas'!$C$2*'Volumen de gas'!$C$4/'Volumen de gas'!$C$3</f>
        <v>24959.903424873202</v>
      </c>
      <c r="F267" s="340">
        <f t="shared" si="6"/>
        <v>375.3368936071158</v>
      </c>
    </row>
    <row r="268" spans="1:6" ht="12.75">
      <c r="A268" s="317">
        <v>66.75</v>
      </c>
      <c r="B268" s="339">
        <f>+('Presiones de casing'!$C$2+14.7+'Presiones de casing'!$C$3+('Presiones de casing'!$C$4+'Presiones de casing'!$C$8)*A268)*(1+'Presiones de casing'!$C$7/'Presiones de casing'!$C$13)</f>
        <v>6132.106014734937</v>
      </c>
      <c r="C268" s="339">
        <f>+B268*(Columna!$G$9+Columna!$B$7)/Columna!$G$9</f>
        <v>7305.343257079421</v>
      </c>
      <c r="D268" s="340">
        <f>+B268-A268*'Presiones de casing'!$C$4</f>
        <v>1622.95774687839</v>
      </c>
      <c r="E268" s="340">
        <f>+'Volumen de gas'!$C$1*Tabla!D268/14.7*520/'Volumen de gas'!$C$2*'Volumen de gas'!$C$4/'Volumen de gas'!$C$3</f>
        <v>25044.127818710196</v>
      </c>
      <c r="F268" s="340">
        <f t="shared" si="6"/>
        <v>375.1929261229992</v>
      </c>
    </row>
    <row r="269" spans="1:6" ht="12.75">
      <c r="A269" s="317">
        <v>67</v>
      </c>
      <c r="B269" s="339">
        <f>+('Presiones de casing'!$C$2+14.7+'Presiones de casing'!$C$3+('Presiones de casing'!$C$4+'Presiones de casing'!$C$8)*A269)*(1+'Presiones de casing'!$C$7/'Presiones de casing'!$C$13)</f>
        <v>6154.452281681821</v>
      </c>
      <c r="C269" s="339">
        <f>+B269*(Columna!$G$9+Columna!$B$7)/Columna!$G$9</f>
        <v>7331.964967494903</v>
      </c>
      <c r="D269" s="340">
        <f>+B269-A269*'Presiones de casing'!$C$4</f>
        <v>1628.4158180655104</v>
      </c>
      <c r="E269" s="340">
        <f>+'Volumen de gas'!$C$1*Tabla!D269/14.7*520/'Volumen de gas'!$C$2*'Volumen de gas'!$C$4/'Volumen de gas'!$C$3</f>
        <v>25128.35221254718</v>
      </c>
      <c r="F269" s="340">
        <f t="shared" si="6"/>
        <v>375.0500330230922</v>
      </c>
    </row>
    <row r="270" spans="1:6" ht="12.75">
      <c r="A270" s="317">
        <v>67.25</v>
      </c>
      <c r="B270" s="339">
        <f>+('Presiones de casing'!$C$2+14.7+'Presiones de casing'!$C$3+('Presiones de casing'!$C$4+'Presiones de casing'!$C$8)*A270)*(1+'Presiones de casing'!$C$7/'Presiones de casing'!$C$13)</f>
        <v>6176.798548628703</v>
      </c>
      <c r="C270" s="339">
        <f>+B270*(Columna!$G$9+Columna!$B$7)/Columna!$G$9</f>
        <v>7358.586677910384</v>
      </c>
      <c r="D270" s="340">
        <f>+B270-A270*'Presiones de casing'!$C$4</f>
        <v>1633.8738892526308</v>
      </c>
      <c r="E270" s="340">
        <f>+'Volumen de gas'!$C$1*Tabla!D270/14.7*520/'Volumen de gas'!$C$2*'Volumen de gas'!$C$4/'Volumen de gas'!$C$3</f>
        <v>25212.576606384162</v>
      </c>
      <c r="F270" s="340">
        <f t="shared" si="6"/>
        <v>374.90820232541506</v>
      </c>
    </row>
    <row r="271" spans="1:6" ht="12.75">
      <c r="A271" s="317">
        <v>67.5</v>
      </c>
      <c r="B271" s="339">
        <f>+('Presiones de casing'!$C$2+14.7+'Presiones de casing'!$C$3+('Presiones de casing'!$C$4+'Presiones de casing'!$C$8)*A271)*(1+'Presiones de casing'!$C$7/'Presiones de casing'!$C$13)</f>
        <v>6199.144815575586</v>
      </c>
      <c r="C271" s="339">
        <f>+B271*(Columna!$G$9+Columna!$B$7)/Columna!$G$9</f>
        <v>7385.208388325867</v>
      </c>
      <c r="D271" s="340">
        <f>+B271-A271*'Presiones de casing'!$C$4</f>
        <v>1639.3319604397511</v>
      </c>
      <c r="E271" s="340">
        <f>+'Volumen de gas'!$C$1*Tabla!D271/14.7*520/'Volumen de gas'!$C$2*'Volumen de gas'!$C$4/'Volumen de gas'!$C$3</f>
        <v>25296.801000221134</v>
      </c>
      <c r="F271" s="340">
        <f t="shared" si="6"/>
        <v>374.7674222254983</v>
      </c>
    </row>
    <row r="272" spans="1:6" ht="12.75">
      <c r="A272" s="317">
        <v>67.75</v>
      </c>
      <c r="B272" s="339">
        <f>+('Presiones de casing'!$C$2+14.7+'Presiones de casing'!$C$3+('Presiones de casing'!$C$4+'Presiones de casing'!$C$8)*A272)*(1+'Presiones de casing'!$C$7/'Presiones de casing'!$C$13)</f>
        <v>6221.49108252247</v>
      </c>
      <c r="C272" s="339">
        <f>+B272*(Columna!$G$9+Columna!$B$7)/Columna!$G$9</f>
        <v>7411.8300987413495</v>
      </c>
      <c r="D272" s="340">
        <f>+B272-A272*'Presiones de casing'!$C$4</f>
        <v>1644.7900316268724</v>
      </c>
      <c r="E272" s="340">
        <f>+'Volumen de gas'!$C$1*Tabla!D272/14.7*520/'Volumen de gas'!$C$2*'Volumen de gas'!$C$4/'Volumen de gas'!$C$3</f>
        <v>25381.025394058128</v>
      </c>
      <c r="F272" s="340">
        <f t="shared" si="6"/>
        <v>374.6276810931089</v>
      </c>
    </row>
    <row r="273" spans="1:6" ht="12.75">
      <c r="A273" s="317">
        <v>68</v>
      </c>
      <c r="B273" s="339">
        <f>+('Presiones de casing'!$C$2+14.7+'Presiones de casing'!$C$3+('Presiones de casing'!$C$4+'Presiones de casing'!$C$8)*A273)*(1+'Presiones de casing'!$C$7/'Presiones de casing'!$C$13)</f>
        <v>6243.837349469353</v>
      </c>
      <c r="C273" s="339">
        <f>+B273*(Columna!$G$9+Columna!$B$7)/Columna!$G$9</f>
        <v>7438.4518091568325</v>
      </c>
      <c r="D273" s="340">
        <f>+B273-A273*'Presiones de casing'!$C$4</f>
        <v>1650.2481028139937</v>
      </c>
      <c r="E273" s="340">
        <f>+'Volumen de gas'!$C$1*Tabla!D273/14.7*520/'Volumen de gas'!$C$2*'Volumen de gas'!$C$4/'Volumen de gas'!$C$3</f>
        <v>25465.24978789512</v>
      </c>
      <c r="F273" s="340">
        <f t="shared" si="6"/>
        <v>374.4889674690459</v>
      </c>
    </row>
    <row r="274" spans="1:6" ht="12.75">
      <c r="A274" s="317">
        <v>68.25</v>
      </c>
      <c r="B274" s="339">
        <f>+('Presiones de casing'!$C$2+14.7+'Presiones de casing'!$C$3+('Presiones de casing'!$C$4+'Presiones de casing'!$C$8)*A274)*(1+'Presiones de casing'!$C$7/'Presiones de casing'!$C$13)</f>
        <v>6266.183616416237</v>
      </c>
      <c r="C274" s="339">
        <f>+B274*(Columna!$G$9+Columna!$B$7)/Columna!$G$9</f>
        <v>7465.073519572315</v>
      </c>
      <c r="D274" s="340">
        <f>+B274-A274*'Presiones de casing'!$C$4</f>
        <v>1655.706174001115</v>
      </c>
      <c r="E274" s="340">
        <f>+'Volumen de gas'!$C$1*Tabla!D274/14.7*520/'Volumen de gas'!$C$2*'Volumen de gas'!$C$4/'Volumen de gas'!$C$3</f>
        <v>25549.474181732112</v>
      </c>
      <c r="F274" s="340">
        <f t="shared" si="6"/>
        <v>374.35127006200895</v>
      </c>
    </row>
    <row r="275" spans="1:6" ht="12.75">
      <c r="A275" s="317">
        <v>68.5</v>
      </c>
      <c r="B275" s="339">
        <f>+('Presiones de casing'!$C$2+14.7+'Presiones de casing'!$C$3+('Presiones de casing'!$C$4+'Presiones de casing'!$C$8)*A275)*(1+'Presiones de casing'!$C$7/'Presiones de casing'!$C$13)</f>
        <v>6288.52988336312</v>
      </c>
      <c r="C275" s="339">
        <f>+B275*(Columna!$G$9+Columna!$B$7)/Columna!$G$9</f>
        <v>7491.695229987796</v>
      </c>
      <c r="D275" s="340">
        <f>+B275-A275*'Presiones de casing'!$C$4</f>
        <v>1661.1642451882353</v>
      </c>
      <c r="E275" s="340">
        <f>+'Volumen de gas'!$C$1*Tabla!D275/14.7*520/'Volumen de gas'!$C$2*'Volumen de gas'!$C$4/'Volumen de gas'!$C$3</f>
        <v>25633.69857556909</v>
      </c>
      <c r="F275" s="340">
        <f t="shared" si="6"/>
        <v>374.2145777455342</v>
      </c>
    </row>
    <row r="276" spans="1:6" ht="12.75">
      <c r="A276" s="317">
        <v>68.75</v>
      </c>
      <c r="B276" s="339">
        <f>+('Presiones de casing'!$C$2+14.7+'Presiones de casing'!$C$3+('Presiones de casing'!$C$4+'Presiones de casing'!$C$8)*A276)*(1+'Presiones de casing'!$C$7/'Presiones de casing'!$C$13)</f>
        <v>6310.876150310003</v>
      </c>
      <c r="C276" s="339">
        <f>+B276*(Columna!$G$9+Columna!$B$7)/Columna!$G$9</f>
        <v>7518.316940403279</v>
      </c>
      <c r="D276" s="340">
        <f>+B276-A276*'Presiones de casing'!$C$4</f>
        <v>1666.6223163753566</v>
      </c>
      <c r="E276" s="340">
        <f>+'Volumen de gas'!$C$1*Tabla!D276/14.7*520/'Volumen de gas'!$C$2*'Volumen de gas'!$C$4/'Volumen de gas'!$C$3</f>
        <v>25717.922969406092</v>
      </c>
      <c r="F276" s="340">
        <f t="shared" si="6"/>
        <v>374.0788795549977</v>
      </c>
    </row>
    <row r="277" spans="1:6" ht="12.75">
      <c r="A277" s="317">
        <v>69</v>
      </c>
      <c r="B277" s="339">
        <f>+('Presiones de casing'!$C$2+14.7+'Presiones de casing'!$C$3+('Presiones de casing'!$C$4+'Presiones de casing'!$C$8)*A277)*(1+'Presiones de casing'!$C$7/'Presiones de casing'!$C$13)</f>
        <v>6333.222417256887</v>
      </c>
      <c r="C277" s="339">
        <f>+B277*(Columna!$G$9+Columna!$B$7)/Columna!$G$9</f>
        <v>7544.938650818761</v>
      </c>
      <c r="D277" s="340">
        <f>+B277-A277*'Presiones de casing'!$C$4</f>
        <v>1672.0803875624779</v>
      </c>
      <c r="E277" s="340">
        <f>+'Volumen de gas'!$C$1*Tabla!D277/14.7*520/'Volumen de gas'!$C$2*'Volumen de gas'!$C$4/'Volumen de gas'!$C$3</f>
        <v>25802.14736324308</v>
      </c>
      <c r="F277" s="340">
        <f t="shared" si="6"/>
        <v>373.9441646846823</v>
      </c>
    </row>
    <row r="278" spans="1:6" ht="12.75">
      <c r="A278" s="317">
        <v>69.25</v>
      </c>
      <c r="B278" s="339">
        <f>+('Presiones de casing'!$C$2+14.7+'Presiones de casing'!$C$3+('Presiones de casing'!$C$4+'Presiones de casing'!$C$8)*A278)*(1+'Presiones de casing'!$C$7/'Presiones de casing'!$C$13)</f>
        <v>6355.56868420377</v>
      </c>
      <c r="C278" s="339">
        <f>+B278*(Columna!$G$9+Columna!$B$7)/Columna!$G$9</f>
        <v>7571.560361234245</v>
      </c>
      <c r="D278" s="340">
        <f>+B278-A278*'Presiones de casing'!$C$4</f>
        <v>1677.5384587495992</v>
      </c>
      <c r="E278" s="340">
        <f>+'Volumen de gas'!$C$1*Tabla!D278/14.7*520/'Volumen de gas'!$C$2*'Volumen de gas'!$C$4/'Volumen de gas'!$C$3</f>
        <v>25886.37175708007</v>
      </c>
      <c r="F278" s="340">
        <f t="shared" si="6"/>
        <v>373.81042248491076</v>
      </c>
    </row>
    <row r="279" spans="1:6" ht="12.75">
      <c r="A279" s="317">
        <v>69.5</v>
      </c>
      <c r="B279" s="339">
        <f>+('Presiones de casing'!$C$2+14.7+'Presiones de casing'!$C$3+('Presiones de casing'!$C$4+'Presiones de casing'!$C$8)*A279)*(1+'Presiones de casing'!$C$7/'Presiones de casing'!$C$13)</f>
        <v>6377.914951150653</v>
      </c>
      <c r="C279" s="339">
        <f>+B279*(Columna!$G$9+Columna!$B$7)/Columna!$G$9</f>
        <v>7598.182071649726</v>
      </c>
      <c r="D279" s="340">
        <f>+B279-A279*'Presiones de casing'!$C$4</f>
        <v>1682.9965299367195</v>
      </c>
      <c r="E279" s="340">
        <f>+'Volumen de gas'!$C$1*Tabla!D279/14.7*520/'Volumen de gas'!$C$2*'Volumen de gas'!$C$4/'Volumen de gas'!$C$3</f>
        <v>25970.596150917052</v>
      </c>
      <c r="F279" s="340">
        <f t="shared" si="6"/>
        <v>373.67764245923814</v>
      </c>
    </row>
    <row r="280" spans="1:6" ht="12.75">
      <c r="A280" s="317">
        <v>69.75</v>
      </c>
      <c r="B280" s="339">
        <f>+('Presiones de casing'!$C$2+14.7+'Presiones de casing'!$C$3+('Presiones de casing'!$C$4+'Presiones de casing'!$C$8)*A280)*(1+'Presiones de casing'!$C$7/'Presiones de casing'!$C$13)</f>
        <v>6400.261218097536</v>
      </c>
      <c r="C280" s="339">
        <f>+B280*(Columna!$G$9+Columna!$B$7)/Columna!$G$9</f>
        <v>7624.803782065207</v>
      </c>
      <c r="D280" s="340">
        <f>+B280-A280*'Presiones de casing'!$C$4</f>
        <v>1688.45460112384</v>
      </c>
      <c r="E280" s="340">
        <f>+'Volumen de gas'!$C$1*Tabla!D280/14.7*520/'Volumen de gas'!$C$2*'Volumen de gas'!$C$4/'Volumen de gas'!$C$3</f>
        <v>26054.820544754035</v>
      </c>
      <c r="F280" s="340">
        <f t="shared" si="6"/>
        <v>373.5458142617066</v>
      </c>
    </row>
    <row r="281" spans="1:6" ht="12.75">
      <c r="A281" s="317">
        <v>70</v>
      </c>
      <c r="B281" s="339">
        <f>+('Presiones de casing'!$C$2+14.7+'Presiones de casing'!$C$3+('Presiones de casing'!$C$4+'Presiones de casing'!$C$8)*A281)*(1+'Presiones de casing'!$C$7/'Presiones de casing'!$C$13)</f>
        <v>6422.607485044419</v>
      </c>
      <c r="C281" s="339">
        <f>+B281*(Columna!$G$9+Columna!$B$7)/Columna!$G$9</f>
        <v>7651.42549248069</v>
      </c>
      <c r="D281" s="340">
        <f>+B281-A281*'Presiones de casing'!$C$4</f>
        <v>1693.9126723109612</v>
      </c>
      <c r="E281" s="340">
        <f>+'Volumen de gas'!$C$1*Tabla!D281/14.7*520/'Volumen de gas'!$C$2*'Volumen de gas'!$C$4/'Volumen de gas'!$C$3</f>
        <v>26139.044938591018</v>
      </c>
      <c r="F281" s="340">
        <f t="shared" si="6"/>
        <v>373.41492769415737</v>
      </c>
    </row>
    <row r="282" spans="1:6" ht="12.75">
      <c r="A282" s="317">
        <v>70.25</v>
      </c>
      <c r="B282" s="339">
        <f>+('Presiones de casing'!$C$2+14.7+'Presiones de casing'!$C$3+('Presiones de casing'!$C$4+'Presiones de casing'!$C$8)*A282)*(1+'Presiones de casing'!$C$7/'Presiones de casing'!$C$13)</f>
        <v>6444.953751991303</v>
      </c>
      <c r="C282" s="339">
        <f>+B282*(Columna!$G$9+Columna!$B$7)/Columna!$G$9</f>
        <v>7678.047202896172</v>
      </c>
      <c r="D282" s="340">
        <f>+B282-A282*'Presiones de casing'!$C$4</f>
        <v>1699.3707434980824</v>
      </c>
      <c r="E282" s="340">
        <f>+'Volumen de gas'!$C$1*Tabla!D282/14.7*520/'Volumen de gas'!$C$2*'Volumen de gas'!$C$4/'Volumen de gas'!$C$3</f>
        <v>26223.269332428023</v>
      </c>
      <c r="F282" s="340">
        <f t="shared" si="6"/>
        <v>373.28497270360174</v>
      </c>
    </row>
    <row r="283" spans="1:6" ht="12.75">
      <c r="A283" s="317">
        <v>70.5</v>
      </c>
      <c r="B283" s="339">
        <f>+('Presiones de casing'!$C$2+14.7+'Presiones de casing'!$C$3+('Presiones de casing'!$C$4+'Presiones de casing'!$C$8)*A283)*(1+'Presiones de casing'!$C$7/'Presiones de casing'!$C$13)</f>
        <v>6467.300018938186</v>
      </c>
      <c r="C283" s="339">
        <f>+B283*(Columna!$G$9+Columna!$B$7)/Columna!$G$9</f>
        <v>7704.668913311654</v>
      </c>
      <c r="D283" s="340">
        <f>+B283-A283*'Presiones de casing'!$C$4</f>
        <v>1704.8288146852037</v>
      </c>
      <c r="E283" s="340">
        <f>+'Volumen de gas'!$C$1*Tabla!D283/14.7*520/'Volumen de gas'!$C$2*'Volumen de gas'!$C$4/'Volumen de gas'!$C$3</f>
        <v>26307.493726265013</v>
      </c>
      <c r="F283" s="340">
        <f t="shared" si="6"/>
        <v>373.1559393796456</v>
      </c>
    </row>
    <row r="284" spans="1:6" ht="12.75">
      <c r="A284" s="317">
        <v>70.75</v>
      </c>
      <c r="B284" s="339">
        <f>+('Presiones de casing'!$C$2+14.7+'Presiones de casing'!$C$3+('Presiones de casing'!$C$4+'Presiones de casing'!$C$8)*A284)*(1+'Presiones de casing'!$C$7/'Presiones de casing'!$C$13)</f>
        <v>6489.64628588507</v>
      </c>
      <c r="C284" s="339">
        <f>+B284*(Columna!$G$9+Columna!$B$7)/Columna!$G$9</f>
        <v>7731.290623727138</v>
      </c>
      <c r="D284" s="340">
        <f>+B284-A284*'Presiones de casing'!$C$4</f>
        <v>1710.286885872325</v>
      </c>
      <c r="E284" s="340">
        <f>+'Volumen de gas'!$C$1*Tabla!D284/14.7*520/'Volumen de gas'!$C$2*'Volumen de gas'!$C$4/'Volumen de gas'!$C$3</f>
        <v>26391.718120102</v>
      </c>
      <c r="F284" s="340">
        <f t="shared" si="6"/>
        <v>373.0278179519717</v>
      </c>
    </row>
    <row r="285" spans="1:6" ht="12.75">
      <c r="A285" s="317">
        <v>71</v>
      </c>
      <c r="B285" s="339">
        <f>+('Presiones de casing'!$C$2+14.7+'Presiones de casing'!$C$3+('Presiones de casing'!$C$4+'Presiones de casing'!$C$8)*A285)*(1+'Presiones de casing'!$C$7/'Presiones de casing'!$C$13)</f>
        <v>6511.992552831953</v>
      </c>
      <c r="C285" s="339">
        <f>+B285*(Columna!$G$9+Columna!$B$7)/Columna!$G$9</f>
        <v>7757.912334142619</v>
      </c>
      <c r="D285" s="340">
        <f>+B285-A285*'Presiones de casing'!$C$4</f>
        <v>1715.7449570594454</v>
      </c>
      <c r="E285" s="340">
        <f>+'Volumen de gas'!$C$1*Tabla!D285/14.7*520/'Volumen de gas'!$C$2*'Volumen de gas'!$C$4/'Volumen de gas'!$C$3</f>
        <v>26475.942513938982</v>
      </c>
      <c r="F285" s="340">
        <f t="shared" si="6"/>
        <v>372.900598787873</v>
      </c>
    </row>
    <row r="286" spans="1:6" ht="12.75">
      <c r="A286" s="317">
        <v>71.25</v>
      </c>
      <c r="B286" s="339">
        <f>+('Presiones de casing'!$C$2+14.7+'Presiones de casing'!$C$3+('Presiones de casing'!$C$4+'Presiones de casing'!$C$8)*A286)*(1+'Presiones de casing'!$C$7/'Presiones de casing'!$C$13)</f>
        <v>6534.338819778836</v>
      </c>
      <c r="C286" s="339">
        <f>+B286*(Columna!$G$9+Columna!$B$7)/Columna!$G$9</f>
        <v>7784.534044558102</v>
      </c>
      <c r="D286" s="340">
        <f>+B286-A286*'Presiones de casing'!$C$4</f>
        <v>1721.2030282465666</v>
      </c>
      <c r="E286" s="340">
        <f>+'Volumen de gas'!$C$1*Tabla!D286/14.7*520/'Volumen de gas'!$C$2*'Volumen de gas'!$C$4/'Volumen de gas'!$C$3</f>
        <v>26560.16690777598</v>
      </c>
      <c r="F286" s="340">
        <f t="shared" si="6"/>
        <v>372.7742723898383</v>
      </c>
    </row>
    <row r="287" spans="1:6" ht="12.75">
      <c r="A287" s="317">
        <v>71.5</v>
      </c>
      <c r="B287" s="339">
        <f>+('Presiones de casing'!$C$2+14.7+'Presiones de casing'!$C$3+('Presiones de casing'!$C$4+'Presiones de casing'!$C$8)*A287)*(1+'Presiones de casing'!$C$7/'Presiones de casing'!$C$13)</f>
        <v>6556.685086725719</v>
      </c>
      <c r="C287" s="339">
        <f>+B287*(Columna!$G$9+Columna!$B$7)/Columna!$G$9</f>
        <v>7811.1557549735835</v>
      </c>
      <c r="D287" s="340">
        <f>+B287-A287*'Presiones de casing'!$C$4</f>
        <v>1726.661099433687</v>
      </c>
      <c r="E287" s="340">
        <f>+'Volumen de gas'!$C$1*Tabla!D287/14.7*520/'Volumen de gas'!$C$2*'Volumen de gas'!$C$4/'Volumen de gas'!$C$3</f>
        <v>26644.391301612955</v>
      </c>
      <c r="F287" s="340">
        <f t="shared" si="6"/>
        <v>372.6488293931882</v>
      </c>
    </row>
    <row r="288" spans="1:6" ht="12.75">
      <c r="A288" s="317">
        <v>71.75</v>
      </c>
      <c r="B288" s="339">
        <f>+('Presiones de casing'!$C$2+14.7+'Presiones de casing'!$C$3+('Presiones de casing'!$C$4+'Presiones de casing'!$C$8)*A288)*(1+'Presiones de casing'!$C$7/'Presiones de casing'!$C$13)</f>
        <v>6579.031353672603</v>
      </c>
      <c r="C288" s="339">
        <f>+B288*(Columna!$G$9+Columna!$B$7)/Columna!$G$9</f>
        <v>7837.777465389066</v>
      </c>
      <c r="D288" s="340">
        <f>+B288-A288*'Presiones de casing'!$C$4</f>
        <v>1732.1191706208083</v>
      </c>
      <c r="E288" s="340">
        <f>+'Volumen de gas'!$C$1*Tabla!D288/14.7*520/'Volumen de gas'!$C$2*'Volumen de gas'!$C$4/'Volumen de gas'!$C$3</f>
        <v>26728.615695449946</v>
      </c>
      <c r="F288" s="340">
        <f t="shared" si="6"/>
        <v>372.5242605637623</v>
      </c>
    </row>
    <row r="289" spans="1:6" ht="12.75">
      <c r="A289" s="317">
        <v>72</v>
      </c>
      <c r="B289" s="339">
        <f>+('Presiones de casing'!$C$2+14.7+'Presiones de casing'!$C$3+('Presiones de casing'!$C$4+'Presiones de casing'!$C$8)*A289)*(1+'Presiones de casing'!$C$7/'Presiones de casing'!$C$13)</f>
        <v>6601.377620619486</v>
      </c>
      <c r="C289" s="339">
        <f>+B289*(Columna!$G$9+Columna!$B$7)/Columna!$G$9</f>
        <v>7864.399175804549</v>
      </c>
      <c r="D289" s="340">
        <f>+B289-A289*'Presiones de casing'!$C$4</f>
        <v>1737.5772418079296</v>
      </c>
      <c r="E289" s="340">
        <f>+'Volumen de gas'!$C$1*Tabla!D289/14.7*520/'Volumen de gas'!$C$2*'Volumen de gas'!$C$4/'Volumen de gas'!$C$3</f>
        <v>26812.840089286943</v>
      </c>
      <c r="F289" s="340">
        <f t="shared" si="6"/>
        <v>372.400556795652</v>
      </c>
    </row>
    <row r="290" spans="1:6" ht="12.75">
      <c r="A290" s="317">
        <v>72.25</v>
      </c>
      <c r="B290" s="339">
        <f>+('Presiones de casing'!$C$2+14.7+'Presiones de casing'!$C$3+('Presiones de casing'!$C$4+'Presiones de casing'!$C$8)*A290)*(1+'Presiones de casing'!$C$7/'Presiones de casing'!$C$13)</f>
        <v>6623.723887566369</v>
      </c>
      <c r="C290" s="339">
        <f>+B290*(Columna!$G$9+Columna!$B$7)/Columna!$G$9</f>
        <v>7891.020886220031</v>
      </c>
      <c r="D290" s="340">
        <f>+B290-A290*'Presiones de casing'!$C$4</f>
        <v>1743.03531299505</v>
      </c>
      <c r="E290" s="340">
        <f>+'Volumen de gas'!$C$1*Tabla!D290/14.7*520/'Volumen de gas'!$C$2*'Volumen de gas'!$C$4/'Volumen de gas'!$C$3</f>
        <v>26897.064483123922</v>
      </c>
      <c r="F290" s="340">
        <f t="shared" si="6"/>
        <v>372.27770910898164</v>
      </c>
    </row>
    <row r="291" spans="1:6" ht="12.75">
      <c r="A291" s="317">
        <v>72.5</v>
      </c>
      <c r="B291" s="339">
        <f>+('Presiones de casing'!$C$2+14.7+'Presiones de casing'!$C$3+('Presiones de casing'!$C$4+'Presiones de casing'!$C$8)*A291)*(1+'Presiones de casing'!$C$7/'Presiones de casing'!$C$13)</f>
        <v>6646.070154513252</v>
      </c>
      <c r="C291" s="339">
        <f>+B291*(Columna!$G$9+Columna!$B$7)/Columna!$G$9</f>
        <v>7917.642596635514</v>
      </c>
      <c r="D291" s="340">
        <f>+B291-A291*'Presiones de casing'!$C$4</f>
        <v>1748.4933841821712</v>
      </c>
      <c r="E291" s="340">
        <f>+'Volumen de gas'!$C$1*Tabla!D291/14.7*520/'Volumen de gas'!$C$2*'Volumen de gas'!$C$4/'Volumen de gas'!$C$3</f>
        <v>26981.288876960905</v>
      </c>
      <c r="F291" s="340">
        <f t="shared" si="6"/>
        <v>372.1557086477366</v>
      </c>
    </row>
    <row r="292" spans="1:6" ht="12.75">
      <c r="A292" s="317">
        <v>72.75</v>
      </c>
      <c r="B292" s="339">
        <f>+('Presiones de casing'!$C$2+14.7+'Presiones de casing'!$C$3+('Presiones de casing'!$C$4+'Presiones de casing'!$C$8)*A292)*(1+'Presiones de casing'!$C$7/'Presiones de casing'!$C$13)</f>
        <v>6668.416421460136</v>
      </c>
      <c r="C292" s="339">
        <f>+B292*(Columna!$G$9+Columna!$B$7)/Columna!$G$9</f>
        <v>7944.264307050996</v>
      </c>
      <c r="D292" s="340">
        <f>+B292-A292*'Presiones de casing'!$C$4</f>
        <v>1753.9514553692916</v>
      </c>
      <c r="E292" s="340">
        <f>+'Volumen de gas'!$C$1*Tabla!D292/14.7*520/'Volumen de gas'!$C$2*'Volumen de gas'!$C$4/'Volumen de gas'!$C$3</f>
        <v>27065.513270797892</v>
      </c>
      <c r="F292" s="340">
        <f t="shared" si="6"/>
        <v>372.03454667763424</v>
      </c>
    </row>
    <row r="293" spans="1:6" ht="12.75">
      <c r="A293" s="317">
        <v>73</v>
      </c>
      <c r="B293" s="339">
        <f>+('Presiones de casing'!$C$2+14.7+'Presiones de casing'!$C$3+('Presiones de casing'!$C$4+'Presiones de casing'!$C$8)*A293)*(1+'Presiones de casing'!$C$7/'Presiones de casing'!$C$13)</f>
        <v>6690.76268840702</v>
      </c>
      <c r="C293" s="339">
        <f>+B293*(Columna!$G$9+Columna!$B$7)/Columna!$G$9</f>
        <v>7970.886017466478</v>
      </c>
      <c r="D293" s="340">
        <f>+B293-A293*'Presiones de casing'!$C$4</f>
        <v>1759.4095265564129</v>
      </c>
      <c r="E293" s="340">
        <f>+'Volumen de gas'!$C$1*Tabla!D293/14.7*520/'Volumen de gas'!$C$2*'Volumen de gas'!$C$4/'Volumen de gas'!$C$3</f>
        <v>27149.73766463489</v>
      </c>
      <c r="F293" s="340">
        <f t="shared" si="6"/>
        <v>371.9142145840396</v>
      </c>
    </row>
    <row r="294" spans="1:6" ht="12.75">
      <c r="A294" s="317">
        <v>73.25</v>
      </c>
      <c r="B294" s="339">
        <f>+('Presiones de casing'!$C$2+14.7+'Presiones de casing'!$C$3+('Presiones de casing'!$C$4+'Presiones de casing'!$C$8)*A294)*(1+'Presiones de casing'!$C$7/'Presiones de casing'!$C$13)</f>
        <v>6713.108955353902</v>
      </c>
      <c r="C294" s="339">
        <f>+B294*(Columna!$G$9+Columna!$B$7)/Columna!$G$9</f>
        <v>7997.50772788196</v>
      </c>
      <c r="D294" s="340">
        <f>+B294-A294*'Presiones de casing'!$C$4</f>
        <v>1764.8675977435332</v>
      </c>
      <c r="E294" s="340">
        <f>+'Volumen de gas'!$C$1*Tabla!D294/14.7*520/'Volumen de gas'!$C$2*'Volumen de gas'!$C$4/'Volumen de gas'!$C$3</f>
        <v>27233.96205847187</v>
      </c>
      <c r="F294" s="340">
        <f t="shared" si="6"/>
        <v>371.7947038699231</v>
      </c>
    </row>
    <row r="295" spans="1:6" ht="12.75">
      <c r="A295" s="317">
        <v>73.5</v>
      </c>
      <c r="B295" s="339">
        <f>+('Presiones de casing'!$C$2+14.7+'Presiones de casing'!$C$3+('Presiones de casing'!$C$4+'Presiones de casing'!$C$8)*A295)*(1+'Presiones de casing'!$C$7/'Presiones de casing'!$C$13)</f>
        <v>6735.455222300785</v>
      </c>
      <c r="C295" s="339">
        <f>+B295*(Columna!$G$9+Columna!$B$7)/Columna!$G$9</f>
        <v>8024.129438297441</v>
      </c>
      <c r="D295" s="340">
        <f>+B295-A295*'Presiones de casing'!$C$4</f>
        <v>1770.3256689306536</v>
      </c>
      <c r="E295" s="340">
        <f>+'Volumen de gas'!$C$1*Tabla!D295/14.7*520/'Volumen de gas'!$C$2*'Volumen de gas'!$C$4/'Volumen de gas'!$C$3</f>
        <v>27318.186452308844</v>
      </c>
      <c r="F295" s="340">
        <f t="shared" si="6"/>
        <v>371.6760061538618</v>
      </c>
    </row>
    <row r="296" spans="1:6" ht="12.75">
      <c r="A296" s="317">
        <v>73.75</v>
      </c>
      <c r="B296" s="339">
        <f>+('Presiones de casing'!$C$2+14.7+'Presiones de casing'!$C$3+('Presiones de casing'!$C$4+'Presiones de casing'!$C$8)*A296)*(1+'Presiones de casing'!$C$7/'Presiones de casing'!$C$13)</f>
        <v>6757.8014892476685</v>
      </c>
      <c r="C296" s="339">
        <f>+B296*(Columna!$G$9+Columna!$B$7)/Columna!$G$9</f>
        <v>8050.751148712924</v>
      </c>
      <c r="D296" s="340">
        <f>+B296-A296*'Presiones de casing'!$C$4</f>
        <v>1775.7837401177749</v>
      </c>
      <c r="E296" s="340">
        <f>+'Volumen de gas'!$C$1*Tabla!D296/14.7*520/'Volumen de gas'!$C$2*'Volumen de gas'!$C$4/'Volumen de gas'!$C$3</f>
        <v>27402.410846145838</v>
      </c>
      <c r="F296" s="340">
        <f t="shared" si="6"/>
        <v>371.55811316807916</v>
      </c>
    </row>
    <row r="297" spans="1:6" ht="12.75">
      <c r="A297" s="317">
        <v>74</v>
      </c>
      <c r="B297" s="339">
        <f>+('Presiones de casing'!$C$2+14.7+'Presiones de casing'!$C$3+('Presiones de casing'!$C$4+'Presiones de casing'!$C$8)*A297)*(1+'Presiones de casing'!$C$7/'Presiones de casing'!$C$13)</f>
        <v>6780.147756194552</v>
      </c>
      <c r="C297" s="339">
        <f>+B297*(Columna!$G$9+Columna!$B$7)/Columna!$G$9</f>
        <v>8077.372859128407</v>
      </c>
      <c r="D297" s="340">
        <f>+B297-A297*'Presiones de casing'!$C$4</f>
        <v>1781.2418113048961</v>
      </c>
      <c r="E297" s="340">
        <f>+'Volumen de gas'!$C$1*Tabla!D297/14.7*520/'Volumen de gas'!$C$2*'Volumen de gas'!$C$4/'Volumen de gas'!$C$3</f>
        <v>27486.63523998283</v>
      </c>
      <c r="F297" s="340">
        <f t="shared" si="6"/>
        <v>371.44101675652473</v>
      </c>
    </row>
    <row r="298" spans="1:6" ht="12.75">
      <c r="A298" s="317">
        <v>74.25</v>
      </c>
      <c r="B298" s="339">
        <f>+('Presiones de casing'!$C$2+14.7+'Presiones de casing'!$C$3+('Presiones de casing'!$C$4+'Presiones de casing'!$C$8)*A298)*(1+'Presiones de casing'!$C$7/'Presiones de casing'!$C$13)</f>
        <v>6802.494023141436</v>
      </c>
      <c r="C298" s="339">
        <f>+B298*(Columna!$G$9+Columna!$B$7)/Columna!$G$9</f>
        <v>8103.994569543889</v>
      </c>
      <c r="D298" s="340">
        <f>+B298-A298*'Presiones de casing'!$C$4</f>
        <v>1786.6998824920174</v>
      </c>
      <c r="E298" s="340">
        <f>+'Volumen de gas'!$C$1*Tabla!D298/14.7*520/'Volumen de gas'!$C$2*'Volumen de gas'!$C$4/'Volumen de gas'!$C$3</f>
        <v>27570.85963381982</v>
      </c>
      <c r="F298" s="340">
        <f t="shared" si="6"/>
        <v>371.32470887299417</v>
      </c>
    </row>
    <row r="299" spans="1:6" ht="12.75">
      <c r="A299" s="317">
        <v>74.5</v>
      </c>
      <c r="B299" s="339">
        <f>+('Presiones de casing'!$C$2+14.7+'Presiones de casing'!$C$3+('Presiones de casing'!$C$4+'Presiones de casing'!$C$8)*A299)*(1+'Presiones de casing'!$C$7/'Presiones de casing'!$C$13)</f>
        <v>6824.840290088318</v>
      </c>
      <c r="C299" s="339">
        <f>+B299*(Columna!$G$9+Columna!$B$7)/Columna!$G$9</f>
        <v>8130.61627995937</v>
      </c>
      <c r="D299" s="340">
        <f>+B299-A299*'Presiones de casing'!$C$4</f>
        <v>1792.1579536791378</v>
      </c>
      <c r="E299" s="340">
        <f>+'Volumen de gas'!$C$1*Tabla!D299/14.7*520/'Volumen de gas'!$C$2*'Volumen de gas'!$C$4/'Volumen de gas'!$C$3</f>
        <v>27655.0840276568</v>
      </c>
      <c r="F299" s="340">
        <f t="shared" si="6"/>
        <v>371.20918157928594</v>
      </c>
    </row>
    <row r="300" spans="1:6" ht="12.75">
      <c r="A300" s="317">
        <v>74.75</v>
      </c>
      <c r="B300" s="339">
        <f>+('Presiones de casing'!$C$2+14.7+'Presiones de casing'!$C$3+('Presiones de casing'!$C$4+'Presiones de casing'!$C$8)*A300)*(1+'Presiones de casing'!$C$7/'Presiones de casing'!$C$13)</f>
        <v>6847.186557035202</v>
      </c>
      <c r="C300" s="339">
        <f>+B300*(Columna!$G$9+Columna!$B$7)/Columna!$G$9</f>
        <v>8157.237990374853</v>
      </c>
      <c r="D300" s="340">
        <f>+B300-A300*'Presiones de casing'!$C$4</f>
        <v>1797.616024866259</v>
      </c>
      <c r="E300" s="340">
        <f>+'Volumen de gas'!$C$1*Tabla!D300/14.7*520/'Volumen de gas'!$C$2*'Volumen de gas'!$C$4/'Volumen de gas'!$C$3</f>
        <v>27739.3084214938</v>
      </c>
      <c r="F300" s="340">
        <f t="shared" si="6"/>
        <v>371.0944270433953</v>
      </c>
    </row>
    <row r="301" spans="1:6" ht="12.75">
      <c r="A301" s="317">
        <v>75</v>
      </c>
      <c r="B301" s="339">
        <f>+('Presiones de casing'!$C$2+14.7+'Presiones de casing'!$C$3+('Presiones de casing'!$C$4+'Presiones de casing'!$C$8)*A301)*(1+'Presiones de casing'!$C$7/'Presiones de casing'!$C$13)</f>
        <v>6869.532823982086</v>
      </c>
      <c r="C301" s="339">
        <f>+B301*(Columna!$G$9+Columna!$B$7)/Columna!$G$9</f>
        <v>8183.859700790335</v>
      </c>
      <c r="D301" s="340">
        <f>+B301-A301*'Presiones de casing'!$C$4</f>
        <v>1803.0740960533803</v>
      </c>
      <c r="E301" s="340">
        <f>+'Volumen de gas'!$C$1*Tabla!D301/14.7*520/'Volumen de gas'!$C$2*'Volumen de gas'!$C$4/'Volumen de gas'!$C$3</f>
        <v>27823.532815330786</v>
      </c>
      <c r="F301" s="340">
        <f t="shared" si="6"/>
        <v>370.9804375377438</v>
      </c>
    </row>
    <row r="302" spans="1:6" ht="12.75">
      <c r="A302" s="317">
        <v>75.25</v>
      </c>
      <c r="B302" s="339">
        <f>+('Presiones de casing'!$C$2+14.7+'Presiones de casing'!$C$3+('Presiones de casing'!$C$4+'Presiones de casing'!$C$8)*A302)*(1+'Presiones de casing'!$C$7/'Presiones de casing'!$C$13)</f>
        <v>6891.879090928968</v>
      </c>
      <c r="C302" s="339">
        <f>+B302*(Columna!$G$9+Columna!$B$7)/Columna!$G$9</f>
        <v>8210.481411205817</v>
      </c>
      <c r="D302" s="340">
        <f>+B302-A302*'Presiones de casing'!$C$4</f>
        <v>1808.5321672405007</v>
      </c>
      <c r="E302" s="340">
        <f>+'Volumen de gas'!$C$1*Tabla!D302/14.7*520/'Volumen de gas'!$C$2*'Volumen de gas'!$C$4/'Volumen de gas'!$C$3</f>
        <v>27907.75720916777</v>
      </c>
      <c r="F302" s="340">
        <f t="shared" si="6"/>
        <v>370.8672054374454</v>
      </c>
    </row>
    <row r="303" spans="1:6" ht="12.75">
      <c r="A303" s="317">
        <v>75.5</v>
      </c>
      <c r="B303" s="339">
        <f>+('Presiones de casing'!$C$2+14.7+'Presiones de casing'!$C$3+('Presiones de casing'!$C$4+'Presiones de casing'!$C$8)*A303)*(1+'Presiones de casing'!$C$7/'Presiones de casing'!$C$13)</f>
        <v>6914.225357875852</v>
      </c>
      <c r="C303" s="339">
        <f>+B303*(Columna!$G$9+Columna!$B$7)/Columna!$G$9</f>
        <v>8237.103121621301</v>
      </c>
      <c r="D303" s="340">
        <f>+B303-A303*'Presiones de casing'!$C$4</f>
        <v>1813.990238427622</v>
      </c>
      <c r="E303" s="340">
        <f>+'Volumen de gas'!$C$1*Tabla!D303/14.7*520/'Volumen de gas'!$C$2*'Volumen de gas'!$C$4/'Volumen de gas'!$C$3</f>
        <v>27991.981603004762</v>
      </c>
      <c r="F303" s="340">
        <f t="shared" si="6"/>
        <v>370.7547232186061</v>
      </c>
    </row>
    <row r="304" spans="1:6" ht="12.75">
      <c r="A304" s="317">
        <v>75.75</v>
      </c>
      <c r="B304" s="339">
        <f>+('Presiones de casing'!$C$2+14.7+'Presiones de casing'!$C$3+('Presiones de casing'!$C$4+'Presiones de casing'!$C$8)*A304)*(1+'Presiones de casing'!$C$7/'Presiones de casing'!$C$13)</f>
        <v>6936.5716248227345</v>
      </c>
      <c r="C304" s="339">
        <f>+B304*(Columna!$G$9+Columna!$B$7)/Columna!$G$9</f>
        <v>8263.724832036782</v>
      </c>
      <c r="D304" s="340">
        <f>+B304-A304*'Presiones de casing'!$C$4</f>
        <v>1819.4483096147424</v>
      </c>
      <c r="E304" s="340">
        <f>+'Volumen de gas'!$C$1*Tabla!D304/14.7*520/'Volumen de gas'!$C$2*'Volumen de gas'!$C$4/'Volumen de gas'!$C$3</f>
        <v>28076.205996841738</v>
      </c>
      <c r="F304" s="340">
        <f t="shared" si="6"/>
        <v>370.6429834566566</v>
      </c>
    </row>
    <row r="305" spans="1:6" ht="12.75">
      <c r="A305" s="317">
        <v>76</v>
      </c>
      <c r="B305" s="339">
        <f>+('Presiones de casing'!$C$2+14.7+'Presiones de casing'!$C$3+('Presiones de casing'!$C$4+'Presiones de casing'!$C$8)*A305)*(1+'Presiones de casing'!$C$7/'Presiones de casing'!$C$13)</f>
        <v>6958.917891769618</v>
      </c>
      <c r="C305" s="339">
        <f>+B305*(Columna!$G$9+Columna!$B$7)/Columna!$G$9</f>
        <v>8290.346542452264</v>
      </c>
      <c r="D305" s="340">
        <f>+B305-A305*'Presiones de casing'!$C$4</f>
        <v>1824.9063808018636</v>
      </c>
      <c r="E305" s="340">
        <f>+'Volumen de gas'!$C$1*Tabla!D305/14.7*520/'Volumen de gas'!$C$2*'Volumen de gas'!$C$4/'Volumen de gas'!$C$3</f>
        <v>28160.430390678735</v>
      </c>
      <c r="F305" s="340">
        <f t="shared" si="6"/>
        <v>370.5319788247202</v>
      </c>
    </row>
    <row r="306" spans="1:6" ht="12.75">
      <c r="A306" s="317">
        <v>76.25</v>
      </c>
      <c r="B306" s="339">
        <f>+('Presiones de casing'!$C$2+14.7+'Presiones de casing'!$C$3+('Presiones de casing'!$C$4+'Presiones de casing'!$C$8)*A306)*(1+'Presiones de casing'!$C$7/'Presiones de casing'!$C$13)</f>
        <v>6981.264158716502</v>
      </c>
      <c r="C306" s="339">
        <f>+B306*(Columna!$G$9+Columna!$B$7)/Columna!$G$9</f>
        <v>8316.968252867748</v>
      </c>
      <c r="D306" s="340">
        <f>+B306-A306*'Presiones de casing'!$C$4</f>
        <v>1830.364451988985</v>
      </c>
      <c r="E306" s="340">
        <f>+'Volumen de gas'!$C$1*Tabla!D306/14.7*520/'Volumen de gas'!$C$2*'Volumen de gas'!$C$4/'Volumen de gas'!$C$3</f>
        <v>28244.654784515726</v>
      </c>
      <c r="F306" s="340">
        <f t="shared" si="6"/>
        <v>370.4217020920095</v>
      </c>
    </row>
    <row r="307" spans="1:6" ht="12.75">
      <c r="A307" s="317">
        <v>76.5</v>
      </c>
      <c r="B307" s="339">
        <f>+('Presiones de casing'!$C$2+14.7+'Presiones de casing'!$C$3+('Presiones de casing'!$C$4+'Presiones de casing'!$C$8)*A307)*(1+'Presiones de casing'!$C$7/'Presiones de casing'!$C$13)</f>
        <v>7003.610425663385</v>
      </c>
      <c r="C307" s="339">
        <f>+B307*(Columna!$G$9+Columna!$B$7)/Columna!$G$9</f>
        <v>8343.58996328323</v>
      </c>
      <c r="D307" s="340">
        <f>+B307-A307*'Presiones de casing'!$C$4</f>
        <v>1835.8225231761062</v>
      </c>
      <c r="E307" s="340">
        <f>+'Volumen de gas'!$C$1*Tabla!D307/14.7*520/'Volumen de gas'!$C$2*'Volumen de gas'!$C$4/'Volumen de gas'!$C$3</f>
        <v>28328.87917835272</v>
      </c>
      <c r="F307" s="340">
        <f t="shared" si="6"/>
        <v>370.3121461222578</v>
      </c>
    </row>
    <row r="308" spans="1:6" ht="12.75">
      <c r="A308" s="317">
        <v>76.75</v>
      </c>
      <c r="B308" s="339">
        <f>+('Presiones de casing'!$C$2+14.7+'Presiones de casing'!$C$3+('Presiones de casing'!$C$4+'Presiones de casing'!$C$8)*A308)*(1+'Presiones de casing'!$C$7/'Presiones de casing'!$C$13)</f>
        <v>7025.956692610269</v>
      </c>
      <c r="C308" s="339">
        <f>+B308*(Columna!$G$9+Columna!$B$7)/Columna!$G$9</f>
        <v>8370.211673698712</v>
      </c>
      <c r="D308" s="340">
        <f>+B308-A308*'Presiones de casing'!$C$4</f>
        <v>1841.2805943632275</v>
      </c>
      <c r="E308" s="340">
        <f>+'Volumen de gas'!$C$1*Tabla!D308/14.7*520/'Volumen de gas'!$C$2*'Volumen de gas'!$C$4/'Volumen de gas'!$C$3</f>
        <v>28413.103572189713</v>
      </c>
      <c r="F308" s="340">
        <f t="shared" si="6"/>
        <v>370.20330387217865</v>
      </c>
    </row>
    <row r="309" spans="1:6" ht="12.75">
      <c r="A309" s="317">
        <v>77</v>
      </c>
      <c r="B309" s="339">
        <f>+('Presiones de casing'!$C$2+14.7+'Presiones de casing'!$C$3+('Presiones de casing'!$C$4+'Presiones de casing'!$C$8)*A309)*(1+'Presiones de casing'!$C$7/'Presiones de casing'!$C$13)</f>
        <v>7048.302959557152</v>
      </c>
      <c r="C309" s="339">
        <f>+B309*(Columna!$G$9+Columna!$B$7)/Columna!$G$9</f>
        <v>8396.833384114194</v>
      </c>
      <c r="D309" s="340">
        <f>+B309-A309*'Presiones de casing'!$C$4</f>
        <v>1846.7386655503478</v>
      </c>
      <c r="E309" s="340">
        <f>+'Volumen de gas'!$C$1*Tabla!D309/14.7*520/'Volumen de gas'!$C$2*'Volumen de gas'!$C$4/'Volumen de gas'!$C$3</f>
        <v>28497.327966026696</v>
      </c>
      <c r="F309" s="340">
        <f t="shared" si="6"/>
        <v>370.0951683899571</v>
      </c>
    </row>
    <row r="310" spans="1:6" ht="12.75">
      <c r="A310" s="317">
        <v>77.25</v>
      </c>
      <c r="B310" s="339">
        <f>+('Presiones de casing'!$C$2+14.7+'Presiones de casing'!$C$3+('Presiones de casing'!$C$4+'Presiones de casing'!$C$8)*A310)*(1+'Presiones de casing'!$C$7/'Presiones de casing'!$C$13)</f>
        <v>7070.649226504034</v>
      </c>
      <c r="C310" s="339">
        <f>+B310*(Columna!$G$9+Columna!$B$7)/Columna!$G$9</f>
        <v>8423.455094529676</v>
      </c>
      <c r="D310" s="340">
        <f>+B310-A310*'Presiones de casing'!$C$4</f>
        <v>1852.1967367374682</v>
      </c>
      <c r="E310" s="340">
        <f>+'Volumen de gas'!$C$1*Tabla!D310/14.7*520/'Volumen de gas'!$C$2*'Volumen de gas'!$C$4/'Volumen de gas'!$C$3</f>
        <v>28581.55235986367</v>
      </c>
      <c r="F310" s="340">
        <f t="shared" si="6"/>
        <v>369.9877328137692</v>
      </c>
    </row>
    <row r="311" spans="1:6" ht="12.75">
      <c r="A311" s="317">
        <v>77.5</v>
      </c>
      <c r="B311" s="339">
        <f>+('Presiones de casing'!$C$2+14.7+'Presiones de casing'!$C$3+('Presiones de casing'!$C$4+'Presiones de casing'!$C$8)*A311)*(1+'Presiones de casing'!$C$7/'Presiones de casing'!$C$13)</f>
        <v>7092.995493450918</v>
      </c>
      <c r="C311" s="339">
        <f>+B311*(Columna!$G$9+Columna!$B$7)/Columna!$G$9</f>
        <v>8450.076804945158</v>
      </c>
      <c r="D311" s="340">
        <f>+B311-A311*'Presiones de casing'!$C$4</f>
        <v>1857.6548079245895</v>
      </c>
      <c r="E311" s="340">
        <f>+'Volumen de gas'!$C$1*Tabla!D311/14.7*520/'Volumen de gas'!$C$2*'Volumen de gas'!$C$4/'Volumen de gas'!$C$3</f>
        <v>28665.776753700666</v>
      </c>
      <c r="F311" s="340">
        <f t="shared" si="6"/>
        <v>369.8809903703312</v>
      </c>
    </row>
    <row r="312" spans="1:6" ht="12.75">
      <c r="A312" s="317">
        <v>77.75</v>
      </c>
      <c r="B312" s="339">
        <f>+('Presiones de casing'!$C$2+14.7+'Presiones de casing'!$C$3+('Presiones de casing'!$C$4+'Presiones de casing'!$C$8)*A312)*(1+'Presiones de casing'!$C$7/'Presiones de casing'!$C$13)</f>
        <v>7115.341760397801</v>
      </c>
      <c r="C312" s="339">
        <f>+B312*(Columna!$G$9+Columna!$B$7)/Columna!$G$9</f>
        <v>8476.69851536064</v>
      </c>
      <c r="D312" s="340">
        <f>+B312-A312*'Presiones de casing'!$C$4</f>
        <v>1863.1128791117108</v>
      </c>
      <c r="E312" s="340">
        <f>+'Volumen de gas'!$C$1*Tabla!D312/14.7*520/'Volumen de gas'!$C$2*'Volumen de gas'!$C$4/'Volumen de gas'!$C$3</f>
        <v>28750.001147537656</v>
      </c>
      <c r="F312" s="340">
        <f t="shared" si="6"/>
        <v>369.77493437347465</v>
      </c>
    </row>
    <row r="313" spans="1:6" ht="12.75">
      <c r="A313" s="317">
        <v>78</v>
      </c>
      <c r="B313" s="339">
        <f>+('Presiones de casing'!$C$2+14.7+'Presiones de casing'!$C$3+('Presiones de casing'!$C$4+'Presiones de casing'!$C$8)*A313)*(1+'Presiones de casing'!$C$7/'Presiones de casing'!$C$13)</f>
        <v>7137.688027344685</v>
      </c>
      <c r="C313" s="339">
        <f>+B313*(Columna!$G$9+Columna!$B$7)/Columna!$G$9</f>
        <v>8503.320225776122</v>
      </c>
      <c r="D313" s="340">
        <f>+B313-A313*'Presiones de casing'!$C$4</f>
        <v>1868.570950298832</v>
      </c>
      <c r="E313" s="340">
        <f>+'Volumen de gas'!$C$1*Tabla!D313/14.7*520/'Volumen de gas'!$C$2*'Volumen de gas'!$C$4/'Volumen de gas'!$C$3</f>
        <v>28834.22554137465</v>
      </c>
      <c r="F313" s="340">
        <f t="shared" si="6"/>
        <v>369.6695582227519</v>
      </c>
    </row>
    <row r="314" spans="1:6" ht="12.75">
      <c r="A314" s="317">
        <v>78.25</v>
      </c>
      <c r="B314" s="339">
        <f>+('Presiones de casing'!$C$2+14.7+'Presiones de casing'!$C$3+('Presiones de casing'!$C$4+'Presiones de casing'!$C$8)*A314)*(1+'Presiones de casing'!$C$7/'Presiones de casing'!$C$13)</f>
        <v>7160.034294291568</v>
      </c>
      <c r="C314" s="339">
        <f>+B314*(Columna!$G$9+Columna!$B$7)/Columna!$G$9</f>
        <v>8529.941936191604</v>
      </c>
      <c r="D314" s="340">
        <f>+B314-A314*'Presiones de casing'!$C$4</f>
        <v>1874.0290214859524</v>
      </c>
      <c r="E314" s="340">
        <f>+'Volumen de gas'!$C$1*Tabla!D314/14.7*520/'Volumen de gas'!$C$2*'Volumen de gas'!$C$4/'Volumen de gas'!$C$3</f>
        <v>28918.44993521163</v>
      </c>
      <c r="F314" s="340">
        <f t="shared" si="6"/>
        <v>369.5648554020656</v>
      </c>
    </row>
    <row r="315" spans="1:6" ht="12.75">
      <c r="A315" s="317">
        <v>78.5</v>
      </c>
      <c r="B315" s="339">
        <f>+('Presiones de casing'!$C$2+14.7+'Presiones de casing'!$C$3+('Presiones de casing'!$C$4+'Presiones de casing'!$C$8)*A315)*(1+'Presiones de casing'!$C$7/'Presiones de casing'!$C$13)</f>
        <v>7182.380561238451</v>
      </c>
      <c r="C315" s="339">
        <f>+B315*(Columna!$G$9+Columna!$B$7)/Columna!$G$9</f>
        <v>8556.563646607088</v>
      </c>
      <c r="D315" s="340">
        <f>+B315-A315*'Presiones de casing'!$C$4</f>
        <v>1879.4870926730737</v>
      </c>
      <c r="E315" s="340">
        <f>+'Volumen de gas'!$C$1*Tabla!D315/14.7*520/'Volumen de gas'!$C$2*'Volumen de gas'!$C$4/'Volumen de gas'!$C$3</f>
        <v>29002.674329048627</v>
      </c>
      <c r="F315" s="340">
        <f t="shared" si="6"/>
        <v>369.46081947832647</v>
      </c>
    </row>
    <row r="316" spans="1:6" ht="12.75">
      <c r="A316" s="317">
        <v>78.75</v>
      </c>
      <c r="B316" s="339">
        <f>+('Presiones de casing'!$C$2+14.7+'Presiones de casing'!$C$3+('Presiones de casing'!$C$4+'Presiones de casing'!$C$8)*A316)*(1+'Presiones de casing'!$C$7/'Presiones de casing'!$C$13)</f>
        <v>7204.726828185335</v>
      </c>
      <c r="C316" s="339">
        <f>+B316*(Columna!$G$9+Columna!$B$7)/Columna!$G$9</f>
        <v>8583.18535702257</v>
      </c>
      <c r="D316" s="340">
        <f>+B316-A316*'Presiones de casing'!$C$4</f>
        <v>1884.945163860194</v>
      </c>
      <c r="E316" s="340">
        <f>+'Volumen de gas'!$C$1*Tabla!D316/14.7*520/'Volumen de gas'!$C$2*'Volumen de gas'!$C$4/'Volumen de gas'!$C$3</f>
        <v>29086.898722885606</v>
      </c>
      <c r="F316" s="340">
        <f t="shared" si="6"/>
        <v>369.35744410013467</v>
      </c>
    </row>
    <row r="317" spans="1:6" ht="12.75">
      <c r="A317" s="317">
        <v>79</v>
      </c>
      <c r="B317" s="339">
        <f>+('Presiones de casing'!$C$2+14.7+'Presiones de casing'!$C$3+('Presiones de casing'!$C$4+'Presiones de casing'!$C$8)*A317)*(1+'Presiones de casing'!$C$7/'Presiones de casing'!$C$13)</f>
        <v>7227.073095132218</v>
      </c>
      <c r="C317" s="339">
        <f>+B317*(Columna!$G$9+Columna!$B$7)/Columna!$G$9</f>
        <v>8609.807067438052</v>
      </c>
      <c r="D317" s="340">
        <f>+B317-A317*'Presiones de casing'!$C$4</f>
        <v>1890.4032350473153</v>
      </c>
      <c r="E317" s="340">
        <f>+'Volumen de gas'!$C$1*Tabla!D317/14.7*520/'Volumen de gas'!$C$2*'Volumen de gas'!$C$4/'Volumen de gas'!$C$3</f>
        <v>29171.123116722596</v>
      </c>
      <c r="F317" s="340">
        <f t="shared" si="6"/>
        <v>369.25472299648857</v>
      </c>
    </row>
    <row r="318" spans="1:6" ht="12.75">
      <c r="A318" s="317">
        <v>79.25</v>
      </c>
      <c r="B318" s="339">
        <f>+('Presiones de casing'!$C$2+14.7+'Presiones de casing'!$C$3+('Presiones de casing'!$C$4+'Presiones de casing'!$C$8)*A318)*(1+'Presiones de casing'!$C$7/'Presiones de casing'!$C$13)</f>
        <v>7249.419362079101</v>
      </c>
      <c r="C318" s="339">
        <f>+B318*(Columna!$G$9+Columna!$B$7)/Columna!$G$9</f>
        <v>8636.428777853534</v>
      </c>
      <c r="D318" s="340">
        <f>+B318-A318*'Presiones de casing'!$C$4</f>
        <v>1895.8613062344357</v>
      </c>
      <c r="E318" s="340">
        <f>+'Volumen de gas'!$C$1*Tabla!D318/14.7*520/'Volumen de gas'!$C$2*'Volumen de gas'!$C$4/'Volumen de gas'!$C$3</f>
        <v>29255.347510559575</v>
      </c>
      <c r="F318" s="340">
        <f t="shared" si="6"/>
        <v>369.15264997551515</v>
      </c>
    </row>
    <row r="319" spans="1:6" ht="12.75">
      <c r="A319" s="317">
        <v>79.5</v>
      </c>
      <c r="B319" s="339">
        <f>+('Presiones de casing'!$C$2+14.7+'Presiones de casing'!$C$3+('Presiones de casing'!$C$4+'Presiones de casing'!$C$8)*A319)*(1+'Presiones de casing'!$C$7/'Presiones de casing'!$C$13)</f>
        <v>7271.765629025984</v>
      </c>
      <c r="C319" s="339">
        <f>+B319*(Columna!$G$9+Columna!$B$7)/Columna!$G$9</f>
        <v>8663.050488269015</v>
      </c>
      <c r="D319" s="340">
        <f>+B319-A319*'Presiones de casing'!$C$4</f>
        <v>1901.319377421556</v>
      </c>
      <c r="E319" s="340">
        <f>+'Volumen de gas'!$C$1*Tabla!D319/14.7*520/'Volumen de gas'!$C$2*'Volumen de gas'!$C$4/'Volumen de gas'!$C$3</f>
        <v>29339.571904396555</v>
      </c>
      <c r="F319" s="340">
        <f t="shared" si="6"/>
        <v>369.0512189232271</v>
      </c>
    </row>
    <row r="320" spans="1:6" ht="12.75">
      <c r="A320" s="317">
        <v>79.75</v>
      </c>
      <c r="B320" s="339">
        <f>+('Presiones de casing'!$C$2+14.7+'Presiones de casing'!$C$3+('Presiones de casing'!$C$4+'Presiones de casing'!$C$8)*A320)*(1+'Presiones de casing'!$C$7/'Presiones de casing'!$C$13)</f>
        <v>7294.111895972867</v>
      </c>
      <c r="C320" s="339">
        <f>+B320*(Columna!$G$9+Columna!$B$7)/Columna!$G$9</f>
        <v>8689.672198684499</v>
      </c>
      <c r="D320" s="340">
        <f>+B320-A320*'Presiones de casing'!$C$4</f>
        <v>1906.7774486086773</v>
      </c>
      <c r="E320" s="340">
        <f>+'Volumen de gas'!$C$1*Tabla!D320/14.7*520/'Volumen de gas'!$C$2*'Volumen de gas'!$C$4/'Volumen de gas'!$C$3</f>
        <v>29423.79629823355</v>
      </c>
      <c r="F320" s="340">
        <f t="shared" si="6"/>
        <v>368.95042380230154</v>
      </c>
    </row>
    <row r="321" spans="1:6" ht="12.75">
      <c r="A321" s="317">
        <v>80</v>
      </c>
      <c r="B321" s="339">
        <f>+('Presiones de casing'!$C$2+14.7+'Presiones de casing'!$C$3+('Presiones de casing'!$C$4+'Presiones de casing'!$C$8)*A321)*(1+'Presiones de casing'!$C$7/'Presiones de casing'!$C$13)</f>
        <v>7316.458162919751</v>
      </c>
      <c r="C321" s="339">
        <f>+B321*(Columna!$G$9+Columna!$B$7)/Columna!$G$9</f>
        <v>8716.29390909998</v>
      </c>
      <c r="D321" s="340">
        <f>+B321-A321*'Presiones de casing'!$C$4</f>
        <v>1912.2355197957986</v>
      </c>
      <c r="E321" s="340">
        <f>+'Volumen de gas'!$C$1*Tabla!D321/14.7*520/'Volumen de gas'!$C$2*'Volumen de gas'!$C$4/'Volumen de gas'!$C$3</f>
        <v>29508.02069207054</v>
      </c>
      <c r="F321" s="340">
        <f aca="true" t="shared" si="7" ref="F321:F384">+E321/A321</f>
        <v>368.85025865088176</v>
      </c>
    </row>
    <row r="322" spans="1:6" ht="12.75">
      <c r="A322" s="317">
        <v>80.25</v>
      </c>
      <c r="B322" s="339">
        <f>+('Presiones de casing'!$C$2+14.7+'Presiones de casing'!$C$3+('Presiones de casing'!$C$4+'Presiones de casing'!$C$8)*A322)*(1+'Presiones de casing'!$C$7/'Presiones de casing'!$C$13)</f>
        <v>7338.804429866635</v>
      </c>
      <c r="C322" s="339">
        <f>+B322*(Columna!$G$9+Columna!$B$7)/Columna!$G$9</f>
        <v>8742.915619515465</v>
      </c>
      <c r="D322" s="340">
        <f>+B322-A322*'Presiones de casing'!$C$4</f>
        <v>1917.6935909829199</v>
      </c>
      <c r="E322" s="340">
        <f>+'Volumen de gas'!$C$1*Tabla!D322/14.7*520/'Volumen de gas'!$C$2*'Volumen de gas'!$C$4/'Volumen de gas'!$C$3</f>
        <v>29592.245085907536</v>
      </c>
      <c r="F322" s="340">
        <f t="shared" si="7"/>
        <v>368.75071758140234</v>
      </c>
    </row>
    <row r="323" spans="1:6" ht="12.75">
      <c r="A323" s="317">
        <v>80.5</v>
      </c>
      <c r="B323" s="339">
        <f>+('Presiones de casing'!$C$2+14.7+'Presiones de casing'!$C$3+('Presiones de casing'!$C$4+'Presiones de casing'!$C$8)*A323)*(1+'Presiones de casing'!$C$7/'Presiones de casing'!$C$13)</f>
        <v>7361.150696813518</v>
      </c>
      <c r="C323" s="339">
        <f>+B323*(Columna!$G$9+Columna!$B$7)/Columna!$G$9</f>
        <v>8769.537329930947</v>
      </c>
      <c r="D323" s="340">
        <f>+B323-A323*'Presiones de casing'!$C$4</f>
        <v>1923.1516621700412</v>
      </c>
      <c r="E323" s="340">
        <f>+'Volumen de gas'!$C$1*Tabla!D323/14.7*520/'Volumen de gas'!$C$2*'Volumen de gas'!$C$4/'Volumen de gas'!$C$3</f>
        <v>29676.469479744526</v>
      </c>
      <c r="F323" s="340">
        <f t="shared" si="7"/>
        <v>368.65179477943514</v>
      </c>
    </row>
    <row r="324" spans="1:6" ht="12.75">
      <c r="A324" s="317">
        <v>80.75</v>
      </c>
      <c r="B324" s="339">
        <f>+('Presiones de casing'!$C$2+14.7+'Presiones de casing'!$C$3+('Presiones de casing'!$C$4+'Presiones de casing'!$C$8)*A324)*(1+'Presiones de casing'!$C$7/'Presiones de casing'!$C$13)</f>
        <v>7383.496963760401</v>
      </c>
      <c r="C324" s="339">
        <f>+B324*(Columna!$G$9+Columna!$B$7)/Columna!$G$9</f>
        <v>8796.159040346427</v>
      </c>
      <c r="D324" s="340">
        <f>+B324-A324*'Presiones de casing'!$C$4</f>
        <v>1928.6097333571615</v>
      </c>
      <c r="E324" s="340">
        <f>+'Volumen de gas'!$C$1*Tabla!D324/14.7*520/'Volumen de gas'!$C$2*'Volumen de gas'!$C$4/'Volumen de gas'!$C$3</f>
        <v>29760.693873581502</v>
      </c>
      <c r="F324" s="340">
        <f t="shared" si="7"/>
        <v>368.5534845025573</v>
      </c>
    </row>
    <row r="325" spans="1:6" ht="12.75">
      <c r="A325" s="317">
        <v>81</v>
      </c>
      <c r="B325" s="339">
        <f>+('Presiones de casing'!$C$2+14.7+'Presiones de casing'!$C$3+('Presiones de casing'!$C$4+'Presiones de casing'!$C$8)*A325)*(1+'Presiones de casing'!$C$7/'Presiones de casing'!$C$13)</f>
        <v>7405.843230707284</v>
      </c>
      <c r="C325" s="339">
        <f>+B325*(Columna!$G$9+Columna!$B$7)/Columna!$G$9</f>
        <v>8822.78075076191</v>
      </c>
      <c r="D325" s="340">
        <f>+B325-A325*'Presiones de casing'!$C$4</f>
        <v>1934.0678045442828</v>
      </c>
      <c r="E325" s="340">
        <f>+'Volumen de gas'!$C$1*Tabla!D325/14.7*520/'Volumen de gas'!$C$2*'Volumen de gas'!$C$4/'Volumen de gas'!$C$3</f>
        <v>29844.918267418496</v>
      </c>
      <c r="F325" s="340">
        <f t="shared" si="7"/>
        <v>368.4557810792407</v>
      </c>
    </row>
    <row r="326" spans="1:6" ht="12.75">
      <c r="A326" s="317">
        <v>81.25</v>
      </c>
      <c r="B326" s="339">
        <f>+('Presiones de casing'!$C$2+14.7+'Presiones de casing'!$C$3+('Presiones de casing'!$C$4+'Presiones de casing'!$C$8)*A326)*(1+'Presiones de casing'!$C$7/'Presiones de casing'!$C$13)</f>
        <v>7428.189497654167</v>
      </c>
      <c r="C326" s="339">
        <f>+B326*(Columna!$G$9+Columna!$B$7)/Columna!$G$9</f>
        <v>8849.402461177391</v>
      </c>
      <c r="D326" s="340">
        <f>+B326-A326*'Presiones de casing'!$C$4</f>
        <v>1939.5258757314032</v>
      </c>
      <c r="E326" s="340">
        <f>+'Volumen de gas'!$C$1*Tabla!D326/14.7*520/'Volumen de gas'!$C$2*'Volumen de gas'!$C$4/'Volumen de gas'!$C$3</f>
        <v>29929.142661255475</v>
      </c>
      <c r="F326" s="340">
        <f t="shared" si="7"/>
        <v>368.35867890775967</v>
      </c>
    </row>
    <row r="327" spans="1:6" ht="12.75">
      <c r="A327" s="317">
        <v>81.5</v>
      </c>
      <c r="B327" s="339">
        <f>+('Presiones de casing'!$C$2+14.7+'Presiones de casing'!$C$3+('Presiones de casing'!$C$4+'Presiones de casing'!$C$8)*A327)*(1+'Presiones de casing'!$C$7/'Presiones de casing'!$C$13)</f>
        <v>7450.535764601051</v>
      </c>
      <c r="C327" s="339">
        <f>+B327*(Columna!$G$9+Columna!$B$7)/Columna!$G$9</f>
        <v>8876.024171592875</v>
      </c>
      <c r="D327" s="340">
        <f>+B327-A327*'Presiones de casing'!$C$4</f>
        <v>1944.9839469185245</v>
      </c>
      <c r="E327" s="340">
        <f>+'Volumen de gas'!$C$1*Tabla!D327/14.7*520/'Volumen de gas'!$C$2*'Volumen de gas'!$C$4/'Volumen de gas'!$C$3</f>
        <v>30013.367055092473</v>
      </c>
      <c r="F327" s="340">
        <f t="shared" si="7"/>
        <v>368.26217245512237</v>
      </c>
    </row>
    <row r="328" spans="1:6" ht="12.75">
      <c r="A328" s="317">
        <v>81.75</v>
      </c>
      <c r="B328" s="339">
        <f>+('Presiones de casing'!$C$2+14.7+'Presiones de casing'!$C$3+('Presiones de casing'!$C$4+'Presiones de casing'!$C$8)*A328)*(1+'Presiones de casing'!$C$7/'Presiones de casing'!$C$13)</f>
        <v>7472.882031547934</v>
      </c>
      <c r="C328" s="339">
        <f>+B328*(Columna!$G$9+Columna!$B$7)/Columna!$G$9</f>
        <v>8902.645882008357</v>
      </c>
      <c r="D328" s="340">
        <f>+B328-A328*'Presiones de casing'!$C$4</f>
        <v>1950.4420181056457</v>
      </c>
      <c r="E328" s="340">
        <f>+'Volumen de gas'!$C$1*Tabla!D328/14.7*520/'Volumen de gas'!$C$2*'Volumen de gas'!$C$4/'Volumen de gas'!$C$3</f>
        <v>30097.59144892947</v>
      </c>
      <c r="F328" s="340">
        <f t="shared" si="7"/>
        <v>368.16625625601796</v>
      </c>
    </row>
    <row r="329" spans="1:6" ht="12.75">
      <c r="A329" s="317">
        <v>82</v>
      </c>
      <c r="B329" s="339">
        <f>+('Presiones de casing'!$C$2+14.7+'Presiones de casing'!$C$3+('Presiones de casing'!$C$4+'Presiones de casing'!$C$8)*A329)*(1+'Presiones de casing'!$C$7/'Presiones de casing'!$C$13)</f>
        <v>7495.228298494817</v>
      </c>
      <c r="C329" s="339">
        <f>+B329*(Columna!$G$9+Columna!$B$7)/Columna!$G$9</f>
        <v>8929.26759242384</v>
      </c>
      <c r="D329" s="340">
        <f>+B329-A329*'Presiones de casing'!$C$4</f>
        <v>1955.900089292766</v>
      </c>
      <c r="E329" s="340">
        <f>+'Volumen de gas'!$C$1*Tabla!D329/14.7*520/'Volumen de gas'!$C$2*'Volumen de gas'!$C$4/'Volumen de gas'!$C$3</f>
        <v>30181.815842766442</v>
      </c>
      <c r="F329" s="340">
        <f t="shared" si="7"/>
        <v>368.0709249117859</v>
      </c>
    </row>
    <row r="330" spans="1:6" ht="12.75">
      <c r="A330" s="317">
        <v>82.25</v>
      </c>
      <c r="B330" s="339">
        <f>+('Presiones de casing'!$C$2+14.7+'Presiones de casing'!$C$3+('Presiones de casing'!$C$4+'Presiones de casing'!$C$8)*A330)*(1+'Presiones de casing'!$C$7/'Presiones de casing'!$C$13)</f>
        <v>7517.5745654417005</v>
      </c>
      <c r="C330" s="339">
        <f>+B330*(Columna!$G$9+Columna!$B$7)/Columna!$G$9</f>
        <v>8955.889302839321</v>
      </c>
      <c r="D330" s="340">
        <f>+B330-A330*'Presiones de casing'!$C$4</f>
        <v>1961.3581604798874</v>
      </c>
      <c r="E330" s="340">
        <f>+'Volumen de gas'!$C$1*Tabla!D330/14.7*520/'Volumen de gas'!$C$2*'Volumen de gas'!$C$4/'Volumen de gas'!$C$3</f>
        <v>30266.04023660344</v>
      </c>
      <c r="F330" s="340">
        <f t="shared" si="7"/>
        <v>367.9761730894035</v>
      </c>
    </row>
    <row r="331" spans="1:6" ht="12.75">
      <c r="A331" s="317">
        <v>82.5</v>
      </c>
      <c r="B331" s="339">
        <f>+('Presiones de casing'!$C$2+14.7+'Presiones de casing'!$C$3+('Presiones de casing'!$C$4+'Presiones de casing'!$C$8)*A331)*(1+'Presiones de casing'!$C$7/'Presiones de casing'!$C$13)</f>
        <v>7539.920832388584</v>
      </c>
      <c r="C331" s="339">
        <f>+B331*(Columna!$G$9+Columna!$B$7)/Columna!$G$9</f>
        <v>8982.511013254803</v>
      </c>
      <c r="D331" s="340">
        <f>+B331-A331*'Presiones de casing'!$C$4</f>
        <v>1966.8162316670087</v>
      </c>
      <c r="E331" s="340">
        <f>+'Volumen de gas'!$C$1*Tabla!D331/14.7*520/'Volumen de gas'!$C$2*'Volumen de gas'!$C$4/'Volumen de gas'!$C$3</f>
        <v>30350.264630440426</v>
      </c>
      <c r="F331" s="340">
        <f t="shared" si="7"/>
        <v>367.88199552049</v>
      </c>
    </row>
    <row r="332" spans="1:6" ht="12.75">
      <c r="A332" s="317">
        <v>82.75</v>
      </c>
      <c r="B332" s="339">
        <f>+('Presiones de casing'!$C$2+14.7+'Presiones de casing'!$C$3+('Presiones de casing'!$C$4+'Presiones de casing'!$C$8)*A332)*(1+'Presiones de casing'!$C$7/'Presiones de casing'!$C$13)</f>
        <v>7562.267099335468</v>
      </c>
      <c r="C332" s="339">
        <f>+B332*(Columna!$G$9+Columna!$B$7)/Columna!$G$9</f>
        <v>9009.132723670285</v>
      </c>
      <c r="D332" s="340">
        <f>+B332-A332*'Presiones de casing'!$C$4</f>
        <v>1972.27430285413</v>
      </c>
      <c r="E332" s="340">
        <f>+'Volumen de gas'!$C$1*Tabla!D332/14.7*520/'Volumen de gas'!$C$2*'Volumen de gas'!$C$4/'Volumen de gas'!$C$3</f>
        <v>30434.489024277424</v>
      </c>
      <c r="F332" s="340">
        <f t="shared" si="7"/>
        <v>367.7883870003314</v>
      </c>
    </row>
    <row r="333" spans="1:6" ht="12.75">
      <c r="A333" s="317">
        <v>83</v>
      </c>
      <c r="B333" s="339">
        <f>+('Presiones de casing'!$C$2+14.7+'Presiones de casing'!$C$3+('Presiones de casing'!$C$4+'Presiones de casing'!$C$8)*A333)*(1+'Presiones de casing'!$C$7/'Presiones de casing'!$C$13)</f>
        <v>7584.61336628235</v>
      </c>
      <c r="C333" s="339">
        <f>+B333*(Columna!$G$9+Columna!$B$7)/Columna!$G$9</f>
        <v>9035.75443408577</v>
      </c>
      <c r="D333" s="340">
        <f>+B333-A333*'Presiones de casing'!$C$4</f>
        <v>1977.7323740412503</v>
      </c>
      <c r="E333" s="340">
        <f>+'Volumen de gas'!$C$1*Tabla!D333/14.7*520/'Volumen de gas'!$C$2*'Volumen de gas'!$C$4/'Volumen de gas'!$C$3</f>
        <v>30518.713418114407</v>
      </c>
      <c r="F333" s="340">
        <f t="shared" si="7"/>
        <v>367.6953423869206</v>
      </c>
    </row>
    <row r="334" spans="1:6" ht="12.75">
      <c r="A334" s="317">
        <v>83.25</v>
      </c>
      <c r="B334" s="339">
        <f>+('Presiones de casing'!$C$2+14.7+'Presiones de casing'!$C$3+('Presiones de casing'!$C$4+'Presiones de casing'!$C$8)*A334)*(1+'Presiones de casing'!$C$7/'Presiones de casing'!$C$13)</f>
        <v>7606.959633229233</v>
      </c>
      <c r="C334" s="339">
        <f>+B334*(Columna!$G$9+Columna!$B$7)/Columna!$G$9</f>
        <v>9062.37614450125</v>
      </c>
      <c r="D334" s="340">
        <f>+B334-A334*'Presiones de casing'!$C$4</f>
        <v>1983.1904452283707</v>
      </c>
      <c r="E334" s="340">
        <f>+'Volumen de gas'!$C$1*Tabla!D334/14.7*520/'Volumen de gas'!$C$2*'Volumen de gas'!$C$4/'Volumen de gas'!$C$3</f>
        <v>30602.937811951382</v>
      </c>
      <c r="F334" s="340">
        <f t="shared" si="7"/>
        <v>367.6028566000166</v>
      </c>
    </row>
    <row r="335" spans="1:6" ht="12.75">
      <c r="A335" s="317">
        <v>83.5</v>
      </c>
      <c r="B335" s="339">
        <f>+('Presiones de casing'!$C$2+14.7+'Presiones de casing'!$C$3+('Presiones de casing'!$C$4+'Presiones de casing'!$C$8)*A335)*(1+'Presiones de casing'!$C$7/'Presiones de casing'!$C$13)</f>
        <v>7629.305900176117</v>
      </c>
      <c r="C335" s="339">
        <f>+B335*(Columna!$G$9+Columna!$B$7)/Columna!$G$9</f>
        <v>9088.997854916732</v>
      </c>
      <c r="D335" s="340">
        <f>+B335-A335*'Presiones de casing'!$C$4</f>
        <v>1988.648516415492</v>
      </c>
      <c r="E335" s="340">
        <f>+'Volumen de gas'!$C$1*Tabla!D335/14.7*520/'Volumen de gas'!$C$2*'Volumen de gas'!$C$4/'Volumen de gas'!$C$3</f>
        <v>30687.162205788376</v>
      </c>
      <c r="F335" s="340">
        <f t="shared" si="7"/>
        <v>367.51092462022007</v>
      </c>
    </row>
    <row r="336" spans="1:6" ht="12.75">
      <c r="A336" s="317">
        <v>83.75</v>
      </c>
      <c r="B336" s="339">
        <f>+('Presiones de casing'!$C$2+14.7+'Presiones de casing'!$C$3+('Presiones de casing'!$C$4+'Presiones de casing'!$C$8)*A336)*(1+'Presiones de casing'!$C$7/'Presiones de casing'!$C$13)</f>
        <v>7651.652167123</v>
      </c>
      <c r="C336" s="339">
        <f>+B336*(Columna!$G$9+Columna!$B$7)/Columna!$G$9</f>
        <v>9115.619565332216</v>
      </c>
      <c r="D336" s="340">
        <f>+B336-A336*'Presiones de casing'!$C$4</f>
        <v>1994.1065876026132</v>
      </c>
      <c r="E336" s="340">
        <f>+'Volumen de gas'!$C$1*Tabla!D336/14.7*520/'Volumen de gas'!$C$2*'Volumen de gas'!$C$4/'Volumen de gas'!$C$3</f>
        <v>30771.38659962537</v>
      </c>
      <c r="F336" s="340">
        <f t="shared" si="7"/>
        <v>367.4195414880641</v>
      </c>
    </row>
    <row r="337" spans="1:6" ht="12.75">
      <c r="A337" s="317">
        <v>84</v>
      </c>
      <c r="B337" s="339">
        <f>+('Presiones de casing'!$C$2+14.7+'Presiones de casing'!$C$3+('Presiones de casing'!$C$4+'Presiones de casing'!$C$8)*A337)*(1+'Presiones de casing'!$C$7/'Presiones de casing'!$C$13)</f>
        <v>7673.998434069884</v>
      </c>
      <c r="C337" s="339">
        <f>+B337*(Columna!$G$9+Columna!$B$7)/Columna!$G$9</f>
        <v>9142.241275747698</v>
      </c>
      <c r="D337" s="340">
        <f>+B337-A337*'Presiones de casing'!$C$4</f>
        <v>1999.5646587897345</v>
      </c>
      <c r="E337" s="340">
        <f>+'Volumen de gas'!$C$1*Tabla!D337/14.7*520/'Volumen de gas'!$C$2*'Volumen de gas'!$C$4/'Volumen de gas'!$C$3</f>
        <v>30855.610993462356</v>
      </c>
      <c r="F337" s="340">
        <f t="shared" si="7"/>
        <v>367.3287023031233</v>
      </c>
    </row>
    <row r="338" spans="1:6" ht="12.75">
      <c r="A338" s="317">
        <v>84.25</v>
      </c>
      <c r="B338" s="339">
        <f>+('Presiones de casing'!$C$2+14.7+'Presiones de casing'!$C$3+('Presiones de casing'!$C$4+'Presiones de casing'!$C$8)*A338)*(1+'Presiones de casing'!$C$7/'Presiones de casing'!$C$13)</f>
        <v>7696.344701016767</v>
      </c>
      <c r="C338" s="339">
        <f>+B338*(Columna!$G$9+Columna!$B$7)/Columna!$G$9</f>
        <v>9168.86298616318</v>
      </c>
      <c r="D338" s="340">
        <f>+B338-A338*'Presiones de casing'!$C$4</f>
        <v>2005.0227299768558</v>
      </c>
      <c r="E338" s="340">
        <f>+'Volumen de gas'!$C$1*Tabla!D338/14.7*520/'Volumen de gas'!$C$2*'Volumen de gas'!$C$4/'Volumen de gas'!$C$3</f>
        <v>30939.835387299354</v>
      </c>
      <c r="F338" s="340">
        <f t="shared" si="7"/>
        <v>367.2384022231377</v>
      </c>
    </row>
    <row r="339" spans="1:6" ht="12.75">
      <c r="A339" s="317">
        <v>84.5</v>
      </c>
      <c r="B339" s="339">
        <f>+('Presiones de casing'!$C$2+14.7+'Presiones de casing'!$C$3+('Presiones de casing'!$C$4+'Presiones de casing'!$C$8)*A339)*(1+'Presiones de casing'!$C$7/'Presiones de casing'!$C$13)</f>
        <v>7718.69096796365</v>
      </c>
      <c r="C339" s="339">
        <f>+B339*(Columna!$G$9+Columna!$B$7)/Columna!$G$9</f>
        <v>9195.484696578662</v>
      </c>
      <c r="D339" s="340">
        <f>+B339-A339*'Presiones de casing'!$C$4</f>
        <v>2010.4808011639752</v>
      </c>
      <c r="E339" s="340">
        <f>+'Volumen de gas'!$C$1*Tabla!D339/14.7*520/'Volumen de gas'!$C$2*'Volumen de gas'!$C$4/'Volumen de gas'!$C$3</f>
        <v>31024.05978113632</v>
      </c>
      <c r="F339" s="340">
        <f t="shared" si="7"/>
        <v>367.1486364631517</v>
      </c>
    </row>
    <row r="340" spans="1:6" ht="12.75">
      <c r="A340" s="317">
        <v>84.75</v>
      </c>
      <c r="B340" s="339">
        <f>+('Presiones de casing'!$C$2+14.7+'Presiones de casing'!$C$3+('Presiones de casing'!$C$4+'Presiones de casing'!$C$8)*A340)*(1+'Presiones de casing'!$C$7/'Presiones de casing'!$C$13)</f>
        <v>7741.037234910534</v>
      </c>
      <c r="C340" s="339">
        <f>+B340*(Columna!$G$9+Columna!$B$7)/Columna!$G$9</f>
        <v>9222.106406994146</v>
      </c>
      <c r="D340" s="340">
        <f>+B340-A340*'Presiones de casing'!$C$4</f>
        <v>2015.9388723510965</v>
      </c>
      <c r="E340" s="340">
        <f>+'Volumen de gas'!$C$1*Tabla!D340/14.7*520/'Volumen de gas'!$C$2*'Volumen de gas'!$C$4/'Volumen de gas'!$C$3</f>
        <v>31108.284174973316</v>
      </c>
      <c r="F340" s="340">
        <f t="shared" si="7"/>
        <v>367.0594002946704</v>
      </c>
    </row>
    <row r="341" spans="1:6" ht="12.75">
      <c r="A341" s="317">
        <v>85</v>
      </c>
      <c r="B341" s="339">
        <f>+('Presiones de casing'!$C$2+14.7+'Presiones de casing'!$C$3+('Presiones de casing'!$C$4+'Presiones de casing'!$C$8)*A341)*(1+'Presiones de casing'!$C$7/'Presiones de casing'!$C$13)</f>
        <v>7763.383501857416</v>
      </c>
      <c r="C341" s="339">
        <f>+B341*(Columna!$G$9+Columna!$B$7)/Columna!$G$9</f>
        <v>9248.728117409626</v>
      </c>
      <c r="D341" s="340">
        <f>+B341-A341*'Presiones de casing'!$C$4</f>
        <v>2021.3969435382169</v>
      </c>
      <c r="E341" s="340">
        <f>+'Volumen de gas'!$C$1*Tabla!D341/14.7*520/'Volumen de gas'!$C$2*'Volumen de gas'!$C$4/'Volumen de gas'!$C$3</f>
        <v>31192.508568810288</v>
      </c>
      <c r="F341" s="340">
        <f t="shared" si="7"/>
        <v>366.97068904482694</v>
      </c>
    </row>
    <row r="342" spans="1:6" ht="12.75">
      <c r="A342" s="317">
        <v>85.25</v>
      </c>
      <c r="B342" s="339">
        <f>+('Presiones de casing'!$C$2+14.7+'Presiones de casing'!$C$3+('Presiones de casing'!$C$4+'Presiones de casing'!$C$8)*A342)*(1+'Presiones de casing'!$C$7/'Presiones de casing'!$C$13)</f>
        <v>7785.7297688043</v>
      </c>
      <c r="C342" s="339">
        <f>+B342*(Columna!$G$9+Columna!$B$7)/Columna!$G$9</f>
        <v>9275.349827825108</v>
      </c>
      <c r="D342" s="340">
        <f>+B342-A342*'Presiones de casing'!$C$4</f>
        <v>2026.8550147253382</v>
      </c>
      <c r="E342" s="340">
        <f>+'Volumen de gas'!$C$1*Tabla!D342/14.7*520/'Volumen de gas'!$C$2*'Volumen de gas'!$C$4/'Volumen de gas'!$C$3</f>
        <v>31276.732962647286</v>
      </c>
      <c r="F342" s="340">
        <f t="shared" si="7"/>
        <v>366.88249809556936</v>
      </c>
    </row>
    <row r="343" spans="1:6" ht="12.75">
      <c r="A343" s="317">
        <v>85.5</v>
      </c>
      <c r="B343" s="339">
        <f>+('Presiones de casing'!$C$2+14.7+'Presiones de casing'!$C$3+('Presiones de casing'!$C$4+'Presiones de casing'!$C$8)*A343)*(1+'Presiones de casing'!$C$7/'Presiones de casing'!$C$13)</f>
        <v>7808.076035751184</v>
      </c>
      <c r="C343" s="339">
        <f>+B343*(Columna!$G$9+Columna!$B$7)/Columna!$G$9</f>
        <v>9301.971538240592</v>
      </c>
      <c r="D343" s="340">
        <f>+B343-A343*'Presiones de casing'!$C$4</f>
        <v>2032.3130859124594</v>
      </c>
      <c r="E343" s="340">
        <f>+'Volumen de gas'!$C$1*Tabla!D343/14.7*520/'Volumen de gas'!$C$2*'Volumen de gas'!$C$4/'Volumen de gas'!$C$3</f>
        <v>31360.957356484276</v>
      </c>
      <c r="F343" s="340">
        <f t="shared" si="7"/>
        <v>366.79482288285703</v>
      </c>
    </row>
    <row r="344" spans="1:6" ht="12.75">
      <c r="A344" s="317">
        <v>85.75</v>
      </c>
      <c r="B344" s="339">
        <f>+('Presiones de casing'!$C$2+14.7+'Presiones de casing'!$C$3+('Presiones de casing'!$C$4+'Presiones de casing'!$C$8)*A344)*(1+'Presiones de casing'!$C$7/'Presiones de casing'!$C$13)</f>
        <v>7830.422302698066</v>
      </c>
      <c r="C344" s="339">
        <f>+B344*(Columna!$G$9+Columna!$B$7)/Columna!$G$9</f>
        <v>9328.593248656072</v>
      </c>
      <c r="D344" s="340">
        <f>+B344-A344*'Presiones de casing'!$C$4</f>
        <v>2037.7711570995798</v>
      </c>
      <c r="E344" s="340">
        <f>+'Volumen de gas'!$C$1*Tabla!D344/14.7*520/'Volumen de gas'!$C$2*'Volumen de gas'!$C$4/'Volumen de gas'!$C$3</f>
        <v>31445.18175032126</v>
      </c>
      <c r="F344" s="340">
        <f t="shared" si="7"/>
        <v>366.7076588958747</v>
      </c>
    </row>
    <row r="345" spans="1:6" ht="12.75">
      <c r="A345" s="317">
        <v>86</v>
      </c>
      <c r="B345" s="339">
        <f>+('Presiones de casing'!$C$2+14.7+'Presiones de casing'!$C$3+('Presiones de casing'!$C$4+'Presiones de casing'!$C$8)*A345)*(1+'Presiones de casing'!$C$7/'Presiones de casing'!$C$13)</f>
        <v>7852.76856964495</v>
      </c>
      <c r="C345" s="339">
        <f>+B345*(Columna!$G$9+Columna!$B$7)/Columna!$G$9</f>
        <v>9355.214959071554</v>
      </c>
      <c r="D345" s="340">
        <f>+B345-A345*'Presiones de casing'!$C$4</f>
        <v>2043.229228286701</v>
      </c>
      <c r="E345" s="340">
        <f>+'Volumen de gas'!$C$1*Tabla!D345/14.7*520/'Volumen de gas'!$C$2*'Volumen de gas'!$C$4/'Volumen de gas'!$C$3</f>
        <v>31529.406144158253</v>
      </c>
      <c r="F345" s="340">
        <f t="shared" si="7"/>
        <v>366.62100167625874</v>
      </c>
    </row>
    <row r="346" spans="1:6" ht="12.75">
      <c r="A346" s="317">
        <v>86.25</v>
      </c>
      <c r="B346" s="339">
        <f>+('Presiones de casing'!$C$2+14.7+'Presiones de casing'!$C$3+('Presiones de casing'!$C$4+'Presiones de casing'!$C$8)*A346)*(1+'Presiones de casing'!$C$7/'Presiones de casing'!$C$13)</f>
        <v>7875.114836591833</v>
      </c>
      <c r="C346" s="339">
        <f>+B346*(Columna!$G$9+Columna!$B$7)/Columna!$G$9</f>
        <v>9381.836669487038</v>
      </c>
      <c r="D346" s="340">
        <f>+B346-A346*'Presiones de casing'!$C$4</f>
        <v>2048.6872994738223</v>
      </c>
      <c r="E346" s="340">
        <f>+'Volumen de gas'!$C$1*Tabla!D346/14.7*520/'Volumen de gas'!$C$2*'Volumen de gas'!$C$4/'Volumen de gas'!$C$3</f>
        <v>31613.630537995243</v>
      </c>
      <c r="F346" s="340">
        <f t="shared" si="7"/>
        <v>366.53484681733613</v>
      </c>
    </row>
    <row r="347" spans="1:6" ht="12.75">
      <c r="A347" s="317">
        <v>86.5</v>
      </c>
      <c r="B347" s="339">
        <f>+('Presiones de casing'!$C$2+14.7+'Presiones de casing'!$C$3+('Presiones de casing'!$C$4+'Presiones de casing'!$C$8)*A347)*(1+'Presiones de casing'!$C$7/'Presiones de casing'!$C$13)</f>
        <v>7897.461103538717</v>
      </c>
      <c r="C347" s="339">
        <f>+B347*(Columna!$G$9+Columna!$B$7)/Columna!$G$9</f>
        <v>9408.45837990252</v>
      </c>
      <c r="D347" s="340">
        <f>+B347-A347*'Presiones de casing'!$C$4</f>
        <v>2054.1453706609436</v>
      </c>
      <c r="E347" s="340">
        <f>+'Volumen de gas'!$C$1*Tabla!D347/14.7*520/'Volumen de gas'!$C$2*'Volumen de gas'!$C$4/'Volumen de gas'!$C$3</f>
        <v>31697.854931832237</v>
      </c>
      <c r="F347" s="340">
        <f t="shared" si="7"/>
        <v>366.44918996337844</v>
      </c>
    </row>
    <row r="348" spans="1:6" ht="12.75">
      <c r="A348" s="317">
        <v>86.75</v>
      </c>
      <c r="B348" s="339">
        <f>+('Presiones de casing'!$C$2+14.7+'Presiones de casing'!$C$3+('Presiones de casing'!$C$4+'Presiones de casing'!$C$8)*A348)*(1+'Presiones de casing'!$C$7/'Presiones de casing'!$C$13)</f>
        <v>7919.807370485601</v>
      </c>
      <c r="C348" s="339">
        <f>+B348*(Columna!$G$9+Columna!$B$7)/Columna!$G$9</f>
        <v>9435.080090318004</v>
      </c>
      <c r="D348" s="340">
        <f>+B348-A348*'Presiones de casing'!$C$4</f>
        <v>2059.603441848065</v>
      </c>
      <c r="E348" s="340">
        <f>+'Volumen de gas'!$C$1*Tabla!D348/14.7*520/'Volumen de gas'!$C$2*'Volumen de gas'!$C$4/'Volumen de gas'!$C$3</f>
        <v>31782.07932566923</v>
      </c>
      <c r="F348" s="340">
        <f t="shared" si="7"/>
        <v>366.3640268088672</v>
      </c>
    </row>
    <row r="349" spans="1:6" ht="12.75">
      <c r="A349" s="317">
        <v>87</v>
      </c>
      <c r="B349" s="339">
        <f>+('Presiones de casing'!$C$2+14.7+'Presiones de casing'!$C$3+('Presiones de casing'!$C$4+'Presiones de casing'!$C$8)*A349)*(1+'Presiones de casing'!$C$7/'Presiones de casing'!$C$13)</f>
        <v>7942.153637432482</v>
      </c>
      <c r="C349" s="339">
        <f>+B349*(Columna!$G$9+Columna!$B$7)/Columna!$G$9</f>
        <v>9461.701800733483</v>
      </c>
      <c r="D349" s="340">
        <f>+B349-A349*'Presiones de casing'!$C$4</f>
        <v>2065.0615130351844</v>
      </c>
      <c r="E349" s="340">
        <f>+'Volumen de gas'!$C$1*Tabla!D349/14.7*520/'Volumen de gas'!$C$2*'Volumen de gas'!$C$4/'Volumen de gas'!$C$3</f>
        <v>31866.303719506195</v>
      </c>
      <c r="F349" s="340">
        <f t="shared" si="7"/>
        <v>366.27935309777234</v>
      </c>
    </row>
    <row r="350" spans="1:6" ht="12.75">
      <c r="A350" s="317">
        <v>87.25</v>
      </c>
      <c r="B350" s="339">
        <f>+('Presiones de casing'!$C$2+14.7+'Presiones de casing'!$C$3+('Presiones de casing'!$C$4+'Presiones de casing'!$C$8)*A350)*(1+'Presiones de casing'!$C$7/'Presiones de casing'!$C$13)</f>
        <v>7964.499904379366</v>
      </c>
      <c r="C350" s="339">
        <f>+B350*(Columna!$G$9+Columna!$B$7)/Columna!$G$9</f>
        <v>9488.323511148967</v>
      </c>
      <c r="D350" s="340">
        <f>+B350-A350*'Presiones de casing'!$C$4</f>
        <v>2070.5195842223056</v>
      </c>
      <c r="E350" s="340">
        <f>+'Volumen de gas'!$C$1*Tabla!D350/14.7*520/'Volumen de gas'!$C$2*'Volumen de gas'!$C$4/'Volumen de gas'!$C$3</f>
        <v>31950.52811334319</v>
      </c>
      <c r="F350" s="340">
        <f t="shared" si="7"/>
        <v>366.1951646228446</v>
      </c>
    </row>
    <row r="351" spans="1:6" ht="12.75">
      <c r="A351" s="317">
        <v>87.5</v>
      </c>
      <c r="B351" s="339">
        <f>+('Presiones de casing'!$C$2+14.7+'Presiones de casing'!$C$3+('Presiones de casing'!$C$4+'Presiones de casing'!$C$8)*A351)*(1+'Presiones de casing'!$C$7/'Presiones de casing'!$C$13)</f>
        <v>7986.8461713262495</v>
      </c>
      <c r="C351" s="339">
        <f>+B351*(Columna!$G$9+Columna!$B$7)/Columna!$G$9</f>
        <v>9514.945221564449</v>
      </c>
      <c r="D351" s="340">
        <f>+B351-A351*'Presiones de casing'!$C$4</f>
        <v>2075.977655409427</v>
      </c>
      <c r="E351" s="340">
        <f>+'Volumen de gas'!$C$1*Tabla!D351/14.7*520/'Volumen de gas'!$C$2*'Volumen de gas'!$C$4/'Volumen de gas'!$C$3</f>
        <v>32034.75250718018</v>
      </c>
      <c r="F351" s="340">
        <f t="shared" si="7"/>
        <v>366.1114572249163</v>
      </c>
    </row>
    <row r="352" spans="1:6" ht="12.75">
      <c r="A352" s="317">
        <v>87.75</v>
      </c>
      <c r="B352" s="339">
        <f>+('Presiones de casing'!$C$2+14.7+'Presiones de casing'!$C$3+('Presiones de casing'!$C$4+'Presiones de casing'!$C$8)*A352)*(1+'Presiones de casing'!$C$7/'Presiones de casing'!$C$13)</f>
        <v>8009.192438273133</v>
      </c>
      <c r="C352" s="339">
        <f>+B352*(Columna!$G$9+Columna!$B$7)/Columna!$G$9</f>
        <v>9541.566931979933</v>
      </c>
      <c r="D352" s="340">
        <f>+B352-A352*'Presiones de casing'!$C$4</f>
        <v>2081.435726596548</v>
      </c>
      <c r="E352" s="340">
        <f>+'Volumen de gas'!$C$1*Tabla!D352/14.7*520/'Volumen de gas'!$C$2*'Volumen de gas'!$C$4/'Volumen de gas'!$C$3</f>
        <v>32118.976901017177</v>
      </c>
      <c r="F352" s="340">
        <f t="shared" si="7"/>
        <v>366.02822679221856</v>
      </c>
    </row>
    <row r="353" spans="1:6" ht="12.75">
      <c r="A353" s="317">
        <v>88</v>
      </c>
      <c r="B353" s="339">
        <f>+('Presiones de casing'!$C$2+14.7+'Presiones de casing'!$C$3+('Presiones de casing'!$C$4+'Presiones de casing'!$C$8)*A353)*(1+'Presiones de casing'!$C$7/'Presiones de casing'!$C$13)</f>
        <v>8031.538705220016</v>
      </c>
      <c r="C353" s="339">
        <f>+B353*(Columna!$G$9+Columna!$B$7)/Columna!$G$9</f>
        <v>9568.188642395413</v>
      </c>
      <c r="D353" s="340">
        <f>+B353-A353*'Presiones de casing'!$C$4</f>
        <v>2086.8937977836686</v>
      </c>
      <c r="E353" s="340">
        <f>+'Volumen de gas'!$C$1*Tabla!D353/14.7*520/'Volumen de gas'!$C$2*'Volumen de gas'!$C$4/'Volumen de gas'!$C$3</f>
        <v>32203.20129485415</v>
      </c>
      <c r="F353" s="340">
        <f t="shared" si="7"/>
        <v>365.9454692597062</v>
      </c>
    </row>
    <row r="354" spans="1:6" ht="12.75">
      <c r="A354" s="317">
        <v>88.25</v>
      </c>
      <c r="B354" s="339">
        <f>+('Presiones de casing'!$C$2+14.7+'Presiones de casing'!$C$3+('Presiones de casing'!$C$4+'Presiones de casing'!$C$8)*A354)*(1+'Presiones de casing'!$C$7/'Presiones de casing'!$C$13)</f>
        <v>8053.884972166899</v>
      </c>
      <c r="C354" s="339">
        <f>+B354*(Columna!$G$9+Columna!$B$7)/Columna!$G$9</f>
        <v>9594.810352810897</v>
      </c>
      <c r="D354" s="340">
        <f>+B354-A354*'Presiones de casing'!$C$4</f>
        <v>2092.35186897079</v>
      </c>
      <c r="E354" s="340">
        <f>+'Volumen de gas'!$C$1*Tabla!D354/14.7*520/'Volumen de gas'!$C$2*'Volumen de gas'!$C$4/'Volumen de gas'!$C$3</f>
        <v>32287.425688691146</v>
      </c>
      <c r="F354" s="340">
        <f t="shared" si="7"/>
        <v>365.86318060839824</v>
      </c>
    </row>
    <row r="355" spans="1:6" ht="12.75">
      <c r="A355" s="317">
        <v>88.5</v>
      </c>
      <c r="B355" s="339">
        <f>+('Presiones de casing'!$C$2+14.7+'Presiones de casing'!$C$3+('Presiones de casing'!$C$4+'Presiones de casing'!$C$8)*A355)*(1+'Presiones de casing'!$C$7/'Presiones de casing'!$C$13)</f>
        <v>8076.231239113783</v>
      </c>
      <c r="C355" s="339">
        <f>+B355*(Columna!$G$9+Columna!$B$7)/Columna!$G$9</f>
        <v>9621.432063226379</v>
      </c>
      <c r="D355" s="340">
        <f>+B355-A355*'Presiones de casing'!$C$4</f>
        <v>2097.809940157911</v>
      </c>
      <c r="E355" s="340">
        <f>+'Volumen de gas'!$C$1*Tabla!D355/14.7*520/'Volumen de gas'!$C$2*'Volumen de gas'!$C$4/'Volumen de gas'!$C$3</f>
        <v>32371.65008252814</v>
      </c>
      <c r="F355" s="340">
        <f t="shared" si="7"/>
        <v>365.7813568647247</v>
      </c>
    </row>
    <row r="356" spans="1:6" ht="12.75">
      <c r="A356" s="317">
        <v>88.75</v>
      </c>
      <c r="B356" s="339">
        <f>+('Presiones de casing'!$C$2+14.7+'Presiones de casing'!$C$3+('Presiones de casing'!$C$4+'Presiones de casing'!$C$8)*A356)*(1+'Presiones de casing'!$C$7/'Presiones de casing'!$C$13)</f>
        <v>8098.577506060667</v>
      </c>
      <c r="C356" s="339">
        <f>+B356*(Columna!$G$9+Columna!$B$7)/Columna!$G$9</f>
        <v>9648.053773641861</v>
      </c>
      <c r="D356" s="340">
        <f>+B356-A356*'Presiones de casing'!$C$4</f>
        <v>2103.2680113450324</v>
      </c>
      <c r="E356" s="340">
        <f>+'Volumen de gas'!$C$1*Tabla!D356/14.7*520/'Volumen de gas'!$C$2*'Volumen de gas'!$C$4/'Volumen de gas'!$C$3</f>
        <v>32455.874476365134</v>
      </c>
      <c r="F356" s="340">
        <f t="shared" si="7"/>
        <v>365.69999409988884</v>
      </c>
    </row>
    <row r="357" spans="1:6" ht="12.75">
      <c r="A357" s="317">
        <v>89</v>
      </c>
      <c r="B357" s="339">
        <f>+('Presiones de casing'!$C$2+14.7+'Presiones de casing'!$C$3+('Presiones de casing'!$C$4+'Presiones de casing'!$C$8)*A357)*(1+'Presiones de casing'!$C$7/'Presiones de casing'!$C$13)</f>
        <v>8120.923773007549</v>
      </c>
      <c r="C357" s="339">
        <f>+B357*(Columna!$G$9+Columna!$B$7)/Columna!$G$9</f>
        <v>9674.675484057343</v>
      </c>
      <c r="D357" s="340">
        <f>+B357-A357*'Presiones de casing'!$C$4</f>
        <v>2108.7260825321528</v>
      </c>
      <c r="E357" s="340">
        <f>+'Volumen de gas'!$C$1*Tabla!D357/14.7*520/'Volumen de gas'!$C$2*'Volumen de gas'!$C$4/'Volumen de gas'!$C$3</f>
        <v>32540.098870202113</v>
      </c>
      <c r="F357" s="340">
        <f t="shared" si="7"/>
        <v>365.61908842923725</v>
      </c>
    </row>
    <row r="358" spans="1:6" ht="12.75">
      <c r="A358" s="317">
        <v>89.25</v>
      </c>
      <c r="B358" s="339">
        <f>+('Presiones de casing'!$C$2+14.7+'Presiones de casing'!$C$3+('Presiones de casing'!$C$4+'Presiones de casing'!$C$8)*A358)*(1+'Presiones de casing'!$C$7/'Presiones de casing'!$C$13)</f>
        <v>8143.270039954432</v>
      </c>
      <c r="C358" s="339">
        <f>+B358*(Columna!$G$9+Columna!$B$7)/Columna!$G$9</f>
        <v>9701.297194472825</v>
      </c>
      <c r="D358" s="340">
        <f>+B358-A358*'Presiones de casing'!$C$4</f>
        <v>2114.184153719273</v>
      </c>
      <c r="E358" s="340">
        <f>+'Volumen de gas'!$C$1*Tabla!D358/14.7*520/'Volumen de gas'!$C$2*'Volumen de gas'!$C$4/'Volumen de gas'!$C$3</f>
        <v>32624.323264039092</v>
      </c>
      <c r="F358" s="340">
        <f t="shared" si="7"/>
        <v>365.5386360116425</v>
      </c>
    </row>
    <row r="359" spans="1:6" ht="12.75">
      <c r="A359" s="317">
        <v>89.5</v>
      </c>
      <c r="B359" s="339">
        <f>+('Presiones de casing'!$C$2+14.7+'Presiones de casing'!$C$3+('Presiones de casing'!$C$4+'Presiones de casing'!$C$8)*A359)*(1+'Presiones de casing'!$C$7/'Presiones de casing'!$C$13)</f>
        <v>8165.6163069013155</v>
      </c>
      <c r="C359" s="339">
        <f>+B359*(Columna!$G$9+Columna!$B$7)/Columna!$G$9</f>
        <v>9727.918904888307</v>
      </c>
      <c r="D359" s="340">
        <f>+B359-A359*'Presiones de casing'!$C$4</f>
        <v>2119.6422249063944</v>
      </c>
      <c r="E359" s="340">
        <f>+'Volumen de gas'!$C$1*Tabla!D359/14.7*520/'Volumen de gas'!$C$2*'Volumen de gas'!$C$4/'Volumen de gas'!$C$3</f>
        <v>32708.547657876086</v>
      </c>
      <c r="F359" s="340">
        <f t="shared" si="7"/>
        <v>365.4586330488948</v>
      </c>
    </row>
    <row r="360" spans="1:6" ht="12.75">
      <c r="A360" s="317">
        <v>89.75</v>
      </c>
      <c r="B360" s="339">
        <f>+('Presiones de casing'!$C$2+14.7+'Presiones de casing'!$C$3+('Presiones de casing'!$C$4+'Presiones de casing'!$C$8)*A360)*(1+'Presiones de casing'!$C$7/'Presiones de casing'!$C$13)</f>
        <v>8187.962573848199</v>
      </c>
      <c r="C360" s="339">
        <f>+B360*(Columna!$G$9+Columna!$B$7)/Columna!$G$9</f>
        <v>9754.54061530379</v>
      </c>
      <c r="D360" s="340">
        <f>+B360-A360*'Presiones de casing'!$C$4</f>
        <v>2125.1002960935157</v>
      </c>
      <c r="E360" s="340">
        <f>+'Volumen de gas'!$C$1*Tabla!D360/14.7*520/'Volumen de gas'!$C$2*'Volumen de gas'!$C$4/'Volumen de gas'!$C$3</f>
        <v>32792.77205171307</v>
      </c>
      <c r="F360" s="340">
        <f t="shared" si="7"/>
        <v>365.37907578510385</v>
      </c>
    </row>
    <row r="361" spans="1:6" ht="12.75">
      <c r="A361" s="317">
        <v>90</v>
      </c>
      <c r="B361" s="339">
        <f>+('Presiones de casing'!$C$2+14.7+'Presiones de casing'!$C$3+('Presiones de casing'!$C$4+'Presiones de casing'!$C$8)*A361)*(1+'Presiones de casing'!$C$7/'Presiones de casing'!$C$13)</f>
        <v>8210.308840795082</v>
      </c>
      <c r="C361" s="339">
        <f>+B361*(Columna!$G$9+Columna!$B$7)/Columna!$G$9</f>
        <v>9781.162325719271</v>
      </c>
      <c r="D361" s="340">
        <f>+B361-A361*'Presiones de casing'!$C$4</f>
        <v>2130.558367280636</v>
      </c>
      <c r="E361" s="340">
        <f>+'Volumen de gas'!$C$1*Tabla!D361/14.7*520/'Volumen de gas'!$C$2*'Volumen de gas'!$C$4/'Volumen de gas'!$C$3</f>
        <v>32876.99644555006</v>
      </c>
      <c r="F361" s="340">
        <f t="shared" si="7"/>
        <v>365.29996050611174</v>
      </c>
    </row>
    <row r="362" spans="1:6" ht="12.75">
      <c r="A362" s="317">
        <v>90.25</v>
      </c>
      <c r="B362" s="339">
        <f>+('Presiones de casing'!$C$2+14.7+'Presiones de casing'!$C$3+('Presiones de casing'!$C$4+'Presiones de casing'!$C$8)*A362)*(1+'Presiones de casing'!$C$7/'Presiones de casing'!$C$13)</f>
        <v>8232.655107741966</v>
      </c>
      <c r="C362" s="339">
        <f>+B362*(Columna!$G$9+Columna!$B$7)/Columna!$G$9</f>
        <v>9807.784036134755</v>
      </c>
      <c r="D362" s="340">
        <f>+B362-A362*'Presiones de casing'!$C$4</f>
        <v>2136.0164384677573</v>
      </c>
      <c r="E362" s="340">
        <f>+'Volumen de gas'!$C$1*Tabla!D362/14.7*520/'Volumen de gas'!$C$2*'Volumen de gas'!$C$4/'Volumen de gas'!$C$3</f>
        <v>32961.22083938705</v>
      </c>
      <c r="F362" s="340">
        <f t="shared" si="7"/>
        <v>365.2212835389147</v>
      </c>
    </row>
    <row r="363" spans="1:6" ht="12.75">
      <c r="A363" s="317">
        <v>90.5</v>
      </c>
      <c r="B363" s="339">
        <f>+('Presiones de casing'!$C$2+14.7+'Presiones de casing'!$C$3+('Presiones de casing'!$C$4+'Presiones de casing'!$C$8)*A363)*(1+'Presiones de casing'!$C$7/'Presiones de casing'!$C$13)</f>
        <v>8255.001374688849</v>
      </c>
      <c r="C363" s="339">
        <f>+B363*(Columna!$G$9+Columna!$B$7)/Columna!$G$9</f>
        <v>9834.405746550236</v>
      </c>
      <c r="D363" s="340">
        <f>+B363-A363*'Presiones de casing'!$C$4</f>
        <v>2141.4745096548777</v>
      </c>
      <c r="E363" s="340">
        <f>+'Volumen de gas'!$C$1*Tabla!D363/14.7*520/'Volumen de gas'!$C$2*'Volumen de gas'!$C$4/'Volumen de gas'!$C$3</f>
        <v>33045.44523322403</v>
      </c>
      <c r="F363" s="340">
        <f t="shared" si="7"/>
        <v>365.1430412510943</v>
      </c>
    </row>
    <row r="364" spans="1:6" ht="12.75">
      <c r="A364" s="317">
        <v>90.75</v>
      </c>
      <c r="B364" s="339">
        <f>+('Presiones de casing'!$C$2+14.7+'Presiones de casing'!$C$3+('Presiones de casing'!$C$4+'Presiones de casing'!$C$8)*A364)*(1+'Presiones de casing'!$C$7/'Presiones de casing'!$C$13)</f>
        <v>8277.347641635732</v>
      </c>
      <c r="C364" s="339">
        <f>+B364*(Columna!$G$9+Columna!$B$7)/Columna!$G$9</f>
        <v>9861.027456965718</v>
      </c>
      <c r="D364" s="340">
        <f>+B364-A364*'Presiones de casing'!$C$4</f>
        <v>2146.932580841998</v>
      </c>
      <c r="E364" s="340">
        <f>+'Volumen de gas'!$C$1*Tabla!D364/14.7*520/'Volumen de gas'!$C$2*'Volumen de gas'!$C$4/'Volumen de gas'!$C$3</f>
        <v>33129.66962706101</v>
      </c>
      <c r="F364" s="340">
        <f t="shared" si="7"/>
        <v>365.06523005025906</v>
      </c>
    </row>
    <row r="365" spans="1:6" ht="12.75">
      <c r="A365" s="317">
        <v>91</v>
      </c>
      <c r="B365" s="339">
        <f>+('Presiones de casing'!$C$2+14.7+'Presiones de casing'!$C$3+('Presiones de casing'!$C$4+'Presiones de casing'!$C$8)*A365)*(1+'Presiones de casing'!$C$7/'Presiones de casing'!$C$13)</f>
        <v>8299.693908582616</v>
      </c>
      <c r="C365" s="339">
        <f>+B365*(Columna!$G$9+Columna!$B$7)/Columna!$G$9</f>
        <v>9887.649167381202</v>
      </c>
      <c r="D365" s="340">
        <f>+B365-A365*'Presiones de casing'!$C$4</f>
        <v>2152.3906520291202</v>
      </c>
      <c r="E365" s="340">
        <f>+'Volumen de gas'!$C$1*Tabla!D365/14.7*520/'Volumen de gas'!$C$2*'Volumen de gas'!$C$4/'Volumen de gas'!$C$3</f>
        <v>33213.89402089801</v>
      </c>
      <c r="F365" s="340">
        <f t="shared" si="7"/>
        <v>364.9878463834946</v>
      </c>
    </row>
    <row r="366" spans="1:6" ht="12.75">
      <c r="A366" s="317">
        <v>91.25</v>
      </c>
      <c r="B366" s="339">
        <f>+('Presiones de casing'!$C$2+14.7+'Presiones de casing'!$C$3+('Presiones de casing'!$C$4+'Presiones de casing'!$C$8)*A366)*(1+'Presiones de casing'!$C$7/'Presiones de casing'!$C$13)</f>
        <v>8322.040175529499</v>
      </c>
      <c r="C366" s="339">
        <f>+B366*(Columna!$G$9+Columna!$B$7)/Columna!$G$9</f>
        <v>9914.270877796684</v>
      </c>
      <c r="D366" s="340">
        <f>+B366-A366*'Presiones de casing'!$C$4</f>
        <v>2157.8487232162406</v>
      </c>
      <c r="E366" s="340">
        <f>+'Volumen de gas'!$C$1*Tabla!D366/14.7*520/'Volumen de gas'!$C$2*'Volumen de gas'!$C$4/'Volumen de gas'!$C$3</f>
        <v>33298.11841473499</v>
      </c>
      <c r="F366" s="340">
        <f t="shared" si="7"/>
        <v>364.91088673682185</v>
      </c>
    </row>
    <row r="367" spans="1:6" ht="12.75">
      <c r="A367" s="317">
        <v>91.5</v>
      </c>
      <c r="B367" s="339">
        <f>+('Presiones de casing'!$C$2+14.7+'Presiones de casing'!$C$3+('Presiones de casing'!$C$4+'Presiones de casing'!$C$8)*A367)*(1+'Presiones de casing'!$C$7/'Presiones de casing'!$C$13)</f>
        <v>8344.386442476383</v>
      </c>
      <c r="C367" s="339">
        <f>+B367*(Columna!$G$9+Columna!$B$7)/Columna!$G$9</f>
        <v>9940.892588212168</v>
      </c>
      <c r="D367" s="340">
        <f>+B367-A367*'Presiones de casing'!$C$4</f>
        <v>2163.306794403363</v>
      </c>
      <c r="E367" s="340">
        <f>+'Volumen de gas'!$C$1*Tabla!D367/14.7*520/'Volumen de gas'!$C$2*'Volumen de gas'!$C$4/'Volumen de gas'!$C$3</f>
        <v>33382.342808572</v>
      </c>
      <c r="F367" s="340">
        <f t="shared" si="7"/>
        <v>364.8343476346667</v>
      </c>
    </row>
    <row r="368" spans="1:6" ht="12.75">
      <c r="A368" s="317">
        <v>91.75</v>
      </c>
      <c r="B368" s="339">
        <f>+('Presiones de casing'!$C$2+14.7+'Presiones de casing'!$C$3+('Presiones de casing'!$C$4+'Presiones de casing'!$C$8)*A368)*(1+'Presiones de casing'!$C$7/'Presiones de casing'!$C$13)</f>
        <v>8366.732709423264</v>
      </c>
      <c r="C368" s="339">
        <f>+B368*(Columna!$G$9+Columna!$B$7)/Columna!$G$9</f>
        <v>9967.514298627646</v>
      </c>
      <c r="D368" s="340">
        <f>+B368-A368*'Presiones de casing'!$C$4</f>
        <v>2168.7648655904813</v>
      </c>
      <c r="E368" s="340">
        <f>+'Volumen de gas'!$C$1*Tabla!D368/14.7*520/'Volumen de gas'!$C$2*'Volumen de gas'!$C$4/'Volumen de gas'!$C$3</f>
        <v>33466.56720240896</v>
      </c>
      <c r="F368" s="340">
        <f t="shared" si="7"/>
        <v>364.7582256393347</v>
      </c>
    </row>
    <row r="369" spans="1:6" ht="12.75">
      <c r="A369" s="317">
        <v>92</v>
      </c>
      <c r="B369" s="339">
        <f>+('Presiones de casing'!$C$2+14.7+'Presiones de casing'!$C$3+('Presiones de casing'!$C$4+'Presiones de casing'!$C$8)*A369)*(1+'Presiones de casing'!$C$7/'Presiones de casing'!$C$13)</f>
        <v>8389.078976370149</v>
      </c>
      <c r="C369" s="339">
        <f>+B369*(Columna!$G$9+Columna!$B$7)/Columna!$G$9</f>
        <v>9994.13600904313</v>
      </c>
      <c r="D369" s="340">
        <f>+B369-A369*'Presiones de casing'!$C$4</f>
        <v>2174.2229367776035</v>
      </c>
      <c r="E369" s="340">
        <f>+'Volumen de gas'!$C$1*Tabla!D369/14.7*520/'Volumen de gas'!$C$2*'Volumen de gas'!$C$4/'Volumen de gas'!$C$3</f>
        <v>33550.79159624596</v>
      </c>
      <c r="F369" s="340">
        <f t="shared" si="7"/>
        <v>364.68251735049955</v>
      </c>
    </row>
    <row r="370" spans="1:6" ht="12.75">
      <c r="A370" s="317">
        <v>92.25</v>
      </c>
      <c r="B370" s="339">
        <f>+('Presiones de casing'!$C$2+14.7+'Presiones de casing'!$C$3+('Presiones de casing'!$C$4+'Presiones de casing'!$C$8)*A370)*(1+'Presiones de casing'!$C$7/'Presiones de casing'!$C$13)</f>
        <v>8411.425243317031</v>
      </c>
      <c r="C370" s="339">
        <f>+B370*(Columna!$G$9+Columna!$B$7)/Columna!$G$9</f>
        <v>10020.757719458612</v>
      </c>
      <c r="D370" s="340">
        <f>+B370-A370*'Presiones de casing'!$C$4</f>
        <v>2179.681007964724</v>
      </c>
      <c r="E370" s="340">
        <f>+'Volumen de gas'!$C$1*Tabla!D370/14.7*520/'Volumen de gas'!$C$2*'Volumen de gas'!$C$4/'Volumen de gas'!$C$3</f>
        <v>33635.01599008294</v>
      </c>
      <c r="F370" s="340">
        <f t="shared" si="7"/>
        <v>364.6072194046931</v>
      </c>
    </row>
    <row r="371" spans="1:6" ht="12.75">
      <c r="A371" s="317">
        <v>92.5</v>
      </c>
      <c r="B371" s="339">
        <f>+('Presiones de casing'!$C$2+14.7+'Presiones de casing'!$C$3+('Presiones de casing'!$C$4+'Presiones de casing'!$C$8)*A371)*(1+'Presiones de casing'!$C$7/'Presiones de casing'!$C$13)</f>
        <v>8433.771510263916</v>
      </c>
      <c r="C371" s="339">
        <f>+B371*(Columna!$G$9+Columna!$B$7)/Columna!$G$9</f>
        <v>10047.379429874096</v>
      </c>
      <c r="D371" s="340">
        <f>+B371-A371*'Presiones de casing'!$C$4</f>
        <v>2185.139079151846</v>
      </c>
      <c r="E371" s="340">
        <f>+'Volumen de gas'!$C$1*Tabla!D371/14.7*520/'Volumen de gas'!$C$2*'Volumen de gas'!$C$4/'Volumen de gas'!$C$3</f>
        <v>33719.24038391995</v>
      </c>
      <c r="F371" s="340">
        <f t="shared" si="7"/>
        <v>364.53232847481024</v>
      </c>
    </row>
    <row r="372" spans="1:6" ht="12.75">
      <c r="A372" s="317">
        <v>92.75</v>
      </c>
      <c r="B372" s="339">
        <f>+('Presiones de casing'!$C$2+14.7+'Presiones de casing'!$C$3+('Presiones de casing'!$C$4+'Presiones de casing'!$C$8)*A372)*(1+'Presiones de casing'!$C$7/'Presiones de casing'!$C$13)</f>
        <v>8456.117777210799</v>
      </c>
      <c r="C372" s="339">
        <f>+B372*(Columna!$G$9+Columna!$B$7)/Columna!$G$9</f>
        <v>10074.001140289576</v>
      </c>
      <c r="D372" s="340">
        <f>+B372-A372*'Presiones de casing'!$C$4</f>
        <v>2190.5971503389665</v>
      </c>
      <c r="E372" s="340">
        <f>+'Volumen de gas'!$C$1*Tabla!D372/14.7*520/'Volumen de gas'!$C$2*'Volumen de gas'!$C$4/'Volumen de gas'!$C$3</f>
        <v>33803.46477775692</v>
      </c>
      <c r="F372" s="340">
        <f t="shared" si="7"/>
        <v>364.4578412696164</v>
      </c>
    </row>
    <row r="373" spans="1:6" ht="12.75">
      <c r="A373" s="317">
        <v>93</v>
      </c>
      <c r="B373" s="339">
        <f>+('Presiones de casing'!$C$2+14.7+'Presiones de casing'!$C$3+('Presiones de casing'!$C$4+'Presiones de casing'!$C$8)*A373)*(1+'Presiones de casing'!$C$7/'Presiones de casing'!$C$13)</f>
        <v>8478.464044157681</v>
      </c>
      <c r="C373" s="339">
        <f>+B373*(Columna!$G$9+Columna!$B$7)/Columna!$G$9</f>
        <v>10100.622850705058</v>
      </c>
      <c r="D373" s="340">
        <f>+B373-A373*'Presiones de casing'!$C$4</f>
        <v>2196.055221526087</v>
      </c>
      <c r="E373" s="340">
        <f>+'Volumen de gas'!$C$1*Tabla!D373/14.7*520/'Volumen de gas'!$C$2*'Volumen de gas'!$C$4/'Volumen de gas'!$C$3</f>
        <v>33887.689171593905</v>
      </c>
      <c r="F373" s="340">
        <f t="shared" si="7"/>
        <v>364.3837545332678</v>
      </c>
    </row>
    <row r="374" spans="1:6" ht="12.75">
      <c r="A374" s="317">
        <v>93.25</v>
      </c>
      <c r="B374" s="339">
        <f>+('Presiones de casing'!$C$2+14.7+'Presiones de casing'!$C$3+('Presiones de casing'!$C$4+'Presiones de casing'!$C$8)*A374)*(1+'Presiones de casing'!$C$7/'Presiones de casing'!$C$13)</f>
        <v>8500.810311104564</v>
      </c>
      <c r="C374" s="339">
        <f>+B374*(Columna!$G$9+Columna!$B$7)/Columna!$G$9</f>
        <v>10127.24456112054</v>
      </c>
      <c r="D374" s="340">
        <f>+B374-A374*'Presiones de casing'!$C$4</f>
        <v>2201.513292713207</v>
      </c>
      <c r="E374" s="340">
        <f>+'Volumen de gas'!$C$1*Tabla!D374/14.7*520/'Volumen de gas'!$C$2*'Volumen de gas'!$C$4/'Volumen de gas'!$C$3</f>
        <v>33971.913565430885</v>
      </c>
      <c r="F374" s="340">
        <f t="shared" si="7"/>
        <v>364.3100650448352</v>
      </c>
    </row>
    <row r="375" spans="1:6" ht="12.75">
      <c r="A375" s="317">
        <v>93.5</v>
      </c>
      <c r="B375" s="339">
        <f>+('Presiones de casing'!$C$2+14.7+'Presiones de casing'!$C$3+('Presiones de casing'!$C$4+'Presiones de casing'!$C$8)*A375)*(1+'Presiones de casing'!$C$7/'Presiones de casing'!$C$13)</f>
        <v>8523.156578051448</v>
      </c>
      <c r="C375" s="339">
        <f>+B375*(Columna!$G$9+Columna!$B$7)/Columna!$G$9</f>
        <v>10153.866271536022</v>
      </c>
      <c r="D375" s="340">
        <f>+B375-A375*'Presiones de casing'!$C$4</f>
        <v>2206.9713639003294</v>
      </c>
      <c r="E375" s="340">
        <f>+'Volumen de gas'!$C$1*Tabla!D375/14.7*520/'Volumen de gas'!$C$2*'Volumen de gas'!$C$4/'Volumen de gas'!$C$3</f>
        <v>34056.13795926789</v>
      </c>
      <c r="F375" s="340">
        <f t="shared" si="7"/>
        <v>364.23676961783843</v>
      </c>
    </row>
    <row r="376" spans="1:6" ht="12.75">
      <c r="A376" s="317">
        <v>93.75</v>
      </c>
      <c r="B376" s="339">
        <f>+('Presiones de casing'!$C$2+14.7+'Presiones de casing'!$C$3+('Presiones de casing'!$C$4+'Presiones de casing'!$C$8)*A376)*(1+'Presiones de casing'!$C$7/'Presiones de casing'!$C$13)</f>
        <v>8545.502844998331</v>
      </c>
      <c r="C376" s="339">
        <f>+B376*(Columna!$G$9+Columna!$B$7)/Columna!$G$9</f>
        <v>10180.487981951506</v>
      </c>
      <c r="D376" s="340">
        <f>+B376-A376*'Presiones de casing'!$C$4</f>
        <v>2212.4294350874497</v>
      </c>
      <c r="E376" s="340">
        <f>+'Volumen de gas'!$C$1*Tabla!D376/14.7*520/'Volumen de gas'!$C$2*'Volumen de gas'!$C$4/'Volumen de gas'!$C$3</f>
        <v>34140.362353104865</v>
      </c>
      <c r="F376" s="340">
        <f t="shared" si="7"/>
        <v>364.16386509978526</v>
      </c>
    </row>
    <row r="377" spans="1:6" ht="12.75">
      <c r="A377" s="317">
        <v>94</v>
      </c>
      <c r="B377" s="339">
        <f>+('Presiones de casing'!$C$2+14.7+'Presiones de casing'!$C$3+('Presiones de casing'!$C$4+'Presiones de casing'!$C$8)*A377)*(1+'Presiones de casing'!$C$7/'Presiones de casing'!$C$13)</f>
        <v>8567.849111945214</v>
      </c>
      <c r="C377" s="339">
        <f>+B377*(Columna!$G$9+Columna!$B$7)/Columna!$G$9</f>
        <v>10207.109692366987</v>
      </c>
      <c r="D377" s="340">
        <f>+B377-A377*'Presiones de casing'!$C$4</f>
        <v>2217.88750627457</v>
      </c>
      <c r="E377" s="340">
        <f>+'Volumen de gas'!$C$1*Tabla!D377/14.7*520/'Volumen de gas'!$C$2*'Volumen de gas'!$C$4/'Volumen de gas'!$C$3</f>
        <v>34224.586746941844</v>
      </c>
      <c r="F377" s="340">
        <f t="shared" si="7"/>
        <v>364.0913483717217</v>
      </c>
    </row>
    <row r="378" spans="1:6" ht="12.75">
      <c r="A378" s="317">
        <v>94.25</v>
      </c>
      <c r="B378" s="339">
        <f>+('Presiones de casing'!$C$2+14.7+'Presiones de casing'!$C$3+('Presiones de casing'!$C$4+'Presiones de casing'!$C$8)*A378)*(1+'Presiones de casing'!$C$7/'Presiones de casing'!$C$13)</f>
        <v>8590.195378892098</v>
      </c>
      <c r="C378" s="339">
        <f>+B378*(Columna!$G$9+Columna!$B$7)/Columna!$G$9</f>
        <v>10233.73140278247</v>
      </c>
      <c r="D378" s="340">
        <f>+B378-A378*'Presiones de casing'!$C$4</f>
        <v>2223.3455774616923</v>
      </c>
      <c r="E378" s="340">
        <f>+'Volumen de gas'!$C$1*Tabla!D378/14.7*520/'Volumen de gas'!$C$2*'Volumen de gas'!$C$4/'Volumen de gas'!$C$3</f>
        <v>34308.81114077885</v>
      </c>
      <c r="F378" s="340">
        <f t="shared" si="7"/>
        <v>364.01921634778626</v>
      </c>
    </row>
    <row r="379" spans="1:6" ht="12.75">
      <c r="A379" s="317">
        <v>94.5</v>
      </c>
      <c r="B379" s="339">
        <f>+('Presiones de casing'!$C$2+14.7+'Presiones de casing'!$C$3+('Presiones de casing'!$C$4+'Presiones de casing'!$C$8)*A379)*(1+'Presiones de casing'!$C$7/'Presiones de casing'!$C$13)</f>
        <v>8612.541645838981</v>
      </c>
      <c r="C379" s="339">
        <f>+B379*(Columna!$G$9+Columna!$B$7)/Columna!$G$9</f>
        <v>10260.353113197953</v>
      </c>
      <c r="D379" s="340">
        <f>+B379-A379*'Presiones de casing'!$C$4</f>
        <v>2228.8036486488127</v>
      </c>
      <c r="E379" s="340">
        <f>+'Volumen de gas'!$C$1*Tabla!D379/14.7*520/'Volumen de gas'!$C$2*'Volumen de gas'!$C$4/'Volumen de gas'!$C$3</f>
        <v>34393.03553461583</v>
      </c>
      <c r="F379" s="340">
        <f t="shared" si="7"/>
        <v>363.9474659747707</v>
      </c>
    </row>
    <row r="380" spans="1:6" ht="12.75">
      <c r="A380" s="317">
        <v>94.75</v>
      </c>
      <c r="B380" s="339">
        <f>+('Presiones de casing'!$C$2+14.7+'Presiones de casing'!$C$3+('Presiones de casing'!$C$4+'Presiones de casing'!$C$8)*A380)*(1+'Presiones de casing'!$C$7/'Presiones de casing'!$C$13)</f>
        <v>8634.887912785865</v>
      </c>
      <c r="C380" s="339">
        <f>+B380*(Columna!$G$9+Columna!$B$7)/Columna!$G$9</f>
        <v>10286.974823613436</v>
      </c>
      <c r="D380" s="340">
        <f>+B380-A380*'Presiones de casing'!$C$4</f>
        <v>2234.261719835935</v>
      </c>
      <c r="E380" s="340">
        <f>+'Volumen de gas'!$C$1*Tabla!D380/14.7*520/'Volumen de gas'!$C$2*'Volumen de gas'!$C$4/'Volumen de gas'!$C$3</f>
        <v>34477.25992845284</v>
      </c>
      <c r="F380" s="340">
        <f t="shared" si="7"/>
        <v>363.87609423169226</v>
      </c>
    </row>
    <row r="381" spans="1:6" ht="12.75">
      <c r="A381" s="317">
        <v>95</v>
      </c>
      <c r="B381" s="339">
        <f>+('Presiones de casing'!$C$2+14.7+'Presiones de casing'!$C$3+('Presiones de casing'!$C$4+'Presiones de casing'!$C$8)*A381)*(1+'Presiones de casing'!$C$7/'Presiones de casing'!$C$13)</f>
        <v>8657.234179732746</v>
      </c>
      <c r="C381" s="339">
        <f>+B381*(Columna!$G$9+Columna!$B$7)/Columna!$G$9</f>
        <v>10313.596534028915</v>
      </c>
      <c r="D381" s="340">
        <f>+B381-A381*'Presiones de casing'!$C$4</f>
        <v>2239.7197910230534</v>
      </c>
      <c r="E381" s="340">
        <f>+'Volumen de gas'!$C$1*Tabla!D381/14.7*520/'Volumen de gas'!$C$2*'Volumen de gas'!$C$4/'Volumen de gas'!$C$3</f>
        <v>34561.48432228979</v>
      </c>
      <c r="F381" s="340">
        <f t="shared" si="7"/>
        <v>363.80509812936623</v>
      </c>
    </row>
    <row r="382" spans="1:6" ht="12.75">
      <c r="A382" s="317">
        <v>95.25</v>
      </c>
      <c r="B382" s="339">
        <f>+('Presiones de casing'!$C$2+14.7+'Presiones de casing'!$C$3+('Presiones de casing'!$C$4+'Presiones de casing'!$C$8)*A382)*(1+'Presiones de casing'!$C$7/'Presiones de casing'!$C$13)</f>
        <v>8679.58044667963</v>
      </c>
      <c r="C382" s="339">
        <f>+B382*(Columna!$G$9+Columna!$B$7)/Columna!$G$9</f>
        <v>10340.218244444399</v>
      </c>
      <c r="D382" s="340">
        <f>+B382-A382*'Presiones de casing'!$C$4</f>
        <v>2245.1778622101756</v>
      </c>
      <c r="E382" s="340">
        <f>+'Volumen de gas'!$C$1*Tabla!D382/14.7*520/'Volumen de gas'!$C$2*'Volumen de gas'!$C$4/'Volumen de gas'!$C$3</f>
        <v>34645.7087161268</v>
      </c>
      <c r="F382" s="340">
        <f t="shared" si="7"/>
        <v>363.73447470999264</v>
      </c>
    </row>
    <row r="383" spans="1:6" ht="12.75">
      <c r="A383" s="317">
        <v>95.5</v>
      </c>
      <c r="B383" s="339">
        <f>+('Presiones de casing'!$C$2+14.7+'Presiones de casing'!$C$3+('Presiones de casing'!$C$4+'Presiones de casing'!$C$8)*A383)*(1+'Presiones de casing'!$C$7/'Presiones de casing'!$C$13)</f>
        <v>8701.926713626513</v>
      </c>
      <c r="C383" s="339">
        <f>+B383*(Columna!$G$9+Columna!$B$7)/Columna!$G$9</f>
        <v>10366.83995485988</v>
      </c>
      <c r="D383" s="340">
        <f>+B383-A383*'Presiones de casing'!$C$4</f>
        <v>2250.635933397296</v>
      </c>
      <c r="E383" s="340">
        <f>+'Volumen de gas'!$C$1*Tabla!D383/14.7*520/'Volumen de gas'!$C$2*'Volumen de gas'!$C$4/'Volumen de gas'!$C$3</f>
        <v>34729.93310996378</v>
      </c>
      <c r="F383" s="340">
        <f t="shared" si="7"/>
        <v>363.66422104674115</v>
      </c>
    </row>
    <row r="384" spans="1:6" ht="12.75">
      <c r="A384" s="317">
        <v>95.75</v>
      </c>
      <c r="B384" s="339">
        <f>+('Presiones de casing'!$C$2+14.7+'Presiones de casing'!$C$3+('Presiones de casing'!$C$4+'Presiones de casing'!$C$8)*A384)*(1+'Presiones de casing'!$C$7/'Presiones de casing'!$C$13)</f>
        <v>8724.272980573396</v>
      </c>
      <c r="C384" s="339">
        <f>+B384*(Columna!$G$9+Columna!$B$7)/Columna!$G$9</f>
        <v>10393.461665275361</v>
      </c>
      <c r="D384" s="340">
        <f>+B384-A384*'Presiones de casing'!$C$4</f>
        <v>2256.0940045844163</v>
      </c>
      <c r="E384" s="340">
        <f>+'Volumen de gas'!$C$1*Tabla!D384/14.7*520/'Volumen de gas'!$C$2*'Volumen de gas'!$C$4/'Volumen de gas'!$C$3</f>
        <v>34814.15750380076</v>
      </c>
      <c r="F384" s="340">
        <f t="shared" si="7"/>
        <v>363.59433424335</v>
      </c>
    </row>
    <row r="385" spans="1:6" ht="12.75">
      <c r="A385" s="317">
        <v>96</v>
      </c>
      <c r="B385" s="339">
        <f>+('Presiones de casing'!$C$2+14.7+'Presiones de casing'!$C$3+('Presiones de casing'!$C$4+'Presiones de casing'!$C$8)*A385)*(1+'Presiones de casing'!$C$7/'Presiones de casing'!$C$13)</f>
        <v>8746.61924752028</v>
      </c>
      <c r="C385" s="339">
        <f>+B385*(Columna!$G$9+Columna!$B$7)/Columna!$G$9</f>
        <v>10420.083375690845</v>
      </c>
      <c r="D385" s="340">
        <f>+B385-A385*'Presiones de casing'!$C$4</f>
        <v>2261.5520757715385</v>
      </c>
      <c r="E385" s="340">
        <f>+'Volumen de gas'!$C$1*Tabla!D385/14.7*520/'Volumen de gas'!$C$2*'Volumen de gas'!$C$4/'Volumen de gas'!$C$3</f>
        <v>34898.381897637766</v>
      </c>
      <c r="F385" s="340">
        <f aca="true" t="shared" si="8" ref="F385:F448">+E385/A385</f>
        <v>363.5248114337267</v>
      </c>
    </row>
    <row r="386" spans="1:6" ht="12.75">
      <c r="A386" s="317">
        <v>96.25</v>
      </c>
      <c r="B386" s="339">
        <f>+('Presiones de casing'!$C$2+14.7+'Presiones de casing'!$C$3+('Presiones de casing'!$C$4+'Presiones de casing'!$C$8)*A386)*(1+'Presiones de casing'!$C$7/'Presiones de casing'!$C$13)</f>
        <v>8768.965514467163</v>
      </c>
      <c r="C386" s="339">
        <f>+B386*(Columna!$G$9+Columna!$B$7)/Columna!$G$9</f>
        <v>10446.705086106327</v>
      </c>
      <c r="D386" s="340">
        <f>+B386-A386*'Presiones de casing'!$C$4</f>
        <v>2267.010146958658</v>
      </c>
      <c r="E386" s="340">
        <f>+'Volumen de gas'!$C$1*Tabla!D386/14.7*520/'Volumen de gas'!$C$2*'Volumen de gas'!$C$4/'Volumen de gas'!$C$3</f>
        <v>34982.60629147473</v>
      </c>
      <c r="F386" s="340">
        <f t="shared" si="8"/>
        <v>363.4556497815556</v>
      </c>
    </row>
    <row r="387" spans="1:6" ht="12.75">
      <c r="A387" s="317">
        <v>96.5</v>
      </c>
      <c r="B387" s="339">
        <f>+('Presiones de casing'!$C$2+14.7+'Presiones de casing'!$C$3+('Presiones de casing'!$C$4+'Presiones de casing'!$C$8)*A387)*(1+'Presiones de casing'!$C$7/'Presiones de casing'!$C$13)</f>
        <v>8791.311781414048</v>
      </c>
      <c r="C387" s="339">
        <f>+B387*(Columna!$G$9+Columna!$B$7)/Columna!$G$9</f>
        <v>10473.326796521811</v>
      </c>
      <c r="D387" s="340">
        <f>+B387-A387*'Presiones de casing'!$C$4</f>
        <v>2272.46821814578</v>
      </c>
      <c r="E387" s="340">
        <f>+'Volumen de gas'!$C$1*Tabla!D387/14.7*520/'Volumen de gas'!$C$2*'Volumen de gas'!$C$4/'Volumen de gas'!$C$3</f>
        <v>35066.83068531174</v>
      </c>
      <c r="F387" s="340">
        <f t="shared" si="8"/>
        <v>363.38684647991437</v>
      </c>
    </row>
    <row r="388" spans="1:6" ht="12.75">
      <c r="A388" s="317">
        <v>96.75</v>
      </c>
      <c r="B388" s="339">
        <f>+('Presiones de casing'!$C$2+14.7+'Presiones de casing'!$C$3+('Presiones de casing'!$C$4+'Presiones de casing'!$C$8)*A388)*(1+'Presiones de casing'!$C$7/'Presiones de casing'!$C$13)</f>
        <v>8813.65804836093</v>
      </c>
      <c r="C388" s="339">
        <f>+B388*(Columna!$G$9+Columna!$B$7)/Columna!$G$9</f>
        <v>10499.948506937293</v>
      </c>
      <c r="D388" s="340">
        <f>+B388-A388*'Presiones de casing'!$C$4</f>
        <v>2277.9262893329005</v>
      </c>
      <c r="E388" s="340">
        <f>+'Volumen de gas'!$C$1*Tabla!D388/14.7*520/'Volumen de gas'!$C$2*'Volumen de gas'!$C$4/'Volumen de gas'!$C$3</f>
        <v>35151.05507914872</v>
      </c>
      <c r="F388" s="340">
        <f t="shared" si="8"/>
        <v>363.31839875089116</v>
      </c>
    </row>
    <row r="389" spans="1:6" ht="12.75">
      <c r="A389" s="317">
        <v>97</v>
      </c>
      <c r="B389" s="339">
        <f>+('Presiones de casing'!$C$2+14.7+'Presiones de casing'!$C$3+('Presiones de casing'!$C$4+'Presiones de casing'!$C$8)*A389)*(1+'Presiones de casing'!$C$7/'Presiones de casing'!$C$13)</f>
        <v>8836.004315307815</v>
      </c>
      <c r="C389" s="339">
        <f>+B389*(Columna!$G$9+Columna!$B$7)/Columna!$G$9</f>
        <v>10526.570217352777</v>
      </c>
      <c r="D389" s="340">
        <f>+B389-A389*'Presiones de casing'!$C$4</f>
        <v>2283.3843605200227</v>
      </c>
      <c r="E389" s="340">
        <f>+'Volumen de gas'!$C$1*Tabla!D389/14.7*520/'Volumen de gas'!$C$2*'Volumen de gas'!$C$4/'Volumen de gas'!$C$3</f>
        <v>35235.27947298572</v>
      </c>
      <c r="F389" s="340">
        <f t="shared" si="8"/>
        <v>363.2503038452136</v>
      </c>
    </row>
    <row r="390" spans="1:6" ht="12.75">
      <c r="A390" s="317">
        <v>97.25</v>
      </c>
      <c r="B390" s="339">
        <f>+('Presiones de casing'!$C$2+14.7+'Presiones de casing'!$C$3+('Presiones de casing'!$C$4+'Presiones de casing'!$C$8)*A390)*(1+'Presiones de casing'!$C$7/'Presiones de casing'!$C$13)</f>
        <v>8858.350582254696</v>
      </c>
      <c r="C390" s="339">
        <f>+B390*(Columna!$G$9+Columna!$B$7)/Columna!$G$9</f>
        <v>10553.191927768255</v>
      </c>
      <c r="D390" s="340">
        <f>+B390-A390*'Presiones de casing'!$C$4</f>
        <v>2288.8424317071413</v>
      </c>
      <c r="E390" s="340">
        <f>+'Volumen de gas'!$C$1*Tabla!D390/14.7*520/'Volumen de gas'!$C$2*'Volumen de gas'!$C$4/'Volumen de gas'!$C$3</f>
        <v>35319.50386682268</v>
      </c>
      <c r="F390" s="340">
        <f t="shared" si="8"/>
        <v>363.18255904187845</v>
      </c>
    </row>
    <row r="391" spans="1:6" ht="12.75">
      <c r="A391" s="317">
        <v>97.5</v>
      </c>
      <c r="B391" s="339">
        <f>+('Presiones de casing'!$C$2+14.7+'Presiones de casing'!$C$3+('Presiones de casing'!$C$4+'Presiones de casing'!$C$8)*A391)*(1+'Presiones de casing'!$C$7/'Presiones de casing'!$C$13)</f>
        <v>8880.696849201579</v>
      </c>
      <c r="C391" s="339">
        <f>+B391*(Columna!$G$9+Columna!$B$7)/Columna!$G$9</f>
        <v>10579.813638183738</v>
      </c>
      <c r="D391" s="340">
        <f>+B391-A391*'Presiones de casing'!$C$4</f>
        <v>2294.3005028942616</v>
      </c>
      <c r="E391" s="340">
        <f>+'Volumen de gas'!$C$1*Tabla!D391/14.7*520/'Volumen de gas'!$C$2*'Volumen de gas'!$C$4/'Volumen de gas'!$C$3</f>
        <v>35403.72826065965</v>
      </c>
      <c r="F391" s="340">
        <f t="shared" si="8"/>
        <v>363.1151616477913</v>
      </c>
    </row>
    <row r="392" spans="1:6" ht="12.75">
      <c r="A392" s="317">
        <v>97.75</v>
      </c>
      <c r="B392" s="339">
        <f>+('Presiones de casing'!$C$2+14.7+'Presiones de casing'!$C$3+('Presiones de casing'!$C$4+'Presiones de casing'!$C$8)*A392)*(1+'Presiones de casing'!$C$7/'Presiones de casing'!$C$13)</f>
        <v>8903.043116148463</v>
      </c>
      <c r="C392" s="339">
        <f>+B392*(Columna!$G$9+Columna!$B$7)/Columna!$G$9</f>
        <v>10606.43534859922</v>
      </c>
      <c r="D392" s="340">
        <f>+B392-A392*'Presiones de casing'!$C$4</f>
        <v>2299.758574081384</v>
      </c>
      <c r="E392" s="340">
        <f>+'Volumen de gas'!$C$1*Tabla!D392/14.7*520/'Volumen de gas'!$C$2*'Volumen de gas'!$C$4/'Volumen de gas'!$C$3</f>
        <v>35487.952654496665</v>
      </c>
      <c r="F392" s="340">
        <f t="shared" si="8"/>
        <v>363.04810899740835</v>
      </c>
    </row>
    <row r="393" spans="1:6" ht="12.75">
      <c r="A393" s="317">
        <v>98</v>
      </c>
      <c r="B393" s="339">
        <f>+('Presiones de casing'!$C$2+14.7+'Presiones de casing'!$C$3+('Presiones de casing'!$C$4+'Presiones de casing'!$C$8)*A393)*(1+'Presiones de casing'!$C$7/'Presiones de casing'!$C$13)</f>
        <v>8925.389383095346</v>
      </c>
      <c r="C393" s="339">
        <f>+B393*(Columna!$G$9+Columna!$B$7)/Columna!$G$9</f>
        <v>10633.057059014702</v>
      </c>
      <c r="D393" s="340">
        <f>+B393-A393*'Presiones de casing'!$C$4</f>
        <v>2305.216645268504</v>
      </c>
      <c r="E393" s="340">
        <f>+'Volumen de gas'!$C$1*Tabla!D393/14.7*520/'Volumen de gas'!$C$2*'Volumen de gas'!$C$4/'Volumen de gas'!$C$3</f>
        <v>35572.17704833364</v>
      </c>
      <c r="F393" s="340">
        <f t="shared" si="8"/>
        <v>362.98139845238404</v>
      </c>
    </row>
    <row r="394" spans="1:6" ht="12.75">
      <c r="A394" s="317">
        <v>98.25</v>
      </c>
      <c r="B394" s="339">
        <f>+('Presiones de casing'!$C$2+14.7+'Presiones de casing'!$C$3+('Presiones de casing'!$C$4+'Presiones de casing'!$C$8)*A394)*(1+'Presiones de casing'!$C$7/'Presiones de casing'!$C$13)</f>
        <v>8947.73565004223</v>
      </c>
      <c r="C394" s="339">
        <f>+B394*(Columna!$G$9+Columna!$B$7)/Columna!$G$9</f>
        <v>10659.678769430186</v>
      </c>
      <c r="D394" s="340">
        <f>+B394-A394*'Presiones de casing'!$C$4</f>
        <v>2310.6747164556264</v>
      </c>
      <c r="E394" s="340">
        <f>+'Volumen de gas'!$C$1*Tabla!D394/14.7*520/'Volumen de gas'!$C$2*'Volumen de gas'!$C$4/'Volumen de gas'!$C$3</f>
        <v>35656.401442170645</v>
      </c>
      <c r="F394" s="340">
        <f t="shared" si="8"/>
        <v>362.9150274012279</v>
      </c>
    </row>
    <row r="395" spans="1:6" ht="12.75">
      <c r="A395" s="317">
        <v>98.5</v>
      </c>
      <c r="B395" s="339">
        <f>+('Presiones de casing'!$C$2+14.7+'Presiones de casing'!$C$3+('Presiones de casing'!$C$4+'Presiones de casing'!$C$8)*A395)*(1+'Presiones de casing'!$C$7/'Presiones de casing'!$C$13)</f>
        <v>8970.081916989113</v>
      </c>
      <c r="C395" s="339">
        <f>+B395*(Columna!$G$9+Columna!$B$7)/Columna!$G$9</f>
        <v>10686.300479845668</v>
      </c>
      <c r="D395" s="340">
        <f>+B395-A395*'Presiones de casing'!$C$4</f>
        <v>2316.1327876427467</v>
      </c>
      <c r="E395" s="340">
        <f>+'Volumen de gas'!$C$1*Tabla!D395/14.7*520/'Volumen de gas'!$C$2*'Volumen de gas'!$C$4/'Volumen de gas'!$C$3</f>
        <v>35740.62583600763</v>
      </c>
      <c r="F395" s="340">
        <f t="shared" si="8"/>
        <v>362.8489932589607</v>
      </c>
    </row>
    <row r="396" spans="1:6" ht="12.75">
      <c r="A396" s="317">
        <v>98.75</v>
      </c>
      <c r="B396" s="339">
        <f>+('Presiones de casing'!$C$2+14.7+'Presiones de casing'!$C$3+('Presiones de casing'!$C$4+'Presiones de casing'!$C$8)*A396)*(1+'Presiones de casing'!$C$7/'Presiones de casing'!$C$13)</f>
        <v>8992.428183935997</v>
      </c>
      <c r="C396" s="339">
        <f>+B396*(Columna!$G$9+Columna!$B$7)/Columna!$G$9</f>
        <v>10712.922190261152</v>
      </c>
      <c r="D396" s="340">
        <f>+B396-A396*'Presiones de casing'!$C$4</f>
        <v>2321.590858829869</v>
      </c>
      <c r="E396" s="340">
        <f>+'Volumen de gas'!$C$1*Tabla!D396/14.7*520/'Volumen de gas'!$C$2*'Volumen de gas'!$C$4/'Volumen de gas'!$C$3</f>
        <v>35824.85022984463</v>
      </c>
      <c r="F396" s="340">
        <f t="shared" si="8"/>
        <v>362.7832934667811</v>
      </c>
    </row>
    <row r="397" spans="1:6" ht="12.75">
      <c r="A397" s="317">
        <v>99</v>
      </c>
      <c r="B397" s="339">
        <f>+('Presiones de casing'!$C$2+14.7+'Presiones de casing'!$C$3+('Presiones de casing'!$C$4+'Presiones de casing'!$C$8)*A397)*(1+'Presiones de casing'!$C$7/'Presiones de casing'!$C$13)</f>
        <v>9014.77445088288</v>
      </c>
      <c r="C397" s="339">
        <f>+B397*(Columna!$G$9+Columna!$B$7)/Columna!$G$9</f>
        <v>10739.543900676632</v>
      </c>
      <c r="D397" s="340">
        <f>+B397-A397*'Presiones de casing'!$C$4</f>
        <v>2327.0489300169893</v>
      </c>
      <c r="E397" s="340">
        <f>+'Volumen de gas'!$C$1*Tabla!D397/14.7*520/'Volumen de gas'!$C$2*'Volumen de gas'!$C$4/'Volumen de gas'!$C$3</f>
        <v>35909.07462368161</v>
      </c>
      <c r="F397" s="340">
        <f t="shared" si="8"/>
        <v>362.71792549173347</v>
      </c>
    </row>
    <row r="398" spans="1:6" ht="12.75">
      <c r="A398" s="317">
        <v>99.25</v>
      </c>
      <c r="B398" s="339">
        <f>+('Presiones de casing'!$C$2+14.7+'Presiones de casing'!$C$3+('Presiones de casing'!$C$4+'Presiones de casing'!$C$8)*A398)*(1+'Presiones de casing'!$C$7/'Presiones de casing'!$C$13)</f>
        <v>9037.120717829765</v>
      </c>
      <c r="C398" s="339">
        <f>+B398*(Columna!$G$9+Columna!$B$7)/Columna!$G$9</f>
        <v>10766.165611092116</v>
      </c>
      <c r="D398" s="340">
        <f>+B398-A398*'Presiones de casing'!$C$4</f>
        <v>2332.5070012041115</v>
      </c>
      <c r="E398" s="340">
        <f>+'Volumen de gas'!$C$1*Tabla!D398/14.7*520/'Volumen de gas'!$C$2*'Volumen de gas'!$C$4/'Volumen de gas'!$C$3</f>
        <v>35993.29901751862</v>
      </c>
      <c r="F398" s="340">
        <f t="shared" si="8"/>
        <v>362.6528868263841</v>
      </c>
    </row>
    <row r="399" spans="1:6" ht="12.75">
      <c r="A399" s="317">
        <v>99.5</v>
      </c>
      <c r="B399" s="339">
        <f>+('Presiones de casing'!$C$2+14.7+'Presiones de casing'!$C$3+('Presiones de casing'!$C$4+'Presiones de casing'!$C$8)*A399)*(1+'Presiones de casing'!$C$7/'Presiones de casing'!$C$13)</f>
        <v>9059.466984776647</v>
      </c>
      <c r="C399" s="339">
        <f>+B399*(Columna!$G$9+Columna!$B$7)/Columna!$G$9</f>
        <v>10792.7873215076</v>
      </c>
      <c r="D399" s="340">
        <f>+B399-A399*'Presiones de casing'!$C$4</f>
        <v>2337.965072391232</v>
      </c>
      <c r="E399" s="340">
        <f>+'Volumen de gas'!$C$1*Tabla!D399/14.7*520/'Volumen de gas'!$C$2*'Volumen de gas'!$C$4/'Volumen de gas'!$C$3</f>
        <v>36077.5234113556</v>
      </c>
      <c r="F399" s="340">
        <f t="shared" si="8"/>
        <v>362.5881749884985</v>
      </c>
    </row>
    <row r="400" spans="1:6" ht="12.75">
      <c r="A400" s="317">
        <v>99.75</v>
      </c>
      <c r="B400" s="339">
        <f>+('Presiones de casing'!$C$2+14.7+'Presiones de casing'!$C$3+('Presiones de casing'!$C$4+'Presiones de casing'!$C$8)*A400)*(1+'Presiones de casing'!$C$7/'Presiones de casing'!$C$13)</f>
        <v>9081.813251723528</v>
      </c>
      <c r="C400" s="339">
        <f>+B400*(Columna!$G$9+Columna!$B$7)/Columna!$G$9</f>
        <v>10819.409031923076</v>
      </c>
      <c r="D400" s="340">
        <f>+B400-A400*'Presiones de casing'!$C$4</f>
        <v>2343.4231435783504</v>
      </c>
      <c r="E400" s="340">
        <f>+'Volumen de gas'!$C$1*Tabla!D400/14.7*520/'Volumen de gas'!$C$2*'Volumen de gas'!$C$4/'Volumen de gas'!$C$3</f>
        <v>36161.74780519256</v>
      </c>
      <c r="F400" s="340">
        <f t="shared" si="8"/>
        <v>362.5237875207274</v>
      </c>
    </row>
    <row r="401" spans="1:6" ht="12.75">
      <c r="A401" s="317">
        <v>100</v>
      </c>
      <c r="B401" s="339">
        <f>+('Presiones de casing'!$C$2+14.7+'Presiones de casing'!$C$3+('Presiones de casing'!$C$4+'Presiones de casing'!$C$8)*A401)*(1+'Presiones de casing'!$C$7/'Presiones de casing'!$C$13)</f>
        <v>9104.159518670413</v>
      </c>
      <c r="C401" s="339">
        <f>+B401*(Columna!$G$9+Columna!$B$7)/Columna!$G$9</f>
        <v>10846.030742338562</v>
      </c>
      <c r="D401" s="340">
        <f>+B401-A401*'Presiones de casing'!$C$4</f>
        <v>2348.8812147654726</v>
      </c>
      <c r="E401" s="340">
        <f>+'Volumen de gas'!$C$1*Tabla!D401/14.7*520/'Volumen de gas'!$C$2*'Volumen de gas'!$C$4/'Volumen de gas'!$C$3</f>
        <v>36245.97219902956</v>
      </c>
      <c r="F401" s="340">
        <f t="shared" si="8"/>
        <v>362.4597219902956</v>
      </c>
    </row>
    <row r="402" spans="1:6" ht="12.75">
      <c r="A402" s="317">
        <v>100.25</v>
      </c>
      <c r="B402" s="339">
        <f>+('Presiones de casing'!$C$2+14.7+'Presiones de casing'!$C$3+('Presiones de casing'!$C$4+'Presiones de casing'!$C$8)*A402)*(1+'Presiones de casing'!$C$7/'Presiones de casing'!$C$13)</f>
        <v>9126.505785617295</v>
      </c>
      <c r="C402" s="339">
        <f>+B402*(Columna!$G$9+Columna!$B$7)/Columna!$G$9</f>
        <v>10872.652452754042</v>
      </c>
      <c r="D402" s="340">
        <f>+B402-A402*'Presiones de casing'!$C$4</f>
        <v>2354.339285952593</v>
      </c>
      <c r="E402" s="340">
        <f>+'Volumen de gas'!$C$1*Tabla!D402/14.7*520/'Volumen de gas'!$C$2*'Volumen de gas'!$C$4/'Volumen de gas'!$C$3</f>
        <v>36330.196592866545</v>
      </c>
      <c r="F402" s="340">
        <f t="shared" si="8"/>
        <v>362.3959759886937</v>
      </c>
    </row>
    <row r="403" spans="1:6" ht="12.75">
      <c r="A403" s="317">
        <v>100.5</v>
      </c>
      <c r="B403" s="339">
        <f>+('Presiones de casing'!$C$2+14.7+'Presiones de casing'!$C$3+('Presiones de casing'!$C$4+'Presiones de casing'!$C$8)*A403)*(1+'Presiones de casing'!$C$7/'Presiones de casing'!$C$13)</f>
        <v>9148.85205256418</v>
      </c>
      <c r="C403" s="339">
        <f>+B403*(Columna!$G$9+Columna!$B$7)/Columna!$G$9</f>
        <v>10899.274163169526</v>
      </c>
      <c r="D403" s="340">
        <f>+B403-A403*'Presiones de casing'!$C$4</f>
        <v>2359.797357139715</v>
      </c>
      <c r="E403" s="340">
        <f>+'Volumen de gas'!$C$1*Tabla!D403/14.7*520/'Volumen de gas'!$C$2*'Volumen de gas'!$C$4/'Volumen de gas'!$C$3</f>
        <v>36414.420986703546</v>
      </c>
      <c r="F403" s="340">
        <f t="shared" si="8"/>
        <v>362.3325471313786</v>
      </c>
    </row>
    <row r="404" spans="1:6" ht="12.75">
      <c r="A404" s="317">
        <v>100.75</v>
      </c>
      <c r="B404" s="339">
        <f>+('Presiones de casing'!$C$2+14.7+'Presiones de casing'!$C$3+('Presiones de casing'!$C$4+'Presiones de casing'!$C$8)*A404)*(1+'Presiones de casing'!$C$7/'Presiones de casing'!$C$13)</f>
        <v>9171.198319511062</v>
      </c>
      <c r="C404" s="339">
        <f>+B404*(Columna!$G$9+Columna!$B$7)/Columna!$G$9</f>
        <v>10925.895873585008</v>
      </c>
      <c r="D404" s="340">
        <f>+B404-A404*'Presiones de casing'!$C$4</f>
        <v>2365.2554283268355</v>
      </c>
      <c r="E404" s="340">
        <f>+'Volumen de gas'!$C$1*Tabla!D404/14.7*520/'Volumen de gas'!$C$2*'Volumen de gas'!$C$4/'Volumen de gas'!$C$3</f>
        <v>36498.645380540525</v>
      </c>
      <c r="F404" s="340">
        <f t="shared" si="8"/>
        <v>362.2694330574742</v>
      </c>
    </row>
    <row r="405" spans="1:6" ht="12.75">
      <c r="A405" s="317">
        <v>101</v>
      </c>
      <c r="B405" s="339">
        <f>+('Presiones de casing'!$C$2+14.7+'Presiones de casing'!$C$3+('Presiones de casing'!$C$4+'Presiones de casing'!$C$8)*A405)*(1+'Presiones de casing'!$C$7/'Presiones de casing'!$C$13)</f>
        <v>9193.544586457947</v>
      </c>
      <c r="C405" s="339">
        <f>+B405*(Columna!$G$9+Columna!$B$7)/Columna!$G$9</f>
        <v>10952.517584000492</v>
      </c>
      <c r="D405" s="340">
        <f>+B405-A405*'Presiones de casing'!$C$4</f>
        <v>2370.7134995139577</v>
      </c>
      <c r="E405" s="340">
        <f>+'Volumen de gas'!$C$1*Tabla!D405/14.7*520/'Volumen de gas'!$C$2*'Volumen de gas'!$C$4/'Volumen de gas'!$C$3</f>
        <v>36582.869774377534</v>
      </c>
      <c r="F405" s="340">
        <f t="shared" si="8"/>
        <v>362.2066314294805</v>
      </c>
    </row>
    <row r="406" spans="1:6" ht="12.75">
      <c r="A406" s="317">
        <v>101.25</v>
      </c>
      <c r="B406" s="339">
        <f>+('Presiones de casing'!$C$2+14.7+'Presiones de casing'!$C$3+('Presiones de casing'!$C$4+'Presiones de casing'!$C$8)*A406)*(1+'Presiones de casing'!$C$7/'Presiones de casing'!$C$13)</f>
        <v>9215.89085340483</v>
      </c>
      <c r="C406" s="339">
        <f>+B406*(Columna!$G$9+Columna!$B$7)/Columna!$G$9</f>
        <v>10979.139294415974</v>
      </c>
      <c r="D406" s="340">
        <f>+B406-A406*'Presiones de casing'!$C$4</f>
        <v>2376.171570701078</v>
      </c>
      <c r="E406" s="340">
        <f>+'Volumen de gas'!$C$1*Tabla!D406/14.7*520/'Volumen de gas'!$C$2*'Volumen de gas'!$C$4/'Volumen de gas'!$C$3</f>
        <v>36667.094168214506</v>
      </c>
      <c r="F406" s="340">
        <f t="shared" si="8"/>
        <v>362.1441399329828</v>
      </c>
    </row>
    <row r="407" spans="1:6" ht="12.75">
      <c r="A407" s="317">
        <v>101.5</v>
      </c>
      <c r="B407" s="339">
        <f>+('Presiones de casing'!$C$2+14.7+'Presiones de casing'!$C$3+('Presiones de casing'!$C$4+'Presiones de casing'!$C$8)*A407)*(1+'Presiones de casing'!$C$7/'Presiones de casing'!$C$13)</f>
        <v>9238.237120351712</v>
      </c>
      <c r="C407" s="339">
        <f>+B407*(Columna!$G$9+Columna!$B$7)/Columna!$G$9</f>
        <v>11005.761004831455</v>
      </c>
      <c r="D407" s="340">
        <f>+B407-A407*'Presiones de casing'!$C$4</f>
        <v>2381.6296418881984</v>
      </c>
      <c r="E407" s="340">
        <f>+'Volumen de gas'!$C$1*Tabla!D407/14.7*520/'Volumen de gas'!$C$2*'Volumen de gas'!$C$4/'Volumen de gas'!$C$3</f>
        <v>36751.31856205149</v>
      </c>
      <c r="F407" s="340">
        <f t="shared" si="8"/>
        <v>362.0819562763694</v>
      </c>
    </row>
    <row r="408" spans="1:6" ht="12.75">
      <c r="A408" s="317">
        <v>101.75</v>
      </c>
      <c r="B408" s="339">
        <f>+('Presiones de casing'!$C$2+14.7+'Presiones de casing'!$C$3+('Presiones de casing'!$C$4+'Presiones de casing'!$C$8)*A408)*(1+'Presiones de casing'!$C$7/'Presiones de casing'!$C$13)</f>
        <v>9260.583387298597</v>
      </c>
      <c r="C408" s="339">
        <f>+B408*(Columna!$G$9+Columna!$B$7)/Columna!$G$9</f>
        <v>11032.382715246938</v>
      </c>
      <c r="D408" s="340">
        <f>+B408-A408*'Presiones de casing'!$C$4</f>
        <v>2387.0877130753206</v>
      </c>
      <c r="E408" s="340">
        <f>+'Volumen de gas'!$C$1*Tabla!D408/14.7*520/'Volumen de gas'!$C$2*'Volumen de gas'!$C$4/'Volumen de gas'!$C$3</f>
        <v>36835.542955888486</v>
      </c>
      <c r="F408" s="340">
        <f t="shared" si="8"/>
        <v>362.02007819055024</v>
      </c>
    </row>
    <row r="409" spans="1:6" ht="12.75">
      <c r="A409" s="317">
        <v>102</v>
      </c>
      <c r="B409" s="339">
        <f>+('Presiones de casing'!$C$2+14.7+'Presiones de casing'!$C$3+('Presiones de casing'!$C$4+'Presiones de casing'!$C$8)*A409)*(1+'Presiones de casing'!$C$7/'Presiones de casing'!$C$13)</f>
        <v>9282.92965424548</v>
      </c>
      <c r="C409" s="339">
        <f>+B409*(Columna!$G$9+Columna!$B$7)/Columna!$G$9</f>
        <v>11059.004425662419</v>
      </c>
      <c r="D409" s="340">
        <f>+B409-A409*'Presiones de casing'!$C$4</f>
        <v>2392.54578426244</v>
      </c>
      <c r="E409" s="340">
        <f>+'Volumen de gas'!$C$1*Tabla!D409/14.7*520/'Volumen de gas'!$C$2*'Volumen de gas'!$C$4/'Volumen de gas'!$C$3</f>
        <v>36919.76734972546</v>
      </c>
      <c r="F409" s="340">
        <f t="shared" si="8"/>
        <v>361.95850342868096</v>
      </c>
    </row>
    <row r="410" spans="1:6" ht="12.75">
      <c r="A410" s="317">
        <v>102.25</v>
      </c>
      <c r="B410" s="339">
        <f>+('Presiones de casing'!$C$2+14.7+'Presiones de casing'!$C$3+('Presiones de casing'!$C$4+'Presiones de casing'!$C$8)*A410)*(1+'Presiones de casing'!$C$7/'Presiones de casing'!$C$13)</f>
        <v>9305.275921192362</v>
      </c>
      <c r="C410" s="339">
        <f>+B410*(Columna!$G$9+Columna!$B$7)/Columna!$G$9</f>
        <v>11085.6261360779</v>
      </c>
      <c r="D410" s="340">
        <f>+B410-A410*'Presiones de casing'!$C$4</f>
        <v>2398.0038554495604</v>
      </c>
      <c r="E410" s="340">
        <f>+'Volumen de gas'!$C$1*Tabla!D410/14.7*520/'Volumen de gas'!$C$2*'Volumen de gas'!$C$4/'Volumen de gas'!$C$3</f>
        <v>37003.991743562445</v>
      </c>
      <c r="F410" s="340">
        <f t="shared" si="8"/>
        <v>361.8972297658919</v>
      </c>
    </row>
    <row r="411" spans="1:6" ht="12.75">
      <c r="A411" s="317">
        <v>102.5</v>
      </c>
      <c r="B411" s="339">
        <f>+('Presiones de casing'!$C$2+14.7+'Presiones de casing'!$C$3+('Presiones de casing'!$C$4+'Presiones de casing'!$C$8)*A411)*(1+'Presiones de casing'!$C$7/'Presiones de casing'!$C$13)</f>
        <v>9327.622188139245</v>
      </c>
      <c r="C411" s="339">
        <f>+B411*(Columna!$G$9+Columna!$B$7)/Columna!$G$9</f>
        <v>11112.247846493385</v>
      </c>
      <c r="D411" s="340">
        <f>+B411-A411*'Presiones de casing'!$C$4</f>
        <v>2403.461926636681</v>
      </c>
      <c r="E411" s="340">
        <f>+'Volumen de gas'!$C$1*Tabla!D411/14.7*520/'Volumen de gas'!$C$2*'Volumen de gas'!$C$4/'Volumen de gas'!$C$3</f>
        <v>37088.21613739941</v>
      </c>
      <c r="F411" s="340">
        <f t="shared" si="8"/>
        <v>361.83625499901865</v>
      </c>
    </row>
    <row r="412" spans="1:6" ht="12.75">
      <c r="A412" s="317">
        <v>102.75</v>
      </c>
      <c r="B412" s="339">
        <f>+('Presiones de casing'!$C$2+14.7+'Presiones de casing'!$C$3+('Presiones de casing'!$C$4+'Presiones de casing'!$C$8)*A412)*(1+'Presiones de casing'!$C$7/'Presiones de casing'!$C$13)</f>
        <v>9349.96845508613</v>
      </c>
      <c r="C412" s="339">
        <f>+B412*(Columna!$G$9+Columna!$B$7)/Columna!$G$9</f>
        <v>11138.869556908867</v>
      </c>
      <c r="D412" s="340">
        <f>+B412-A412*'Presiones de casing'!$C$4</f>
        <v>2408.919997823803</v>
      </c>
      <c r="E412" s="340">
        <f>+'Volumen de gas'!$C$1*Tabla!D412/14.7*520/'Volumen de gas'!$C$2*'Volumen de gas'!$C$4/'Volumen de gas'!$C$3</f>
        <v>37172.44053123642</v>
      </c>
      <c r="F412" s="340">
        <f t="shared" si="8"/>
        <v>361.7755769463398</v>
      </c>
    </row>
    <row r="413" spans="1:6" ht="12.75">
      <c r="A413" s="317">
        <v>103</v>
      </c>
      <c r="B413" s="339">
        <f>+('Presiones de casing'!$C$2+14.7+'Presiones de casing'!$C$3+('Presiones de casing'!$C$4+'Presiones de casing'!$C$8)*A413)*(1+'Presiones de casing'!$C$7/'Presiones de casing'!$C$13)</f>
        <v>9372.314722033012</v>
      </c>
      <c r="C413" s="339">
        <f>+B413*(Columna!$G$9+Columna!$B$7)/Columna!$G$9</f>
        <v>11165.491267324349</v>
      </c>
      <c r="D413" s="340">
        <f>+B413-A413*'Presiones de casing'!$C$4</f>
        <v>2414.3780690109234</v>
      </c>
      <c r="E413" s="340">
        <f>+'Volumen de gas'!$C$1*Tabla!D413/14.7*520/'Volumen de gas'!$C$2*'Volumen de gas'!$C$4/'Volumen de gas'!$C$3</f>
        <v>37256.66492507341</v>
      </c>
      <c r="F413" s="340">
        <f t="shared" si="8"/>
        <v>361.7151934473147</v>
      </c>
    </row>
    <row r="414" spans="1:6" ht="12.75">
      <c r="A414" s="317">
        <v>103.25</v>
      </c>
      <c r="B414" s="339">
        <f>+('Presiones de casing'!$C$2+14.7+'Presiones de casing'!$C$3+('Presiones de casing'!$C$4+'Presiones de casing'!$C$8)*A414)*(1+'Presiones de casing'!$C$7/'Presiones de casing'!$C$13)</f>
        <v>9394.660988979897</v>
      </c>
      <c r="C414" s="339">
        <f>+B414*(Columna!$G$9+Columna!$B$7)/Columna!$G$9</f>
        <v>11192.112977739831</v>
      </c>
      <c r="D414" s="340">
        <f>+B414-A414*'Presiones de casing'!$C$4</f>
        <v>2419.8361401980455</v>
      </c>
      <c r="E414" s="340">
        <f>+'Volumen de gas'!$C$1*Tabla!D414/14.7*520/'Volumen de gas'!$C$2*'Volumen de gas'!$C$4/'Volumen de gas'!$C$3</f>
        <v>37340.889318910406</v>
      </c>
      <c r="F414" s="340">
        <f t="shared" si="8"/>
        <v>361.65510236232836</v>
      </c>
    </row>
    <row r="415" spans="1:6" ht="12.75">
      <c r="A415" s="317">
        <v>103.5</v>
      </c>
      <c r="B415" s="339">
        <f>+('Presiones de casing'!$C$2+14.7+'Presiones de casing'!$C$3+('Presiones de casing'!$C$4+'Presiones de casing'!$C$8)*A415)*(1+'Presiones de casing'!$C$7/'Presiones de casing'!$C$13)</f>
        <v>9417.00725592678</v>
      </c>
      <c r="C415" s="339">
        <f>+B415*(Columna!$G$9+Columna!$B$7)/Columna!$G$9</f>
        <v>11218.734688155313</v>
      </c>
      <c r="D415" s="340">
        <f>+B415-A415*'Presiones de casing'!$C$4</f>
        <v>2425.294211385166</v>
      </c>
      <c r="E415" s="340">
        <f>+'Volumen de gas'!$C$1*Tabla!D415/14.7*520/'Volumen de gas'!$C$2*'Volumen de gas'!$C$4/'Volumen de gas'!$C$3</f>
        <v>37425.11371274739</v>
      </c>
      <c r="F415" s="340">
        <f t="shared" si="8"/>
        <v>361.5953015724386</v>
      </c>
    </row>
    <row r="416" spans="1:6" ht="12.75">
      <c r="A416" s="317">
        <v>103.75</v>
      </c>
      <c r="B416" s="339">
        <f>+('Presiones de casing'!$C$2+14.7+'Presiones de casing'!$C$3+('Presiones de casing'!$C$4+'Presiones de casing'!$C$8)*A416)*(1+'Presiones de casing'!$C$7/'Presiones de casing'!$C$13)</f>
        <v>9439.353522873662</v>
      </c>
      <c r="C416" s="339">
        <f>+B416*(Columna!$G$9+Columna!$B$7)/Columna!$G$9</f>
        <v>11245.356398570797</v>
      </c>
      <c r="D416" s="340">
        <f>+B416-A416*'Presiones de casing'!$C$4</f>
        <v>2430.7522825722863</v>
      </c>
      <c r="E416" s="340">
        <f>+'Volumen de gas'!$C$1*Tabla!D416/14.7*520/'Volumen de gas'!$C$2*'Volumen de gas'!$C$4/'Volumen de gas'!$C$3</f>
        <v>37509.33810658437</v>
      </c>
      <c r="F416" s="340">
        <f t="shared" si="8"/>
        <v>361.5357889791265</v>
      </c>
    </row>
    <row r="417" spans="1:6" ht="12.75">
      <c r="A417" s="317">
        <v>104</v>
      </c>
      <c r="B417" s="339">
        <f>+('Presiones de casing'!$C$2+14.7+'Presiones de casing'!$C$3+('Presiones de casing'!$C$4+'Presiones de casing'!$C$8)*A417)*(1+'Presiones de casing'!$C$7/'Presiones de casing'!$C$13)</f>
        <v>9461.699789820546</v>
      </c>
      <c r="C417" s="339">
        <f>+B417*(Columna!$G$9+Columna!$B$7)/Columna!$G$9</f>
        <v>11271.978108986279</v>
      </c>
      <c r="D417" s="340">
        <f>+B417-A417*'Presiones de casing'!$C$4</f>
        <v>2436.2103537594085</v>
      </c>
      <c r="E417" s="340">
        <f>+'Volumen de gas'!$C$1*Tabla!D417/14.7*520/'Volumen de gas'!$C$2*'Volumen de gas'!$C$4/'Volumen de gas'!$C$3</f>
        <v>37593.56250042137</v>
      </c>
      <c r="F417" s="340">
        <f t="shared" si="8"/>
        <v>361.4765625040517</v>
      </c>
    </row>
    <row r="418" spans="1:6" ht="12.75">
      <c r="A418" s="317">
        <v>104.25</v>
      </c>
      <c r="B418" s="339">
        <f>+('Presiones de casing'!$C$2+14.7+'Presiones de casing'!$C$3+('Presiones de casing'!$C$4+'Presiones de casing'!$C$8)*A418)*(1+'Presiones de casing'!$C$7/'Presiones de casing'!$C$13)</f>
        <v>9484.046056767429</v>
      </c>
      <c r="C418" s="339">
        <f>+B418*(Columna!$G$9+Columna!$B$7)/Columna!$G$9</f>
        <v>11298.599819401761</v>
      </c>
      <c r="D418" s="340">
        <f>+B418-A418*'Presiones de casing'!$C$4</f>
        <v>2441.668424946529</v>
      </c>
      <c r="E418" s="340">
        <f>+'Volumen de gas'!$C$1*Tabla!D418/14.7*520/'Volumen de gas'!$C$2*'Volumen de gas'!$C$4/'Volumen de gas'!$C$3</f>
        <v>37677.78689425836</v>
      </c>
      <c r="F418" s="340">
        <f t="shared" si="8"/>
        <v>361.4176200888092</v>
      </c>
    </row>
    <row r="419" spans="1:6" ht="12.75">
      <c r="A419" s="317">
        <v>104.5</v>
      </c>
      <c r="B419" s="339">
        <f>+('Presiones de casing'!$C$2+14.7+'Presiones de casing'!$C$3+('Presiones de casing'!$C$4+'Presiones de casing'!$C$8)*A419)*(1+'Presiones de casing'!$C$7/'Presiones de casing'!$C$13)</f>
        <v>9506.392323714314</v>
      </c>
      <c r="C419" s="339">
        <f>+B419*(Columna!$G$9+Columna!$B$7)/Columna!$G$9</f>
        <v>11325.221529817243</v>
      </c>
      <c r="D419" s="340">
        <f>+B419-A419*'Presiones de casing'!$C$4</f>
        <v>2447.126496133651</v>
      </c>
      <c r="E419" s="340">
        <f>+'Volumen de gas'!$C$1*Tabla!D419/14.7*520/'Volumen de gas'!$C$2*'Volumen de gas'!$C$4/'Volumen de gas'!$C$3</f>
        <v>37762.01128809537</v>
      </c>
      <c r="F419" s="340">
        <f t="shared" si="8"/>
        <v>361.3589596946925</v>
      </c>
    </row>
    <row r="420" spans="1:6" ht="12.75">
      <c r="A420" s="317">
        <v>104.75</v>
      </c>
      <c r="B420" s="339">
        <f>+('Presiones de casing'!$C$2+14.7+'Presiones de casing'!$C$3+('Presiones de casing'!$C$4+'Presiones de casing'!$C$8)*A420)*(1+'Presiones de casing'!$C$7/'Presiones de casing'!$C$13)</f>
        <v>9528.738590661194</v>
      </c>
      <c r="C420" s="339">
        <f>+B420*(Columna!$G$9+Columna!$B$7)/Columna!$G$9</f>
        <v>11351.843240232723</v>
      </c>
      <c r="D420" s="340">
        <f>+B420-A420*'Presiones de casing'!$C$4</f>
        <v>2452.5845673207696</v>
      </c>
      <c r="E420" s="340">
        <f>+'Volumen de gas'!$C$1*Tabla!D420/14.7*520/'Volumen de gas'!$C$2*'Volumen de gas'!$C$4/'Volumen de gas'!$C$3</f>
        <v>37846.23568193231</v>
      </c>
      <c r="F420" s="340">
        <f t="shared" si="8"/>
        <v>361.3005793024564</v>
      </c>
    </row>
    <row r="421" spans="1:6" ht="12.75">
      <c r="A421" s="317">
        <v>105</v>
      </c>
      <c r="B421" s="339">
        <f>+('Presiones de casing'!$C$2+14.7+'Presiones de casing'!$C$3+('Presiones de casing'!$C$4+'Presiones de casing'!$C$8)*A421)*(1+'Presiones de casing'!$C$7/'Presiones de casing'!$C$13)</f>
        <v>9551.084857608079</v>
      </c>
      <c r="C421" s="339">
        <f>+B421*(Columna!$G$9+Columna!$B$7)/Columna!$G$9</f>
        <v>11378.464950648206</v>
      </c>
      <c r="D421" s="340">
        <f>+B421-A421*'Presiones de casing'!$C$4</f>
        <v>2458.0426385078918</v>
      </c>
      <c r="E421" s="340">
        <f>+'Volumen de gas'!$C$1*Tabla!D421/14.7*520/'Volumen de gas'!$C$2*'Volumen de gas'!$C$4/'Volumen de gas'!$C$3</f>
        <v>37930.460075769326</v>
      </c>
      <c r="F421" s="340">
        <f t="shared" si="8"/>
        <v>361.2424769120888</v>
      </c>
    </row>
    <row r="422" spans="1:6" ht="12.75">
      <c r="A422" s="317">
        <v>105.25</v>
      </c>
      <c r="B422" s="339">
        <f>+('Presiones de casing'!$C$2+14.7+'Presiones de casing'!$C$3+('Presiones de casing'!$C$4+'Presiones de casing'!$C$8)*A422)*(1+'Presiones de casing'!$C$7/'Presiones de casing'!$C$13)</f>
        <v>9573.431124554962</v>
      </c>
      <c r="C422" s="339">
        <f>+B422*(Columna!$G$9+Columna!$B$7)/Columna!$G$9</f>
        <v>11405.08666106369</v>
      </c>
      <c r="D422" s="340">
        <f>+B422-A422*'Presiones de casing'!$C$4</f>
        <v>2463.500709695012</v>
      </c>
      <c r="E422" s="340">
        <f>+'Volumen de gas'!$C$1*Tabla!D422/14.7*520/'Volumen de gas'!$C$2*'Volumen de gas'!$C$4/'Volumen de gas'!$C$3</f>
        <v>38014.6844696063</v>
      </c>
      <c r="F422" s="340">
        <f t="shared" si="8"/>
        <v>361.18465054257763</v>
      </c>
    </row>
    <row r="423" spans="1:6" ht="12.75">
      <c r="A423" s="317">
        <v>105.5</v>
      </c>
      <c r="B423" s="339">
        <f>+('Presiones de casing'!$C$2+14.7+'Presiones de casing'!$C$3+('Presiones de casing'!$C$4+'Presiones de casing'!$C$8)*A423)*(1+'Presiones de casing'!$C$7/'Presiones de casing'!$C$13)</f>
        <v>9595.777391501844</v>
      </c>
      <c r="C423" s="339">
        <f>+B423*(Columna!$G$9+Columna!$B$7)/Columna!$G$9</f>
        <v>11431.708371479172</v>
      </c>
      <c r="D423" s="340">
        <f>+B423-A423*'Presiones de casing'!$C$4</f>
        <v>2468.9587808821325</v>
      </c>
      <c r="E423" s="340">
        <f>+'Volumen de gas'!$C$1*Tabla!D423/14.7*520/'Volumen de gas'!$C$2*'Volumen de gas'!$C$4/'Volumen de gas'!$C$3</f>
        <v>38098.90886344328</v>
      </c>
      <c r="F423" s="340">
        <f t="shared" si="8"/>
        <v>361.12709823168984</v>
      </c>
    </row>
    <row r="424" spans="1:6" ht="12.75">
      <c r="A424" s="317">
        <v>105.75</v>
      </c>
      <c r="B424" s="339">
        <f>+('Presiones de casing'!$C$2+14.7+'Presiones de casing'!$C$3+('Presiones de casing'!$C$4+'Presiones de casing'!$C$8)*A424)*(1+'Presiones de casing'!$C$7/'Presiones de casing'!$C$13)</f>
        <v>9618.123658448729</v>
      </c>
      <c r="C424" s="339">
        <f>+B424*(Columna!$G$9+Columna!$B$7)/Columna!$G$9</f>
        <v>11458.330081894654</v>
      </c>
      <c r="D424" s="340">
        <f>+B424-A424*'Presiones de casing'!$C$4</f>
        <v>2474.4168520692547</v>
      </c>
      <c r="E424" s="340">
        <f>+'Volumen de gas'!$C$1*Tabla!D424/14.7*520/'Volumen de gas'!$C$2*'Volumen de gas'!$C$4/'Volumen de gas'!$C$3</f>
        <v>38183.133257280286</v>
      </c>
      <c r="F424" s="340">
        <f t="shared" si="8"/>
        <v>361.0698180357474</v>
      </c>
    </row>
    <row r="425" spans="1:6" ht="12.75">
      <c r="A425" s="317">
        <v>106</v>
      </c>
      <c r="B425" s="339">
        <f>+('Presiones de casing'!$C$2+14.7+'Presiones de casing'!$C$3+('Presiones de casing'!$C$4+'Presiones de casing'!$C$8)*A425)*(1+'Presiones de casing'!$C$7/'Presiones de casing'!$C$13)</f>
        <v>9640.469925395611</v>
      </c>
      <c r="C425" s="339">
        <f>+B425*(Columna!$G$9+Columna!$B$7)/Columna!$G$9</f>
        <v>11484.951792310136</v>
      </c>
      <c r="D425" s="340">
        <f>+B425-A425*'Presiones de casing'!$C$4</f>
        <v>2479.874923256375</v>
      </c>
      <c r="E425" s="340">
        <f>+'Volumen de gas'!$C$1*Tabla!D425/14.7*520/'Volumen de gas'!$C$2*'Volumen de gas'!$C$4/'Volumen de gas'!$C$3</f>
        <v>38267.357651117265</v>
      </c>
      <c r="F425" s="340">
        <f t="shared" si="8"/>
        <v>361.0128080294082</v>
      </c>
    </row>
    <row r="426" spans="1:6" ht="12.75">
      <c r="A426" s="317">
        <v>106.25</v>
      </c>
      <c r="B426" s="339">
        <f>+('Presiones de casing'!$C$2+14.7+'Presiones de casing'!$C$3+('Presiones de casing'!$C$4+'Presiones de casing'!$C$8)*A426)*(1+'Presiones de casing'!$C$7/'Presiones de casing'!$C$13)</f>
        <v>9662.816192342496</v>
      </c>
      <c r="C426" s="339">
        <f>+B426*(Columna!$G$9+Columna!$B$7)/Columna!$G$9</f>
        <v>11511.573502725618</v>
      </c>
      <c r="D426" s="340">
        <f>+B426-A426*'Presiones de casing'!$C$4</f>
        <v>2485.3329944434972</v>
      </c>
      <c r="E426" s="340">
        <f>+'Volumen de gas'!$C$1*Tabla!D426/14.7*520/'Volumen de gas'!$C$2*'Volumen de gas'!$C$4/'Volumen de gas'!$C$3</f>
        <v>38351.58204495427</v>
      </c>
      <c r="F426" s="340">
        <f t="shared" si="8"/>
        <v>360.956066305452</v>
      </c>
    </row>
    <row r="427" spans="1:6" ht="12.75">
      <c r="A427" s="317">
        <v>106.5</v>
      </c>
      <c r="B427" s="339">
        <f>+('Presiones de casing'!$C$2+14.7+'Presiones de casing'!$C$3+('Presiones de casing'!$C$4+'Presiones de casing'!$C$8)*A427)*(1+'Presiones de casing'!$C$7/'Presiones de casing'!$C$13)</f>
        <v>9685.162459289379</v>
      </c>
      <c r="C427" s="339">
        <f>+B427*(Columna!$G$9+Columna!$B$7)/Columna!$G$9</f>
        <v>11538.195213141102</v>
      </c>
      <c r="D427" s="340">
        <f>+B427-A427*'Presiones de casing'!$C$4</f>
        <v>2490.7910656306176</v>
      </c>
      <c r="E427" s="340">
        <f>+'Volumen de gas'!$C$1*Tabla!D427/14.7*520/'Volumen de gas'!$C$2*'Volumen de gas'!$C$4/'Volumen de gas'!$C$3</f>
        <v>38435.80643879125</v>
      </c>
      <c r="F427" s="340">
        <f t="shared" si="8"/>
        <v>360.89959097456574</v>
      </c>
    </row>
    <row r="428" spans="1:6" ht="12.75">
      <c r="A428" s="317">
        <v>106.75</v>
      </c>
      <c r="B428" s="339">
        <f>+('Presiones de casing'!$C$2+14.7+'Presiones de casing'!$C$3+('Presiones de casing'!$C$4+'Presiones de casing'!$C$8)*A428)*(1+'Presiones de casing'!$C$7/'Presiones de casing'!$C$13)</f>
        <v>9707.508726236263</v>
      </c>
      <c r="C428" s="339">
        <f>+B428*(Columna!$G$9+Columna!$B$7)/Columna!$G$9</f>
        <v>11564.816923556584</v>
      </c>
      <c r="D428" s="340">
        <f>+B428-A428*'Presiones de casing'!$C$4</f>
        <v>2496.24913681774</v>
      </c>
      <c r="E428" s="340">
        <f>+'Volumen de gas'!$C$1*Tabla!D428/14.7*520/'Volumen de gas'!$C$2*'Volumen de gas'!$C$4/'Volumen de gas'!$C$3</f>
        <v>38520.03083262826</v>
      </c>
      <c r="F428" s="340">
        <f t="shared" si="8"/>
        <v>360.84338016513595</v>
      </c>
    </row>
    <row r="429" spans="1:6" ht="12.75">
      <c r="A429" s="317">
        <v>107</v>
      </c>
      <c r="B429" s="339">
        <f>+('Presiones de casing'!$C$2+14.7+'Presiones de casing'!$C$3+('Presiones de casing'!$C$4+'Presiones de casing'!$C$8)*A429)*(1+'Presiones de casing'!$C$7/'Presiones de casing'!$C$13)</f>
        <v>9729.854993183146</v>
      </c>
      <c r="C429" s="339">
        <f>+B429*(Columna!$G$9+Columna!$B$7)/Columna!$G$9</f>
        <v>11591.438633972066</v>
      </c>
      <c r="D429" s="340">
        <f>+B429-A429*'Presiones de casing'!$C$4</f>
        <v>2501.70720800486</v>
      </c>
      <c r="E429" s="340">
        <f>+'Volumen de gas'!$C$1*Tabla!D429/14.7*520/'Volumen de gas'!$C$2*'Volumen de gas'!$C$4/'Volumen de gas'!$C$3</f>
        <v>38604.25522646524</v>
      </c>
      <c r="F429" s="340">
        <f t="shared" si="8"/>
        <v>360.7874320230396</v>
      </c>
    </row>
    <row r="430" spans="1:6" ht="12.75">
      <c r="A430" s="317">
        <v>107.25</v>
      </c>
      <c r="B430" s="339">
        <f>+('Presiones de casing'!$C$2+14.7+'Presiones de casing'!$C$3+('Presiones de casing'!$C$4+'Presiones de casing'!$C$8)*A430)*(1+'Presiones de casing'!$C$7/'Presiones de casing'!$C$13)</f>
        <v>9752.201260130027</v>
      </c>
      <c r="C430" s="339">
        <f>+B430*(Columna!$G$9+Columna!$B$7)/Columna!$G$9</f>
        <v>11618.060344387546</v>
      </c>
      <c r="D430" s="340">
        <f>+B430-A430*'Presiones de casing'!$C$4</f>
        <v>2507.1652791919787</v>
      </c>
      <c r="E430" s="340">
        <f>+'Volumen de gas'!$C$1*Tabla!D430/14.7*520/'Volumen de gas'!$C$2*'Volumen de gas'!$C$4/'Volumen de gas'!$C$3</f>
        <v>38688.47962030219</v>
      </c>
      <c r="F430" s="340">
        <f t="shared" si="8"/>
        <v>360.73174471144233</v>
      </c>
    </row>
    <row r="431" spans="1:6" ht="12.75">
      <c r="A431" s="317">
        <v>107.5</v>
      </c>
      <c r="B431" s="339">
        <f>+('Presiones de casing'!$C$2+14.7+'Presiones de casing'!$C$3+('Presiones de casing'!$C$4+'Presiones de casing'!$C$8)*A431)*(1+'Presiones de casing'!$C$7/'Presiones de casing'!$C$13)</f>
        <v>9774.547527076911</v>
      </c>
      <c r="C431" s="339">
        <f>+B431*(Columna!$G$9+Columna!$B$7)/Columna!$G$9</f>
        <v>11644.682054803028</v>
      </c>
      <c r="D431" s="340">
        <f>+B431-A431*'Presiones de casing'!$C$4</f>
        <v>2512.623350379101</v>
      </c>
      <c r="E431" s="340">
        <f>+'Volumen de gas'!$C$1*Tabla!D431/14.7*520/'Volumen de gas'!$C$2*'Volumen de gas'!$C$4/'Volumen de gas'!$C$3</f>
        <v>38772.70401413919</v>
      </c>
      <c r="F431" s="340">
        <f t="shared" si="8"/>
        <v>360.6763164105971</v>
      </c>
    </row>
    <row r="432" spans="1:6" ht="12.75">
      <c r="A432" s="317">
        <v>107.75</v>
      </c>
      <c r="B432" s="339">
        <f>+('Presiones de casing'!$C$2+14.7+'Presiones de casing'!$C$3+('Presiones de casing'!$C$4+'Presiones de casing'!$C$8)*A432)*(1+'Presiones de casing'!$C$7/'Presiones de casing'!$C$13)</f>
        <v>9796.893794023794</v>
      </c>
      <c r="C432" s="339">
        <f>+B432*(Columna!$G$9+Columna!$B$7)/Columna!$G$9</f>
        <v>11671.30376521851</v>
      </c>
      <c r="D432" s="340">
        <f>+B432-A432*'Presiones de casing'!$C$4</f>
        <v>2518.0814215662203</v>
      </c>
      <c r="E432" s="340">
        <f>+'Volumen de gas'!$C$1*Tabla!D432/14.7*520/'Volumen de gas'!$C$2*'Volumen de gas'!$C$4/'Volumen de gas'!$C$3</f>
        <v>38856.928407976164</v>
      </c>
      <c r="F432" s="340">
        <f t="shared" si="8"/>
        <v>360.6211453176442</v>
      </c>
    </row>
    <row r="433" spans="1:6" ht="12.75">
      <c r="A433" s="317">
        <v>108</v>
      </c>
      <c r="B433" s="339">
        <f>+('Presiones de casing'!$C$2+14.7+'Presiones de casing'!$C$3+('Presiones de casing'!$C$4+'Presiones de casing'!$C$8)*A433)*(1+'Presiones de casing'!$C$7/'Presiones de casing'!$C$13)</f>
        <v>9819.240060970678</v>
      </c>
      <c r="C433" s="339">
        <f>+B433*(Columna!$G$9+Columna!$B$7)/Columna!$G$9</f>
        <v>11697.925475633994</v>
      </c>
      <c r="D433" s="340">
        <f>+B433-A433*'Presiones de casing'!$C$4</f>
        <v>2523.5394927533425</v>
      </c>
      <c r="E433" s="340">
        <f>+'Volumen de gas'!$C$1*Tabla!D433/14.7*520/'Volumen de gas'!$C$2*'Volumen de gas'!$C$4/'Volumen de gas'!$C$3</f>
        <v>38941.15280181317</v>
      </c>
      <c r="F433" s="340">
        <f t="shared" si="8"/>
        <v>360.56622964641826</v>
      </c>
    </row>
    <row r="434" spans="1:6" ht="12.75">
      <c r="A434" s="317">
        <v>108.25</v>
      </c>
      <c r="B434" s="339">
        <f>+('Presiones de casing'!$C$2+14.7+'Presiones de casing'!$C$3+('Presiones de casing'!$C$4+'Presiones de casing'!$C$8)*A434)*(1+'Presiones de casing'!$C$7/'Presiones de casing'!$C$13)</f>
        <v>9841.586327917561</v>
      </c>
      <c r="C434" s="339">
        <f>+B434*(Columna!$G$9+Columna!$B$7)/Columna!$G$9</f>
        <v>11724.547186049476</v>
      </c>
      <c r="D434" s="340">
        <f>+B434-A434*'Presiones de casing'!$C$4</f>
        <v>2528.997563940463</v>
      </c>
      <c r="E434" s="340">
        <f>+'Volumen de gas'!$C$1*Tabla!D434/14.7*520/'Volumen de gas'!$C$2*'Volumen de gas'!$C$4/'Volumen de gas'!$C$3</f>
        <v>39025.37719565015</v>
      </c>
      <c r="F434" s="340">
        <f t="shared" si="8"/>
        <v>360.51156762725316</v>
      </c>
    </row>
    <row r="435" spans="1:6" ht="12.75">
      <c r="A435" s="317">
        <v>108.5</v>
      </c>
      <c r="B435" s="339">
        <f>+('Presiones de casing'!$C$2+14.7+'Presiones de casing'!$C$3+('Presiones de casing'!$C$4+'Presiones de casing'!$C$8)*A435)*(1+'Presiones de casing'!$C$7/'Presiones de casing'!$C$13)</f>
        <v>9863.932594864445</v>
      </c>
      <c r="C435" s="339">
        <f>+B435*(Columna!$G$9+Columna!$B$7)/Columna!$G$9</f>
        <v>11751.16889646496</v>
      </c>
      <c r="D435" s="340">
        <f>+B435-A435*'Presiones de casing'!$C$4</f>
        <v>2534.455635127585</v>
      </c>
      <c r="E435" s="340">
        <f>+'Volumen de gas'!$C$1*Tabla!D435/14.7*520/'Volumen de gas'!$C$2*'Volumen de gas'!$C$4/'Volumen de gas'!$C$3</f>
        <v>39109.60158948715</v>
      </c>
      <c r="F435" s="340">
        <f t="shared" si="8"/>
        <v>360.45715750679403</v>
      </c>
    </row>
    <row r="436" spans="1:6" ht="12.75">
      <c r="A436" s="317">
        <v>108.75</v>
      </c>
      <c r="B436" s="339">
        <f>+('Presiones de casing'!$C$2+14.7+'Presiones de casing'!$C$3+('Presiones de casing'!$C$4+'Presiones de casing'!$C$8)*A436)*(1+'Presiones de casing'!$C$7/'Presiones de casing'!$C$13)</f>
        <v>9886.278861811328</v>
      </c>
      <c r="C436" s="339">
        <f>+B436*(Columna!$G$9+Columna!$B$7)/Columna!$G$9</f>
        <v>11777.79060688044</v>
      </c>
      <c r="D436" s="340">
        <f>+B436-A436*'Presiones de casing'!$C$4</f>
        <v>2539.9137063147055</v>
      </c>
      <c r="E436" s="340">
        <f>+'Volumen de gas'!$C$1*Tabla!D436/14.7*520/'Volumen de gas'!$C$2*'Volumen de gas'!$C$4/'Volumen de gas'!$C$3</f>
        <v>39193.82598332413</v>
      </c>
      <c r="F436" s="340">
        <f t="shared" si="8"/>
        <v>360.4029975478081</v>
      </c>
    </row>
    <row r="437" spans="1:6" ht="12.75">
      <c r="A437" s="317">
        <v>109</v>
      </c>
      <c r="B437" s="339">
        <f>+('Presiones de casing'!$C$2+14.7+'Presiones de casing'!$C$3+('Presiones de casing'!$C$4+'Presiones de casing'!$C$8)*A437)*(1+'Presiones de casing'!$C$7/'Presiones de casing'!$C$13)</f>
        <v>9908.625128758213</v>
      </c>
      <c r="C437" s="339">
        <f>+B437*(Columna!$G$9+Columna!$B$7)/Columna!$G$9</f>
        <v>11804.412317295926</v>
      </c>
      <c r="D437" s="340">
        <f>+B437-A437*'Presiones de casing'!$C$4</f>
        <v>2545.3717775018276</v>
      </c>
      <c r="E437" s="340">
        <f>+'Volumen de gas'!$C$1*Tabla!D437/14.7*520/'Volumen de gas'!$C$2*'Volumen de gas'!$C$4/'Volumen de gas'!$C$3</f>
        <v>39278.05037716113</v>
      </c>
      <c r="F437" s="340">
        <f t="shared" si="8"/>
        <v>360.3490860290012</v>
      </c>
    </row>
    <row r="438" spans="1:6" ht="12.75">
      <c r="A438" s="317">
        <v>109.25</v>
      </c>
      <c r="B438" s="339">
        <f>+('Presiones de casing'!$C$2+14.7+'Presiones de casing'!$C$3+('Presiones de casing'!$C$4+'Presiones de casing'!$C$8)*A438)*(1+'Presiones de casing'!$C$7/'Presiones de casing'!$C$13)</f>
        <v>9930.971395705095</v>
      </c>
      <c r="C438" s="339">
        <f>+B438*(Columna!$G$9+Columna!$B$7)/Columna!$G$9</f>
        <v>11831.034027711406</v>
      </c>
      <c r="D438" s="340">
        <f>+B438-A438*'Presiones de casing'!$C$4</f>
        <v>2550.829848688948</v>
      </c>
      <c r="E438" s="340">
        <f>+'Volumen de gas'!$C$1*Tabla!D438/14.7*520/'Volumen de gas'!$C$2*'Volumen de gas'!$C$4/'Volumen de gas'!$C$3</f>
        <v>39362.27477099813</v>
      </c>
      <c r="F438" s="340">
        <f t="shared" si="8"/>
        <v>360.29542124483413</v>
      </c>
    </row>
    <row r="439" spans="1:6" ht="12.75">
      <c r="A439" s="317">
        <v>109.5</v>
      </c>
      <c r="B439" s="339">
        <f>+('Presiones de casing'!$C$2+14.7+'Presiones de casing'!$C$3+('Presiones de casing'!$C$4+'Presiones de casing'!$C$8)*A439)*(1+'Presiones de casing'!$C$7/'Presiones de casing'!$C$13)</f>
        <v>9953.317662651978</v>
      </c>
      <c r="C439" s="339">
        <f>+B439*(Columna!$G$9+Columna!$B$7)/Columna!$G$9</f>
        <v>11857.655738126889</v>
      </c>
      <c r="D439" s="340">
        <f>+B439-A439*'Presiones de casing'!$C$4</f>
        <v>2556.2879198760684</v>
      </c>
      <c r="E439" s="340">
        <f>+'Volumen de gas'!$C$1*Tabla!D439/14.7*520/'Volumen de gas'!$C$2*'Volumen de gas'!$C$4/'Volumen de gas'!$C$3</f>
        <v>39446.499164835106</v>
      </c>
      <c r="F439" s="340">
        <f t="shared" si="8"/>
        <v>360.2420015053434</v>
      </c>
    </row>
    <row r="440" spans="1:6" ht="12.75">
      <c r="A440" s="317">
        <v>109.75</v>
      </c>
      <c r="B440" s="339">
        <f>+('Presiones de casing'!$C$2+14.7+'Presiones de casing'!$C$3+('Presiones de casing'!$C$4+'Presiones de casing'!$C$8)*A440)*(1+'Presiones de casing'!$C$7/'Presiones de casing'!$C$13)</f>
        <v>9975.66392959886</v>
      </c>
      <c r="C440" s="339">
        <f>+B440*(Columna!$G$9+Columna!$B$7)/Columna!$G$9</f>
        <v>11884.277448542369</v>
      </c>
      <c r="D440" s="340">
        <f>+B440-A440*'Presiones de casing'!$C$4</f>
        <v>2561.7459910631887</v>
      </c>
      <c r="E440" s="340">
        <f>+'Volumen de gas'!$C$1*Tabla!D440/14.7*520/'Volumen de gas'!$C$2*'Volumen de gas'!$C$4/'Volumen de gas'!$C$3</f>
        <v>39530.72355867207</v>
      </c>
      <c r="F440" s="340">
        <f t="shared" si="8"/>
        <v>360.1888251359642</v>
      </c>
    </row>
    <row r="441" spans="1:6" ht="12.75">
      <c r="A441" s="317">
        <v>110</v>
      </c>
      <c r="B441" s="339">
        <f>+('Presiones de casing'!$C$2+14.7+'Presiones de casing'!$C$3+('Presiones de casing'!$C$4+'Presiones de casing'!$C$8)*A441)*(1+'Presiones de casing'!$C$7/'Presiones de casing'!$C$13)</f>
        <v>9998.010196545743</v>
      </c>
      <c r="C441" s="339">
        <f>+B441*(Columna!$G$9+Columna!$B$7)/Columna!$G$9</f>
        <v>11910.89915895785</v>
      </c>
      <c r="D441" s="340">
        <f>+B441-A441*'Presiones de casing'!$C$4</f>
        <v>2567.204062250309</v>
      </c>
      <c r="E441" s="340">
        <f>+'Volumen de gas'!$C$1*Tabla!D441/14.7*520/'Volumen de gas'!$C$2*'Volumen de gas'!$C$4/'Volumen de gas'!$C$3</f>
        <v>39614.947952509065</v>
      </c>
      <c r="F441" s="340">
        <f t="shared" si="8"/>
        <v>360.13589047735513</v>
      </c>
    </row>
    <row r="442" spans="1:6" ht="12.75">
      <c r="A442" s="317">
        <v>110.25</v>
      </c>
      <c r="B442" s="339">
        <f>+('Presiones de casing'!$C$2+14.7+'Presiones de casing'!$C$3+('Presiones de casing'!$C$4+'Presiones de casing'!$C$8)*A442)*(1+'Presiones de casing'!$C$7/'Presiones de casing'!$C$13)</f>
        <v>10020.356463492628</v>
      </c>
      <c r="C442" s="339">
        <f>+B442*(Columna!$G$9+Columna!$B$7)/Columna!$G$9</f>
        <v>11937.520869373337</v>
      </c>
      <c r="D442" s="340">
        <f>+B442-A442*'Presiones de casing'!$C$4</f>
        <v>2572.6621334374313</v>
      </c>
      <c r="E442" s="340">
        <f>+'Volumen de gas'!$C$1*Tabla!D442/14.7*520/'Volumen de gas'!$C$2*'Volumen de gas'!$C$4/'Volumen de gas'!$C$3</f>
        <v>39699.172346346066</v>
      </c>
      <c r="F442" s="340">
        <f t="shared" si="8"/>
        <v>360.0831958852251</v>
      </c>
    </row>
    <row r="443" spans="1:6" ht="12.75">
      <c r="A443" s="317">
        <v>110.5</v>
      </c>
      <c r="B443" s="339">
        <f>+('Presiones de casing'!$C$2+14.7+'Presiones de casing'!$C$3+('Presiones de casing'!$C$4+'Presiones de casing'!$C$8)*A443)*(1+'Presiones de casing'!$C$7/'Presiones de casing'!$C$13)</f>
        <v>10042.70273043951</v>
      </c>
      <c r="C443" s="339">
        <f>+B443*(Columna!$G$9+Columna!$B$7)/Columna!$G$9</f>
        <v>11964.142579788815</v>
      </c>
      <c r="D443" s="340">
        <f>+B443-A443*'Presiones de casing'!$C$4</f>
        <v>2578.1202046245517</v>
      </c>
      <c r="E443" s="340">
        <f>+'Volumen de gas'!$C$1*Tabla!D443/14.7*520/'Volumen de gas'!$C$2*'Volumen de gas'!$C$4/'Volumen de gas'!$C$3</f>
        <v>39783.396740183045</v>
      </c>
      <c r="F443" s="340">
        <f t="shared" si="8"/>
        <v>360.0307397301633</v>
      </c>
    </row>
    <row r="444" spans="1:6" ht="12.75">
      <c r="A444" s="317">
        <v>110.75</v>
      </c>
      <c r="B444" s="339">
        <f>+('Presiones de casing'!$C$2+14.7+'Presiones de casing'!$C$3+('Presiones de casing'!$C$4+'Presiones de casing'!$C$8)*A444)*(1+'Presiones de casing'!$C$7/'Presiones de casing'!$C$13)</f>
        <v>10065.048997386395</v>
      </c>
      <c r="C444" s="339">
        <f>+B444*(Columna!$G$9+Columna!$B$7)/Columna!$G$9</f>
        <v>11990.7642902043</v>
      </c>
      <c r="D444" s="340">
        <f>+B444-A444*'Presiones de casing'!$C$4</f>
        <v>2583.578275811674</v>
      </c>
      <c r="E444" s="340">
        <f>+'Volumen de gas'!$C$1*Tabla!D444/14.7*520/'Volumen de gas'!$C$2*'Volumen de gas'!$C$4/'Volumen de gas'!$C$3</f>
        <v>39867.621134020046</v>
      </c>
      <c r="F444" s="340">
        <f t="shared" si="8"/>
        <v>359.9785203974722</v>
      </c>
    </row>
    <row r="445" spans="1:6" ht="12.75">
      <c r="A445" s="317">
        <v>111</v>
      </c>
      <c r="B445" s="339">
        <f>+('Presiones de casing'!$C$2+14.7+'Presiones de casing'!$C$3+('Presiones de casing'!$C$4+'Presiones de casing'!$C$8)*A445)*(1+'Presiones de casing'!$C$7/'Presiones de casing'!$C$13)</f>
        <v>10087.395264333278</v>
      </c>
      <c r="C445" s="339">
        <f>+B445*(Columna!$G$9+Columna!$B$7)/Columna!$G$9</f>
        <v>12017.386000619781</v>
      </c>
      <c r="D445" s="340">
        <f>+B445-A445*'Presiones de casing'!$C$4</f>
        <v>2589.036346998794</v>
      </c>
      <c r="E445" s="340">
        <f>+'Volumen de gas'!$C$1*Tabla!D445/14.7*520/'Volumen de gas'!$C$2*'Volumen de gas'!$C$4/'Volumen de gas'!$C$3</f>
        <v>39951.845527857025</v>
      </c>
      <c r="F445" s="340">
        <f t="shared" si="8"/>
        <v>359.9265362870002</v>
      </c>
    </row>
    <row r="446" spans="1:6" ht="12.75">
      <c r="A446" s="317">
        <v>111.25</v>
      </c>
      <c r="B446" s="339">
        <f>+('Presiones de casing'!$C$2+14.7+'Presiones de casing'!$C$3+('Presiones de casing'!$C$4+'Presiones de casing'!$C$8)*A446)*(1+'Presiones de casing'!$C$7/'Presiones de casing'!$C$13)</f>
        <v>10109.74153128016</v>
      </c>
      <c r="C446" s="339">
        <f>+B446*(Columna!$G$9+Columna!$B$7)/Columna!$G$9</f>
        <v>12044.007711035263</v>
      </c>
      <c r="D446" s="340">
        <f>+B446-A446*'Presiones de casing'!$C$4</f>
        <v>2594.4944181859146</v>
      </c>
      <c r="E446" s="340">
        <f>+'Volumen de gas'!$C$1*Tabla!D446/14.7*520/'Volumen de gas'!$C$2*'Volumen de gas'!$C$4/'Volumen de gas'!$C$3</f>
        <v>40036.069921694005</v>
      </c>
      <c r="F446" s="340">
        <f t="shared" si="8"/>
        <v>359.87478581297984</v>
      </c>
    </row>
    <row r="447" spans="1:6" ht="12.75">
      <c r="A447" s="317">
        <v>111.5</v>
      </c>
      <c r="B447" s="339">
        <f>+('Presiones de casing'!$C$2+14.7+'Presiones de casing'!$C$3+('Presiones de casing'!$C$4+'Presiones de casing'!$C$8)*A447)*(1+'Presiones de casing'!$C$7/'Presiones de casing'!$C$13)</f>
        <v>10132.087798227045</v>
      </c>
      <c r="C447" s="339">
        <f>+B447*(Columna!$G$9+Columna!$B$7)/Columna!$G$9</f>
        <v>12070.629421450745</v>
      </c>
      <c r="D447" s="340">
        <f>+B447-A447*'Presiones de casing'!$C$4</f>
        <v>2599.9524893730368</v>
      </c>
      <c r="E447" s="340">
        <f>+'Volumen de gas'!$C$1*Tabla!D447/14.7*520/'Volumen de gas'!$C$2*'Volumen de gas'!$C$4/'Volumen de gas'!$C$3</f>
        <v>40120.29431553102</v>
      </c>
      <c r="F447" s="340">
        <f t="shared" si="8"/>
        <v>359.82326740386566</v>
      </c>
    </row>
    <row r="448" spans="1:6" ht="12.75">
      <c r="A448" s="317">
        <v>111.75</v>
      </c>
      <c r="B448" s="339">
        <f>+('Presiones de casing'!$C$2+14.7+'Presiones de casing'!$C$3+('Presiones de casing'!$C$4+'Presiones de casing'!$C$8)*A448)*(1+'Presiones de casing'!$C$7/'Presiones de casing'!$C$13)</f>
        <v>10154.434065173928</v>
      </c>
      <c r="C448" s="339">
        <f>+B448*(Columna!$G$9+Columna!$B$7)/Columna!$G$9</f>
        <v>12097.25113186623</v>
      </c>
      <c r="D448" s="340">
        <f>+B448-A448*'Presiones de casing'!$C$4</f>
        <v>2605.410560560157</v>
      </c>
      <c r="E448" s="340">
        <f>+'Volumen de gas'!$C$1*Tabla!D448/14.7*520/'Volumen de gas'!$C$2*'Volumen de gas'!$C$4/'Volumen de gas'!$C$3</f>
        <v>40204.518709368</v>
      </c>
      <c r="F448" s="340">
        <f t="shared" si="8"/>
        <v>359.7719795021745</v>
      </c>
    </row>
    <row r="449" spans="1:6" ht="12.75">
      <c r="A449" s="317">
        <v>112</v>
      </c>
      <c r="B449" s="339">
        <f>+('Presiones de casing'!$C$2+14.7+'Presiones de casing'!$C$3+('Presiones de casing'!$C$4+'Presiones de casing'!$C$8)*A449)*(1+'Presiones de casing'!$C$7/'Presiones de casing'!$C$13)</f>
        <v>10176.78033212081</v>
      </c>
      <c r="C449" s="339">
        <f>+B449*(Columna!$G$9+Columna!$B$7)/Columna!$G$9</f>
        <v>12123.872842281711</v>
      </c>
      <c r="D449" s="340">
        <f>+B449-A449*'Presiones de casing'!$C$4</f>
        <v>2610.8686317472775</v>
      </c>
      <c r="E449" s="340">
        <f>+'Volumen de gas'!$C$1*Tabla!D449/14.7*520/'Volumen de gas'!$C$2*'Volumen de gas'!$C$4/'Volumen de gas'!$C$3</f>
        <v>40288.74310320498</v>
      </c>
      <c r="F449" s="340">
        <f aca="true" t="shared" si="9" ref="F449:F512">+E449/A449</f>
        <v>359.7209205643302</v>
      </c>
    </row>
    <row r="450" spans="1:6" ht="12.75">
      <c r="A450" s="317">
        <v>112.25</v>
      </c>
      <c r="B450" s="339">
        <f>+('Presiones de casing'!$C$2+14.7+'Presiones de casing'!$C$3+('Presiones de casing'!$C$4+'Presiones de casing'!$C$8)*A450)*(1+'Presiones de casing'!$C$7/'Presiones de casing'!$C$13)</f>
        <v>10199.126599067693</v>
      </c>
      <c r="C450" s="339">
        <f>+B450*(Columna!$G$9+Columna!$B$7)/Columna!$G$9</f>
        <v>12150.494552697191</v>
      </c>
      <c r="D450" s="340">
        <f>+B450-A450*'Presiones de casing'!$C$4</f>
        <v>2616.326702934398</v>
      </c>
      <c r="E450" s="340">
        <f>+'Volumen de gas'!$C$1*Tabla!D450/14.7*520/'Volumen de gas'!$C$2*'Volumen de gas'!$C$4/'Volumen de gas'!$C$3</f>
        <v>40372.96749704196</v>
      </c>
      <c r="F450" s="340">
        <f t="shared" si="9"/>
        <v>359.67008906050745</v>
      </c>
    </row>
    <row r="451" spans="1:6" ht="12.75">
      <c r="A451" s="317">
        <v>112.5</v>
      </c>
      <c r="B451" s="339">
        <f>+('Presiones de casing'!$C$2+14.7+'Presiones de casing'!$C$3+('Presiones de casing'!$C$4+'Presiones de casing'!$C$8)*A451)*(1+'Presiones de casing'!$C$7/'Presiones de casing'!$C$13)</f>
        <v>10221.472866014577</v>
      </c>
      <c r="C451" s="339">
        <f>+B451*(Columna!$G$9+Columna!$B$7)/Columna!$G$9</f>
        <v>12177.116263112675</v>
      </c>
      <c r="D451" s="340">
        <f>+B451-A451*'Presiones de casing'!$C$4</f>
        <v>2621.78477412152</v>
      </c>
      <c r="E451" s="340">
        <f>+'Volumen de gas'!$C$1*Tabla!D451/14.7*520/'Volumen de gas'!$C$2*'Volumen de gas'!$C$4/'Volumen de gas'!$C$3</f>
        <v>40457.19189087895</v>
      </c>
      <c r="F451" s="340">
        <f t="shared" si="9"/>
        <v>359.6194834744796</v>
      </c>
    </row>
    <row r="452" spans="1:6" ht="12.75">
      <c r="A452" s="317">
        <v>112.75</v>
      </c>
      <c r="B452" s="339">
        <f>+('Presiones de casing'!$C$2+14.7+'Presiones de casing'!$C$3+('Presiones de casing'!$C$4+'Presiones de casing'!$C$8)*A452)*(1+'Presiones de casing'!$C$7/'Presiones de casing'!$C$13)</f>
        <v>10243.81913296146</v>
      </c>
      <c r="C452" s="339">
        <f>+B452*(Columna!$G$9+Columna!$B$7)/Columna!$G$9</f>
        <v>12203.737973528156</v>
      </c>
      <c r="D452" s="340">
        <f>+B452-A452*'Presiones de casing'!$C$4</f>
        <v>2627.2428453086404</v>
      </c>
      <c r="E452" s="340">
        <f>+'Volumen de gas'!$C$1*Tabla!D452/14.7*520/'Volumen de gas'!$C$2*'Volumen de gas'!$C$4/'Volumen de gas'!$C$3</f>
        <v>40541.41628471594</v>
      </c>
      <c r="F452" s="340">
        <f t="shared" si="9"/>
        <v>359.56910230346733</v>
      </c>
    </row>
    <row r="453" spans="1:6" ht="12.75">
      <c r="A453" s="317">
        <v>113</v>
      </c>
      <c r="B453" s="339">
        <f>+('Presiones de casing'!$C$2+14.7+'Presiones de casing'!$C$3+('Presiones de casing'!$C$4+'Presiones de casing'!$C$8)*A453)*(1+'Presiones de casing'!$C$7/'Presiones de casing'!$C$13)</f>
        <v>10266.165399908343</v>
      </c>
      <c r="C453" s="339">
        <f>+B453*(Columna!$G$9+Columna!$B$7)/Columna!$G$9</f>
        <v>12230.359683943638</v>
      </c>
      <c r="D453" s="340">
        <f>+B453-A453*'Presiones de casing'!$C$4</f>
        <v>2632.700916495761</v>
      </c>
      <c r="E453" s="340">
        <f>+'Volumen de gas'!$C$1*Tabla!D453/14.7*520/'Volumen de gas'!$C$2*'Volumen de gas'!$C$4/'Volumen de gas'!$C$3</f>
        <v>40625.64067855292</v>
      </c>
      <c r="F453" s="340">
        <f t="shared" si="9"/>
        <v>359.51894405799044</v>
      </c>
    </row>
    <row r="454" spans="1:6" ht="12.75">
      <c r="A454" s="317">
        <v>113.25</v>
      </c>
      <c r="B454" s="339">
        <f>+('Presiones de casing'!$C$2+14.7+'Presiones de casing'!$C$3+('Presiones de casing'!$C$4+'Presiones de casing'!$C$8)*A454)*(1+'Presiones de casing'!$C$7/'Presiones de casing'!$C$13)</f>
        <v>10288.511666855227</v>
      </c>
      <c r="C454" s="339">
        <f>+B454*(Columna!$G$9+Columna!$B$7)/Columna!$G$9</f>
        <v>12256.981394359123</v>
      </c>
      <c r="D454" s="340">
        <f>+B454-A454*'Presiones de casing'!$C$4</f>
        <v>2638.158987682883</v>
      </c>
      <c r="E454" s="340">
        <f>+'Volumen de gas'!$C$1*Tabla!D454/14.7*520/'Volumen de gas'!$C$2*'Volumen de gas'!$C$4/'Volumen de gas'!$C$3</f>
        <v>40709.865072389926</v>
      </c>
      <c r="F454" s="340">
        <f t="shared" si="9"/>
        <v>359.46900726172123</v>
      </c>
    </row>
    <row r="455" spans="1:6" ht="12.75">
      <c r="A455" s="317">
        <v>113.5</v>
      </c>
      <c r="B455" s="339">
        <f>+('Presiones de casing'!$C$2+14.7+'Presiones de casing'!$C$3+('Presiones de casing'!$C$4+'Presiones de casing'!$C$8)*A455)*(1+'Presiones de casing'!$C$7/'Presiones de casing'!$C$13)</f>
        <v>10310.85793380211</v>
      </c>
      <c r="C455" s="339">
        <f>+B455*(Columna!$G$9+Columna!$B$7)/Columna!$G$9</f>
        <v>12283.603104774604</v>
      </c>
      <c r="D455" s="340">
        <f>+B455-A455*'Presiones de casing'!$C$4</f>
        <v>2643.6170588700024</v>
      </c>
      <c r="E455" s="340">
        <f>+'Volumen de gas'!$C$1*Tabla!D455/14.7*520/'Volumen de gas'!$C$2*'Volumen de gas'!$C$4/'Volumen de gas'!$C$3</f>
        <v>40794.08946622689</v>
      </c>
      <c r="F455" s="340">
        <f t="shared" si="9"/>
        <v>359.41929045133827</v>
      </c>
    </row>
    <row r="456" spans="1:6" ht="12.75">
      <c r="A456" s="317">
        <v>113.75</v>
      </c>
      <c r="B456" s="339">
        <f>+('Presiones de casing'!$C$2+14.7+'Presiones de casing'!$C$3+('Presiones de casing'!$C$4+'Presiones de casing'!$C$8)*A456)*(1+'Presiones de casing'!$C$7/'Presiones de casing'!$C$13)</f>
        <v>10333.204200748994</v>
      </c>
      <c r="C456" s="339">
        <f>+B456*(Columna!$G$9+Columna!$B$7)/Columna!$G$9</f>
        <v>12310.224815190088</v>
      </c>
      <c r="D456" s="340">
        <f>+B456-A456*'Presiones de casing'!$C$4</f>
        <v>2649.0751300571246</v>
      </c>
      <c r="E456" s="340">
        <f>+'Volumen de gas'!$C$1*Tabla!D456/14.7*520/'Volumen de gas'!$C$2*'Volumen de gas'!$C$4/'Volumen de gas'!$C$3</f>
        <v>40878.3138600639</v>
      </c>
      <c r="F456" s="340">
        <f t="shared" si="9"/>
        <v>359.36979217638594</v>
      </c>
    </row>
    <row r="457" spans="1:6" ht="12.75">
      <c r="A457" s="317">
        <v>114</v>
      </c>
      <c r="B457" s="339">
        <f>+('Presiones de casing'!$C$2+14.7+'Presiones de casing'!$C$3+('Presiones de casing'!$C$4+'Presiones de casing'!$C$8)*A457)*(1+'Presiones de casing'!$C$7/'Presiones de casing'!$C$13)</f>
        <v>10355.550467695877</v>
      </c>
      <c r="C457" s="339">
        <f>+B457*(Columna!$G$9+Columna!$B$7)/Columna!$G$9</f>
        <v>12336.846525605568</v>
      </c>
      <c r="D457" s="340">
        <f>+B457-A457*'Presiones de casing'!$C$4</f>
        <v>2654.533201244245</v>
      </c>
      <c r="E457" s="340">
        <f>+'Volumen de gas'!$C$1*Tabla!D457/14.7*520/'Volumen de gas'!$C$2*'Volumen de gas'!$C$4/'Volumen de gas'!$C$3</f>
        <v>40962.538253900886</v>
      </c>
      <c r="F457" s="340">
        <f t="shared" si="9"/>
        <v>359.3205109991306</v>
      </c>
    </row>
    <row r="458" spans="1:6" ht="12.75">
      <c r="A458" s="317">
        <v>114.25</v>
      </c>
      <c r="B458" s="339">
        <f>+('Presiones de casing'!$C$2+14.7+'Presiones de casing'!$C$3+('Presiones de casing'!$C$4+'Presiones de casing'!$C$8)*A458)*(1+'Presiones de casing'!$C$7/'Presiones de casing'!$C$13)</f>
        <v>10377.896734642762</v>
      </c>
      <c r="C458" s="339">
        <f>+B458*(Columna!$G$9+Columna!$B$7)/Columna!$G$9</f>
        <v>12363.468236021054</v>
      </c>
      <c r="D458" s="340">
        <f>+B458-A458*'Presiones de casing'!$C$4</f>
        <v>2659.991272431367</v>
      </c>
      <c r="E458" s="340">
        <f>+'Volumen de gas'!$C$1*Tabla!D458/14.7*520/'Volumen de gas'!$C$2*'Volumen de gas'!$C$4/'Volumen de gas'!$C$3</f>
        <v>41046.76264773789</v>
      </c>
      <c r="F458" s="340">
        <f t="shared" si="9"/>
        <v>359.2714454944235</v>
      </c>
    </row>
    <row r="459" spans="1:6" ht="12.75">
      <c r="A459" s="317">
        <v>114.5</v>
      </c>
      <c r="B459" s="339">
        <f>+('Presiones de casing'!$C$2+14.7+'Presiones de casing'!$C$3+('Presiones de casing'!$C$4+'Presiones de casing'!$C$8)*A459)*(1+'Presiones de casing'!$C$7/'Presiones de casing'!$C$13)</f>
        <v>10400.243001589643</v>
      </c>
      <c r="C459" s="339">
        <f>+B459*(Columna!$G$9+Columna!$B$7)/Columna!$G$9</f>
        <v>12390.089946436534</v>
      </c>
      <c r="D459" s="340">
        <f>+B459-A459*'Presiones de casing'!$C$4</f>
        <v>2665.4493436184857</v>
      </c>
      <c r="E459" s="340">
        <f>+'Volumen de gas'!$C$1*Tabla!D459/14.7*520/'Volumen de gas'!$C$2*'Volumen de gas'!$C$4/'Volumen de gas'!$C$3</f>
        <v>41130.987041574845</v>
      </c>
      <c r="F459" s="340">
        <f t="shared" si="9"/>
        <v>359.22259424956195</v>
      </c>
    </row>
    <row r="460" spans="1:6" ht="12.75">
      <c r="A460" s="317">
        <v>114.75</v>
      </c>
      <c r="B460" s="339">
        <f>+('Presiones de casing'!$C$2+14.7+'Presiones de casing'!$C$3+('Presiones de casing'!$C$4+'Presiones de casing'!$C$8)*A460)*(1+'Presiones de casing'!$C$7/'Presiones de casing'!$C$13)</f>
        <v>10422.589268536527</v>
      </c>
      <c r="C460" s="339">
        <f>+B460*(Columna!$G$9+Columna!$B$7)/Columna!$G$9</f>
        <v>12416.711656852016</v>
      </c>
      <c r="D460" s="340">
        <f>+B460-A460*'Presiones de casing'!$C$4</f>
        <v>2670.907414805608</v>
      </c>
      <c r="E460" s="340">
        <f>+'Volumen de gas'!$C$1*Tabla!D460/14.7*520/'Volumen de gas'!$C$2*'Volumen de gas'!$C$4/'Volumen de gas'!$C$3</f>
        <v>41215.211435411846</v>
      </c>
      <c r="F460" s="340">
        <f t="shared" si="9"/>
        <v>359.1739558641555</v>
      </c>
    </row>
    <row r="461" spans="1:6" ht="12.75">
      <c r="A461" s="317">
        <v>115</v>
      </c>
      <c r="B461" s="339">
        <f>+('Presiones de casing'!$C$2+14.7+'Presiones de casing'!$C$3+('Presiones de casing'!$C$4+'Presiones de casing'!$C$8)*A461)*(1+'Presiones de casing'!$C$7/'Presiones de casing'!$C$13)</f>
        <v>10444.93553548341</v>
      </c>
      <c r="C461" s="339">
        <f>+B461*(Columna!$G$9+Columna!$B$7)/Columna!$G$9</f>
        <v>12443.333367267498</v>
      </c>
      <c r="D461" s="340">
        <f>+B461-A461*'Presiones de casing'!$C$4</f>
        <v>2676.3654859927283</v>
      </c>
      <c r="E461" s="340">
        <f>+'Volumen de gas'!$C$1*Tabla!D461/14.7*520/'Volumen de gas'!$C$2*'Volumen de gas'!$C$4/'Volumen de gas'!$C$3</f>
        <v>41299.435829248825</v>
      </c>
      <c r="F461" s="340">
        <f t="shared" si="9"/>
        <v>359.12552894998976</v>
      </c>
    </row>
    <row r="462" spans="1:6" ht="12.75">
      <c r="A462" s="317">
        <v>115.25</v>
      </c>
      <c r="B462" s="339">
        <f>+('Presiones de casing'!$C$2+14.7+'Presiones de casing'!$C$3+('Presiones de casing'!$C$4+'Presiones de casing'!$C$8)*A462)*(1+'Presiones de casing'!$C$7/'Presiones de casing'!$C$13)</f>
        <v>10467.281802430292</v>
      </c>
      <c r="C462" s="339">
        <f>+B462*(Columna!$G$9+Columna!$B$7)/Columna!$G$9</f>
        <v>12469.955077682978</v>
      </c>
      <c r="D462" s="340">
        <f>+B462-A462*'Presiones de casing'!$C$4</f>
        <v>2681.8235571798486</v>
      </c>
      <c r="E462" s="340">
        <f>+'Volumen de gas'!$C$1*Tabla!D462/14.7*520/'Volumen de gas'!$C$2*'Volumen de gas'!$C$4/'Volumen de gas'!$C$3</f>
        <v>41383.660223085804</v>
      </c>
      <c r="F462" s="340">
        <f t="shared" si="9"/>
        <v>359.07731213089636</v>
      </c>
    </row>
    <row r="463" spans="1:6" ht="12.75">
      <c r="A463" s="317">
        <v>115.5</v>
      </c>
      <c r="B463" s="339">
        <f>+('Presiones de casing'!$C$2+14.7+'Presiones de casing'!$C$3+('Presiones de casing'!$C$4+'Presiones de casing'!$C$8)*A463)*(1+'Presiones de casing'!$C$7/'Presiones de casing'!$C$13)</f>
        <v>10489.628069377177</v>
      </c>
      <c r="C463" s="339">
        <f>+B463*(Columna!$G$9+Columna!$B$7)/Columna!$G$9</f>
        <v>12496.576788098462</v>
      </c>
      <c r="D463" s="340">
        <f>+B463-A463*'Presiones de casing'!$C$4</f>
        <v>2687.281628366971</v>
      </c>
      <c r="E463" s="340">
        <f>+'Volumen de gas'!$C$1*Tabla!D463/14.7*520/'Volumen de gas'!$C$2*'Volumen de gas'!$C$4/'Volumen de gas'!$C$3</f>
        <v>41467.8846169228</v>
      </c>
      <c r="F463" s="340">
        <f t="shared" si="9"/>
        <v>359.0293040426216</v>
      </c>
    </row>
    <row r="464" spans="1:6" ht="12.75">
      <c r="A464" s="317">
        <v>115.75</v>
      </c>
      <c r="B464" s="339">
        <f>+('Presiones de casing'!$C$2+14.7+'Presiones de casing'!$C$3+('Presiones de casing'!$C$4+'Presiones de casing'!$C$8)*A464)*(1+'Presiones de casing'!$C$7/'Presiones de casing'!$C$13)</f>
        <v>10511.97433632406</v>
      </c>
      <c r="C464" s="339">
        <f>+B464*(Columna!$G$9+Columna!$B$7)/Columna!$G$9</f>
        <v>12523.198498513942</v>
      </c>
      <c r="D464" s="340">
        <f>+B464-A464*'Presiones de casing'!$C$4</f>
        <v>2692.739699554091</v>
      </c>
      <c r="E464" s="340">
        <f>+'Volumen de gas'!$C$1*Tabla!D464/14.7*520/'Volumen de gas'!$C$2*'Volumen de gas'!$C$4/'Volumen de gas'!$C$3</f>
        <v>41552.1090107598</v>
      </c>
      <c r="F464" s="340">
        <f t="shared" si="9"/>
        <v>358.981503332698</v>
      </c>
    </row>
    <row r="465" spans="1:6" ht="12.75">
      <c r="A465" s="317">
        <v>116</v>
      </c>
      <c r="B465" s="339">
        <f>+('Presiones de casing'!$C$2+14.7+'Presiones de casing'!$C$3+('Presiones de casing'!$C$4+'Presiones de casing'!$C$8)*A465)*(1+'Presiones de casing'!$C$7/'Presiones de casing'!$C$13)</f>
        <v>10534.320603270944</v>
      </c>
      <c r="C465" s="339">
        <f>+B465*(Columna!$G$9+Columna!$B$7)/Columna!$G$9</f>
        <v>12549.820208929428</v>
      </c>
      <c r="D465" s="340">
        <f>+B465-A465*'Presiones de casing'!$C$4</f>
        <v>2698.1977707412134</v>
      </c>
      <c r="E465" s="340">
        <f>+'Volumen de gas'!$C$1*Tabla!D465/14.7*520/'Volumen de gas'!$C$2*'Volumen de gas'!$C$4/'Volumen de gas'!$C$3</f>
        <v>41636.33340459679</v>
      </c>
      <c r="F465" s="340">
        <f t="shared" si="9"/>
        <v>358.9339086603172</v>
      </c>
    </row>
    <row r="466" spans="1:6" ht="12.75">
      <c r="A466" s="317">
        <v>116.25</v>
      </c>
      <c r="B466" s="339">
        <f>+('Presiones de casing'!$C$2+14.7+'Presiones de casing'!$C$3+('Presiones de casing'!$C$4+'Presiones de casing'!$C$8)*A466)*(1+'Presiones de casing'!$C$7/'Presiones de casing'!$C$13)</f>
        <v>10556.666870217827</v>
      </c>
      <c r="C466" s="339">
        <f>+B466*(Columna!$G$9+Columna!$B$7)/Columna!$G$9</f>
        <v>12576.44191934491</v>
      </c>
      <c r="D466" s="340">
        <f>+B466-A466*'Presiones de casing'!$C$4</f>
        <v>2703.6558419283338</v>
      </c>
      <c r="E466" s="340">
        <f>+'Volumen de gas'!$C$1*Tabla!D466/14.7*520/'Volumen de gas'!$C$2*'Volumen de gas'!$C$4/'Volumen de gas'!$C$3</f>
        <v>41720.55779843377</v>
      </c>
      <c r="F466" s="340">
        <f t="shared" si="9"/>
        <v>358.8865186962045</v>
      </c>
    </row>
    <row r="467" spans="1:6" ht="12.75">
      <c r="A467" s="317">
        <v>116.5</v>
      </c>
      <c r="B467" s="339">
        <f>+('Presiones de casing'!$C$2+14.7+'Presiones de casing'!$C$3+('Presiones de casing'!$C$4+'Presiones de casing'!$C$8)*A467)*(1+'Presiones de casing'!$C$7/'Presiones de casing'!$C$13)</f>
        <v>10579.013137164711</v>
      </c>
      <c r="C467" s="339">
        <f>+B467*(Columna!$G$9+Columna!$B$7)/Columna!$G$9</f>
        <v>12603.063629760392</v>
      </c>
      <c r="D467" s="340">
        <f>+B467-A467*'Presiones de casing'!$C$4</f>
        <v>2709.113913115456</v>
      </c>
      <c r="E467" s="340">
        <f>+'Volumen de gas'!$C$1*Tabla!D467/14.7*520/'Volumen de gas'!$C$2*'Volumen de gas'!$C$4/'Volumen de gas'!$C$3</f>
        <v>41804.78219227079</v>
      </c>
      <c r="F467" s="340">
        <f t="shared" si="9"/>
        <v>358.83933212249605</v>
      </c>
    </row>
    <row r="468" spans="1:6" ht="12.75">
      <c r="A468" s="317">
        <v>116.75</v>
      </c>
      <c r="B468" s="339">
        <f>+('Presiones de casing'!$C$2+14.7+'Presiones de casing'!$C$3+('Presiones de casing'!$C$4+'Presiones de casing'!$C$8)*A468)*(1+'Presiones de casing'!$C$7/'Presiones de casing'!$C$13)</f>
        <v>10601.359404111594</v>
      </c>
      <c r="C468" s="339">
        <f>+B468*(Columna!$G$9+Columna!$B$7)/Columna!$G$9</f>
        <v>12629.685340175876</v>
      </c>
      <c r="D468" s="340">
        <f>+B468-A468*'Presiones de casing'!$C$4</f>
        <v>2714.5719843025763</v>
      </c>
      <c r="E468" s="340">
        <f>+'Volumen de gas'!$C$1*Tabla!D468/14.7*520/'Volumen de gas'!$C$2*'Volumen de gas'!$C$4/'Volumen de gas'!$C$3</f>
        <v>41889.00658610776</v>
      </c>
      <c r="F468" s="340">
        <f t="shared" si="9"/>
        <v>358.7923476326146</v>
      </c>
    </row>
    <row r="469" spans="1:6" ht="12.75">
      <c r="A469" s="317">
        <v>117</v>
      </c>
      <c r="B469" s="339">
        <f>+('Presiones de casing'!$C$2+14.7+'Presiones de casing'!$C$3+('Presiones de casing'!$C$4+'Presiones de casing'!$C$8)*A469)*(1+'Presiones de casing'!$C$7/'Presiones de casing'!$C$13)</f>
        <v>10623.705671058475</v>
      </c>
      <c r="C469" s="339">
        <f>+B469*(Columna!$G$9+Columna!$B$7)/Columna!$G$9</f>
        <v>12656.307050591353</v>
      </c>
      <c r="D469" s="340">
        <f>+B469-A469*'Presiones de casing'!$C$4</f>
        <v>2720.030055489695</v>
      </c>
      <c r="E469" s="340">
        <f>+'Volumen de gas'!$C$1*Tabla!D469/14.7*520/'Volumen de gas'!$C$2*'Volumen de gas'!$C$4/'Volumen de gas'!$C$3</f>
        <v>41973.23097994472</v>
      </c>
      <c r="F469" s="340">
        <f t="shared" si="9"/>
        <v>358.7455639311514</v>
      </c>
    </row>
    <row r="470" spans="1:6" ht="12.75">
      <c r="A470" s="317">
        <v>117.25</v>
      </c>
      <c r="B470" s="339">
        <f>+('Presiones de casing'!$C$2+14.7+'Presiones de casing'!$C$3+('Presiones de casing'!$C$4+'Presiones de casing'!$C$8)*A470)*(1+'Presiones de casing'!$C$7/'Presiones de casing'!$C$13)</f>
        <v>10646.05193800536</v>
      </c>
      <c r="C470" s="339">
        <f>+B470*(Columna!$G$9+Columna!$B$7)/Columna!$G$9</f>
        <v>12682.928761006839</v>
      </c>
      <c r="D470" s="340">
        <f>+B470-A470*'Presiones de casing'!$C$4</f>
        <v>2725.488126676817</v>
      </c>
      <c r="E470" s="340">
        <f>+'Volumen de gas'!$C$1*Tabla!D470/14.7*520/'Volumen de gas'!$C$2*'Volumen de gas'!$C$4/'Volumen de gas'!$C$3</f>
        <v>42057.45537378171</v>
      </c>
      <c r="F470" s="340">
        <f t="shared" si="9"/>
        <v>358.69897973374594</v>
      </c>
    </row>
    <row r="471" spans="1:6" ht="12.75">
      <c r="A471" s="317">
        <v>117.5</v>
      </c>
      <c r="B471" s="339">
        <f>+('Presiones de casing'!$C$2+14.7+'Presiones de casing'!$C$3+('Presiones de casing'!$C$4+'Presiones de casing'!$C$8)*A471)*(1+'Presiones de casing'!$C$7/'Presiones de casing'!$C$13)</f>
        <v>10668.398204952242</v>
      </c>
      <c r="C471" s="339">
        <f>+B471*(Columna!$G$9+Columna!$B$7)/Columna!$G$9</f>
        <v>12709.55047142232</v>
      </c>
      <c r="D471" s="340">
        <f>+B471-A471*'Presiones de casing'!$C$4</f>
        <v>2730.9461978639374</v>
      </c>
      <c r="E471" s="340">
        <f>+'Volumen de gas'!$C$1*Tabla!D471/14.7*520/'Volumen de gas'!$C$2*'Volumen de gas'!$C$4/'Volumen de gas'!$C$3</f>
        <v>42141.6797676187</v>
      </c>
      <c r="F471" s="340">
        <f t="shared" si="9"/>
        <v>358.65259376696764</v>
      </c>
    </row>
    <row r="472" spans="1:6" ht="12.75">
      <c r="A472" s="317">
        <v>117.75</v>
      </c>
      <c r="B472" s="339">
        <f>+('Presiones de casing'!$C$2+14.7+'Presiones de casing'!$C$3+('Presiones de casing'!$C$4+'Presiones de casing'!$C$8)*A472)*(1+'Presiones de casing'!$C$7/'Presiones de casing'!$C$13)</f>
        <v>10690.744471899126</v>
      </c>
      <c r="C472" s="339">
        <f>+B472*(Columna!$G$9+Columna!$B$7)/Columna!$G$9</f>
        <v>12736.172181837803</v>
      </c>
      <c r="D472" s="340">
        <f>+B472-A472*'Presiones de casing'!$C$4</f>
        <v>2736.4042690510596</v>
      </c>
      <c r="E472" s="340">
        <f>+'Volumen de gas'!$C$1*Tabla!D472/14.7*520/'Volumen de gas'!$C$2*'Volumen de gas'!$C$4/'Volumen de gas'!$C$3</f>
        <v>42225.904161455706</v>
      </c>
      <c r="F472" s="340">
        <f t="shared" si="9"/>
        <v>358.60640476820134</v>
      </c>
    </row>
    <row r="473" spans="1:6" ht="12.75">
      <c r="A473" s="317">
        <v>118</v>
      </c>
      <c r="B473" s="339">
        <f>+('Presiones de casing'!$C$2+14.7+'Presiones de casing'!$C$3+('Presiones de casing'!$C$4+'Presiones de casing'!$C$8)*A473)*(1+'Presiones de casing'!$C$7/'Presiones de casing'!$C$13)</f>
        <v>10713.09073884601</v>
      </c>
      <c r="C473" s="339">
        <f>+B473*(Columna!$G$9+Columna!$B$7)/Columna!$G$9</f>
        <v>12762.793892253285</v>
      </c>
      <c r="D473" s="340">
        <f>+B473-A473*'Presiones de casing'!$C$4</f>
        <v>2741.86234023818</v>
      </c>
      <c r="E473" s="340">
        <f>+'Volumen de gas'!$C$1*Tabla!D473/14.7*520/'Volumen de gas'!$C$2*'Volumen de gas'!$C$4/'Volumen de gas'!$C$3</f>
        <v>42310.128555292686</v>
      </c>
      <c r="F473" s="340">
        <f t="shared" si="9"/>
        <v>358.56041148553123</v>
      </c>
    </row>
    <row r="474" spans="1:6" ht="12.75">
      <c r="A474" s="317">
        <v>118.25</v>
      </c>
      <c r="B474" s="339">
        <f>+('Presiones de casing'!$C$2+14.7+'Presiones de casing'!$C$3+('Presiones de casing'!$C$4+'Presiones de casing'!$C$8)*A474)*(1+'Presiones de casing'!$C$7/'Presiones de casing'!$C$13)</f>
        <v>10735.437005792894</v>
      </c>
      <c r="C474" s="339">
        <f>+B474*(Columna!$G$9+Columna!$B$7)/Columna!$G$9</f>
        <v>12789.415602668769</v>
      </c>
      <c r="D474" s="340">
        <f>+B474-A474*'Presiones de casing'!$C$4</f>
        <v>2747.320411425302</v>
      </c>
      <c r="E474" s="340">
        <f>+'Volumen de gas'!$C$1*Tabla!D474/14.7*520/'Volumen de gas'!$C$2*'Volumen de gas'!$C$4/'Volumen de gas'!$C$3</f>
        <v>42394.352949129694</v>
      </c>
      <c r="F474" s="340">
        <f t="shared" si="9"/>
        <v>358.51461267762954</v>
      </c>
    </row>
    <row r="475" spans="1:6" ht="12.75">
      <c r="A475" s="317">
        <v>118.5</v>
      </c>
      <c r="B475" s="339">
        <f>+('Presiones de casing'!$C$2+14.7+'Presiones de casing'!$C$3+('Presiones de casing'!$C$4+'Presiones de casing'!$C$8)*A475)*(1+'Presiones de casing'!$C$7/'Presiones de casing'!$C$13)</f>
        <v>10757.783272739776</v>
      </c>
      <c r="C475" s="339">
        <f>+B475*(Columna!$G$9+Columna!$B$7)/Columna!$G$9</f>
        <v>12816.03731308425</v>
      </c>
      <c r="D475" s="340">
        <f>+B475-A475*'Presiones de casing'!$C$4</f>
        <v>2752.7784826124225</v>
      </c>
      <c r="E475" s="340">
        <f>+'Volumen de gas'!$C$1*Tabla!D475/14.7*520/'Volumen de gas'!$C$2*'Volumen de gas'!$C$4/'Volumen de gas'!$C$3</f>
        <v>42478.57734296667</v>
      </c>
      <c r="F475" s="340">
        <f t="shared" si="9"/>
        <v>358.4690071136428</v>
      </c>
    </row>
    <row r="476" spans="1:6" ht="12.75">
      <c r="A476" s="317">
        <v>118.75</v>
      </c>
      <c r="B476" s="339">
        <f>+('Presiones de casing'!$C$2+14.7+'Presiones de casing'!$C$3+('Presiones de casing'!$C$4+'Presiones de casing'!$C$8)*A476)*(1+'Presiones de casing'!$C$7/'Presiones de casing'!$C$13)</f>
        <v>10780.12953968666</v>
      </c>
      <c r="C476" s="339">
        <f>+B476*(Columna!$G$9+Columna!$B$7)/Columna!$G$9</f>
        <v>12842.659023499733</v>
      </c>
      <c r="D476" s="340">
        <f>+B476-A476*'Presiones de casing'!$C$4</f>
        <v>2758.2365537995447</v>
      </c>
      <c r="E476" s="340">
        <f>+'Volumen de gas'!$C$1*Tabla!D476/14.7*520/'Volumen de gas'!$C$2*'Volumen de gas'!$C$4/'Volumen de gas'!$C$3</f>
        <v>42562.80173680368</v>
      </c>
      <c r="F476" s="340">
        <f t="shared" si="9"/>
        <v>358.4235935730836</v>
      </c>
    </row>
    <row r="477" spans="1:6" ht="12.75">
      <c r="A477" s="317">
        <v>119</v>
      </c>
      <c r="B477" s="339">
        <f>+('Presiones de casing'!$C$2+14.7+'Presiones de casing'!$C$3+('Presiones de casing'!$C$4+'Presiones de casing'!$C$8)*A477)*(1+'Presiones de casing'!$C$7/'Presiones de casing'!$C$13)</f>
        <v>10802.475806633543</v>
      </c>
      <c r="C477" s="339">
        <f>+B477*(Columna!$G$9+Columna!$B$7)/Columna!$G$9</f>
        <v>12869.280733915215</v>
      </c>
      <c r="D477" s="340">
        <f>+B477-A477*'Presiones de casing'!$C$4</f>
        <v>2763.694624986665</v>
      </c>
      <c r="E477" s="340">
        <f>+'Volumen de gas'!$C$1*Tabla!D477/14.7*520/'Volumen de gas'!$C$2*'Volumen de gas'!$C$4/'Volumen de gas'!$C$3</f>
        <v>42647.02613064066</v>
      </c>
      <c r="F477" s="340">
        <f t="shared" si="9"/>
        <v>358.3783708457198</v>
      </c>
    </row>
    <row r="478" spans="1:6" ht="12.75">
      <c r="A478" s="317">
        <v>119.25</v>
      </c>
      <c r="B478" s="339">
        <f>+('Presiones de casing'!$C$2+14.7+'Presiones de casing'!$C$3+('Presiones de casing'!$C$4+'Presiones de casing'!$C$8)*A478)*(1+'Presiones de casing'!$C$7/'Presiones de casing'!$C$13)</f>
        <v>10824.822073580426</v>
      </c>
      <c r="C478" s="339">
        <f>+B478*(Columna!$G$9+Columna!$B$7)/Columna!$G$9</f>
        <v>12895.902444330697</v>
      </c>
      <c r="D478" s="340">
        <f>+B478-A478*'Presiones de casing'!$C$4</f>
        <v>2769.1526961737854</v>
      </c>
      <c r="E478" s="340">
        <f>+'Volumen de gas'!$C$1*Tabla!D478/14.7*520/'Volumen de gas'!$C$2*'Volumen de gas'!$C$4/'Volumen de gas'!$C$3</f>
        <v>42731.25052447765</v>
      </c>
      <c r="F478" s="340">
        <f t="shared" si="9"/>
        <v>358.33333773146876</v>
      </c>
    </row>
    <row r="479" spans="1:6" ht="12.75">
      <c r="A479" s="317">
        <v>119.5</v>
      </c>
      <c r="B479" s="339">
        <f>+('Presiones de casing'!$C$2+14.7+'Presiones de casing'!$C$3+('Presiones de casing'!$C$4+'Presiones de casing'!$C$8)*A479)*(1+'Presiones de casing'!$C$7/'Presiones de casing'!$C$13)</f>
        <v>10847.168340527309</v>
      </c>
      <c r="C479" s="339">
        <f>+B479*(Columna!$G$9+Columna!$B$7)/Columna!$G$9</f>
        <v>12922.524154746177</v>
      </c>
      <c r="D479" s="340">
        <f>+B479-A479*'Presiones de casing'!$C$4</f>
        <v>2774.610767360905</v>
      </c>
      <c r="E479" s="340">
        <f>+'Volumen de gas'!$C$1*Tabla!D479/14.7*520/'Volumen de gas'!$C$2*'Volumen de gas'!$C$4/'Volumen de gas'!$C$3</f>
        <v>42815.47491831461</v>
      </c>
      <c r="F479" s="340">
        <f t="shared" si="9"/>
        <v>358.28849304028967</v>
      </c>
    </row>
    <row r="480" spans="1:6" ht="12.75">
      <c r="A480" s="317">
        <v>119.75</v>
      </c>
      <c r="B480" s="339">
        <f>+('Presiones de casing'!$C$2+14.7+'Presiones de casing'!$C$3+('Presiones de casing'!$C$4+'Presiones de casing'!$C$8)*A480)*(1+'Presiones de casing'!$C$7/'Presiones de casing'!$C$13)</f>
        <v>10869.514607474192</v>
      </c>
      <c r="C480" s="339">
        <f>+B480*(Columna!$G$9+Columna!$B$7)/Columna!$G$9</f>
        <v>12949.14586516166</v>
      </c>
      <c r="D480" s="340">
        <f>+B480-A480*'Presiones de casing'!$C$4</f>
        <v>2780.0688385480253</v>
      </c>
      <c r="E480" s="340">
        <f>+'Volumen de gas'!$C$1*Tabla!D480/14.7*520/'Volumen de gas'!$C$2*'Volumen de gas'!$C$4/'Volumen de gas'!$C$3</f>
        <v>42899.699312151584</v>
      </c>
      <c r="F480" s="340">
        <f t="shared" si="9"/>
        <v>358.24383559208</v>
      </c>
    </row>
    <row r="481" spans="1:6" ht="12.75">
      <c r="A481" s="317">
        <v>120</v>
      </c>
      <c r="B481" s="339">
        <f>+('Presiones de casing'!$C$2+14.7+'Presiones de casing'!$C$3+('Presiones de casing'!$C$4+'Presiones de casing'!$C$8)*A481)*(1+'Presiones de casing'!$C$7/'Presiones de casing'!$C$13)</f>
        <v>10891.860874421076</v>
      </c>
      <c r="C481" s="339">
        <f>+B481*(Columna!$G$9+Columna!$B$7)/Columna!$G$9</f>
        <v>12975.767575577143</v>
      </c>
      <c r="D481" s="340">
        <f>+B481-A481*'Presiones de casing'!$C$4</f>
        <v>2785.5269097351475</v>
      </c>
      <c r="E481" s="340">
        <f>+'Volumen de gas'!$C$1*Tabla!D481/14.7*520/'Volumen de gas'!$C$2*'Volumen de gas'!$C$4/'Volumen de gas'!$C$3</f>
        <v>42983.92370598859</v>
      </c>
      <c r="F481" s="340">
        <f t="shared" si="9"/>
        <v>358.1993642165716</v>
      </c>
    </row>
    <row r="482" spans="1:6" ht="12.75">
      <c r="A482" s="317">
        <v>120.25</v>
      </c>
      <c r="B482" s="339">
        <f>+('Presiones de casing'!$C$2+14.7+'Presiones de casing'!$C$3+('Presiones de casing'!$C$4+'Presiones de casing'!$C$8)*A482)*(1+'Presiones de casing'!$C$7/'Presiones de casing'!$C$13)</f>
        <v>10914.207141367959</v>
      </c>
      <c r="C482" s="339">
        <f>+B482*(Columna!$G$9+Columna!$B$7)/Columna!$G$9</f>
        <v>13002.389285992625</v>
      </c>
      <c r="D482" s="340">
        <f>+B482-A482*'Presiones de casing'!$C$4</f>
        <v>2790.984980922268</v>
      </c>
      <c r="E482" s="340">
        <f>+'Volumen de gas'!$C$1*Tabla!D482/14.7*520/'Volumen de gas'!$C$2*'Volumen de gas'!$C$4/'Volumen de gas'!$C$3</f>
        <v>43068.148099825565</v>
      </c>
      <c r="F482" s="340">
        <f t="shared" si="9"/>
        <v>358.15507775322715</v>
      </c>
    </row>
    <row r="483" spans="1:6" ht="12.75">
      <c r="A483" s="317">
        <v>120.5</v>
      </c>
      <c r="B483" s="339">
        <f>+('Presiones de casing'!$C$2+14.7+'Presiones de casing'!$C$3+('Presiones de casing'!$C$4+'Presiones de casing'!$C$8)*A483)*(1+'Presiones de casing'!$C$7/'Presiones de casing'!$C$13)</f>
        <v>10936.553408314843</v>
      </c>
      <c r="C483" s="339">
        <f>+B483*(Columna!$G$9+Columna!$B$7)/Columna!$G$9</f>
        <v>13029.010996408108</v>
      </c>
      <c r="D483" s="340">
        <f>+B483-A483*'Presiones de casing'!$C$4</f>
        <v>2796.44305210939</v>
      </c>
      <c r="E483" s="340">
        <f>+'Volumen de gas'!$C$1*Tabla!D483/14.7*520/'Volumen de gas'!$C$2*'Volumen de gas'!$C$4/'Volumen de gas'!$C$3</f>
        <v>43152.37249366257</v>
      </c>
      <c r="F483" s="340">
        <f t="shared" si="9"/>
        <v>358.1109750511417</v>
      </c>
    </row>
    <row r="484" spans="1:6" ht="12.75">
      <c r="A484" s="317">
        <v>120.75</v>
      </c>
      <c r="B484" s="339">
        <f>+('Presiones de casing'!$C$2+14.7+'Presiones de casing'!$C$3+('Presiones de casing'!$C$4+'Presiones de casing'!$C$8)*A484)*(1+'Presiones de casing'!$C$7/'Presiones de casing'!$C$13)</f>
        <v>10958.899675261726</v>
      </c>
      <c r="C484" s="339">
        <f>+B484*(Columna!$G$9+Columna!$B$7)/Columna!$G$9</f>
        <v>13055.63270682359</v>
      </c>
      <c r="D484" s="340">
        <f>+B484-A484*'Presiones de casing'!$C$4</f>
        <v>2801.9011232965104</v>
      </c>
      <c r="E484" s="340">
        <f>+'Volumen de gas'!$C$1*Tabla!D484/14.7*520/'Volumen de gas'!$C$2*'Volumen de gas'!$C$4/'Volumen de gas'!$C$3</f>
        <v>43236.59688749956</v>
      </c>
      <c r="F484" s="340">
        <f t="shared" si="9"/>
        <v>358.06705496894045</v>
      </c>
    </row>
    <row r="485" spans="1:6" ht="12.75">
      <c r="A485" s="317">
        <v>121</v>
      </c>
      <c r="B485" s="339">
        <f>+('Presiones de casing'!$C$2+14.7+'Presiones de casing'!$C$3+('Presiones de casing'!$C$4+'Presiones de casing'!$C$8)*A485)*(1+'Presiones de casing'!$C$7/'Presiones de casing'!$C$13)</f>
        <v>10981.245942208609</v>
      </c>
      <c r="C485" s="339">
        <f>+B485*(Columna!$G$9+Columna!$B$7)/Columna!$G$9</f>
        <v>13082.254417239074</v>
      </c>
      <c r="D485" s="340">
        <f>+B485-A485*'Presiones de casing'!$C$4</f>
        <v>2807.3591944836307</v>
      </c>
      <c r="E485" s="340">
        <f>+'Volumen de gas'!$C$1*Tabla!D485/14.7*520/'Volumen de gas'!$C$2*'Volumen de gas'!$C$4/'Volumen de gas'!$C$3</f>
        <v>43320.82128133653</v>
      </c>
      <c r="F485" s="340">
        <f t="shared" si="9"/>
        <v>358.02331637468205</v>
      </c>
    </row>
    <row r="486" spans="1:6" ht="12.75">
      <c r="A486" s="317">
        <v>121.25</v>
      </c>
      <c r="B486" s="339">
        <f>+('Presiones de casing'!$C$2+14.7+'Presiones de casing'!$C$3+('Presiones de casing'!$C$4+'Presiones de casing'!$C$8)*A486)*(1+'Presiones de casing'!$C$7/'Presiones de casing'!$C$13)</f>
        <v>11003.592209155493</v>
      </c>
      <c r="C486" s="339">
        <f>+B486*(Columna!$G$9+Columna!$B$7)/Columna!$G$9</f>
        <v>13108.876127654556</v>
      </c>
      <c r="D486" s="340">
        <f>+B486-A486*'Presiones de casing'!$C$4</f>
        <v>2812.817265670753</v>
      </c>
      <c r="E486" s="340">
        <f>+'Volumen de gas'!$C$1*Tabla!D486/14.7*520/'Volumen de gas'!$C$2*'Volumen de gas'!$C$4/'Volumen de gas'!$C$3</f>
        <v>43405.04567517353</v>
      </c>
      <c r="F486" s="340">
        <f t="shared" si="9"/>
        <v>357.9797581457611</v>
      </c>
    </row>
    <row r="487" spans="1:6" ht="12.75">
      <c r="A487" s="317">
        <v>121.5</v>
      </c>
      <c r="B487" s="339">
        <f>+('Presiones de casing'!$C$2+14.7+'Presiones de casing'!$C$3+('Presiones de casing'!$C$4+'Presiones de casing'!$C$8)*A487)*(1+'Presiones de casing'!$C$7/'Presiones de casing'!$C$13)</f>
        <v>11025.938476102376</v>
      </c>
      <c r="C487" s="339">
        <f>+B487*(Columna!$G$9+Columna!$B$7)/Columna!$G$9</f>
        <v>13135.497838070038</v>
      </c>
      <c r="D487" s="340">
        <f>+B487-A487*'Presiones de casing'!$C$4</f>
        <v>2818.275336857874</v>
      </c>
      <c r="E487" s="340">
        <f>+'Volumen de gas'!$C$1*Tabla!D487/14.7*520/'Volumen de gas'!$C$2*'Volumen de gas'!$C$4/'Volumen de gas'!$C$3</f>
        <v>43489.27006901054</v>
      </c>
      <c r="F487" s="340">
        <f t="shared" si="9"/>
        <v>357.936379168811</v>
      </c>
    </row>
    <row r="488" spans="1:6" ht="12.75">
      <c r="A488" s="317">
        <v>121.75</v>
      </c>
      <c r="B488" s="339">
        <f>+('Presiones de casing'!$C$2+14.7+'Presiones de casing'!$C$3+('Presiones de casing'!$C$4+'Presiones de casing'!$C$8)*A488)*(1+'Presiones de casing'!$C$7/'Presiones de casing'!$C$13)</f>
        <v>11048.28474304926</v>
      </c>
      <c r="C488" s="339">
        <f>+B488*(Columna!$G$9+Columna!$B$7)/Columna!$G$9</f>
        <v>13162.11954848552</v>
      </c>
      <c r="D488" s="340">
        <f>+B488-A488*'Presiones de casing'!$C$4</f>
        <v>2823.7334080449964</v>
      </c>
      <c r="E488" s="340">
        <f>+'Volumen de gas'!$C$1*Tabla!D488/14.7*520/'Volumen de gas'!$C$2*'Volumen de gas'!$C$4/'Volumen de gas'!$C$3</f>
        <v>43573.494462847535</v>
      </c>
      <c r="F488" s="340">
        <f t="shared" si="9"/>
        <v>357.89317833961013</v>
      </c>
    </row>
    <row r="489" spans="1:6" ht="12.75">
      <c r="A489" s="317">
        <v>122</v>
      </c>
      <c r="B489" s="339">
        <f>+('Presiones de casing'!$C$2+14.7+'Presiones de casing'!$C$3+('Presiones de casing'!$C$4+'Presiones de casing'!$C$8)*A489)*(1+'Presiones de casing'!$C$7/'Presiones de casing'!$C$13)</f>
        <v>11070.631009996141</v>
      </c>
      <c r="C489" s="339">
        <f>+B489*(Columna!$G$9+Columna!$B$7)/Columna!$G$9</f>
        <v>13188.741258901</v>
      </c>
      <c r="D489" s="340">
        <f>+B489-A489*'Presiones de casing'!$C$4</f>
        <v>2829.191479232115</v>
      </c>
      <c r="E489" s="340">
        <f>+'Volumen de gas'!$C$1*Tabla!D489/14.7*520/'Volumen de gas'!$C$2*'Volumen de gas'!$C$4/'Volumen de gas'!$C$3</f>
        <v>43657.71885668449</v>
      </c>
      <c r="F489" s="340">
        <f t="shared" si="9"/>
        <v>357.85015456298765</v>
      </c>
    </row>
    <row r="490" spans="1:6" ht="12.75">
      <c r="A490" s="317">
        <v>122.25</v>
      </c>
      <c r="B490" s="339">
        <f>+('Presiones de casing'!$C$2+14.7+'Presiones de casing'!$C$3+('Presiones de casing'!$C$4+'Presiones de casing'!$C$8)*A490)*(1+'Presiones de casing'!$C$7/'Presiones de casing'!$C$13)</f>
        <v>11092.977276943026</v>
      </c>
      <c r="C490" s="339">
        <f>+B490*(Columna!$G$9+Columna!$B$7)/Columna!$G$9</f>
        <v>13215.362969316486</v>
      </c>
      <c r="D490" s="340">
        <f>+B490-A490*'Presiones de casing'!$C$4</f>
        <v>2834.6495504192353</v>
      </c>
      <c r="E490" s="340">
        <f>+'Volumen de gas'!$C$1*Tabla!D490/14.7*520/'Volumen de gas'!$C$2*'Volumen de gas'!$C$4/'Volumen de gas'!$C$3</f>
        <v>43741.943250521465</v>
      </c>
      <c r="F490" s="340">
        <f t="shared" si="9"/>
        <v>357.8073067527318</v>
      </c>
    </row>
    <row r="491" spans="1:6" ht="12.75">
      <c r="A491" s="317">
        <v>122.5</v>
      </c>
      <c r="B491" s="339">
        <f>+('Presiones de casing'!$C$2+14.7+'Presiones de casing'!$C$3+('Presiones de casing'!$C$4+'Presiones de casing'!$C$8)*A491)*(1+'Presiones de casing'!$C$7/'Presiones de casing'!$C$13)</f>
        <v>11115.323543889908</v>
      </c>
      <c r="C491" s="339">
        <f>+B491*(Columna!$G$9+Columna!$B$7)/Columna!$G$9</f>
        <v>13241.984679731966</v>
      </c>
      <c r="D491" s="340">
        <f>+B491-A491*'Presiones de casing'!$C$4</f>
        <v>2840.1076216063557</v>
      </c>
      <c r="E491" s="340">
        <f>+'Volumen de gas'!$C$1*Tabla!D491/14.7*520/'Volumen de gas'!$C$2*'Volumen de gas'!$C$4/'Volumen de gas'!$C$3</f>
        <v>43826.167644358444</v>
      </c>
      <c r="F491" s="340">
        <f t="shared" si="9"/>
        <v>357.7646338314975</v>
      </c>
    </row>
    <row r="492" spans="1:6" ht="12.75">
      <c r="A492" s="317">
        <v>122.75</v>
      </c>
      <c r="B492" s="339">
        <f>+('Presiones de casing'!$C$2+14.7+'Presiones de casing'!$C$3+('Presiones de casing'!$C$4+'Presiones de casing'!$C$8)*A492)*(1+'Presiones de casing'!$C$7/'Presiones de casing'!$C$13)</f>
        <v>11137.669810836791</v>
      </c>
      <c r="C492" s="339">
        <f>+B492*(Columna!$G$9+Columna!$B$7)/Columna!$G$9</f>
        <v>13268.606390147448</v>
      </c>
      <c r="D492" s="340">
        <f>+B492-A492*'Presiones de casing'!$C$4</f>
        <v>2845.565692793476</v>
      </c>
      <c r="E492" s="340">
        <f>+'Volumen de gas'!$C$1*Tabla!D492/14.7*520/'Volumen de gas'!$C$2*'Volumen de gas'!$C$4/'Volumen de gas'!$C$3</f>
        <v>43910.39203819544</v>
      </c>
      <c r="F492" s="340">
        <f t="shared" si="9"/>
        <v>357.7221347307164</v>
      </c>
    </row>
    <row r="493" spans="1:6" ht="12.75">
      <c r="A493" s="317">
        <v>123</v>
      </c>
      <c r="B493" s="339">
        <f>+('Presiones de casing'!$C$2+14.7+'Presiones de casing'!$C$3+('Presiones de casing'!$C$4+'Presiones de casing'!$C$8)*A493)*(1+'Presiones de casing'!$C$7/'Presiones de casing'!$C$13)</f>
        <v>11160.016077783675</v>
      </c>
      <c r="C493" s="339">
        <f>+B493*(Columna!$G$9+Columna!$B$7)/Columna!$G$9</f>
        <v>13295.22810056293</v>
      </c>
      <c r="D493" s="340">
        <f>+B493-A493*'Presiones de casing'!$C$4</f>
        <v>2851.0237639805982</v>
      </c>
      <c r="E493" s="340">
        <f>+'Volumen de gas'!$C$1*Tabla!D493/14.7*520/'Volumen de gas'!$C$2*'Volumen de gas'!$C$4/'Volumen de gas'!$C$3</f>
        <v>43994.61643203244</v>
      </c>
      <c r="F493" s="340">
        <f t="shared" si="9"/>
        <v>357.6798083905076</v>
      </c>
    </row>
    <row r="494" spans="1:6" ht="12.75">
      <c r="A494" s="317">
        <v>123.25</v>
      </c>
      <c r="B494" s="339">
        <f>+('Presiones de casing'!$C$2+14.7+'Presiones de casing'!$C$3+('Presiones de casing'!$C$4+'Presiones de casing'!$C$8)*A494)*(1+'Presiones de casing'!$C$7/'Presiones de casing'!$C$13)</f>
        <v>11182.362344730558</v>
      </c>
      <c r="C494" s="339">
        <f>+B494*(Columna!$G$9+Columna!$B$7)/Columna!$G$9</f>
        <v>13321.849810978412</v>
      </c>
      <c r="D494" s="340">
        <f>+B494-A494*'Presiones de casing'!$C$4</f>
        <v>2856.4818351677186</v>
      </c>
      <c r="E494" s="340">
        <f>+'Volumen de gas'!$C$1*Tabla!D494/14.7*520/'Volumen de gas'!$C$2*'Volumen de gas'!$C$4/'Volumen de gas'!$C$3</f>
        <v>44078.8408258694</v>
      </c>
      <c r="F494" s="340">
        <f t="shared" si="9"/>
        <v>357.63765375958945</v>
      </c>
    </row>
    <row r="495" spans="1:6" ht="12.75">
      <c r="A495" s="317">
        <v>123.5</v>
      </c>
      <c r="B495" s="339">
        <f>+('Presiones de casing'!$C$2+14.7+'Presiones de casing'!$C$3+('Presiones de casing'!$C$4+'Presiones de casing'!$C$8)*A495)*(1+'Presiones de casing'!$C$7/'Presiones de casing'!$C$13)</f>
        <v>11204.708611677443</v>
      </c>
      <c r="C495" s="339">
        <f>+B495*(Columna!$G$9+Columna!$B$7)/Columna!$G$9</f>
        <v>13348.471521393894</v>
      </c>
      <c r="D495" s="340">
        <f>+B495-A495*'Presiones de casing'!$C$4</f>
        <v>2861.939906354841</v>
      </c>
      <c r="E495" s="340">
        <f>+'Volumen de gas'!$C$1*Tabla!D495/14.7*520/'Volumen de gas'!$C$2*'Volumen de gas'!$C$4/'Volumen de gas'!$C$3</f>
        <v>44163.06521970643</v>
      </c>
      <c r="F495" s="340">
        <f t="shared" si="9"/>
        <v>357.5956697951937</v>
      </c>
    </row>
    <row r="496" spans="1:6" ht="12.75">
      <c r="A496" s="317">
        <v>123.75</v>
      </c>
      <c r="B496" s="339">
        <f>+('Presiones de casing'!$C$2+14.7+'Presiones de casing'!$C$3+('Presiones de casing'!$C$4+'Presiones de casing'!$C$8)*A496)*(1+'Presiones de casing'!$C$7/'Presiones de casing'!$C$13)</f>
        <v>11227.054878624325</v>
      </c>
      <c r="C496" s="339">
        <f>+B496*(Columna!$G$9+Columna!$B$7)/Columna!$G$9</f>
        <v>13375.093231809378</v>
      </c>
      <c r="D496" s="340">
        <f>+B496-A496*'Presiones de casing'!$C$4</f>
        <v>2867.397977541961</v>
      </c>
      <c r="E496" s="340">
        <f>+'Volumen de gas'!$C$1*Tabla!D496/14.7*520/'Volumen de gas'!$C$2*'Volumen de gas'!$C$4/'Volumen de gas'!$C$3</f>
        <v>44247.28961354341</v>
      </c>
      <c r="F496" s="340">
        <f t="shared" si="9"/>
        <v>357.5538554629771</v>
      </c>
    </row>
    <row r="497" spans="1:6" ht="12.75">
      <c r="A497" s="317">
        <v>124</v>
      </c>
      <c r="B497" s="339">
        <f>+('Presiones de casing'!$C$2+14.7+'Presiones de casing'!$C$3+('Presiones de casing'!$C$4+'Presiones de casing'!$C$8)*A497)*(1+'Presiones de casing'!$C$7/'Presiones de casing'!$C$13)</f>
        <v>11249.40114557121</v>
      </c>
      <c r="C497" s="339">
        <f>+B497*(Columna!$G$9+Columna!$B$7)/Columna!$G$9</f>
        <v>13401.714942224862</v>
      </c>
      <c r="D497" s="340">
        <f>+B497-A497*'Presiones de casing'!$C$4</f>
        <v>2872.8560487290833</v>
      </c>
      <c r="E497" s="340">
        <f>+'Volumen de gas'!$C$1*Tabla!D497/14.7*520/'Volumen de gas'!$C$2*'Volumen de gas'!$C$4/'Volumen de gas'!$C$3</f>
        <v>44331.5140073804</v>
      </c>
      <c r="F497" s="340">
        <f t="shared" si="9"/>
        <v>357.5122097369387</v>
      </c>
    </row>
    <row r="498" spans="1:6" ht="12.75">
      <c r="A498" s="317">
        <v>124.25</v>
      </c>
      <c r="B498" s="339">
        <f>+('Presiones de casing'!$C$2+14.7+'Presiones de casing'!$C$3+('Presiones de casing'!$C$4+'Presiones de casing'!$C$8)*A498)*(1+'Presiones de casing'!$C$7/'Presiones de casing'!$C$13)</f>
        <v>11271.747412518092</v>
      </c>
      <c r="C498" s="339">
        <f>+B498*(Columna!$G$9+Columna!$B$7)/Columna!$G$9</f>
        <v>13428.336652640342</v>
      </c>
      <c r="D498" s="340">
        <f>+B498-A498*'Presiones de casing'!$C$4</f>
        <v>2878.3141199162037</v>
      </c>
      <c r="E498" s="340">
        <f>+'Volumen de gas'!$C$1*Tabla!D498/14.7*520/'Volumen de gas'!$C$2*'Volumen de gas'!$C$4/'Volumen de gas'!$C$3</f>
        <v>44415.73840121739</v>
      </c>
      <c r="F498" s="340">
        <f t="shared" si="9"/>
        <v>357.4707315993352</v>
      </c>
    </row>
    <row r="499" spans="1:6" ht="12.75">
      <c r="A499" s="317">
        <v>124.5</v>
      </c>
      <c r="B499" s="339">
        <f>+('Presiones de casing'!$C$2+14.7+'Presiones de casing'!$C$3+('Presiones de casing'!$C$4+'Presiones de casing'!$C$8)*A499)*(1+'Presiones de casing'!$C$7/'Presiones de casing'!$C$13)</f>
        <v>11294.093679464975</v>
      </c>
      <c r="C499" s="339">
        <f>+B499*(Columna!$G$9+Columna!$B$7)/Columna!$G$9</f>
        <v>13454.958363055825</v>
      </c>
      <c r="D499" s="340">
        <f>+B499-A499*'Presiones de casing'!$C$4</f>
        <v>2883.772191103324</v>
      </c>
      <c r="E499" s="340">
        <f>+'Volumen de gas'!$C$1*Tabla!D499/14.7*520/'Volumen de gas'!$C$2*'Volumen de gas'!$C$4/'Volumen de gas'!$C$3</f>
        <v>44499.96279505437</v>
      </c>
      <c r="F499" s="340">
        <f t="shared" si="9"/>
        <v>357.4294200405974</v>
      </c>
    </row>
    <row r="500" spans="1:6" ht="12.75">
      <c r="A500" s="317">
        <v>124.75</v>
      </c>
      <c r="B500" s="339">
        <f>+('Presiones de casing'!$C$2+14.7+'Presiones de casing'!$C$3+('Presiones de casing'!$C$4+'Presiones de casing'!$C$8)*A500)*(1+'Presiones de casing'!$C$7/'Presiones de casing'!$C$13)</f>
        <v>11316.439946411858</v>
      </c>
      <c r="C500" s="339">
        <f>+B500*(Columna!$G$9+Columna!$B$7)/Columna!$G$9</f>
        <v>13481.580073471305</v>
      </c>
      <c r="D500" s="340">
        <f>+B500-A500*'Presiones de casing'!$C$4</f>
        <v>2889.2302622904444</v>
      </c>
      <c r="E500" s="340">
        <f>+'Volumen de gas'!$C$1*Tabla!D500/14.7*520/'Volumen de gas'!$C$2*'Volumen de gas'!$C$4/'Volumen de gas'!$C$3</f>
        <v>44584.18718889135</v>
      </c>
      <c r="F500" s="340">
        <f t="shared" si="9"/>
        <v>357.38827405924934</v>
      </c>
    </row>
    <row r="501" spans="1:6" ht="12.75">
      <c r="A501" s="317">
        <v>125</v>
      </c>
      <c r="B501" s="339">
        <f>+('Presiones de casing'!$C$2+14.7+'Presiones de casing'!$C$3+('Presiones de casing'!$C$4+'Presiones de casing'!$C$8)*A501)*(1+'Presiones de casing'!$C$7/'Presiones de casing'!$C$13)</f>
        <v>11338.78621335874</v>
      </c>
      <c r="C501" s="339">
        <f>+B501*(Columna!$G$9+Columna!$B$7)/Columna!$G$9</f>
        <v>13508.201783886787</v>
      </c>
      <c r="D501" s="340">
        <f>+B501-A501*'Presiones de casing'!$C$4</f>
        <v>2894.688333477565</v>
      </c>
      <c r="E501" s="340">
        <f>+'Volumen de gas'!$C$1*Tabla!D501/14.7*520/'Volumen de gas'!$C$2*'Volumen de gas'!$C$4/'Volumen de gas'!$C$3</f>
        <v>44668.411582728324</v>
      </c>
      <c r="F501" s="340">
        <f t="shared" si="9"/>
        <v>357.3472926618266</v>
      </c>
    </row>
    <row r="502" spans="1:6" ht="12.75">
      <c r="A502" s="317">
        <v>125.25</v>
      </c>
      <c r="B502" s="339">
        <f>+('Presiones de casing'!$C$2+14.7+'Presiones de casing'!$C$3+('Presiones de casing'!$C$4+'Presiones de casing'!$C$8)*A502)*(1+'Presiones de casing'!$C$7/'Presiones de casing'!$C$13)</f>
        <v>11361.132480305625</v>
      </c>
      <c r="C502" s="339">
        <f>+B502*(Columna!$G$9+Columna!$B$7)/Columna!$G$9</f>
        <v>13534.82349430227</v>
      </c>
      <c r="D502" s="340">
        <f>+B502-A502*'Presiones de casing'!$C$4</f>
        <v>2900.146404664687</v>
      </c>
      <c r="E502" s="340">
        <f>+'Volumen de gas'!$C$1*Tabla!D502/14.7*520/'Volumen de gas'!$C$2*'Volumen de gas'!$C$4/'Volumen de gas'!$C$3</f>
        <v>44752.63597656534</v>
      </c>
      <c r="F502" s="340">
        <f t="shared" si="9"/>
        <v>357.30647486279713</v>
      </c>
    </row>
    <row r="503" spans="1:6" ht="12.75">
      <c r="A503" s="317">
        <v>125.5</v>
      </c>
      <c r="B503" s="339">
        <f>+('Presiones de casing'!$C$2+14.7+'Presiones de casing'!$C$3+('Presiones de casing'!$C$4+'Presiones de casing'!$C$8)*A503)*(1+'Presiones de casing'!$C$7/'Presiones de casing'!$C$13)</f>
        <v>11383.478747252508</v>
      </c>
      <c r="C503" s="339">
        <f>+B503*(Columna!$G$9+Columna!$B$7)/Columna!$G$9</f>
        <v>13561.445204717753</v>
      </c>
      <c r="D503" s="340">
        <f>+B503-A503*'Presiones de casing'!$C$4</f>
        <v>2905.6044758518074</v>
      </c>
      <c r="E503" s="340">
        <f>+'Volumen de gas'!$C$1*Tabla!D503/14.7*520/'Volumen de gas'!$C$2*'Volumen de gas'!$C$4/'Volumen de gas'!$C$3</f>
        <v>44836.86037040232</v>
      </c>
      <c r="F503" s="340">
        <f t="shared" si="9"/>
        <v>357.2658196844806</v>
      </c>
    </row>
    <row r="504" spans="1:6" ht="12.75">
      <c r="A504" s="317">
        <v>125.75</v>
      </c>
      <c r="B504" s="339">
        <f>+('Presiones de casing'!$C$2+14.7+'Presiones de casing'!$C$3+('Presiones de casing'!$C$4+'Presiones de casing'!$C$8)*A504)*(1+'Presiones de casing'!$C$7/'Presiones de casing'!$C$13)</f>
        <v>11405.825014199392</v>
      </c>
      <c r="C504" s="339">
        <f>+B504*(Columna!$G$9+Columna!$B$7)/Columna!$G$9</f>
        <v>13588.066915133237</v>
      </c>
      <c r="D504" s="340">
        <f>+B504-A504*'Presiones de casing'!$C$4</f>
        <v>2911.0625470389296</v>
      </c>
      <c r="E504" s="340">
        <f>+'Volumen de gas'!$C$1*Tabla!D504/14.7*520/'Volumen de gas'!$C$2*'Volumen de gas'!$C$4/'Volumen de gas'!$C$3</f>
        <v>44921.08476423932</v>
      </c>
      <c r="F504" s="340">
        <f t="shared" si="9"/>
        <v>357.2253261569727</v>
      </c>
    </row>
    <row r="505" spans="1:6" ht="12.75">
      <c r="A505" s="317">
        <v>126</v>
      </c>
      <c r="B505" s="339">
        <f>+('Presiones de casing'!$C$2+14.7+'Presiones de casing'!$C$3+('Presiones de casing'!$C$4+'Presiones de casing'!$C$8)*A505)*(1+'Presiones de casing'!$C$7/'Presiones de casing'!$C$13)</f>
        <v>11428.171281146275</v>
      </c>
      <c r="C505" s="339">
        <f>+B505*(Columna!$G$9+Columna!$B$7)/Columna!$G$9</f>
        <v>13614.688625548717</v>
      </c>
      <c r="D505" s="340">
        <f>+B505-A505*'Presiones de casing'!$C$4</f>
        <v>2916.52061822605</v>
      </c>
      <c r="E505" s="340">
        <f>+'Volumen de gas'!$C$1*Tabla!D505/14.7*520/'Volumen de gas'!$C$2*'Volumen de gas'!$C$4/'Volumen de gas'!$C$3</f>
        <v>45005.30915807629</v>
      </c>
      <c r="F505" s="340">
        <f t="shared" si="9"/>
        <v>357.18499331806584</v>
      </c>
    </row>
    <row r="506" spans="1:6" ht="12.75">
      <c r="A506" s="317">
        <v>126.25</v>
      </c>
      <c r="B506" s="339">
        <f>+('Presiones de casing'!$C$2+14.7+'Presiones de casing'!$C$3+('Presiones de casing'!$C$4+'Presiones de casing'!$C$8)*A506)*(1+'Presiones de casing'!$C$7/'Presiones de casing'!$C$13)</f>
        <v>11450.51754809316</v>
      </c>
      <c r="C506" s="339">
        <f>+B506*(Columna!$G$9+Columna!$B$7)/Columna!$G$9</f>
        <v>13641.310335964203</v>
      </c>
      <c r="D506" s="340">
        <f>+B506-A506*'Presiones de casing'!$C$4</f>
        <v>2921.978689413172</v>
      </c>
      <c r="E506" s="340">
        <f>+'Volumen de gas'!$C$1*Tabla!D506/14.7*520/'Volumen de gas'!$C$2*'Volumen de gas'!$C$4/'Volumen de gas'!$C$3</f>
        <v>45089.53355191331</v>
      </c>
      <c r="F506" s="340">
        <f t="shared" si="9"/>
        <v>357.14482021317474</v>
      </c>
    </row>
    <row r="507" spans="1:6" ht="12.75">
      <c r="A507" s="317">
        <v>126.5</v>
      </c>
      <c r="B507" s="339">
        <f>+('Presiones de casing'!$C$2+14.7+'Presiones de casing'!$C$3+('Presiones de casing'!$C$4+'Presiones de casing'!$C$8)*A507)*(1+'Presiones de casing'!$C$7/'Presiones de casing'!$C$13)</f>
        <v>11472.863815040042</v>
      </c>
      <c r="C507" s="339">
        <f>+B507*(Columna!$G$9+Columna!$B$7)/Columna!$G$9</f>
        <v>13667.932046379683</v>
      </c>
      <c r="D507" s="340">
        <f>+B507-A507*'Presiones de casing'!$C$4</f>
        <v>2927.4367606002925</v>
      </c>
      <c r="E507" s="340">
        <f>+'Volumen de gas'!$C$1*Tabla!D507/14.7*520/'Volumen de gas'!$C$2*'Volumen de gas'!$C$4/'Volumen de gas'!$C$3</f>
        <v>45173.75794575028</v>
      </c>
      <c r="F507" s="340">
        <f t="shared" si="9"/>
        <v>357.1048058952591</v>
      </c>
    </row>
    <row r="508" spans="1:6" ht="12.75">
      <c r="A508" s="317">
        <v>126.75</v>
      </c>
      <c r="B508" s="339">
        <f>+('Presiones de casing'!$C$2+14.7+'Presiones de casing'!$C$3+('Presiones de casing'!$C$4+'Presiones de casing'!$C$8)*A508)*(1+'Presiones de casing'!$C$7/'Presiones de casing'!$C$13)</f>
        <v>11495.210081986925</v>
      </c>
      <c r="C508" s="339">
        <f>+B508*(Columna!$G$9+Columna!$B$7)/Columna!$G$9</f>
        <v>13694.553756795165</v>
      </c>
      <c r="D508" s="340">
        <f>+B508-A508*'Presiones de casing'!$C$4</f>
        <v>2932.894831787413</v>
      </c>
      <c r="E508" s="340">
        <f>+'Volumen de gas'!$C$1*Tabla!D508/14.7*520/'Volumen de gas'!$C$2*'Volumen de gas'!$C$4/'Volumen de gas'!$C$3</f>
        <v>45257.98233958726</v>
      </c>
      <c r="F508" s="340">
        <f t="shared" si="9"/>
        <v>357.06494942475155</v>
      </c>
    </row>
    <row r="509" spans="1:6" ht="12.75">
      <c r="A509" s="317">
        <v>127</v>
      </c>
      <c r="B509" s="339">
        <f>+('Presiones de casing'!$C$2+14.7+'Presiones de casing'!$C$3+('Presiones de casing'!$C$4+'Presiones de casing'!$C$8)*A509)*(1+'Presiones de casing'!$C$7/'Presiones de casing'!$C$13)</f>
        <v>11517.556348933807</v>
      </c>
      <c r="C509" s="339">
        <f>+B509*(Columna!$G$9+Columna!$B$7)/Columna!$G$9</f>
        <v>13721.175467210647</v>
      </c>
      <c r="D509" s="340">
        <f>+B509-A509*'Presiones de casing'!$C$4</f>
        <v>2938.352902974533</v>
      </c>
      <c r="E509" s="340">
        <f>+'Volumen de gas'!$C$1*Tabla!D509/14.7*520/'Volumen de gas'!$C$2*'Volumen de gas'!$C$4/'Volumen de gas'!$C$3</f>
        <v>45342.20673342424</v>
      </c>
      <c r="F509" s="340">
        <f t="shared" si="9"/>
        <v>357.0252498694822</v>
      </c>
    </row>
    <row r="510" spans="1:6" ht="12.75">
      <c r="A510" s="317">
        <v>127.25</v>
      </c>
      <c r="B510" s="339">
        <f>+('Presiones de casing'!$C$2+14.7+'Presiones de casing'!$C$3+('Presiones de casing'!$C$4+'Presiones de casing'!$C$8)*A510)*(1+'Presiones de casing'!$C$7/'Presiones de casing'!$C$13)</f>
        <v>11539.90261588069</v>
      </c>
      <c r="C510" s="339">
        <f>+B510*(Columna!$G$9+Columna!$B$7)/Columna!$G$9</f>
        <v>13747.797177626127</v>
      </c>
      <c r="D510" s="340">
        <f>+B510-A510*'Presiones de casing'!$C$4</f>
        <v>2943.8109741616536</v>
      </c>
      <c r="E510" s="340">
        <f>+'Volumen de gas'!$C$1*Tabla!D510/14.7*520/'Volumen de gas'!$C$2*'Volumen de gas'!$C$4/'Volumen de gas'!$C$3</f>
        <v>45426.431127261225</v>
      </c>
      <c r="F510" s="340">
        <f t="shared" si="9"/>
        <v>356.9857063046069</v>
      </c>
    </row>
    <row r="511" spans="1:6" ht="12.75">
      <c r="A511" s="317">
        <v>127.5</v>
      </c>
      <c r="B511" s="339">
        <f>+('Presiones de casing'!$C$2+14.7+'Presiones de casing'!$C$3+('Presiones de casing'!$C$4+'Presiones de casing'!$C$8)*A511)*(1+'Presiones de casing'!$C$7/'Presiones de casing'!$C$13)</f>
        <v>11562.248882827575</v>
      </c>
      <c r="C511" s="339">
        <f>+B511*(Columna!$G$9+Columna!$B$7)/Columna!$G$9</f>
        <v>13774.418888041611</v>
      </c>
      <c r="D511" s="340">
        <f>+B511-A511*'Presiones de casing'!$C$4</f>
        <v>2949.2690453487758</v>
      </c>
      <c r="E511" s="340">
        <f>+'Volumen de gas'!$C$1*Tabla!D511/14.7*520/'Volumen de gas'!$C$2*'Volumen de gas'!$C$4/'Volumen de gas'!$C$3</f>
        <v>45510.65552109823</v>
      </c>
      <c r="F511" s="340">
        <f t="shared" si="9"/>
        <v>356.94631781253514</v>
      </c>
    </row>
    <row r="512" spans="1:6" ht="12.75">
      <c r="A512" s="317">
        <v>127.75</v>
      </c>
      <c r="B512" s="339">
        <f>+('Presiones de casing'!$C$2+14.7+'Presiones de casing'!$C$3+('Presiones de casing'!$C$4+'Presiones de casing'!$C$8)*A512)*(1+'Presiones de casing'!$C$7/'Presiones de casing'!$C$13)</f>
        <v>11584.595149774457</v>
      </c>
      <c r="C512" s="339">
        <f>+B512*(Columna!$G$9+Columna!$B$7)/Columna!$G$9</f>
        <v>13801.040598457092</v>
      </c>
      <c r="D512" s="340">
        <f>+B512-A512*'Presiones de casing'!$C$4</f>
        <v>2954.727116535896</v>
      </c>
      <c r="E512" s="340">
        <f>+'Volumen de gas'!$C$1*Tabla!D512/14.7*520/'Volumen de gas'!$C$2*'Volumen de gas'!$C$4/'Volumen de gas'!$C$3</f>
        <v>45594.87991493521</v>
      </c>
      <c r="F512" s="340">
        <f t="shared" si="9"/>
        <v>356.9070834828588</v>
      </c>
    </row>
    <row r="513" spans="1:6" ht="12.75">
      <c r="A513" s="317">
        <v>128</v>
      </c>
      <c r="B513" s="339">
        <f>+('Presiones de casing'!$C$2+14.7+'Presiones de casing'!$C$3+('Presiones de casing'!$C$4+'Presiones de casing'!$C$8)*A513)*(1+'Presiones de casing'!$C$7/'Presiones de casing'!$C$13)</f>
        <v>11606.941416721342</v>
      </c>
      <c r="C513" s="339">
        <f>+B513*(Columna!$G$9+Columna!$B$7)/Columna!$G$9</f>
        <v>13827.662308872577</v>
      </c>
      <c r="D513" s="340">
        <f>+B513-A513*'Presiones de casing'!$C$4</f>
        <v>2960.1851877230183</v>
      </c>
      <c r="E513" s="340">
        <f>+'Volumen de gas'!$C$1*Tabla!D513/14.7*520/'Volumen de gas'!$C$2*'Volumen de gas'!$C$4/'Volumen de gas'!$C$3</f>
        <v>45679.10430877222</v>
      </c>
      <c r="F513" s="340">
        <f aca="true" t="shared" si="10" ref="F513:F576">+E513/A513</f>
        <v>356.868002412283</v>
      </c>
    </row>
    <row r="514" spans="1:6" ht="12.75">
      <c r="A514" s="317">
        <v>128.25</v>
      </c>
      <c r="B514" s="339">
        <f>+('Presiones de casing'!$C$2+14.7+'Presiones de casing'!$C$3+('Presiones de casing'!$C$4+'Presiones de casing'!$C$8)*A514)*(1+'Presiones de casing'!$C$7/'Presiones de casing'!$C$13)</f>
        <v>11629.287683668224</v>
      </c>
      <c r="C514" s="339">
        <f>+B514*(Columna!$G$9+Columna!$B$7)/Columna!$G$9</f>
        <v>13854.284019288058</v>
      </c>
      <c r="D514" s="340">
        <f>+B514-A514*'Presiones de casing'!$C$4</f>
        <v>2965.6432589101387</v>
      </c>
      <c r="E514" s="340">
        <f>+'Volumen de gas'!$C$1*Tabla!D514/14.7*520/'Volumen de gas'!$C$2*'Volumen de gas'!$C$4/'Volumen de gas'!$C$3</f>
        <v>45763.32870260919</v>
      </c>
      <c r="F514" s="340">
        <f t="shared" si="10"/>
        <v>356.8290737045551</v>
      </c>
    </row>
    <row r="515" spans="1:6" ht="12.75">
      <c r="A515" s="317">
        <v>128.5</v>
      </c>
      <c r="B515" s="339">
        <f>+('Presiones de casing'!$C$2+14.7+'Presiones de casing'!$C$3+('Presiones de casing'!$C$4+'Presiones de casing'!$C$8)*A515)*(1+'Presiones de casing'!$C$7/'Presiones de casing'!$C$13)</f>
        <v>11651.633950615109</v>
      </c>
      <c r="C515" s="339">
        <f>+B515*(Columna!$G$9+Columna!$B$7)/Columna!$G$9</f>
        <v>13880.905729703542</v>
      </c>
      <c r="D515" s="340">
        <f>+B515-A515*'Presiones de casing'!$C$4</f>
        <v>2971.101330097261</v>
      </c>
      <c r="E515" s="340">
        <f>+'Volumen de gas'!$C$1*Tabla!D515/14.7*520/'Volumen de gas'!$C$2*'Volumen de gas'!$C$4/'Volumen de gas'!$C$3</f>
        <v>45847.5530964462</v>
      </c>
      <c r="F515" s="340">
        <f t="shared" si="10"/>
        <v>356.79029647039846</v>
      </c>
    </row>
    <row r="516" spans="1:6" ht="12.75">
      <c r="A516" s="317">
        <v>128.75</v>
      </c>
      <c r="B516" s="339">
        <f>+('Presiones de casing'!$C$2+14.7+'Presiones de casing'!$C$3+('Presiones de casing'!$C$4+'Presiones de casing'!$C$8)*A516)*(1+'Presiones de casing'!$C$7/'Presiones de casing'!$C$13)</f>
        <v>11673.980217561992</v>
      </c>
      <c r="C516" s="339">
        <f>+B516*(Columna!$G$9+Columna!$B$7)/Columna!$G$9</f>
        <v>13907.527440119025</v>
      </c>
      <c r="D516" s="340">
        <f>+B516-A516*'Presiones de casing'!$C$4</f>
        <v>2976.5594012843812</v>
      </c>
      <c r="E516" s="340">
        <f>+'Volumen de gas'!$C$1*Tabla!D516/14.7*520/'Volumen de gas'!$C$2*'Volumen de gas'!$C$4/'Volumen de gas'!$C$3</f>
        <v>45931.77749028317</v>
      </c>
      <c r="F516" s="340">
        <f t="shared" si="10"/>
        <v>356.75166982744213</v>
      </c>
    </row>
    <row r="517" spans="1:6" ht="12.75">
      <c r="A517" s="317">
        <v>129</v>
      </c>
      <c r="B517" s="339">
        <f>+('Presiones de casing'!$C$2+14.7+'Presiones de casing'!$C$3+('Presiones de casing'!$C$4+'Presiones de casing'!$C$8)*A517)*(1+'Presiones de casing'!$C$7/'Presiones de casing'!$C$13)</f>
        <v>11696.326484508874</v>
      </c>
      <c r="C517" s="339">
        <f>+B517*(Columna!$G$9+Columna!$B$7)/Columna!$G$9</f>
        <v>13934.149150534504</v>
      </c>
      <c r="D517" s="340">
        <f>+B517-A517*'Presiones de casing'!$C$4</f>
        <v>2982.0174724715016</v>
      </c>
      <c r="E517" s="340">
        <f>+'Volumen de gas'!$C$1*Tabla!D517/14.7*520/'Volumen de gas'!$C$2*'Volumen de gas'!$C$4/'Volumen de gas'!$C$3</f>
        <v>46016.001884120145</v>
      </c>
      <c r="F517" s="340">
        <f t="shared" si="10"/>
        <v>356.7131929001562</v>
      </c>
    </row>
    <row r="518" spans="1:6" ht="12.75">
      <c r="A518" s="317">
        <v>129.25</v>
      </c>
      <c r="B518" s="339">
        <f>+('Presiones de casing'!$C$2+14.7+'Presiones de casing'!$C$3+('Presiones de casing'!$C$4+'Presiones de casing'!$C$8)*A518)*(1+'Presiones de casing'!$C$7/'Presiones de casing'!$C$13)</f>
        <v>11718.672751455757</v>
      </c>
      <c r="C518" s="339">
        <f>+B518*(Columna!$G$9+Columna!$B$7)/Columna!$G$9</f>
        <v>13960.770860949988</v>
      </c>
      <c r="D518" s="340">
        <f>+B518-A518*'Presiones de casing'!$C$4</f>
        <v>2987.475543658622</v>
      </c>
      <c r="E518" s="340">
        <f>+'Volumen de gas'!$C$1*Tabla!D518/14.7*520/'Volumen de gas'!$C$2*'Volumen de gas'!$C$4/'Volumen de gas'!$C$3</f>
        <v>46100.22627795715</v>
      </c>
      <c r="F518" s="340">
        <f t="shared" si="10"/>
        <v>356.6748648197845</v>
      </c>
    </row>
    <row r="519" spans="1:6" ht="12.75">
      <c r="A519" s="317">
        <v>129.5</v>
      </c>
      <c r="B519" s="339">
        <f>+('Presiones de casing'!$C$2+14.7+'Presiones de casing'!$C$3+('Presiones de casing'!$C$4+'Presiones de casing'!$C$8)*A519)*(1+'Presiones de casing'!$C$7/'Presiones de casing'!$C$13)</f>
        <v>11741.01901840264</v>
      </c>
      <c r="C519" s="339">
        <f>+B519*(Columna!$G$9+Columna!$B$7)/Columna!$G$9</f>
        <v>13987.392571365468</v>
      </c>
      <c r="D519" s="340">
        <f>+B519-A519*'Presiones de casing'!$C$4</f>
        <v>2992.9336148457423</v>
      </c>
      <c r="E519" s="340">
        <f>+'Volumen de gas'!$C$1*Tabla!D519/14.7*520/'Volumen de gas'!$C$2*'Volumen de gas'!$C$4/'Volumen de gas'!$C$3</f>
        <v>46184.450671794126</v>
      </c>
      <c r="F519" s="340">
        <f t="shared" si="10"/>
        <v>356.63668472427895</v>
      </c>
    </row>
    <row r="520" spans="1:6" ht="12.75">
      <c r="A520" s="317">
        <v>129.75</v>
      </c>
      <c r="B520" s="339">
        <f>+('Presiones de casing'!$C$2+14.7+'Presiones de casing'!$C$3+('Presiones de casing'!$C$4+'Presiones de casing'!$C$8)*A520)*(1+'Presiones de casing'!$C$7/'Presiones de casing'!$C$13)</f>
        <v>11763.365285349524</v>
      </c>
      <c r="C520" s="339">
        <f>+B520*(Columna!$G$9+Columna!$B$7)/Columna!$G$9</f>
        <v>14014.014281780952</v>
      </c>
      <c r="D520" s="340">
        <f>+B520-A520*'Presiones de casing'!$C$4</f>
        <v>2998.3916860328645</v>
      </c>
      <c r="E520" s="340">
        <f>+'Volumen de gas'!$C$1*Tabla!D520/14.7*520/'Volumen de gas'!$C$2*'Volumen de gas'!$C$4/'Volumen de gas'!$C$3</f>
        <v>46268.67506563112</v>
      </c>
      <c r="F520" s="340">
        <f t="shared" si="10"/>
        <v>356.598651758236</v>
      </c>
    </row>
    <row r="521" spans="1:6" ht="12.75">
      <c r="A521" s="317">
        <v>130</v>
      </c>
      <c r="B521" s="339">
        <f>+('Presiones de casing'!$C$2+14.7+'Presiones de casing'!$C$3+('Presiones de casing'!$C$4+'Presiones de casing'!$C$8)*A521)*(1+'Presiones de casing'!$C$7/'Presiones de casing'!$C$13)</f>
        <v>11785.711552296407</v>
      </c>
      <c r="C521" s="339">
        <f>+B521*(Columna!$G$9+Columna!$B$7)/Columna!$G$9</f>
        <v>14040.635992196434</v>
      </c>
      <c r="D521" s="340">
        <f>+B521-A521*'Presiones de casing'!$C$4</f>
        <v>3003.849757219985</v>
      </c>
      <c r="E521" s="340">
        <f>+'Volumen de gas'!$C$1*Tabla!D521/14.7*520/'Volumen de gas'!$C$2*'Volumen de gas'!$C$4/'Volumen de gas'!$C$3</f>
        <v>46352.8994594681</v>
      </c>
      <c r="F521" s="340">
        <f t="shared" si="10"/>
        <v>356.56076507283154</v>
      </c>
    </row>
    <row r="522" spans="1:6" ht="12.75">
      <c r="A522" s="317">
        <v>130.25</v>
      </c>
      <c r="B522" s="339">
        <f>+('Presiones de casing'!$C$2+14.7+'Presiones de casing'!$C$3+('Presiones de casing'!$C$4+'Presiones de casing'!$C$8)*A522)*(1+'Presiones de casing'!$C$7/'Presiones de casing'!$C$13)</f>
        <v>11808.057819243291</v>
      </c>
      <c r="C522" s="339">
        <f>+B522*(Columna!$G$9+Columna!$B$7)/Columna!$G$9</f>
        <v>14067.257702611918</v>
      </c>
      <c r="D522" s="340">
        <f>+B522-A522*'Presiones de casing'!$C$4</f>
        <v>3009.307828407107</v>
      </c>
      <c r="E522" s="340">
        <f>+'Volumen de gas'!$C$1*Tabla!D522/14.7*520/'Volumen de gas'!$C$2*'Volumen de gas'!$C$4/'Volumen de gas'!$C$3</f>
        <v>46437.123853305115</v>
      </c>
      <c r="F522" s="340">
        <f t="shared" si="10"/>
        <v>356.523023825759</v>
      </c>
    </row>
    <row r="523" spans="1:6" ht="12.75">
      <c r="A523" s="317">
        <v>130.5</v>
      </c>
      <c r="B523" s="339">
        <f>+('Presiones de casing'!$C$2+14.7+'Presiones de casing'!$C$3+('Presiones de casing'!$C$4+'Presiones de casing'!$C$8)*A523)*(1+'Presiones de casing'!$C$7/'Presiones de casing'!$C$13)</f>
        <v>11830.404086190174</v>
      </c>
      <c r="C523" s="339">
        <f>+B523*(Columna!$G$9+Columna!$B$7)/Columna!$G$9</f>
        <v>14093.8794130274</v>
      </c>
      <c r="D523" s="340">
        <f>+B523-A523*'Presiones de casing'!$C$4</f>
        <v>3014.7658995942274</v>
      </c>
      <c r="E523" s="340">
        <f>+'Volumen de gas'!$C$1*Tabla!D523/14.7*520/'Volumen de gas'!$C$2*'Volumen de gas'!$C$4/'Volumen de gas'!$C$3</f>
        <v>46521.348247142094</v>
      </c>
      <c r="F523" s="340">
        <f t="shared" si="10"/>
        <v>356.48542718116545</v>
      </c>
    </row>
    <row r="524" spans="1:6" ht="12.75">
      <c r="A524" s="317">
        <v>130.75</v>
      </c>
      <c r="B524" s="339">
        <f>+('Presiones de casing'!$C$2+14.7+'Presiones de casing'!$C$3+('Presiones de casing'!$C$4+'Presiones de casing'!$C$8)*A524)*(1+'Presiones de casing'!$C$7/'Presiones de casing'!$C$13)</f>
        <v>11852.750353137057</v>
      </c>
      <c r="C524" s="339">
        <f>+B524*(Columna!$G$9+Columna!$B$7)/Columna!$G$9</f>
        <v>14120.50112344288</v>
      </c>
      <c r="D524" s="340">
        <f>+B524-A524*'Presiones de casing'!$C$4</f>
        <v>3020.223970781348</v>
      </c>
      <c r="E524" s="340">
        <f>+'Volumen de gas'!$C$1*Tabla!D524/14.7*520/'Volumen de gas'!$C$2*'Volumen de gas'!$C$4/'Volumen de gas'!$C$3</f>
        <v>46605.57264097906</v>
      </c>
      <c r="F524" s="340">
        <f t="shared" si="10"/>
        <v>356.44797430959125</v>
      </c>
    </row>
    <row r="525" spans="1:6" ht="12.75">
      <c r="A525" s="317">
        <v>131</v>
      </c>
      <c r="B525" s="339">
        <f>+('Presiones de casing'!$C$2+14.7+'Presiones de casing'!$C$3+('Presiones de casing'!$C$4+'Presiones de casing'!$C$8)*A525)*(1+'Presiones de casing'!$C$7/'Presiones de casing'!$C$13)</f>
        <v>11875.096620083941</v>
      </c>
      <c r="C525" s="339">
        <f>+B525*(Columna!$G$9+Columna!$B$7)/Columna!$G$9</f>
        <v>14147.122833858364</v>
      </c>
      <c r="D525" s="340">
        <f>+B525-A525*'Presiones de casing'!$C$4</f>
        <v>3025.68204196847</v>
      </c>
      <c r="E525" s="340">
        <f>+'Volumen de gas'!$C$1*Tabla!D525/14.7*520/'Volumen de gas'!$C$2*'Volumen de gas'!$C$4/'Volumen de gas'!$C$3</f>
        <v>46689.79703481609</v>
      </c>
      <c r="F525" s="340">
        <f t="shared" si="10"/>
        <v>356.4106643879091</v>
      </c>
    </row>
    <row r="526" spans="1:6" ht="12.75">
      <c r="A526" s="317">
        <v>131.25</v>
      </c>
      <c r="B526" s="339">
        <f>+('Presiones de casing'!$C$2+14.7+'Presiones de casing'!$C$3+('Presiones de casing'!$C$4+'Presiones de casing'!$C$8)*A526)*(1+'Presiones de casing'!$C$7/'Presiones de casing'!$C$13)</f>
        <v>11897.442887030824</v>
      </c>
      <c r="C526" s="339">
        <f>+B526*(Columna!$G$9+Columna!$B$7)/Columna!$G$9</f>
        <v>14173.744544273844</v>
      </c>
      <c r="D526" s="340">
        <f>+B526-A526*'Presiones de casing'!$C$4</f>
        <v>3031.1401131555904</v>
      </c>
      <c r="E526" s="340">
        <f>+'Volumen de gas'!$C$1*Tabla!D526/14.7*520/'Volumen de gas'!$C$2*'Volumen de gas'!$C$4/'Volumen de gas'!$C$3</f>
        <v>46774.02142865305</v>
      </c>
      <c r="F526" s="340">
        <f t="shared" si="10"/>
        <v>356.3734965992614</v>
      </c>
    </row>
    <row r="527" spans="1:6" ht="12.75">
      <c r="A527" s="317">
        <v>131.5</v>
      </c>
      <c r="B527" s="339">
        <f>+('Presiones de casing'!$C$2+14.7+'Presiones de casing'!$C$3+('Presiones de casing'!$C$4+'Presiones de casing'!$C$8)*A527)*(1+'Presiones de casing'!$C$7/'Presiones de casing'!$C$13)</f>
        <v>11919.789153977708</v>
      </c>
      <c r="C527" s="339">
        <f>+B527*(Columna!$G$9+Columna!$B$7)/Columna!$G$9</f>
        <v>14200.36625468933</v>
      </c>
      <c r="D527" s="340">
        <f>+B527-A527*'Presiones de casing'!$C$4</f>
        <v>3036.5981843427126</v>
      </c>
      <c r="E527" s="340">
        <f>+'Volumen de gas'!$C$1*Tabla!D527/14.7*520/'Volumen de gas'!$C$2*'Volumen de gas'!$C$4/'Volumen de gas'!$C$3</f>
        <v>46858.245822490055</v>
      </c>
      <c r="F527" s="340">
        <f t="shared" si="10"/>
        <v>356.33647013300424</v>
      </c>
    </row>
    <row r="528" spans="1:6" ht="12.75">
      <c r="A528" s="317">
        <v>131.75</v>
      </c>
      <c r="B528" s="339">
        <f>+('Presiones de casing'!$C$2+14.7+'Presiones de casing'!$C$3+('Presiones de casing'!$C$4+'Presiones de casing'!$C$8)*A528)*(1+'Presiones de casing'!$C$7/'Presiones de casing'!$C$13)</f>
        <v>11942.13542092459</v>
      </c>
      <c r="C528" s="339">
        <f>+B528*(Columna!$G$9+Columna!$B$7)/Columna!$G$9</f>
        <v>14226.98796510481</v>
      </c>
      <c r="D528" s="340">
        <f>+B528-A528*'Presiones de casing'!$C$4</f>
        <v>3042.056255529831</v>
      </c>
      <c r="E528" s="340">
        <f>+'Volumen de gas'!$C$1*Tabla!D528/14.7*520/'Volumen de gas'!$C$2*'Volumen de gas'!$C$4/'Volumen de gas'!$C$3</f>
        <v>46942.470216327005</v>
      </c>
      <c r="F528" s="340">
        <f t="shared" si="10"/>
        <v>356.2995841846452</v>
      </c>
    </row>
    <row r="529" spans="1:6" ht="12.75">
      <c r="A529" s="317">
        <v>132</v>
      </c>
      <c r="B529" s="339">
        <f>+('Presiones de casing'!$C$2+14.7+'Presiones de casing'!$C$3+('Presiones de casing'!$C$4+'Presiones de casing'!$C$8)*A529)*(1+'Presiones de casing'!$C$7/'Presiones de casing'!$C$13)</f>
        <v>11964.481687871474</v>
      </c>
      <c r="C529" s="339">
        <f>+B529*(Columna!$G$9+Columna!$B$7)/Columna!$G$9</f>
        <v>14253.609675520293</v>
      </c>
      <c r="D529" s="340">
        <f>+B529-A529*'Presiones de casing'!$C$4</f>
        <v>3047.5143267169533</v>
      </c>
      <c r="E529" s="340">
        <f>+'Volumen de gas'!$C$1*Tabla!D529/14.7*520/'Volumen de gas'!$C$2*'Volumen de gas'!$C$4/'Volumen de gas'!$C$3</f>
        <v>47026.69461016402</v>
      </c>
      <c r="F529" s="340">
        <f t="shared" si="10"/>
        <v>356.26283795578803</v>
      </c>
    </row>
    <row r="530" spans="1:6" ht="12.75">
      <c r="A530" s="317">
        <v>132.25</v>
      </c>
      <c r="B530" s="339">
        <f>+('Presiones de casing'!$C$2+14.7+'Presiones de casing'!$C$3+('Presiones de casing'!$C$4+'Presiones de casing'!$C$8)*A530)*(1+'Presiones de casing'!$C$7/'Presiones de casing'!$C$13)</f>
        <v>11986.827954818356</v>
      </c>
      <c r="C530" s="339">
        <f>+B530*(Columna!$G$9+Columna!$B$7)/Columna!$G$9</f>
        <v>14280.231385935775</v>
      </c>
      <c r="D530" s="340">
        <f>+B530-A530*'Presiones de casing'!$C$4</f>
        <v>3052.9723979040737</v>
      </c>
      <c r="E530" s="340">
        <f>+'Volumen de gas'!$C$1*Tabla!D530/14.7*520/'Volumen de gas'!$C$2*'Volumen de gas'!$C$4/'Volumen de gas'!$C$3</f>
        <v>47110.91900400101</v>
      </c>
      <c r="F530" s="340">
        <f t="shared" si="10"/>
        <v>356.2262306540719</v>
      </c>
    </row>
    <row r="531" spans="1:6" ht="12.75">
      <c r="A531" s="317">
        <v>132.5</v>
      </c>
      <c r="B531" s="339">
        <f>+('Presiones de casing'!$C$2+14.7+'Presiones de casing'!$C$3+('Presiones de casing'!$C$4+'Presiones de casing'!$C$8)*A531)*(1+'Presiones de casing'!$C$7/'Presiones de casing'!$C$13)</f>
        <v>12009.174221765239</v>
      </c>
      <c r="C531" s="339">
        <f>+B531*(Columna!$G$9+Columna!$B$7)/Columna!$G$9</f>
        <v>14306.853096351255</v>
      </c>
      <c r="D531" s="340">
        <f>+B531-A531*'Presiones de casing'!$C$4</f>
        <v>3058.430469091194</v>
      </c>
      <c r="E531" s="340">
        <f>+'Volumen de gas'!$C$1*Tabla!D531/14.7*520/'Volumen de gas'!$C$2*'Volumen de gas'!$C$4/'Volumen de gas'!$C$3</f>
        <v>47195.14339783798</v>
      </c>
      <c r="F531" s="340">
        <f t="shared" si="10"/>
        <v>356.1897614931168</v>
      </c>
    </row>
    <row r="532" spans="1:6" ht="12.75">
      <c r="A532" s="317">
        <v>132.75</v>
      </c>
      <c r="B532" s="339">
        <f>+('Presiones de casing'!$C$2+14.7+'Presiones de casing'!$C$3+('Presiones de casing'!$C$4+'Presiones de casing'!$C$8)*A532)*(1+'Presiones de casing'!$C$7/'Presiones de casing'!$C$13)</f>
        <v>12031.520488712124</v>
      </c>
      <c r="C532" s="339">
        <f>+B532*(Columna!$G$9+Columna!$B$7)/Columna!$G$9</f>
        <v>14333.474806766739</v>
      </c>
      <c r="D532" s="340">
        <f>+B532-A532*'Presiones de casing'!$C$4</f>
        <v>3063.888540278316</v>
      </c>
      <c r="E532" s="340">
        <f>+'Volumen de gas'!$C$1*Tabla!D532/14.7*520/'Volumen de gas'!$C$2*'Volumen de gas'!$C$4/'Volumen de gas'!$C$3</f>
        <v>47279.367791674995</v>
      </c>
      <c r="F532" s="340">
        <f t="shared" si="10"/>
        <v>356.153429692467</v>
      </c>
    </row>
    <row r="533" spans="1:6" ht="12.75">
      <c r="A533" s="317">
        <v>133</v>
      </c>
      <c r="B533" s="339">
        <f>+('Presiones de casing'!$C$2+14.7+'Presiones de casing'!$C$3+('Presiones de casing'!$C$4+'Presiones de casing'!$C$8)*A533)*(1+'Presiones de casing'!$C$7/'Presiones de casing'!$C$13)</f>
        <v>12053.866755659006</v>
      </c>
      <c r="C533" s="339">
        <f>+B533*(Columna!$G$9+Columna!$B$7)/Columna!$G$9</f>
        <v>14360.096517182223</v>
      </c>
      <c r="D533" s="340">
        <f>+B533-A533*'Presiones de casing'!$C$4</f>
        <v>3069.3466114654366</v>
      </c>
      <c r="E533" s="340">
        <f>+'Volumen de gas'!$C$1*Tabla!D533/14.7*520/'Volumen de gas'!$C$2*'Volumen de gas'!$C$4/'Volumen de gas'!$C$3</f>
        <v>47363.592185511974</v>
      </c>
      <c r="F533" s="340">
        <f t="shared" si="10"/>
        <v>356.11723447753366</v>
      </c>
    </row>
    <row r="534" spans="1:6" ht="12.75">
      <c r="A534" s="317">
        <v>133.25</v>
      </c>
      <c r="B534" s="339">
        <f>+('Presiones de casing'!$C$2+14.7+'Presiones de casing'!$C$3+('Presiones de casing'!$C$4+'Presiones de casing'!$C$8)*A534)*(1+'Presiones de casing'!$C$7/'Presiones de casing'!$C$13)</f>
        <v>12076.21302260589</v>
      </c>
      <c r="C534" s="339">
        <f>+B534*(Columna!$G$9+Columna!$B$7)/Columna!$G$9</f>
        <v>14386.718227597705</v>
      </c>
      <c r="D534" s="340">
        <f>+B534-A534*'Presiones de casing'!$C$4</f>
        <v>3074.8046826525588</v>
      </c>
      <c r="E534" s="340">
        <f>+'Volumen de gas'!$C$1*Tabla!D534/14.7*520/'Volumen de gas'!$C$2*'Volumen de gas'!$C$4/'Volumen de gas'!$C$3</f>
        <v>47447.81657934897</v>
      </c>
      <c r="F534" s="340">
        <f t="shared" si="10"/>
        <v>356.081175079542</v>
      </c>
    </row>
    <row r="535" spans="1:6" ht="12.75">
      <c r="A535" s="317">
        <v>133.5</v>
      </c>
      <c r="B535" s="339">
        <f>+('Presiones de casing'!$C$2+14.7+'Presiones de casing'!$C$3+('Presiones de casing'!$C$4+'Presiones de casing'!$C$8)*A535)*(1+'Presiones de casing'!$C$7/'Presiones de casing'!$C$13)</f>
        <v>12098.559289552773</v>
      </c>
      <c r="C535" s="339">
        <f>+B535*(Columna!$G$9+Columna!$B$7)/Columna!$G$9</f>
        <v>14413.339938013187</v>
      </c>
      <c r="D535" s="340">
        <f>+B535-A535*'Presiones de casing'!$C$4</f>
        <v>3080.262753839679</v>
      </c>
      <c r="E535" s="340">
        <f>+'Volumen de gas'!$C$1*Tabla!D535/14.7*520/'Volumen de gas'!$C$2*'Volumen de gas'!$C$4/'Volumen de gas'!$C$3</f>
        <v>47532.04097318595</v>
      </c>
      <c r="F535" s="340">
        <f t="shared" si="10"/>
        <v>356.04525073547524</v>
      </c>
    </row>
    <row r="536" spans="1:6" ht="12.75">
      <c r="A536" s="317">
        <v>133.75</v>
      </c>
      <c r="B536" s="339">
        <f>+('Presiones de casing'!$C$2+14.7+'Presiones de casing'!$C$3+('Presiones de casing'!$C$4+'Presiones de casing'!$C$8)*A536)*(1+'Presiones de casing'!$C$7/'Presiones de casing'!$C$13)</f>
        <v>12120.905556499658</v>
      </c>
      <c r="C536" s="339">
        <f>+B536*(Columna!$G$9+Columna!$B$7)/Columna!$G$9</f>
        <v>14439.961648428669</v>
      </c>
      <c r="D536" s="340">
        <f>+B536-A536*'Presiones de casing'!$C$4</f>
        <v>3085.7208250268013</v>
      </c>
      <c r="E536" s="340">
        <f>+'Volumen de gas'!$C$1*Tabla!D536/14.7*520/'Volumen de gas'!$C$2*'Volumen de gas'!$C$4/'Volumen de gas'!$C$3</f>
        <v>47616.265367022956</v>
      </c>
      <c r="F536" s="340">
        <f t="shared" si="10"/>
        <v>356.0094606880221</v>
      </c>
    </row>
    <row r="537" spans="1:6" ht="12.75">
      <c r="A537" s="317">
        <v>134</v>
      </c>
      <c r="B537" s="339">
        <f>+('Presiones de casing'!$C$2+14.7+'Presiones de casing'!$C$3+('Presiones de casing'!$C$4+'Presiones de casing'!$C$8)*A537)*(1+'Presiones de casing'!$C$7/'Presiones de casing'!$C$13)</f>
        <v>12143.25182344654</v>
      </c>
      <c r="C537" s="339">
        <f>+B537*(Columna!$G$9+Columna!$B$7)/Columna!$G$9</f>
        <v>14466.583358844151</v>
      </c>
      <c r="D537" s="340">
        <f>+B537-A537*'Presiones de casing'!$C$4</f>
        <v>3091.17889621392</v>
      </c>
      <c r="E537" s="340">
        <f>+'Volumen de gas'!$C$1*Tabla!D537/14.7*520/'Volumen de gas'!$C$2*'Volumen de gas'!$C$4/'Volumen de gas'!$C$3</f>
        <v>47700.48976085991</v>
      </c>
      <c r="F537" s="340">
        <f t="shared" si="10"/>
        <v>355.9738041855217</v>
      </c>
    </row>
    <row r="538" spans="1:6" ht="12.75">
      <c r="A538" s="317">
        <v>134.25</v>
      </c>
      <c r="B538" s="339">
        <f>+('Presiones de casing'!$C$2+14.7+'Presiones de casing'!$C$3+('Presiones de casing'!$C$4+'Presiones de casing'!$C$8)*A538)*(1+'Presiones de casing'!$C$7/'Presiones de casing'!$C$13)</f>
        <v>12165.598090393423</v>
      </c>
      <c r="C538" s="339">
        <f>+B538*(Columna!$G$9+Columna!$B$7)/Columna!$G$9</f>
        <v>14493.205069259631</v>
      </c>
      <c r="D538" s="340">
        <f>+B538-A538*'Presiones de casing'!$C$4</f>
        <v>3096.6369674010402</v>
      </c>
      <c r="E538" s="340">
        <f>+'Volumen de gas'!$C$1*Tabla!D538/14.7*520/'Volumen de gas'!$C$2*'Volumen de gas'!$C$4/'Volumen de gas'!$C$3</f>
        <v>47784.71415469689</v>
      </c>
      <c r="F538" s="340">
        <f t="shared" si="10"/>
        <v>355.9382804819135</v>
      </c>
    </row>
    <row r="539" spans="1:6" ht="12.75">
      <c r="A539" s="317">
        <v>134.5</v>
      </c>
      <c r="B539" s="339">
        <f>+('Presiones de casing'!$C$2+14.7+'Presiones de casing'!$C$3+('Presiones de casing'!$C$4+'Presiones de casing'!$C$8)*A539)*(1+'Presiones de casing'!$C$7/'Presiones de casing'!$C$13)</f>
        <v>12187.944357340306</v>
      </c>
      <c r="C539" s="339">
        <f>+B539*(Columna!$G$9+Columna!$B$7)/Columna!$G$9</f>
        <v>14519.826779675115</v>
      </c>
      <c r="D539" s="340">
        <f>+B539-A539*'Presiones de casing'!$C$4</f>
        <v>3102.0950385881606</v>
      </c>
      <c r="E539" s="340">
        <f>+'Volumen de gas'!$C$1*Tabla!D539/14.7*520/'Volumen de gas'!$C$2*'Volumen de gas'!$C$4/'Volumen de gas'!$C$3</f>
        <v>47868.93854853388</v>
      </c>
      <c r="F539" s="340">
        <f t="shared" si="10"/>
        <v>355.90288883668313</v>
      </c>
    </row>
    <row r="540" spans="1:6" ht="12.75">
      <c r="A540" s="317">
        <v>134.75</v>
      </c>
      <c r="B540" s="339">
        <f>+('Presiones de casing'!$C$2+14.7+'Presiones de casing'!$C$3+('Presiones de casing'!$C$4+'Presiones de casing'!$C$8)*A540)*(1+'Presiones de casing'!$C$7/'Presiones de casing'!$C$13)</f>
        <v>12210.290624287189</v>
      </c>
      <c r="C540" s="339">
        <f>+B540*(Columna!$G$9+Columna!$B$7)/Columna!$G$9</f>
        <v>14546.448490090597</v>
      </c>
      <c r="D540" s="340">
        <f>+B540-A540*'Presiones de casing'!$C$4</f>
        <v>3107.553109775281</v>
      </c>
      <c r="E540" s="340">
        <f>+'Volumen de gas'!$C$1*Tabla!D540/14.7*520/'Volumen de gas'!$C$2*'Volumen de gas'!$C$4/'Volumen de gas'!$C$3</f>
        <v>47953.162942370844</v>
      </c>
      <c r="F540" s="340">
        <f t="shared" si="10"/>
        <v>355.86762851481143</v>
      </c>
    </row>
    <row r="541" spans="1:6" ht="12.75">
      <c r="A541" s="317">
        <v>135</v>
      </c>
      <c r="B541" s="339">
        <f>+('Presiones de casing'!$C$2+14.7+'Presiones de casing'!$C$3+('Presiones de casing'!$C$4+'Presiones de casing'!$C$8)*A541)*(1+'Presiones de casing'!$C$7/'Presiones de casing'!$C$13)</f>
        <v>12232.636891234073</v>
      </c>
      <c r="C541" s="339">
        <f>+B541*(Columna!$G$9+Columna!$B$7)/Columna!$G$9</f>
        <v>14573.07020050608</v>
      </c>
      <c r="D541" s="340">
        <f>+B541-A541*'Presiones de casing'!$C$4</f>
        <v>3113.011180962403</v>
      </c>
      <c r="E541" s="340">
        <f>+'Volumen de gas'!$C$1*Tabla!D541/14.7*520/'Volumen de gas'!$C$2*'Volumen de gas'!$C$4/'Volumen de gas'!$C$3</f>
        <v>48037.38733620787</v>
      </c>
      <c r="F541" s="340">
        <f t="shared" si="10"/>
        <v>355.83249878672495</v>
      </c>
    </row>
    <row r="542" spans="1:6" ht="12.75">
      <c r="A542" s="317">
        <v>135.25</v>
      </c>
      <c r="B542" s="339">
        <f>+('Presiones de casing'!$C$2+14.7+'Presiones de casing'!$C$3+('Presiones de casing'!$C$4+'Presiones de casing'!$C$8)*A542)*(1+'Presiones de casing'!$C$7/'Presiones de casing'!$C$13)</f>
        <v>12254.983158180956</v>
      </c>
      <c r="C542" s="339">
        <f>+B542*(Columna!$G$9+Columna!$B$7)/Columna!$G$9</f>
        <v>14599.691910921561</v>
      </c>
      <c r="D542" s="340">
        <f>+B542-A542*'Presiones de casing'!$C$4</f>
        <v>3118.4692521495235</v>
      </c>
      <c r="E542" s="340">
        <f>+'Volumen de gas'!$C$1*Tabla!D542/14.7*520/'Volumen de gas'!$C$2*'Volumen de gas'!$C$4/'Volumen de gas'!$C$3</f>
        <v>48121.61173004483</v>
      </c>
      <c r="F542" s="340">
        <f t="shared" si="10"/>
        <v>355.79749892824276</v>
      </c>
    </row>
    <row r="543" spans="1:6" ht="12.75">
      <c r="A543" s="317">
        <v>135.5</v>
      </c>
      <c r="B543" s="339">
        <f>+('Presiones de casing'!$C$2+14.7+'Presiones de casing'!$C$3+('Presiones de casing'!$C$4+'Presiones de casing'!$C$8)*A543)*(1+'Presiones de casing'!$C$7/'Presiones de casing'!$C$13)</f>
        <v>12277.32942512784</v>
      </c>
      <c r="C543" s="339">
        <f>+B543*(Columna!$G$9+Columna!$B$7)/Columna!$G$9</f>
        <v>14626.313621337044</v>
      </c>
      <c r="D543" s="340">
        <f>+B543-A543*'Presiones de casing'!$C$4</f>
        <v>3123.9273233366457</v>
      </c>
      <c r="E543" s="340">
        <f>+'Volumen de gas'!$C$1*Tabla!D543/14.7*520/'Volumen de gas'!$C$2*'Volumen de gas'!$C$4/'Volumen de gas'!$C$3</f>
        <v>48205.83612388183</v>
      </c>
      <c r="F543" s="340">
        <f t="shared" si="10"/>
        <v>355.76262822053013</v>
      </c>
    </row>
    <row r="544" spans="1:6" ht="12.75">
      <c r="A544" s="317">
        <v>135.75</v>
      </c>
      <c r="B544" s="339">
        <f>+('Presiones de casing'!$C$2+14.7+'Presiones de casing'!$C$3+('Presiones de casing'!$C$4+'Presiones de casing'!$C$8)*A544)*(1+'Presiones de casing'!$C$7/'Presiones de casing'!$C$13)</f>
        <v>12299.675692074723</v>
      </c>
      <c r="C544" s="339">
        <f>+B544*(Columna!$G$9+Columna!$B$7)/Columna!$G$9</f>
        <v>14652.935331752527</v>
      </c>
      <c r="D544" s="340">
        <f>+B544-A544*'Presiones de casing'!$C$4</f>
        <v>3129.385394523766</v>
      </c>
      <c r="E544" s="340">
        <f>+'Volumen de gas'!$C$1*Tabla!D544/14.7*520/'Volumen de gas'!$C$2*'Volumen de gas'!$C$4/'Volumen de gas'!$C$3</f>
        <v>48290.06051771882</v>
      </c>
      <c r="F544" s="340">
        <f t="shared" si="10"/>
        <v>355.7278859500465</v>
      </c>
    </row>
    <row r="545" spans="1:6" ht="12.75">
      <c r="A545" s="317">
        <v>136</v>
      </c>
      <c r="B545" s="339">
        <f>+('Presiones de casing'!$C$2+14.7+'Presiones de casing'!$C$3+('Presiones de casing'!$C$4+'Presiones de casing'!$C$8)*A545)*(1+'Presiones de casing'!$C$7/'Presiones de casing'!$C$13)</f>
        <v>12322.021959021607</v>
      </c>
      <c r="C545" s="339">
        <f>+B545*(Columna!$G$9+Columna!$B$7)/Columna!$G$9</f>
        <v>14679.55704216801</v>
      </c>
      <c r="D545" s="340">
        <f>+B545-A545*'Presiones de casing'!$C$4</f>
        <v>3134.8434657108883</v>
      </c>
      <c r="E545" s="340">
        <f>+'Volumen de gas'!$C$1*Tabla!D545/14.7*520/'Volumen de gas'!$C$2*'Volumen de gas'!$C$4/'Volumen de gas'!$C$3</f>
        <v>48374.28491155584</v>
      </c>
      <c r="F545" s="340">
        <f t="shared" si="10"/>
        <v>355.69327140849884</v>
      </c>
    </row>
    <row r="546" spans="1:6" ht="12.75">
      <c r="A546" s="317">
        <v>136.25</v>
      </c>
      <c r="B546" s="339">
        <f>+('Presiones de casing'!$C$2+14.7+'Presiones de casing'!$C$3+('Presiones de casing'!$C$4+'Presiones de casing'!$C$8)*A546)*(1+'Presiones de casing'!$C$7/'Presiones de casing'!$C$13)</f>
        <v>12344.36822596849</v>
      </c>
      <c r="C546" s="339">
        <f>+B546*(Columna!$G$9+Columna!$B$7)/Columna!$G$9</f>
        <v>14706.178752583492</v>
      </c>
      <c r="D546" s="340">
        <f>+B546-A546*'Presiones de casing'!$C$4</f>
        <v>3140.3015368980086</v>
      </c>
      <c r="E546" s="340">
        <f>+'Volumen de gas'!$C$1*Tabla!D546/14.7*520/'Volumen de gas'!$C$2*'Volumen de gas'!$C$4/'Volumen de gas'!$C$3</f>
        <v>48458.50930539281</v>
      </c>
      <c r="F546" s="340">
        <f t="shared" si="10"/>
        <v>355.65878389279123</v>
      </c>
    </row>
    <row r="547" spans="1:6" ht="12.75">
      <c r="A547" s="317">
        <v>136.5</v>
      </c>
      <c r="B547" s="339">
        <f>+('Presiones de casing'!$C$2+14.7+'Presiones de casing'!$C$3+('Presiones de casing'!$C$4+'Presiones de casing'!$C$8)*A547)*(1+'Presiones de casing'!$C$7/'Presiones de casing'!$C$13)</f>
        <v>12366.714492915373</v>
      </c>
      <c r="C547" s="339">
        <f>+B547*(Columna!$G$9+Columna!$B$7)/Columna!$G$9</f>
        <v>14732.800462998974</v>
      </c>
      <c r="D547" s="340">
        <f>+B547-A547*'Presiones de casing'!$C$4</f>
        <v>3145.759608085129</v>
      </c>
      <c r="E547" s="340">
        <f>+'Volumen de gas'!$C$1*Tabla!D547/14.7*520/'Volumen de gas'!$C$2*'Volumen de gas'!$C$4/'Volumen de gas'!$C$3</f>
        <v>48542.73369922979</v>
      </c>
      <c r="F547" s="340">
        <f t="shared" si="10"/>
        <v>355.6244227049802</v>
      </c>
    </row>
    <row r="548" spans="1:6" ht="12.75">
      <c r="A548" s="317">
        <v>136.75</v>
      </c>
      <c r="B548" s="339">
        <f>+('Presiones de casing'!$C$2+14.7+'Presiones de casing'!$C$3+('Presiones de casing'!$C$4+'Presiones de casing'!$C$8)*A548)*(1+'Presiones de casing'!$C$7/'Presiones de casing'!$C$13)</f>
        <v>12389.060759862256</v>
      </c>
      <c r="C548" s="339">
        <f>+B548*(Columna!$G$9+Columna!$B$7)/Columna!$G$9</f>
        <v>14759.422173414454</v>
      </c>
      <c r="D548" s="340">
        <f>+B548-A548*'Presiones de casing'!$C$4</f>
        <v>3151.2176792722494</v>
      </c>
      <c r="E548" s="340">
        <f>+'Volumen de gas'!$C$1*Tabla!D548/14.7*520/'Volumen de gas'!$C$2*'Volumen de gas'!$C$4/'Volumen de gas'!$C$3</f>
        <v>48626.958093066765</v>
      </c>
      <c r="F548" s="340">
        <f t="shared" si="10"/>
        <v>355.590187152225</v>
      </c>
    </row>
    <row r="549" spans="1:6" ht="12.75">
      <c r="A549" s="317">
        <v>137</v>
      </c>
      <c r="B549" s="339">
        <f>+('Presiones de casing'!$C$2+14.7+'Presiones de casing'!$C$3+('Presiones de casing'!$C$4+'Presiones de casing'!$C$8)*A549)*(1+'Presiones de casing'!$C$7/'Presiones de casing'!$C$13)</f>
        <v>12411.407026809138</v>
      </c>
      <c r="C549" s="339">
        <f>+B549*(Columna!$G$9+Columna!$B$7)/Columna!$G$9</f>
        <v>14786.043883829936</v>
      </c>
      <c r="D549" s="340">
        <f>+B549-A549*'Presiones de casing'!$C$4</f>
        <v>3156.6757504593697</v>
      </c>
      <c r="E549" s="340">
        <f>+'Volumen de gas'!$C$1*Tabla!D549/14.7*520/'Volumen de gas'!$C$2*'Volumen de gas'!$C$4/'Volumen de gas'!$C$3</f>
        <v>48711.18248690374</v>
      </c>
      <c r="F549" s="340">
        <f t="shared" si="10"/>
        <v>355.5560765467426</v>
      </c>
    </row>
    <row r="550" spans="1:6" ht="12.75">
      <c r="A550" s="317">
        <v>137.25</v>
      </c>
      <c r="B550" s="339">
        <f>+('Presiones de casing'!$C$2+14.7+'Presiones de casing'!$C$3+('Presiones de casing'!$C$4+'Presiones de casing'!$C$8)*A550)*(1+'Presiones de casing'!$C$7/'Presiones de casing'!$C$13)</f>
        <v>12433.753293756023</v>
      </c>
      <c r="C550" s="339">
        <f>+B550*(Columna!$G$9+Columna!$B$7)/Columna!$G$9</f>
        <v>14812.66559424542</v>
      </c>
      <c r="D550" s="340">
        <f>+B550-A550*'Presiones de casing'!$C$4</f>
        <v>3162.133821646492</v>
      </c>
      <c r="E550" s="340">
        <f>+'Volumen de gas'!$C$1*Tabla!D550/14.7*520/'Volumen de gas'!$C$2*'Volumen de gas'!$C$4/'Volumen de gas'!$C$3</f>
        <v>48795.40688074075</v>
      </c>
      <c r="F550" s="340">
        <f t="shared" si="10"/>
        <v>355.5220902057614</v>
      </c>
    </row>
    <row r="551" spans="1:6" ht="12.75">
      <c r="A551" s="317">
        <v>137.5</v>
      </c>
      <c r="B551" s="339">
        <f>+('Presiones de casing'!$C$2+14.7+'Presiones de casing'!$C$3+('Presiones de casing'!$C$4+'Presiones de casing'!$C$8)*A551)*(1+'Presiones de casing'!$C$7/'Presiones de casing'!$C$13)</f>
        <v>12456.099560702905</v>
      </c>
      <c r="C551" s="339">
        <f>+B551*(Columna!$G$9+Columna!$B$7)/Columna!$G$9</f>
        <v>14839.287304660902</v>
      </c>
      <c r="D551" s="340">
        <f>+B551-A551*'Presiones de casing'!$C$4</f>
        <v>3167.5918928336123</v>
      </c>
      <c r="E551" s="340">
        <f>+'Volumen de gas'!$C$1*Tabla!D551/14.7*520/'Volumen de gas'!$C$2*'Volumen de gas'!$C$4/'Volumen de gas'!$C$3</f>
        <v>48879.631274577725</v>
      </c>
      <c r="F551" s="340">
        <f t="shared" si="10"/>
        <v>355.48822745147436</v>
      </c>
    </row>
    <row r="552" spans="1:6" ht="12.75">
      <c r="A552" s="317">
        <v>137.75</v>
      </c>
      <c r="B552" s="339">
        <f>+('Presiones de casing'!$C$2+14.7+'Presiones de casing'!$C$3+('Presiones de casing'!$C$4+'Presiones de casing'!$C$8)*A552)*(1+'Presiones de casing'!$C$7/'Presiones de casing'!$C$13)</f>
        <v>12478.44582764979</v>
      </c>
      <c r="C552" s="339">
        <f>+B552*(Columna!$G$9+Columna!$B$7)/Columna!$G$9</f>
        <v>14865.909015076386</v>
      </c>
      <c r="D552" s="340">
        <f>+B552-A552*'Presiones de casing'!$C$4</f>
        <v>3173.0499640207345</v>
      </c>
      <c r="E552" s="340">
        <f>+'Volumen de gas'!$C$1*Tabla!D552/14.7*520/'Volumen de gas'!$C$2*'Volumen de gas'!$C$4/'Volumen de gas'!$C$3</f>
        <v>48963.85566841475</v>
      </c>
      <c r="F552" s="340">
        <f t="shared" si="10"/>
        <v>355.45448761099635</v>
      </c>
    </row>
    <row r="553" spans="1:6" ht="12.75">
      <c r="A553" s="317">
        <v>138</v>
      </c>
      <c r="B553" s="339">
        <f>+('Presiones de casing'!$C$2+14.7+'Presiones de casing'!$C$3+('Presiones de casing'!$C$4+'Presiones de casing'!$C$8)*A553)*(1+'Presiones de casing'!$C$7/'Presiones de casing'!$C$13)</f>
        <v>12500.792094596673</v>
      </c>
      <c r="C553" s="339">
        <f>+B553*(Columna!$G$9+Columna!$B$7)/Columna!$G$9</f>
        <v>14892.530725491866</v>
      </c>
      <c r="D553" s="340">
        <f>+B553-A553*'Presiones de casing'!$C$4</f>
        <v>3178.508035207855</v>
      </c>
      <c r="E553" s="340">
        <f>+'Volumen de gas'!$C$1*Tabla!D553/14.7*520/'Volumen de gas'!$C$2*'Volumen de gas'!$C$4/'Volumen de gas'!$C$3</f>
        <v>49048.08006225172</v>
      </c>
      <c r="F553" s="340">
        <f t="shared" si="10"/>
        <v>355.4208700163168</v>
      </c>
    </row>
    <row r="554" spans="1:6" ht="12.75">
      <c r="A554" s="317">
        <v>138.25</v>
      </c>
      <c r="B554" s="339">
        <f>+('Presiones de casing'!$C$2+14.7+'Presiones de casing'!$C$3+('Presiones de casing'!$C$4+'Presiones de casing'!$C$8)*A554)*(1+'Presiones de casing'!$C$7/'Presiones de casing'!$C$13)</f>
        <v>12523.138361543555</v>
      </c>
      <c r="C554" s="339">
        <f>+B554*(Columna!$G$9+Columna!$B$7)/Columna!$G$9</f>
        <v>14919.152435907348</v>
      </c>
      <c r="D554" s="340">
        <f>+B554-A554*'Presiones de casing'!$C$4</f>
        <v>3183.966106394975</v>
      </c>
      <c r="E554" s="340">
        <f>+'Volumen de gas'!$C$1*Tabla!D554/14.7*520/'Volumen de gas'!$C$2*'Volumen de gas'!$C$4/'Volumen de gas'!$C$3</f>
        <v>49132.3044560887</v>
      </c>
      <c r="F554" s="340">
        <f t="shared" si="10"/>
        <v>355.3873740042582</v>
      </c>
    </row>
    <row r="555" spans="1:6" ht="12.75">
      <c r="A555" s="317">
        <v>138.5</v>
      </c>
      <c r="B555" s="339">
        <f>+('Presiones de casing'!$C$2+14.7+'Presiones de casing'!$C$3+('Presiones de casing'!$C$4+'Presiones de casing'!$C$8)*A555)*(1+'Presiones de casing'!$C$7/'Presiones de casing'!$C$13)</f>
        <v>12545.48462849044</v>
      </c>
      <c r="C555" s="339">
        <f>+B555*(Columna!$G$9+Columna!$B$7)/Columna!$G$9</f>
        <v>14945.774146322832</v>
      </c>
      <c r="D555" s="340">
        <f>+B555-A555*'Presiones de casing'!$C$4</f>
        <v>3189.4241775820974</v>
      </c>
      <c r="E555" s="340">
        <f>+'Volumen de gas'!$C$1*Tabla!D555/14.7*520/'Volumen de gas'!$C$2*'Volumen de gas'!$C$4/'Volumen de gas'!$C$3</f>
        <v>49216.52884992569</v>
      </c>
      <c r="F555" s="340">
        <f t="shared" si="10"/>
        <v>355.353998916431</v>
      </c>
    </row>
    <row r="556" spans="1:6" ht="12.75">
      <c r="A556" s="317">
        <v>138.75</v>
      </c>
      <c r="B556" s="339">
        <f>+('Presiones de casing'!$C$2+14.7+'Presiones de casing'!$C$3+('Presiones de casing'!$C$4+'Presiones de casing'!$C$8)*A556)*(1+'Presiones de casing'!$C$7/'Presiones de casing'!$C$13)</f>
        <v>12567.830895437322</v>
      </c>
      <c r="C556" s="339">
        <f>+B556*(Columna!$G$9+Columna!$B$7)/Columna!$G$9</f>
        <v>14972.395856738314</v>
      </c>
      <c r="D556" s="340">
        <f>+B556-A556*'Presiones de casing'!$C$4</f>
        <v>3194.8822487692178</v>
      </c>
      <c r="E556" s="340">
        <f>+'Volumen de gas'!$C$1*Tabla!D556/14.7*520/'Volumen de gas'!$C$2*'Volumen de gas'!$C$4/'Volumen de gas'!$C$3</f>
        <v>49300.75324376269</v>
      </c>
      <c r="F556" s="340">
        <f t="shared" si="10"/>
        <v>355.32074409919056</v>
      </c>
    </row>
    <row r="557" spans="1:6" ht="12.75">
      <c r="A557" s="317">
        <v>139</v>
      </c>
      <c r="B557" s="339">
        <f>+('Presiones de casing'!$C$2+14.7+'Presiones de casing'!$C$3+('Presiones de casing'!$C$4+'Presiones de casing'!$C$8)*A557)*(1+'Presiones de casing'!$C$7/'Presiones de casing'!$C$13)</f>
        <v>12590.177162384207</v>
      </c>
      <c r="C557" s="339">
        <f>+B557*(Columna!$G$9+Columna!$B$7)/Columna!$G$9</f>
        <v>14999.017567153796</v>
      </c>
      <c r="D557" s="340">
        <f>+B557-A557*'Presiones de casing'!$C$4</f>
        <v>3200.34031995634</v>
      </c>
      <c r="E557" s="340">
        <f>+'Volumen de gas'!$C$1*Tabla!D557/14.7*520/'Volumen de gas'!$C$2*'Volumen de gas'!$C$4/'Volumen de gas'!$C$3</f>
        <v>49384.97763759969</v>
      </c>
      <c r="F557" s="340">
        <f t="shared" si="10"/>
        <v>355.2876089035949</v>
      </c>
    </row>
    <row r="558" spans="1:6" ht="12.75">
      <c r="A558" s="317">
        <v>139.25</v>
      </c>
      <c r="B558" s="339">
        <f>+('Presiones de casing'!$C$2+14.7+'Presiones de casing'!$C$3+('Presiones de casing'!$C$4+'Presiones de casing'!$C$8)*A558)*(1+'Presiones de casing'!$C$7/'Presiones de casing'!$C$13)</f>
        <v>12612.523429331088</v>
      </c>
      <c r="C558" s="339">
        <f>+B558*(Columna!$G$9+Columna!$B$7)/Columna!$G$9</f>
        <v>15025.639277569277</v>
      </c>
      <c r="D558" s="340">
        <f>+B558-A558*'Presiones de casing'!$C$4</f>
        <v>3205.7983911434585</v>
      </c>
      <c r="E558" s="340">
        <f>+'Volumen de gas'!$C$1*Tabla!D558/14.7*520/'Volumen de gas'!$C$2*'Volumen de gas'!$C$4/'Volumen de gas'!$C$3</f>
        <v>49469.202031436645</v>
      </c>
      <c r="F558" s="340">
        <f t="shared" si="10"/>
        <v>355.2545926853619</v>
      </c>
    </row>
    <row r="559" spans="1:6" ht="12.75">
      <c r="A559" s="317">
        <v>139.5</v>
      </c>
      <c r="B559" s="339">
        <f>+('Presiones de casing'!$C$2+14.7+'Presiones de casing'!$C$3+('Presiones de casing'!$C$4+'Presiones de casing'!$C$8)*A559)*(1+'Presiones de casing'!$C$7/'Presiones de casing'!$C$13)</f>
        <v>12634.869696277972</v>
      </c>
      <c r="C559" s="339">
        <f>+B559*(Columna!$G$9+Columna!$B$7)/Columna!$G$9</f>
        <v>15052.260987984762</v>
      </c>
      <c r="D559" s="340">
        <f>+B559-A559*'Presiones de casing'!$C$4</f>
        <v>3211.2564623305807</v>
      </c>
      <c r="E559" s="340">
        <f>+'Volumen de gas'!$C$1*Tabla!D559/14.7*520/'Volumen de gas'!$C$2*'Volumen de gas'!$C$4/'Volumen de gas'!$C$3</f>
        <v>49553.426425273654</v>
      </c>
      <c r="F559" s="340">
        <f t="shared" si="10"/>
        <v>355.22169480482904</v>
      </c>
    </row>
    <row r="560" spans="1:6" ht="12.75">
      <c r="A560" s="317">
        <v>139.75</v>
      </c>
      <c r="B560" s="339">
        <f>+('Presiones de casing'!$C$2+14.7+'Presiones de casing'!$C$3+('Presiones de casing'!$C$4+'Presiones de casing'!$C$8)*A560)*(1+'Presiones de casing'!$C$7/'Presiones de casing'!$C$13)</f>
        <v>12657.215963224855</v>
      </c>
      <c r="C560" s="339">
        <f>+B560*(Columna!$G$9+Columna!$B$7)/Columna!$G$9</f>
        <v>15078.88269840024</v>
      </c>
      <c r="D560" s="340">
        <f>+B560-A560*'Presiones de casing'!$C$4</f>
        <v>3216.714533517701</v>
      </c>
      <c r="E560" s="340">
        <f>+'Volumen de gas'!$C$1*Tabla!D560/14.7*520/'Volumen de gas'!$C$2*'Volumen de gas'!$C$4/'Volumen de gas'!$C$3</f>
        <v>49637.65081911062</v>
      </c>
      <c r="F560" s="340">
        <f t="shared" si="10"/>
        <v>355.1889146269096</v>
      </c>
    </row>
    <row r="561" spans="1:6" ht="12.75">
      <c r="A561" s="317">
        <v>140</v>
      </c>
      <c r="B561" s="339">
        <f>+('Presiones de casing'!$C$2+14.7+'Presiones de casing'!$C$3+('Presiones de casing'!$C$4+'Presiones de casing'!$C$8)*A561)*(1+'Presiones de casing'!$C$7/'Presiones de casing'!$C$13)</f>
        <v>12679.56223017174</v>
      </c>
      <c r="C561" s="339">
        <f>+B561*(Columna!$G$9+Columna!$B$7)/Columna!$G$9</f>
        <v>15105.504408815726</v>
      </c>
      <c r="D561" s="340">
        <f>+B561-A561*'Presiones de casing'!$C$4</f>
        <v>3222.1726047048232</v>
      </c>
      <c r="E561" s="340">
        <f>+'Volumen de gas'!$C$1*Tabla!D561/14.7*520/'Volumen de gas'!$C$2*'Volumen de gas'!$C$4/'Volumen de gas'!$C$3</f>
        <v>49721.875212947634</v>
      </c>
      <c r="F561" s="340">
        <f t="shared" si="10"/>
        <v>355.1562515210545</v>
      </c>
    </row>
    <row r="562" spans="1:6" ht="12.75">
      <c r="A562" s="317">
        <v>140.25</v>
      </c>
      <c r="B562" s="339">
        <f>+('Presiones de casing'!$C$2+14.7+'Presiones de casing'!$C$3+('Presiones de casing'!$C$4+'Presiones de casing'!$C$8)*A562)*(1+'Presiones de casing'!$C$7/'Presiones de casing'!$C$13)</f>
        <v>12701.908497118622</v>
      </c>
      <c r="C562" s="339">
        <f>+B562*(Columna!$G$9+Columna!$B$7)/Columna!$G$9</f>
        <v>15132.126119231207</v>
      </c>
      <c r="D562" s="340">
        <f>+B562-A562*'Presiones de casing'!$C$4</f>
        <v>3227.6306758919436</v>
      </c>
      <c r="E562" s="340">
        <f>+'Volumen de gas'!$C$1*Tabla!D562/14.7*520/'Volumen de gas'!$C$2*'Volumen de gas'!$C$4/'Volumen de gas'!$C$3</f>
        <v>49806.099606784606</v>
      </c>
      <c r="F562" s="340">
        <f t="shared" si="10"/>
        <v>355.1237048612093</v>
      </c>
    </row>
    <row r="563" spans="1:6" ht="12.75">
      <c r="A563" s="317">
        <v>140.5</v>
      </c>
      <c r="B563" s="339">
        <f>+('Presiones de casing'!$C$2+14.7+'Presiones de casing'!$C$3+('Presiones de casing'!$C$4+'Presiones de casing'!$C$8)*A563)*(1+'Presiones de casing'!$C$7/'Presiones de casing'!$C$13)</f>
        <v>12724.254764065505</v>
      </c>
      <c r="C563" s="339">
        <f>+B563*(Columna!$G$9+Columna!$B$7)/Columna!$G$9</f>
        <v>15158.747829646689</v>
      </c>
      <c r="D563" s="340">
        <f>+B563-A563*'Presiones de casing'!$C$4</f>
        <v>3233.088747079064</v>
      </c>
      <c r="E563" s="340">
        <f>+'Volumen de gas'!$C$1*Tabla!D563/14.7*520/'Volumen de gas'!$C$2*'Volumen de gas'!$C$4/'Volumen de gas'!$C$3</f>
        <v>49890.324000621586</v>
      </c>
      <c r="F563" s="340">
        <f t="shared" si="10"/>
        <v>355.0912740257764</v>
      </c>
    </row>
    <row r="564" spans="1:6" ht="12.75">
      <c r="A564" s="317">
        <v>140.75</v>
      </c>
      <c r="B564" s="339">
        <f>+('Presiones de casing'!$C$2+14.7+'Presiones de casing'!$C$3+('Presiones de casing'!$C$4+'Presiones de casing'!$C$8)*A564)*(1+'Presiones de casing'!$C$7/'Presiones de casing'!$C$13)</f>
        <v>12746.60103101239</v>
      </c>
      <c r="C564" s="339">
        <f>+B564*(Columna!$G$9+Columna!$B$7)/Columna!$G$9</f>
        <v>15185.369540062171</v>
      </c>
      <c r="D564" s="340">
        <f>+B564-A564*'Presiones de casing'!$C$4</f>
        <v>3238.546818266186</v>
      </c>
      <c r="E564" s="340">
        <f>+'Volumen de gas'!$C$1*Tabla!D564/14.7*520/'Volumen de gas'!$C$2*'Volumen de gas'!$C$4/'Volumen de gas'!$C$3</f>
        <v>49974.5483944586</v>
      </c>
      <c r="F564" s="340">
        <f t="shared" si="10"/>
        <v>355.05895839757443</v>
      </c>
    </row>
    <row r="565" spans="1:6" ht="12.75">
      <c r="A565" s="317">
        <v>141</v>
      </c>
      <c r="B565" s="339">
        <f>+('Presiones de casing'!$C$2+14.7+'Presiones de casing'!$C$3+('Presiones de casing'!$C$4+'Presiones de casing'!$C$8)*A565)*(1+'Presiones de casing'!$C$7/'Presiones de casing'!$C$13)</f>
        <v>12768.947297959272</v>
      </c>
      <c r="C565" s="339">
        <f>+B565*(Columna!$G$9+Columna!$B$7)/Columna!$G$9</f>
        <v>15211.991250477655</v>
      </c>
      <c r="D565" s="340">
        <f>+B565-A565*'Presiones de casing'!$C$4</f>
        <v>3244.0048894533065</v>
      </c>
      <c r="E565" s="340">
        <f>+'Volumen de gas'!$C$1*Tabla!D565/14.7*520/'Volumen de gas'!$C$2*'Volumen de gas'!$C$4/'Volumen de gas'!$C$3</f>
        <v>50058.77278829558</v>
      </c>
      <c r="F565" s="340">
        <f t="shared" si="10"/>
        <v>355.0267573637984</v>
      </c>
    </row>
    <row r="566" spans="1:6" ht="12.75">
      <c r="A566" s="317">
        <v>141.25</v>
      </c>
      <c r="B566" s="339">
        <f>+('Presiones de casing'!$C$2+14.7+'Presiones de casing'!$C$3+('Presiones de casing'!$C$4+'Presiones de casing'!$C$8)*A566)*(1+'Presiones de casing'!$C$7/'Presiones de casing'!$C$13)</f>
        <v>12791.293564906156</v>
      </c>
      <c r="C566" s="339">
        <f>+B566*(Columna!$G$9+Columna!$B$7)/Columna!$G$9</f>
        <v>15238.612960893139</v>
      </c>
      <c r="D566" s="340">
        <f>+B566-A566*'Presiones de casing'!$C$4</f>
        <v>3249.4629606404287</v>
      </c>
      <c r="E566" s="340">
        <f>+'Volumen de gas'!$C$1*Tabla!D566/14.7*520/'Volumen de gas'!$C$2*'Volumen de gas'!$C$4/'Volumen de gas'!$C$3</f>
        <v>50142.99718213258</v>
      </c>
      <c r="F566" s="340">
        <f t="shared" si="10"/>
        <v>354.9946703159829</v>
      </c>
    </row>
    <row r="567" spans="1:6" ht="12.75">
      <c r="A567" s="317">
        <v>141.5</v>
      </c>
      <c r="B567" s="339">
        <f>+('Presiones de casing'!$C$2+14.7+'Presiones de casing'!$C$3+('Presiones de casing'!$C$4+'Presiones de casing'!$C$8)*A567)*(1+'Presiones de casing'!$C$7/'Presiones de casing'!$C$13)</f>
        <v>12813.63983185304</v>
      </c>
      <c r="C567" s="339">
        <f>+B567*(Columna!$G$9+Columna!$B$7)/Columna!$G$9</f>
        <v>15265.234671308619</v>
      </c>
      <c r="D567" s="340">
        <f>+B567-A567*'Presiones de casing'!$C$4</f>
        <v>3254.921031827549</v>
      </c>
      <c r="E567" s="340">
        <f>+'Volumen de gas'!$C$1*Tabla!D567/14.7*520/'Volumen de gas'!$C$2*'Volumen de gas'!$C$4/'Volumen de gas'!$C$3</f>
        <v>50227.22157596957</v>
      </c>
      <c r="F567" s="340">
        <f t="shared" si="10"/>
        <v>354.96269664996163</v>
      </c>
    </row>
    <row r="568" spans="1:6" ht="12.75">
      <c r="A568" s="317">
        <v>141.75</v>
      </c>
      <c r="B568" s="339">
        <f>+('Presiones de casing'!$C$2+14.7+'Presiones de casing'!$C$3+('Presiones de casing'!$C$4+'Presiones de casing'!$C$8)*A568)*(1+'Presiones de casing'!$C$7/'Presiones de casing'!$C$13)</f>
        <v>12835.986098799922</v>
      </c>
      <c r="C568" s="339">
        <f>+B568*(Columna!$G$9+Columna!$B$7)/Columna!$G$9</f>
        <v>15291.856381724101</v>
      </c>
      <c r="D568" s="340">
        <f>+B568-A568*'Presiones de casing'!$C$4</f>
        <v>3260.3791030146695</v>
      </c>
      <c r="E568" s="340">
        <f>+'Volumen de gas'!$C$1*Tabla!D568/14.7*520/'Volumen de gas'!$C$2*'Volumen de gas'!$C$4/'Volumen de gas'!$C$3</f>
        <v>50311.44596980655</v>
      </c>
      <c r="F568" s="340">
        <f t="shared" si="10"/>
        <v>354.93083576583103</v>
      </c>
    </row>
    <row r="569" spans="1:6" ht="12.75">
      <c r="A569" s="317">
        <v>142</v>
      </c>
      <c r="B569" s="339">
        <f>+('Presiones de casing'!$C$2+14.7+'Presiones de casing'!$C$3+('Presiones de casing'!$C$4+'Presiones de casing'!$C$8)*A569)*(1+'Presiones de casing'!$C$7/'Presiones de casing'!$C$13)</f>
        <v>12858.332365746804</v>
      </c>
      <c r="C569" s="339">
        <f>+B569*(Columna!$G$9+Columna!$B$7)/Columna!$G$9</f>
        <v>15318.478092139581</v>
      </c>
      <c r="D569" s="340">
        <f>+B569-A569*'Presiones de casing'!$C$4</f>
        <v>3265.83717420179</v>
      </c>
      <c r="E569" s="340">
        <f>+'Volumen de gas'!$C$1*Tabla!D569/14.7*520/'Volumen de gas'!$C$2*'Volumen de gas'!$C$4/'Volumen de gas'!$C$3</f>
        <v>50395.67036364352</v>
      </c>
      <c r="F569" s="340">
        <f t="shared" si="10"/>
        <v>354.8990870679121</v>
      </c>
    </row>
    <row r="570" spans="1:6" ht="12.75">
      <c r="A570" s="317">
        <v>142.25</v>
      </c>
      <c r="B570" s="339">
        <f>+('Presiones de casing'!$C$2+14.7+'Presiones de casing'!$C$3+('Presiones de casing'!$C$4+'Presiones de casing'!$C$8)*A570)*(1+'Presiones de casing'!$C$7/'Presiones de casing'!$C$13)</f>
        <v>12880.678632693687</v>
      </c>
      <c r="C570" s="339">
        <f>+B570*(Columna!$G$9+Columna!$B$7)/Columna!$G$9</f>
        <v>15345.099802555063</v>
      </c>
      <c r="D570" s="340">
        <f>+B570-A570*'Presiones de casing'!$C$4</f>
        <v>3271.29524538891</v>
      </c>
      <c r="E570" s="340">
        <f>+'Volumen de gas'!$C$1*Tabla!D570/14.7*520/'Volumen de gas'!$C$2*'Volumen de gas'!$C$4/'Volumen de gas'!$C$3</f>
        <v>50479.8947574805</v>
      </c>
      <c r="F570" s="340">
        <f t="shared" si="10"/>
        <v>354.8674499647135</v>
      </c>
    </row>
    <row r="571" spans="1:6" ht="12.75">
      <c r="A571" s="317">
        <v>142.5</v>
      </c>
      <c r="B571" s="339">
        <f>+('Presiones de casing'!$C$2+14.7+'Presiones de casing'!$C$3+('Presiones de casing'!$C$4+'Presiones de casing'!$C$8)*A571)*(1+'Presiones de casing'!$C$7/'Presiones de casing'!$C$13)</f>
        <v>12903.024899640572</v>
      </c>
      <c r="C571" s="339">
        <f>+B571*(Columna!$G$9+Columna!$B$7)/Columna!$G$9</f>
        <v>15371.72151297055</v>
      </c>
      <c r="D571" s="340">
        <f>+B571-A571*'Presiones de casing'!$C$4</f>
        <v>3276.7533165760324</v>
      </c>
      <c r="E571" s="340">
        <f>+'Volumen de gas'!$C$1*Tabla!D571/14.7*520/'Volumen de gas'!$C$2*'Volumen de gas'!$C$4/'Volumen de gas'!$C$3</f>
        <v>50564.119151317514</v>
      </c>
      <c r="F571" s="340">
        <f t="shared" si="10"/>
        <v>354.83592386889484</v>
      </c>
    </row>
    <row r="572" spans="1:6" ht="12.75">
      <c r="A572" s="317">
        <v>142.75</v>
      </c>
      <c r="B572" s="339">
        <f>+('Presiones de casing'!$C$2+14.7+'Presiones de casing'!$C$3+('Presiones de casing'!$C$4+'Presiones de casing'!$C$8)*A572)*(1+'Presiones de casing'!$C$7/'Presiones de casing'!$C$13)</f>
        <v>12925.371166587454</v>
      </c>
      <c r="C572" s="339">
        <f>+B572*(Columna!$G$9+Columna!$B$7)/Columna!$G$9</f>
        <v>15398.34322338603</v>
      </c>
      <c r="D572" s="340">
        <f>+B572-A572*'Presiones de casing'!$C$4</f>
        <v>3282.2113877631527</v>
      </c>
      <c r="E572" s="340">
        <f>+'Volumen de gas'!$C$1*Tabla!D572/14.7*520/'Volumen de gas'!$C$2*'Volumen de gas'!$C$4/'Volumen de gas'!$C$3</f>
        <v>50648.34354515449</v>
      </c>
      <c r="F572" s="340">
        <f t="shared" si="10"/>
        <v>354.8045081972293</v>
      </c>
    </row>
    <row r="573" spans="1:6" ht="12.75">
      <c r="A573" s="317">
        <v>143</v>
      </c>
      <c r="B573" s="339">
        <f>+('Presiones de casing'!$C$2+14.7+'Presiones de casing'!$C$3+('Presiones de casing'!$C$4+'Presiones de casing'!$C$8)*A573)*(1+'Presiones de casing'!$C$7/'Presiones de casing'!$C$13)</f>
        <v>12947.717433534339</v>
      </c>
      <c r="C573" s="339">
        <f>+B573*(Columna!$G$9+Columna!$B$7)/Columna!$G$9</f>
        <v>15424.964933801513</v>
      </c>
      <c r="D573" s="340">
        <f>+B573-A573*'Presiones de casing'!$C$4</f>
        <v>3287.669458950275</v>
      </c>
      <c r="E573" s="340">
        <f>+'Volumen de gas'!$C$1*Tabla!D573/14.7*520/'Volumen de gas'!$C$2*'Volumen de gas'!$C$4/'Volumen de gas'!$C$3</f>
        <v>50732.567938991495</v>
      </c>
      <c r="F573" s="340">
        <f t="shared" si="10"/>
        <v>354.7732023705699</v>
      </c>
    </row>
    <row r="574" spans="1:6" ht="12.75">
      <c r="A574" s="317">
        <v>143.25</v>
      </c>
      <c r="B574" s="339">
        <f>+('Presiones de casing'!$C$2+14.7+'Presiones de casing'!$C$3+('Presiones de casing'!$C$4+'Presiones de casing'!$C$8)*A574)*(1+'Presiones de casing'!$C$7/'Presiones de casing'!$C$13)</f>
        <v>12970.063700481222</v>
      </c>
      <c r="C574" s="339">
        <f>+B574*(Columna!$G$9+Columna!$B$7)/Columna!$G$9</f>
        <v>15451.586644216994</v>
      </c>
      <c r="D574" s="340">
        <f>+B574-A574*'Presiones de casing'!$C$4</f>
        <v>3293.1275301373953</v>
      </c>
      <c r="E574" s="340">
        <f>+'Volumen de gas'!$C$1*Tabla!D574/14.7*520/'Volumen de gas'!$C$2*'Volumen de gas'!$C$4/'Volumen de gas'!$C$3</f>
        <v>50816.792332828474</v>
      </c>
      <c r="F574" s="340">
        <f t="shared" si="10"/>
        <v>354.7420058138113</v>
      </c>
    </row>
    <row r="575" spans="1:6" ht="12.75">
      <c r="A575" s="317">
        <v>143.5</v>
      </c>
      <c r="B575" s="339">
        <f>+('Presiones de casing'!$C$2+14.7+'Presiones de casing'!$C$3+('Presiones de casing'!$C$4+'Presiones de casing'!$C$8)*A575)*(1+'Presiones de casing'!$C$7/'Presiones de casing'!$C$13)</f>
        <v>12992.409967428106</v>
      </c>
      <c r="C575" s="339">
        <f>+B575*(Columna!$G$9+Columna!$B$7)/Columna!$G$9</f>
        <v>15478.20835463248</v>
      </c>
      <c r="D575" s="340">
        <f>+B575-A575*'Presiones de casing'!$C$4</f>
        <v>3298.5856013245175</v>
      </c>
      <c r="E575" s="340">
        <f>+'Volumen de gas'!$C$1*Tabla!D575/14.7*520/'Volumen de gas'!$C$2*'Volumen de gas'!$C$4/'Volumen de gas'!$C$3</f>
        <v>50901.016726665475</v>
      </c>
      <c r="F575" s="340">
        <f t="shared" si="10"/>
        <v>354.710917955857</v>
      </c>
    </row>
    <row r="576" spans="1:6" ht="12.75">
      <c r="A576" s="317">
        <v>143.75</v>
      </c>
      <c r="B576" s="339">
        <f>+('Presiones de casing'!$C$2+14.7+'Presiones de casing'!$C$3+('Presiones de casing'!$C$4+'Presiones de casing'!$C$8)*A576)*(1+'Presiones de casing'!$C$7/'Presiones de casing'!$C$13)</f>
        <v>13014.756234374989</v>
      </c>
      <c r="C576" s="339">
        <f>+B576*(Columna!$G$9+Columna!$B$7)/Columna!$G$9</f>
        <v>15504.83006504796</v>
      </c>
      <c r="D576" s="340">
        <f>+B576-A576*'Presiones de casing'!$C$4</f>
        <v>3304.043672511638</v>
      </c>
      <c r="E576" s="340">
        <f>+'Volumen de gas'!$C$1*Tabla!D576/14.7*520/'Volumen de gas'!$C$2*'Volumen de gas'!$C$4/'Volumen de gas'!$C$3</f>
        <v>50985.24112050246</v>
      </c>
      <c r="F576" s="340">
        <f t="shared" si="10"/>
        <v>354.6799382295823</v>
      </c>
    </row>
    <row r="577" spans="1:6" ht="12.75">
      <c r="A577" s="317">
        <v>144</v>
      </c>
      <c r="B577" s="339">
        <f>+('Presiones de casing'!$C$2+14.7+'Presiones de casing'!$C$3+('Presiones de casing'!$C$4+'Presiones de casing'!$C$8)*A577)*(1+'Presiones de casing'!$C$7/'Presiones de casing'!$C$13)</f>
        <v>13037.102501321873</v>
      </c>
      <c r="C577" s="339">
        <f>+B577*(Columna!$G$9+Columna!$B$7)/Columna!$G$9</f>
        <v>15531.451775463443</v>
      </c>
      <c r="D577" s="340">
        <f>+B577-A577*'Presiones de casing'!$C$4</f>
        <v>3309.50174369876</v>
      </c>
      <c r="E577" s="340">
        <f>+'Volumen de gas'!$C$1*Tabla!D577/14.7*520/'Volumen de gas'!$C$2*'Volumen de gas'!$C$4/'Volumen de gas'!$C$3</f>
        <v>51069.46551433947</v>
      </c>
      <c r="F577" s="340">
        <f aca="true" t="shared" si="11" ref="F577:F640">+E577/A577</f>
        <v>354.6490660718019</v>
      </c>
    </row>
    <row r="578" spans="1:6" ht="12.75">
      <c r="A578" s="317">
        <v>144.25</v>
      </c>
      <c r="B578" s="339">
        <f>+('Presiones de casing'!$C$2+14.7+'Presiones de casing'!$C$3+('Presiones de casing'!$C$4+'Presiones de casing'!$C$8)*A578)*(1+'Presiones de casing'!$C$7/'Presiones de casing'!$C$13)</f>
        <v>13059.448768268754</v>
      </c>
      <c r="C578" s="339">
        <f>+B578*(Columna!$G$9+Columna!$B$7)/Columna!$G$9</f>
        <v>15558.073485878924</v>
      </c>
      <c r="D578" s="340">
        <f>+B578-A578*'Presiones de casing'!$C$4</f>
        <v>3314.9598148858786</v>
      </c>
      <c r="E578" s="340">
        <f>+'Volumen de gas'!$C$1*Tabla!D578/14.7*520/'Volumen de gas'!$C$2*'Volumen de gas'!$C$4/'Volumen de gas'!$C$3</f>
        <v>51153.68990817642</v>
      </c>
      <c r="F578" s="340">
        <f t="shared" si="11"/>
        <v>354.6183009232334</v>
      </c>
    </row>
    <row r="579" spans="1:6" ht="12.75">
      <c r="A579" s="317">
        <v>144.5</v>
      </c>
      <c r="B579" s="339">
        <f>+('Presiones de casing'!$C$2+14.7+'Presiones de casing'!$C$3+('Presiones de casing'!$C$4+'Presiones de casing'!$C$8)*A579)*(1+'Presiones de casing'!$C$7/'Presiones de casing'!$C$13)</f>
        <v>13081.795035215637</v>
      </c>
      <c r="C579" s="339">
        <f>+B579*(Columna!$G$9+Columna!$B$7)/Columna!$G$9</f>
        <v>15584.695196294404</v>
      </c>
      <c r="D579" s="340">
        <f>+B579-A579*'Presiones de casing'!$C$4</f>
        <v>3320.417886072999</v>
      </c>
      <c r="E579" s="340">
        <f>+'Volumen de gas'!$C$1*Tabla!D579/14.7*520/'Volumen de gas'!$C$2*'Volumen de gas'!$C$4/'Volumen de gas'!$C$3</f>
        <v>51237.91430201339</v>
      </c>
      <c r="F579" s="340">
        <f t="shared" si="11"/>
        <v>354.5876422284664</v>
      </c>
    </row>
    <row r="580" spans="1:6" ht="12.75">
      <c r="A580" s="317">
        <v>144.75</v>
      </c>
      <c r="B580" s="339">
        <f>+('Presiones de casing'!$C$2+14.7+'Presiones de casing'!$C$3+('Presiones de casing'!$C$4+'Presiones de casing'!$C$8)*A580)*(1+'Presiones de casing'!$C$7/'Presiones de casing'!$C$13)</f>
        <v>13104.141302162521</v>
      </c>
      <c r="C580" s="339">
        <f>+B580*(Columna!$G$9+Columna!$B$7)/Columna!$G$9</f>
        <v>15611.316906709888</v>
      </c>
      <c r="D580" s="340">
        <f>+B580-A580*'Presiones de casing'!$C$4</f>
        <v>3325.875957260121</v>
      </c>
      <c r="E580" s="340">
        <f>+'Volumen de gas'!$C$1*Tabla!D580/14.7*520/'Volumen de gas'!$C$2*'Volumen de gas'!$C$4/'Volumen de gas'!$C$3</f>
        <v>51322.13869585041</v>
      </c>
      <c r="F580" s="340">
        <f t="shared" si="11"/>
        <v>354.5570894359268</v>
      </c>
    </row>
    <row r="581" spans="1:6" ht="12.75">
      <c r="A581" s="317">
        <v>145</v>
      </c>
      <c r="B581" s="339">
        <f>+('Presiones de casing'!$C$2+14.7+'Presiones de casing'!$C$3+('Presiones de casing'!$C$4+'Presiones de casing'!$C$8)*A581)*(1+'Presiones de casing'!$C$7/'Presiones de casing'!$C$13)</f>
        <v>13126.487569109404</v>
      </c>
      <c r="C581" s="339">
        <f>+B581*(Columna!$G$9+Columna!$B$7)/Columna!$G$9</f>
        <v>15637.938617125368</v>
      </c>
      <c r="D581" s="340">
        <f>+B581-A581*'Presiones de casing'!$C$4</f>
        <v>3331.3340284472415</v>
      </c>
      <c r="E581" s="340">
        <f>+'Volumen de gas'!$C$1*Tabla!D581/14.7*520/'Volumen de gas'!$C$2*'Volumen de gas'!$C$4/'Volumen de gas'!$C$3</f>
        <v>51406.363089687395</v>
      </c>
      <c r="F581" s="340">
        <f t="shared" si="11"/>
        <v>354.5266419978441</v>
      </c>
    </row>
    <row r="582" spans="1:6" ht="12.75">
      <c r="A582" s="317">
        <v>145.25</v>
      </c>
      <c r="B582" s="339">
        <f>+('Presiones de casing'!$C$2+14.7+'Presiones de casing'!$C$3+('Presiones de casing'!$C$4+'Presiones de casing'!$C$8)*A582)*(1+'Presiones de casing'!$C$7/'Presiones de casing'!$C$13)</f>
        <v>13148.833836056288</v>
      </c>
      <c r="C582" s="339">
        <f>+B582*(Columna!$G$9+Columna!$B$7)/Columna!$G$9</f>
        <v>15664.560327540854</v>
      </c>
      <c r="D582" s="340">
        <f>+B582-A582*'Presiones de casing'!$C$4</f>
        <v>3336.7920996343637</v>
      </c>
      <c r="E582" s="340">
        <f>+'Volumen de gas'!$C$1*Tabla!D582/14.7*520/'Volumen de gas'!$C$2*'Volumen de gas'!$C$4/'Volumen de gas'!$C$3</f>
        <v>51490.587483524396</v>
      </c>
      <c r="F582" s="340">
        <f t="shared" si="11"/>
        <v>354.4962993702196</v>
      </c>
    </row>
    <row r="583" spans="1:6" ht="12.75">
      <c r="A583" s="317">
        <v>145.5</v>
      </c>
      <c r="B583" s="339">
        <f>+('Presiones de casing'!$C$2+14.7+'Presiones de casing'!$C$3+('Presiones de casing'!$C$4+'Presiones de casing'!$C$8)*A583)*(1+'Presiones de casing'!$C$7/'Presiones de casing'!$C$13)</f>
        <v>13171.180103003171</v>
      </c>
      <c r="C583" s="339">
        <f>+B583*(Columna!$G$9+Columna!$B$7)/Columna!$G$9</f>
        <v>15691.182037956336</v>
      </c>
      <c r="D583" s="340">
        <f>+B583-A583*'Presiones de casing'!$C$4</f>
        <v>3342.2501708214822</v>
      </c>
      <c r="E583" s="340">
        <f>+'Volumen de gas'!$C$1*Tabla!D583/14.7*520/'Volumen de gas'!$C$2*'Volumen de gas'!$C$4/'Volumen de gas'!$C$3</f>
        <v>51574.81187736134</v>
      </c>
      <c r="F583" s="340">
        <f t="shared" si="11"/>
        <v>354.4660610127927</v>
      </c>
    </row>
    <row r="584" spans="1:6" ht="12.75">
      <c r="A584" s="317">
        <v>145.75</v>
      </c>
      <c r="B584" s="339">
        <f>+('Presiones de casing'!$C$2+14.7+'Presiones de casing'!$C$3+('Presiones de casing'!$C$4+'Presiones de casing'!$C$8)*A584)*(1+'Presiones de casing'!$C$7/'Presiones de casing'!$C$13)</f>
        <v>13193.526369950056</v>
      </c>
      <c r="C584" s="339">
        <f>+B584*(Columna!$G$9+Columna!$B$7)/Columna!$G$9</f>
        <v>15717.803748371818</v>
      </c>
      <c r="D584" s="340">
        <f>+B584-A584*'Presiones de casing'!$C$4</f>
        <v>3347.7082420086044</v>
      </c>
      <c r="E584" s="340">
        <f>+'Volumen de gas'!$C$1*Tabla!D584/14.7*520/'Volumen de gas'!$C$2*'Volumen de gas'!$C$4/'Volumen de gas'!$C$3</f>
        <v>51659.03627119835</v>
      </c>
      <c r="F584" s="340">
        <f t="shared" si="11"/>
        <v>354.43592638901094</v>
      </c>
    </row>
    <row r="585" spans="1:6" ht="12.75">
      <c r="A585" s="317">
        <v>146</v>
      </c>
      <c r="B585" s="339">
        <f>+('Presiones de casing'!$C$2+14.7+'Presiones de casing'!$C$3+('Presiones de casing'!$C$4+'Presiones de casing'!$C$8)*A585)*(1+'Presiones de casing'!$C$7/'Presiones de casing'!$C$13)</f>
        <v>13215.872636896938</v>
      </c>
      <c r="C585" s="339">
        <f>+B585*(Columna!$G$9+Columna!$B$7)/Columna!$G$9</f>
        <v>15744.4254587873</v>
      </c>
      <c r="D585" s="340">
        <f>+B585-A585*'Presiones de casing'!$C$4</f>
        <v>3353.166313195725</v>
      </c>
      <c r="E585" s="340">
        <f>+'Volumen de gas'!$C$1*Tabla!D585/14.7*520/'Volumen de gas'!$C$2*'Volumen de gas'!$C$4/'Volumen de gas'!$C$3</f>
        <v>51743.26066503534</v>
      </c>
      <c r="F585" s="340">
        <f t="shared" si="11"/>
        <v>354.40589496599546</v>
      </c>
    </row>
    <row r="586" spans="1:6" ht="12.75">
      <c r="A586" s="317">
        <v>146.25</v>
      </c>
      <c r="B586" s="339">
        <f>+('Presiones de casing'!$C$2+14.7+'Presiones de casing'!$C$3+('Presiones de casing'!$C$4+'Presiones de casing'!$C$8)*A586)*(1+'Presiones de casing'!$C$7/'Presiones de casing'!$C$13)</f>
        <v>13238.218903843821</v>
      </c>
      <c r="C586" s="339">
        <f>+B586*(Columna!$G$9+Columna!$B$7)/Columna!$G$9</f>
        <v>15771.04716920278</v>
      </c>
      <c r="D586" s="340">
        <f>+B586-A586*'Presiones de casing'!$C$4</f>
        <v>3358.624384382845</v>
      </c>
      <c r="E586" s="340">
        <f>+'Volumen de gas'!$C$1*Tabla!D586/14.7*520/'Volumen de gas'!$C$2*'Volumen de gas'!$C$4/'Volumen de gas'!$C$3</f>
        <v>51827.485058872306</v>
      </c>
      <c r="F586" s="340">
        <f t="shared" si="11"/>
        <v>354.3759662145115</v>
      </c>
    </row>
    <row r="587" spans="1:6" ht="12.75">
      <c r="A587" s="317">
        <v>146.5</v>
      </c>
      <c r="B587" s="339">
        <f>+('Presiones de casing'!$C$2+14.7+'Presiones de casing'!$C$3+('Presiones de casing'!$C$4+'Presiones de casing'!$C$8)*A587)*(1+'Presiones de casing'!$C$7/'Presiones de casing'!$C$13)</f>
        <v>13260.565170790704</v>
      </c>
      <c r="C587" s="339">
        <f>+B587*(Columna!$G$9+Columna!$B$7)/Columna!$G$9</f>
        <v>15797.668879618264</v>
      </c>
      <c r="D587" s="340">
        <f>+B587-A587*'Presiones de casing'!$C$4</f>
        <v>3364.0824555699655</v>
      </c>
      <c r="E587" s="340">
        <f>+'Volumen de gas'!$C$1*Tabla!D587/14.7*520/'Volumen de gas'!$C$2*'Volumen de gas'!$C$4/'Volumen de gas'!$C$3</f>
        <v>51911.709452709285</v>
      </c>
      <c r="F587" s="340">
        <f t="shared" si="11"/>
        <v>354.3461396089371</v>
      </c>
    </row>
    <row r="588" spans="1:6" ht="12.75">
      <c r="A588" s="317">
        <v>146.75</v>
      </c>
      <c r="B588" s="339">
        <f>+('Presiones de casing'!$C$2+14.7+'Presiones de casing'!$C$3+('Presiones de casing'!$C$4+'Presiones de casing'!$C$8)*A588)*(1+'Presiones de casing'!$C$7/'Presiones de casing'!$C$13)</f>
        <v>13282.911437737586</v>
      </c>
      <c r="C588" s="339">
        <f>+B588*(Columna!$G$9+Columna!$B$7)/Columna!$G$9</f>
        <v>15824.290590033746</v>
      </c>
      <c r="D588" s="340">
        <f>+B588-A588*'Presiones de casing'!$C$4</f>
        <v>3369.540526757086</v>
      </c>
      <c r="E588" s="340">
        <f>+'Volumen de gas'!$C$1*Tabla!D588/14.7*520/'Volumen de gas'!$C$2*'Volumen de gas'!$C$4/'Volumen de gas'!$C$3</f>
        <v>51995.93384654626</v>
      </c>
      <c r="F588" s="340">
        <f t="shared" si="11"/>
        <v>354.3164146272317</v>
      </c>
    </row>
    <row r="589" spans="1:6" ht="12.75">
      <c r="A589" s="317">
        <v>147</v>
      </c>
      <c r="B589" s="339">
        <f>+('Presiones de casing'!$C$2+14.7+'Presiones de casing'!$C$3+('Presiones de casing'!$C$4+'Presiones de casing'!$C$8)*A589)*(1+'Presiones de casing'!$C$7/'Presiones de casing'!$C$13)</f>
        <v>13305.25770468447</v>
      </c>
      <c r="C589" s="339">
        <f>+B589*(Columna!$G$9+Columna!$B$7)/Columna!$G$9</f>
        <v>15850.912300449228</v>
      </c>
      <c r="D589" s="340">
        <f>+B589-A589*'Presiones de casing'!$C$4</f>
        <v>3374.998597944208</v>
      </c>
      <c r="E589" s="340">
        <f>+'Volumen de gas'!$C$1*Tabla!D589/14.7*520/'Volumen de gas'!$C$2*'Volumen de gas'!$C$4/'Volumen de gas'!$C$3</f>
        <v>52080.15824038327</v>
      </c>
      <c r="F589" s="340">
        <f t="shared" si="11"/>
        <v>354.2867907509066</v>
      </c>
    </row>
    <row r="590" spans="1:6" ht="12.75">
      <c r="A590" s="317">
        <v>147.25</v>
      </c>
      <c r="B590" s="339">
        <f>+('Presiones de casing'!$C$2+14.7+'Presiones de casing'!$C$3+('Presiones de casing'!$C$4+'Presiones de casing'!$C$8)*A590)*(1+'Presiones de casing'!$C$7/'Presiones de casing'!$C$13)</f>
        <v>13327.603971631353</v>
      </c>
      <c r="C590" s="339">
        <f>+B590*(Columna!$G$9+Columna!$B$7)/Columna!$G$9</f>
        <v>15877.53401086471</v>
      </c>
      <c r="D590" s="340">
        <f>+B590-A590*'Presiones de casing'!$C$4</f>
        <v>3380.4566691313285</v>
      </c>
      <c r="E590" s="340">
        <f>+'Volumen de gas'!$C$1*Tabla!D590/14.7*520/'Volumen de gas'!$C$2*'Volumen de gas'!$C$4/'Volumen de gas'!$C$3</f>
        <v>52164.38263422025</v>
      </c>
      <c r="F590" s="340">
        <f t="shared" si="11"/>
        <v>354.2572674649932</v>
      </c>
    </row>
    <row r="591" spans="1:6" ht="12.75">
      <c r="A591" s="317">
        <v>147.5</v>
      </c>
      <c r="B591" s="339">
        <f>+('Presiones de casing'!$C$2+14.7+'Presiones de casing'!$C$3+('Presiones de casing'!$C$4+'Presiones de casing'!$C$8)*A591)*(1+'Presiones de casing'!$C$7/'Presiones de casing'!$C$13)</f>
        <v>13349.950238578238</v>
      </c>
      <c r="C591" s="339">
        <f>+B591*(Columna!$G$9+Columna!$B$7)/Columna!$G$9</f>
        <v>15904.155721280193</v>
      </c>
      <c r="D591" s="340">
        <f>+B591-A591*'Presiones de casing'!$C$4</f>
        <v>3385.9147403184506</v>
      </c>
      <c r="E591" s="340">
        <f>+'Volumen de gas'!$C$1*Tabla!D591/14.7*520/'Volumen de gas'!$C$2*'Volumen de gas'!$C$4/'Volumen de gas'!$C$3</f>
        <v>52248.607028057246</v>
      </c>
      <c r="F591" s="340">
        <f t="shared" si="11"/>
        <v>354.22784425801524</v>
      </c>
    </row>
    <row r="592" spans="1:6" ht="12.75">
      <c r="A592" s="317">
        <v>147.75</v>
      </c>
      <c r="B592" s="339">
        <f>+('Presiones de casing'!$C$2+14.7+'Presiones de casing'!$C$3+('Presiones de casing'!$C$4+'Presiones de casing'!$C$8)*A592)*(1+'Presiones de casing'!$C$7/'Presiones de casing'!$C$13)</f>
        <v>13372.29650552512</v>
      </c>
      <c r="C592" s="339">
        <f>+B592*(Columna!$G$9+Columna!$B$7)/Columna!$G$9</f>
        <v>15930.777431695677</v>
      </c>
      <c r="D592" s="340">
        <f>+B592-A592*'Presiones de casing'!$C$4</f>
        <v>3391.372811505571</v>
      </c>
      <c r="E592" s="340">
        <f>+'Volumen de gas'!$C$1*Tabla!D592/14.7*520/'Volumen de gas'!$C$2*'Volumen de gas'!$C$4/'Volumen de gas'!$C$3</f>
        <v>52332.83142189425</v>
      </c>
      <c r="F592" s="340">
        <f t="shared" si="11"/>
        <v>354.1985206219577</v>
      </c>
    </row>
    <row r="593" spans="1:6" ht="12.75">
      <c r="A593" s="317">
        <v>148</v>
      </c>
      <c r="B593" s="339">
        <f>+('Presiones de casing'!$C$2+14.7+'Presiones de casing'!$C$3+('Presiones de casing'!$C$4+'Presiones de casing'!$C$8)*A593)*(1+'Presiones de casing'!$C$7/'Presiones de casing'!$C$13)</f>
        <v>13394.642772472003</v>
      </c>
      <c r="C593" s="339">
        <f>+B593*(Columna!$G$9+Columna!$B$7)/Columna!$G$9</f>
        <v>15957.399142111157</v>
      </c>
      <c r="D593" s="340">
        <f>+B593-A593*'Presiones de casing'!$C$4</f>
        <v>3396.8308826926914</v>
      </c>
      <c r="E593" s="340">
        <f>+'Volumen de gas'!$C$1*Tabla!D593/14.7*520/'Volumen de gas'!$C$2*'Volumen de gas'!$C$4/'Volumen de gas'!$C$3</f>
        <v>52417.05581573122</v>
      </c>
      <c r="F593" s="340">
        <f t="shared" si="11"/>
        <v>354.16929605223794</v>
      </c>
    </row>
    <row r="594" spans="1:6" ht="12.75">
      <c r="A594" s="317">
        <v>148.25</v>
      </c>
      <c r="B594" s="339">
        <f>+('Presiones de casing'!$C$2+14.7+'Presiones de casing'!$C$3+('Presiones de casing'!$C$4+'Presiones de casing'!$C$8)*A594)*(1+'Presiones de casing'!$C$7/'Presiones de casing'!$C$13)</f>
        <v>13416.989039418888</v>
      </c>
      <c r="C594" s="339">
        <f>+B594*(Columna!$G$9+Columna!$B$7)/Columna!$G$9</f>
        <v>15984.02085252664</v>
      </c>
      <c r="D594" s="340">
        <f>+B594-A594*'Presiones de casing'!$C$4</f>
        <v>3402.2889538798136</v>
      </c>
      <c r="E594" s="340">
        <f>+'Volumen de gas'!$C$1*Tabla!D594/14.7*520/'Volumen de gas'!$C$2*'Volumen de gas'!$C$4/'Volumen de gas'!$C$3</f>
        <v>52501.28020956822</v>
      </c>
      <c r="F594" s="340">
        <f t="shared" si="11"/>
        <v>354.1401700476777</v>
      </c>
    </row>
    <row r="595" spans="1:6" ht="12.75">
      <c r="A595" s="317">
        <v>148.5</v>
      </c>
      <c r="B595" s="339">
        <f>+('Presiones de casing'!$C$2+14.7+'Presiones de casing'!$C$3+('Presiones de casing'!$C$4+'Presiones de casing'!$C$8)*A595)*(1+'Presiones de casing'!$C$7/'Presiones de casing'!$C$13)</f>
        <v>13439.33530636577</v>
      </c>
      <c r="C595" s="339">
        <f>+B595*(Columna!$G$9+Columna!$B$7)/Columna!$G$9</f>
        <v>16010.642562942123</v>
      </c>
      <c r="D595" s="340">
        <f>+B595-A595*'Presiones de casing'!$C$4</f>
        <v>3407.747025066934</v>
      </c>
      <c r="E595" s="340">
        <f>+'Volumen de gas'!$C$1*Tabla!D595/14.7*520/'Volumen de gas'!$C$2*'Volumen de gas'!$C$4/'Volumen de gas'!$C$3</f>
        <v>52585.504603405214</v>
      </c>
      <c r="F595" s="340">
        <f t="shared" si="11"/>
        <v>354.1111421104728</v>
      </c>
    </row>
    <row r="596" spans="1:6" ht="12.75">
      <c r="A596" s="317">
        <v>148.75</v>
      </c>
      <c r="B596" s="339">
        <f>+('Presiones de casing'!$C$2+14.7+'Presiones de casing'!$C$3+('Presiones de casing'!$C$4+'Presiones de casing'!$C$8)*A596)*(1+'Presiones de casing'!$C$7/'Presiones de casing'!$C$13)</f>
        <v>13461.681573312655</v>
      </c>
      <c r="C596" s="339">
        <f>+B596*(Columna!$G$9+Columna!$B$7)/Columna!$G$9</f>
        <v>16037.264273357607</v>
      </c>
      <c r="D596" s="340">
        <f>+B596-A596*'Presiones de casing'!$C$4</f>
        <v>3413.205096254056</v>
      </c>
      <c r="E596" s="340">
        <f>+'Volumen de gas'!$C$1*Tabla!D596/14.7*520/'Volumen de gas'!$C$2*'Volumen de gas'!$C$4/'Volumen de gas'!$C$3</f>
        <v>52669.72899724221</v>
      </c>
      <c r="F596" s="340">
        <f t="shared" si="11"/>
        <v>354.0822117461661</v>
      </c>
    </row>
    <row r="597" spans="1:6" ht="12.75">
      <c r="A597" s="317">
        <v>149</v>
      </c>
      <c r="B597" s="339">
        <f>+('Presiones de casing'!$C$2+14.7+'Presiones de casing'!$C$3+('Presiones de casing'!$C$4+'Presiones de casing'!$C$8)*A597)*(1+'Presiones de casing'!$C$7/'Presiones de casing'!$C$13)</f>
        <v>13484.027840259536</v>
      </c>
      <c r="C597" s="339">
        <f>+B597*(Columna!$G$9+Columna!$B$7)/Columna!$G$9</f>
        <v>16063.885983773085</v>
      </c>
      <c r="D597" s="340">
        <f>+B597-A597*'Presiones de casing'!$C$4</f>
        <v>3418.6631674411747</v>
      </c>
      <c r="E597" s="340">
        <f>+'Volumen de gas'!$C$1*Tabla!D597/14.7*520/'Volumen de gas'!$C$2*'Volumen de gas'!$C$4/'Volumen de gas'!$C$3</f>
        <v>52753.95339107916</v>
      </c>
      <c r="F597" s="340">
        <f t="shared" si="11"/>
        <v>354.0533784636185</v>
      </c>
    </row>
    <row r="598" spans="1:6" ht="12.75">
      <c r="A598" s="317">
        <v>149.25</v>
      </c>
      <c r="B598" s="339">
        <f>+('Presiones de casing'!$C$2+14.7+'Presiones de casing'!$C$3+('Presiones de casing'!$C$4+'Presiones de casing'!$C$8)*A598)*(1+'Presiones de casing'!$C$7/'Presiones de casing'!$C$13)</f>
        <v>13506.37410720642</v>
      </c>
      <c r="C598" s="339">
        <f>+B598*(Columna!$G$9+Columna!$B$7)/Columna!$G$9</f>
        <v>16090.507694188569</v>
      </c>
      <c r="D598" s="340">
        <f>+B598-A598*'Presiones de casing'!$C$4</f>
        <v>3424.121238628297</v>
      </c>
      <c r="E598" s="340">
        <f>+'Volumen de gas'!$C$1*Tabla!D598/14.7*520/'Volumen de gas'!$C$2*'Volumen de gas'!$C$4/'Volumen de gas'!$C$3</f>
        <v>52838.17778491616</v>
      </c>
      <c r="F598" s="340">
        <f t="shared" si="11"/>
        <v>354.0246417749826</v>
      </c>
    </row>
    <row r="599" spans="1:6" ht="12.75">
      <c r="A599" s="317">
        <v>149.5</v>
      </c>
      <c r="B599" s="339">
        <f>+('Presiones de casing'!$C$2+14.7+'Presiones de casing'!$C$3+('Presiones de casing'!$C$4+'Presiones de casing'!$C$8)*A599)*(1+'Presiones de casing'!$C$7/'Presiones de casing'!$C$13)</f>
        <v>13528.720374153303</v>
      </c>
      <c r="C599" s="339">
        <f>+B599*(Columna!$G$9+Columna!$B$7)/Columna!$G$9</f>
        <v>16117.129404604051</v>
      </c>
      <c r="D599" s="340">
        <f>+B599-A599*'Presiones de casing'!$C$4</f>
        <v>3429.579309815417</v>
      </c>
      <c r="E599" s="340">
        <f>+'Volumen de gas'!$C$1*Tabla!D599/14.7*520/'Volumen de gas'!$C$2*'Volumen de gas'!$C$4/'Volumen de gas'!$C$3</f>
        <v>52922.40217875316</v>
      </c>
      <c r="F599" s="340">
        <f t="shared" si="11"/>
        <v>353.99600119567333</v>
      </c>
    </row>
    <row r="600" spans="1:6" ht="12.75">
      <c r="A600" s="317">
        <v>149.75</v>
      </c>
      <c r="B600" s="339">
        <f>+('Presiones de casing'!$C$2+14.7+'Presiones de casing'!$C$3+('Presiones de casing'!$C$4+'Presiones de casing'!$C$8)*A600)*(1+'Presiones de casing'!$C$7/'Presiones de casing'!$C$13)</f>
        <v>13551.066641100188</v>
      </c>
      <c r="C600" s="339">
        <f>+B600*(Columna!$G$9+Columna!$B$7)/Columna!$G$9</f>
        <v>16143.751115019533</v>
      </c>
      <c r="D600" s="340">
        <f>+B600-A600*'Presiones de casing'!$C$4</f>
        <v>3435.0373810025394</v>
      </c>
      <c r="E600" s="340">
        <f>+'Volumen de gas'!$C$1*Tabla!D600/14.7*520/'Volumen de gas'!$C$2*'Volumen de gas'!$C$4/'Volumen de gas'!$C$3</f>
        <v>53006.626572590154</v>
      </c>
      <c r="F600" s="340">
        <f t="shared" si="11"/>
        <v>353.9674562443416</v>
      </c>
    </row>
    <row r="601" spans="1:6" ht="12.75">
      <c r="A601" s="317">
        <v>150</v>
      </c>
      <c r="B601" s="339">
        <f>+('Presiones de casing'!$C$2+14.7+'Presiones de casing'!$C$3+('Presiones de casing'!$C$4+'Presiones de casing'!$C$8)*A601)*(1+'Presiones de casing'!$C$7/'Presiones de casing'!$C$13)</f>
        <v>13573.41290804707</v>
      </c>
      <c r="C601" s="339">
        <f>+B601*(Columna!$G$9+Columna!$B$7)/Columna!$G$9</f>
        <v>16170.372825435015</v>
      </c>
      <c r="D601" s="340">
        <f>+B601-A601*'Presiones de casing'!$C$4</f>
        <v>3440.4954521896598</v>
      </c>
      <c r="E601" s="340">
        <f>+'Volumen de gas'!$C$1*Tabla!D601/14.7*520/'Volumen de gas'!$C$2*'Volumen de gas'!$C$4/'Volumen de gas'!$C$3</f>
        <v>53090.85096642713</v>
      </c>
      <c r="F601" s="340">
        <f t="shared" si="11"/>
        <v>353.93900644284753</v>
      </c>
    </row>
    <row r="602" spans="1:6" ht="12.75">
      <c r="A602" s="317">
        <v>150.25</v>
      </c>
      <c r="B602" s="339">
        <f>+('Presiones de casing'!$C$2+14.7+'Presiones de casing'!$C$3+('Presiones de casing'!$C$4+'Presiones de casing'!$C$8)*A602)*(1+'Presiones de casing'!$C$7/'Presiones de casing'!$C$13)</f>
        <v>13595.759174993953</v>
      </c>
      <c r="C602" s="339">
        <f>+B602*(Columna!$G$9+Columna!$B$7)/Columna!$G$9</f>
        <v>16196.9945358505</v>
      </c>
      <c r="D602" s="340">
        <f>+B602-A602*'Presiones de casing'!$C$4</f>
        <v>3445.95352337678</v>
      </c>
      <c r="E602" s="340">
        <f>+'Volumen de gas'!$C$1*Tabla!D602/14.7*520/'Volumen de gas'!$C$2*'Volumen de gas'!$C$4/'Volumen de gas'!$C$3</f>
        <v>53175.07536026412</v>
      </c>
      <c r="F602" s="340">
        <f t="shared" si="11"/>
        <v>353.9106513162337</v>
      </c>
    </row>
    <row r="603" spans="1:6" ht="12.75">
      <c r="A603" s="317">
        <v>150.5</v>
      </c>
      <c r="B603" s="339">
        <f>+('Presiones de casing'!$C$2+14.7+'Presiones de casing'!$C$3+('Presiones de casing'!$C$4+'Presiones de casing'!$C$8)*A603)*(1+'Presiones de casing'!$C$7/'Presiones de casing'!$C$13)</f>
        <v>13618.105441940837</v>
      </c>
      <c r="C603" s="339">
        <f>+B603*(Columna!$G$9+Columna!$B$7)/Columna!$G$9</f>
        <v>16223.616246265981</v>
      </c>
      <c r="D603" s="340">
        <f>+B603-A603*'Presiones de casing'!$C$4</f>
        <v>3451.4115945639023</v>
      </c>
      <c r="E603" s="340">
        <f>+'Volumen de gas'!$C$1*Tabla!D603/14.7*520/'Volumen de gas'!$C$2*'Volumen de gas'!$C$4/'Volumen de gas'!$C$3</f>
        <v>53259.299754101114</v>
      </c>
      <c r="F603" s="340">
        <f t="shared" si="11"/>
        <v>353.8823903926984</v>
      </c>
    </row>
    <row r="604" spans="1:6" ht="12.75">
      <c r="A604" s="317">
        <v>150.75</v>
      </c>
      <c r="B604" s="339">
        <f>+('Presiones de casing'!$C$2+14.7+'Presiones de casing'!$C$3+('Presiones de casing'!$C$4+'Presiones de casing'!$C$8)*A604)*(1+'Presiones de casing'!$C$7/'Presiones de casing'!$C$13)</f>
        <v>13640.45170888772</v>
      </c>
      <c r="C604" s="339">
        <f>+B604*(Columna!$G$9+Columna!$B$7)/Columna!$G$9</f>
        <v>16250.237956681463</v>
      </c>
      <c r="D604" s="340">
        <f>+B604-A604*'Presiones de casing'!$C$4</f>
        <v>3456.8696657510227</v>
      </c>
      <c r="E604" s="340">
        <f>+'Volumen de gas'!$C$1*Tabla!D604/14.7*520/'Volumen de gas'!$C$2*'Volumen de gas'!$C$4/'Volumen de gas'!$C$3</f>
        <v>53343.5241479381</v>
      </c>
      <c r="F604" s="340">
        <f t="shared" si="11"/>
        <v>353.85422320356946</v>
      </c>
    </row>
    <row r="605" spans="1:6" ht="12.75">
      <c r="A605" s="317">
        <v>151</v>
      </c>
      <c r="B605" s="339">
        <f>+('Presiones de casing'!$C$2+14.7+'Presiones de casing'!$C$3+('Presiones de casing'!$C$4+'Presiones de casing'!$C$8)*A605)*(1+'Presiones de casing'!$C$7/'Presiones de casing'!$C$13)</f>
        <v>13662.797975834605</v>
      </c>
      <c r="C605" s="339">
        <f>+B605*(Columna!$G$9+Columna!$B$7)/Columna!$G$9</f>
        <v>16276.859667096945</v>
      </c>
      <c r="D605" s="340">
        <f>+B605-A605*'Presiones de casing'!$C$4</f>
        <v>3462.327736938145</v>
      </c>
      <c r="E605" s="340">
        <f>+'Volumen de gas'!$C$1*Tabla!D605/14.7*520/'Volumen de gas'!$C$2*'Volumen de gas'!$C$4/'Volumen de gas'!$C$3</f>
        <v>53427.748541775116</v>
      </c>
      <c r="F605" s="340">
        <f t="shared" si="11"/>
        <v>353.82614928327894</v>
      </c>
    </row>
    <row r="606" spans="1:6" ht="12.75">
      <c r="A606" s="317">
        <v>151.25</v>
      </c>
      <c r="B606" s="339">
        <f>+('Presiones de casing'!$C$2+14.7+'Presiones de casing'!$C$3+('Presiones de casing'!$C$4+'Presiones de casing'!$C$8)*A606)*(1+'Presiones de casing'!$C$7/'Presiones de casing'!$C$13)</f>
        <v>13685.144242781487</v>
      </c>
      <c r="C606" s="339">
        <f>+B606*(Columna!$G$9+Columna!$B$7)/Columna!$G$9</f>
        <v>16303.481377512428</v>
      </c>
      <c r="D606" s="340">
        <f>+B606-A606*'Presiones de casing'!$C$4</f>
        <v>3467.7858081252652</v>
      </c>
      <c r="E606" s="340">
        <f>+'Volumen de gas'!$C$1*Tabla!D606/14.7*520/'Volumen de gas'!$C$2*'Volumen de gas'!$C$4/'Volumen de gas'!$C$3</f>
        <v>53511.97293561209</v>
      </c>
      <c r="F606" s="340">
        <f t="shared" si="11"/>
        <v>353.7981681693361</v>
      </c>
    </row>
    <row r="607" spans="1:6" ht="12.75">
      <c r="A607" s="317">
        <v>151.5</v>
      </c>
      <c r="B607" s="339">
        <f>+('Presiones de casing'!$C$2+14.7+'Presiones de casing'!$C$3+('Presiones de casing'!$C$4+'Presiones de casing'!$C$8)*A607)*(1+'Presiones de casing'!$C$7/'Presiones de casing'!$C$13)</f>
        <v>13707.49050972837</v>
      </c>
      <c r="C607" s="339">
        <f>+B607*(Columna!$G$9+Columna!$B$7)/Columna!$G$9</f>
        <v>16330.103087927908</v>
      </c>
      <c r="D607" s="340">
        <f>+B607-A607*'Presiones de casing'!$C$4</f>
        <v>3473.2438793123856</v>
      </c>
      <c r="E607" s="340">
        <f>+'Volumen de gas'!$C$1*Tabla!D607/14.7*520/'Volumen de gas'!$C$2*'Volumen de gas'!$C$4/'Volumen de gas'!$C$3</f>
        <v>53596.197329449074</v>
      </c>
      <c r="F607" s="340">
        <f t="shared" si="11"/>
        <v>353.77027940230414</v>
      </c>
    </row>
    <row r="608" spans="1:6" ht="12.75">
      <c r="A608" s="317">
        <v>151.75</v>
      </c>
      <c r="B608" s="339">
        <f>+('Presiones de casing'!$C$2+14.7+'Presiones de casing'!$C$3+('Presiones de casing'!$C$4+'Presiones de casing'!$C$8)*A608)*(1+'Presiones de casing'!$C$7/'Presiones de casing'!$C$13)</f>
        <v>13729.836776675253</v>
      </c>
      <c r="C608" s="339">
        <f>+B608*(Columna!$G$9+Columna!$B$7)/Columna!$G$9</f>
        <v>16356.72479834339</v>
      </c>
      <c r="D608" s="340">
        <f>+B608-A608*'Presiones de casing'!$C$4</f>
        <v>3478.701950499506</v>
      </c>
      <c r="E608" s="340">
        <f>+'Volumen de gas'!$C$1*Tabla!D608/14.7*520/'Volumen de gas'!$C$2*'Volumen de gas'!$C$4/'Volumen de gas'!$C$3</f>
        <v>53680.42172328605</v>
      </c>
      <c r="F608" s="340">
        <f t="shared" si="11"/>
        <v>353.74248252577297</v>
      </c>
    </row>
    <row r="609" spans="1:6" ht="12.75">
      <c r="A609" s="317">
        <v>152</v>
      </c>
      <c r="B609" s="339">
        <f>+('Presiones de casing'!$C$2+14.7+'Presiones de casing'!$C$3+('Presiones de casing'!$C$4+'Presiones de casing'!$C$8)*A609)*(1+'Presiones de casing'!$C$7/'Presiones de casing'!$C$13)</f>
        <v>13752.183043622135</v>
      </c>
      <c r="C609" s="339">
        <f>+B609*(Columna!$G$9+Columna!$B$7)/Columna!$G$9</f>
        <v>16383.346508758874</v>
      </c>
      <c r="D609" s="340">
        <f>+B609-A609*'Presiones de casing'!$C$4</f>
        <v>3484.1600216866264</v>
      </c>
      <c r="E609" s="340">
        <f>+'Volumen de gas'!$C$1*Tabla!D609/14.7*520/'Volumen de gas'!$C$2*'Volumen de gas'!$C$4/'Volumen de gas'!$C$3</f>
        <v>53764.646117123026</v>
      </c>
      <c r="F609" s="340">
        <f t="shared" si="11"/>
        <v>353.7147770863357</v>
      </c>
    </row>
    <row r="610" spans="1:6" ht="12.75">
      <c r="A610" s="317">
        <v>152.25</v>
      </c>
      <c r="B610" s="339">
        <f>+('Presiones de casing'!$C$2+14.7+'Presiones de casing'!$C$3+('Presiones de casing'!$C$4+'Presiones de casing'!$C$8)*A610)*(1+'Presiones de casing'!$C$7/'Presiones de casing'!$C$13)</f>
        <v>13774.52931056902</v>
      </c>
      <c r="C610" s="339">
        <f>+B610*(Columna!$G$9+Columna!$B$7)/Columna!$G$9</f>
        <v>16409.968219174356</v>
      </c>
      <c r="D610" s="340">
        <f>+B610-A610*'Presiones de casing'!$C$4</f>
        <v>3489.6180928737485</v>
      </c>
      <c r="E610" s="340">
        <f>+'Volumen de gas'!$C$1*Tabla!D610/14.7*520/'Volumen de gas'!$C$2*'Volumen de gas'!$C$4/'Volumen de gas'!$C$3</f>
        <v>53848.870510960034</v>
      </c>
      <c r="F610" s="340">
        <f t="shared" si="11"/>
        <v>353.68716263356345</v>
      </c>
    </row>
    <row r="611" spans="1:6" ht="12.75">
      <c r="A611" s="317">
        <v>152.5</v>
      </c>
      <c r="B611" s="339">
        <f>+('Presiones de casing'!$C$2+14.7+'Presiones de casing'!$C$3+('Presiones de casing'!$C$4+'Presiones de casing'!$C$8)*A611)*(1+'Presiones de casing'!$C$7/'Presiones de casing'!$C$13)</f>
        <v>13796.875577515902</v>
      </c>
      <c r="C611" s="339">
        <f>+B611*(Columna!$G$9+Columna!$B$7)/Columna!$G$9</f>
        <v>16436.589929589838</v>
      </c>
      <c r="D611" s="340">
        <f>+B611-A611*'Presiones de casing'!$C$4</f>
        <v>3495.076164060869</v>
      </c>
      <c r="E611" s="340">
        <f>+'Volumen de gas'!$C$1*Tabla!D611/14.7*520/'Volumen de gas'!$C$2*'Volumen de gas'!$C$4/'Volumen de gas'!$C$3</f>
        <v>53933.094904797006</v>
      </c>
      <c r="F611" s="340">
        <f t="shared" si="11"/>
        <v>353.65963871998036</v>
      </c>
    </row>
    <row r="612" spans="1:6" ht="12.75">
      <c r="A612" s="317">
        <v>152.75</v>
      </c>
      <c r="B612" s="339">
        <f>+('Presiones de casing'!$C$2+14.7+'Presiones de casing'!$C$3+('Presiones de casing'!$C$4+'Presiones de casing'!$C$8)*A612)*(1+'Presiones de casing'!$C$7/'Presiones de casing'!$C$13)</f>
        <v>13819.221844462787</v>
      </c>
      <c r="C612" s="339">
        <f>+B612*(Columna!$G$9+Columna!$B$7)/Columna!$G$9</f>
        <v>16463.21164000532</v>
      </c>
      <c r="D612" s="340">
        <f>+B612-A612*'Presiones de casing'!$C$4</f>
        <v>3500.534235247991</v>
      </c>
      <c r="E612" s="340">
        <f>+'Volumen de gas'!$C$1*Tabla!D612/14.7*520/'Volumen de gas'!$C$2*'Volumen de gas'!$C$4/'Volumen de gas'!$C$3</f>
        <v>54017.319298634015</v>
      </c>
      <c r="F612" s="340">
        <f t="shared" si="11"/>
        <v>353.632204901041</v>
      </c>
    </row>
    <row r="613" spans="1:6" ht="12.75">
      <c r="A613" s="317">
        <v>153</v>
      </c>
      <c r="B613" s="339">
        <f>+('Presiones de casing'!$C$2+14.7+'Presiones de casing'!$C$3+('Presiones de casing'!$C$4+'Presiones de casing'!$C$8)*A613)*(1+'Presiones de casing'!$C$7/'Presiones de casing'!$C$13)</f>
        <v>13841.56811140967</v>
      </c>
      <c r="C613" s="339">
        <f>+B613*(Columna!$G$9+Columna!$B$7)/Columna!$G$9</f>
        <v>16489.833350420802</v>
      </c>
      <c r="D613" s="340">
        <f>+B613-A613*'Presiones de casing'!$C$4</f>
        <v>3505.9923064351115</v>
      </c>
      <c r="E613" s="340">
        <f>+'Volumen de gas'!$C$1*Tabla!D613/14.7*520/'Volumen de gas'!$C$2*'Volumen de gas'!$C$4/'Volumen de gas'!$C$3</f>
        <v>54101.543692470994</v>
      </c>
      <c r="F613" s="340">
        <f t="shared" si="11"/>
        <v>353.6048607351045</v>
      </c>
    </row>
    <row r="614" spans="1:6" ht="12.75">
      <c r="A614" s="317">
        <v>153.25</v>
      </c>
      <c r="B614" s="339">
        <f>+('Presiones de casing'!$C$2+14.7+'Presiones de casing'!$C$3+('Presiones de casing'!$C$4+'Presiones de casing'!$C$8)*A614)*(1+'Presiones de casing'!$C$7/'Presiones de casing'!$C$13)</f>
        <v>13863.914378356554</v>
      </c>
      <c r="C614" s="339">
        <f>+B614*(Columna!$G$9+Columna!$B$7)/Columna!$G$9</f>
        <v>16516.455060836284</v>
      </c>
      <c r="D614" s="340">
        <f>+B614-A614*'Presiones de casing'!$C$4</f>
        <v>3511.4503776222336</v>
      </c>
      <c r="E614" s="340">
        <f>+'Volumen de gas'!$C$1*Tabla!D614/14.7*520/'Volumen de gas'!$C$2*'Volumen de gas'!$C$4/'Volumen de gas'!$C$3</f>
        <v>54185.76808630801</v>
      </c>
      <c r="F614" s="340">
        <f t="shared" si="11"/>
        <v>353.57760578341276</v>
      </c>
    </row>
    <row r="615" spans="1:6" ht="12.75">
      <c r="A615" s="317">
        <v>153.5</v>
      </c>
      <c r="B615" s="339">
        <f>+('Presiones de casing'!$C$2+14.7+'Presiones de casing'!$C$3+('Presiones de casing'!$C$4+'Presiones de casing'!$C$8)*A615)*(1+'Presiones de casing'!$C$7/'Presiones de casing'!$C$13)</f>
        <v>13886.260645303437</v>
      </c>
      <c r="C615" s="339">
        <f>+B615*(Columna!$G$9+Columna!$B$7)/Columna!$G$9</f>
        <v>16543.076771251766</v>
      </c>
      <c r="D615" s="340">
        <f>+B615-A615*'Presiones de casing'!$C$4</f>
        <v>3516.908448809354</v>
      </c>
      <c r="E615" s="340">
        <f>+'Volumen de gas'!$C$1*Tabla!D615/14.7*520/'Volumen de gas'!$C$2*'Volumen de gas'!$C$4/'Volumen de gas'!$C$3</f>
        <v>54269.99248014499</v>
      </c>
      <c r="F615" s="340">
        <f t="shared" si="11"/>
        <v>353.5504396100651</v>
      </c>
    </row>
    <row r="616" spans="1:6" ht="12.75">
      <c r="A616" s="317">
        <v>153.75</v>
      </c>
      <c r="B616" s="339">
        <f>+('Presiones de casing'!$C$2+14.7+'Presiones de casing'!$C$3+('Presiones de casing'!$C$4+'Presiones de casing'!$C$8)*A616)*(1+'Presiones de casing'!$C$7/'Presiones de casing'!$C$13)</f>
        <v>13908.60691225032</v>
      </c>
      <c r="C616" s="339">
        <f>+B616*(Columna!$G$9+Columna!$B$7)/Columna!$G$9</f>
        <v>16569.698481667252</v>
      </c>
      <c r="D616" s="340">
        <f>+B616-A616*'Presiones de casing'!$C$4</f>
        <v>3522.3665199964744</v>
      </c>
      <c r="E616" s="340">
        <f>+'Volumen de gas'!$C$1*Tabla!D616/14.7*520/'Volumen de gas'!$C$2*'Volumen de gas'!$C$4/'Volumen de gas'!$C$3</f>
        <v>54354.21687398196</v>
      </c>
      <c r="F616" s="340">
        <f t="shared" si="11"/>
        <v>353.52336178199647</v>
      </c>
    </row>
    <row r="617" spans="1:6" ht="12.75">
      <c r="A617" s="317">
        <v>154</v>
      </c>
      <c r="B617" s="339">
        <f>+('Presiones de casing'!$C$2+14.7+'Presiones de casing'!$C$3+('Presiones de casing'!$C$4+'Presiones de casing'!$C$8)*A617)*(1+'Presiones de casing'!$C$7/'Presiones de casing'!$C$13)</f>
        <v>13930.953179197202</v>
      </c>
      <c r="C617" s="339">
        <f>+B617*(Columna!$G$9+Columna!$B$7)/Columna!$G$9</f>
        <v>16596.32019208273</v>
      </c>
      <c r="D617" s="340">
        <f>+B617-A617*'Presiones de casing'!$C$4</f>
        <v>3527.8245911835947</v>
      </c>
      <c r="E617" s="340">
        <f>+'Volumen de gas'!$C$1*Tabla!D617/14.7*520/'Volumen de gas'!$C$2*'Volumen de gas'!$C$4/'Volumen de gas'!$C$3</f>
        <v>54438.44126781893</v>
      </c>
      <c r="F617" s="340">
        <f t="shared" si="11"/>
        <v>353.4963718689541</v>
      </c>
    </row>
    <row r="618" spans="1:6" ht="12.75">
      <c r="A618" s="317">
        <v>154.25</v>
      </c>
      <c r="B618" s="339">
        <f>+('Presiones de casing'!$C$2+14.7+'Presiones de casing'!$C$3+('Presiones de casing'!$C$4+'Presiones de casing'!$C$8)*A618)*(1+'Presiones de casing'!$C$7/'Presiones de casing'!$C$13)</f>
        <v>13953.299446144085</v>
      </c>
      <c r="C618" s="339">
        <f>+B618*(Columna!$G$9+Columna!$B$7)/Columna!$G$9</f>
        <v>16622.941902498213</v>
      </c>
      <c r="D618" s="340">
        <f>+B618-A618*'Presiones de casing'!$C$4</f>
        <v>3533.282662370715</v>
      </c>
      <c r="E618" s="340">
        <f>+'Volumen de gas'!$C$1*Tabla!D618/14.7*520/'Volumen de gas'!$C$2*'Volumen de gas'!$C$4/'Volumen de gas'!$C$3</f>
        <v>54522.66566165591</v>
      </c>
      <c r="F618" s="340">
        <f t="shared" si="11"/>
        <v>353.4694694434743</v>
      </c>
    </row>
    <row r="619" spans="1:6" ht="12.75">
      <c r="A619" s="317">
        <v>154.5</v>
      </c>
      <c r="B619" s="339">
        <f>+('Presiones de casing'!$C$2+14.7+'Presiones de casing'!$C$3+('Presiones de casing'!$C$4+'Presiones de casing'!$C$8)*A619)*(1+'Presiones de casing'!$C$7/'Presiones de casing'!$C$13)</f>
        <v>13975.64571309097</v>
      </c>
      <c r="C619" s="339">
        <f>+B619*(Columna!$G$9+Columna!$B$7)/Columna!$G$9</f>
        <v>16649.563612913695</v>
      </c>
      <c r="D619" s="340">
        <f>+B619-A619*'Presiones de casing'!$C$4</f>
        <v>3538.7407335578373</v>
      </c>
      <c r="E619" s="340">
        <f>+'Volumen de gas'!$C$1*Tabla!D619/14.7*520/'Volumen de gas'!$C$2*'Volumen de gas'!$C$4/'Volumen de gas'!$C$3</f>
        <v>54606.89005549293</v>
      </c>
      <c r="F619" s="340">
        <f t="shared" si="11"/>
        <v>353.4426540808604</v>
      </c>
    </row>
    <row r="620" spans="1:6" ht="12.75">
      <c r="A620" s="317">
        <v>154.75</v>
      </c>
      <c r="B620" s="339">
        <f>+('Presiones de casing'!$C$2+14.7+'Presiones de casing'!$C$3+('Presiones de casing'!$C$4+'Presiones de casing'!$C$8)*A620)*(1+'Presiones de casing'!$C$7/'Presiones de casing'!$C$13)</f>
        <v>13997.991980037852</v>
      </c>
      <c r="C620" s="339">
        <f>+B620*(Columna!$G$9+Columna!$B$7)/Columna!$G$9</f>
        <v>16676.185323329177</v>
      </c>
      <c r="D620" s="340">
        <f>+B620-A620*'Presiones de casing'!$C$4</f>
        <v>3544.1988047449577</v>
      </c>
      <c r="E620" s="340">
        <f>+'Volumen de gas'!$C$1*Tabla!D620/14.7*520/'Volumen de gas'!$C$2*'Volumen de gas'!$C$4/'Volumen de gas'!$C$3</f>
        <v>54691.1144493299</v>
      </c>
      <c r="F620" s="340">
        <f t="shared" si="11"/>
        <v>353.4159253591593</v>
      </c>
    </row>
    <row r="621" spans="1:6" ht="12.75">
      <c r="A621" s="317">
        <v>155</v>
      </c>
      <c r="B621" s="339">
        <f>+('Presiones de casing'!$C$2+14.7+'Presiones de casing'!$C$3+('Presiones de casing'!$C$4+'Presiones de casing'!$C$8)*A621)*(1+'Presiones de casing'!$C$7/'Presiones de casing'!$C$13)</f>
        <v>14020.338246984737</v>
      </c>
      <c r="C621" s="339">
        <f>+B621*(Columna!$G$9+Columna!$B$7)/Columna!$G$9</f>
        <v>16702.807033744662</v>
      </c>
      <c r="D621" s="340">
        <f>+B621-A621*'Presiones de casing'!$C$4</f>
        <v>3549.65687593208</v>
      </c>
      <c r="E621" s="340">
        <f>+'Volumen de gas'!$C$1*Tabla!D621/14.7*520/'Volumen de gas'!$C$2*'Volumen de gas'!$C$4/'Volumen de gas'!$C$3</f>
        <v>54775.338843166915</v>
      </c>
      <c r="F621" s="340">
        <f t="shared" si="11"/>
        <v>353.3892828591414</v>
      </c>
    </row>
    <row r="622" spans="1:6" ht="12.75">
      <c r="A622" s="317">
        <v>155.25</v>
      </c>
      <c r="B622" s="339">
        <f>+('Presiones de casing'!$C$2+14.7+'Presiones de casing'!$C$3+('Presiones de casing'!$C$4+'Presiones de casing'!$C$8)*A622)*(1+'Presiones de casing'!$C$7/'Presiones de casing'!$C$13)</f>
        <v>14042.68451393162</v>
      </c>
      <c r="C622" s="339">
        <f>+B622*(Columna!$G$9+Columna!$B$7)/Columna!$G$9</f>
        <v>16729.428744160145</v>
      </c>
      <c r="D622" s="340">
        <f>+B622-A622*'Presiones de casing'!$C$4</f>
        <v>3555.1149471192</v>
      </c>
      <c r="E622" s="340">
        <f>+'Volumen de gas'!$C$1*Tabla!D622/14.7*520/'Volumen de gas'!$C$2*'Volumen de gas'!$C$4/'Volumen de gas'!$C$3</f>
        <v>54859.5632370039</v>
      </c>
      <c r="F622" s="340">
        <f t="shared" si="11"/>
        <v>353.36272616427635</v>
      </c>
    </row>
    <row r="623" spans="1:6" ht="12.75">
      <c r="A623" s="317">
        <v>155.5</v>
      </c>
      <c r="B623" s="339">
        <f>+('Presiones de casing'!$C$2+14.7+'Presiones de casing'!$C$3+('Presiones de casing'!$C$4+'Presiones de casing'!$C$8)*A623)*(1+'Presiones de casing'!$C$7/'Presiones de casing'!$C$13)</f>
        <v>14065.030780878504</v>
      </c>
      <c r="C623" s="339">
        <f>+B623*(Columna!$G$9+Columna!$B$7)/Columna!$G$9</f>
        <v>16756.050454575627</v>
      </c>
      <c r="D623" s="340">
        <f>+B623-A623*'Presiones de casing'!$C$4</f>
        <v>3560.5730183063224</v>
      </c>
      <c r="E623" s="340">
        <f>+'Volumen de gas'!$C$1*Tabla!D623/14.7*520/'Volumen de gas'!$C$2*'Volumen de gas'!$C$4/'Volumen de gas'!$C$3</f>
        <v>54943.78763084089</v>
      </c>
      <c r="F623" s="340">
        <f t="shared" si="11"/>
        <v>353.3362548607131</v>
      </c>
    </row>
    <row r="624" spans="1:6" ht="12.75">
      <c r="A624" s="317">
        <v>155.75</v>
      </c>
      <c r="B624" s="339">
        <f>+('Presiones de casing'!$C$2+14.7+'Presiones de casing'!$C$3+('Presiones de casing'!$C$4+'Presiones de casing'!$C$8)*A624)*(1+'Presiones de casing'!$C$7/'Presiones de casing'!$C$13)</f>
        <v>14087.377047825386</v>
      </c>
      <c r="C624" s="339">
        <f>+B624*(Columna!$G$9+Columna!$B$7)/Columna!$G$9</f>
        <v>16782.67216499111</v>
      </c>
      <c r="D624" s="340">
        <f>+B624-A624*'Presiones de casing'!$C$4</f>
        <v>3566.031089493443</v>
      </c>
      <c r="E624" s="340">
        <f>+'Volumen de gas'!$C$1*Tabla!D624/14.7*520/'Volumen de gas'!$C$2*'Volumen de gas'!$C$4/'Volumen de gas'!$C$3</f>
        <v>55028.012024677875</v>
      </c>
      <c r="F624" s="340">
        <f t="shared" si="11"/>
        <v>353.3098685372576</v>
      </c>
    </row>
    <row r="625" spans="1:6" ht="12.75">
      <c r="A625" s="317">
        <v>156</v>
      </c>
      <c r="B625" s="339">
        <f>+('Presiones de casing'!$C$2+14.7+'Presiones de casing'!$C$3+('Presiones de casing'!$C$4+'Presiones de casing'!$C$8)*A625)*(1+'Presiones de casing'!$C$7/'Presiones de casing'!$C$13)</f>
        <v>14109.723314772269</v>
      </c>
      <c r="C625" s="339">
        <f>+B625*(Columna!$G$9+Columna!$B$7)/Columna!$G$9</f>
        <v>16809.29387540659</v>
      </c>
      <c r="D625" s="340">
        <f>+B625-A625*'Presiones de casing'!$C$4</f>
        <v>3571.489160680563</v>
      </c>
      <c r="E625" s="340">
        <f>+'Volumen de gas'!$C$1*Tabla!D625/14.7*520/'Volumen de gas'!$C$2*'Volumen de gas'!$C$4/'Volumen de gas'!$C$3</f>
        <v>55112.23641851487</v>
      </c>
      <c r="F625" s="340">
        <f t="shared" si="11"/>
        <v>353.28356678535175</v>
      </c>
    </row>
    <row r="626" spans="1:6" ht="12.75">
      <c r="A626" s="317">
        <v>156.25</v>
      </c>
      <c r="B626" s="339">
        <f>+('Presiones de casing'!$C$2+14.7+'Presiones de casing'!$C$3+('Presiones de casing'!$C$4+'Presiones de casing'!$C$8)*A626)*(1+'Presiones de casing'!$C$7/'Presiones de casing'!$C$13)</f>
        <v>14132.069581719154</v>
      </c>
      <c r="C626" s="339">
        <f>+B626*(Columna!$G$9+Columna!$B$7)/Columna!$G$9</f>
        <v>16835.915585822073</v>
      </c>
      <c r="D626" s="340">
        <f>+B626-A626*'Presiones de casing'!$C$4</f>
        <v>3576.9472318676853</v>
      </c>
      <c r="E626" s="340">
        <f>+'Volumen de gas'!$C$1*Tabla!D626/14.7*520/'Volumen de gas'!$C$2*'Volumen de gas'!$C$4/'Volumen de gas'!$C$3</f>
        <v>55196.46081235186</v>
      </c>
      <c r="F626" s="340">
        <f t="shared" si="11"/>
        <v>353.25734919905193</v>
      </c>
    </row>
    <row r="627" spans="1:6" ht="12.75">
      <c r="A627" s="317">
        <v>156.5</v>
      </c>
      <c r="B627" s="339">
        <f>+('Presiones de casing'!$C$2+14.7+'Presiones de casing'!$C$3+('Presiones de casing'!$C$4+'Presiones de casing'!$C$8)*A627)*(1+'Presiones de casing'!$C$7/'Presiones de casing'!$C$13)</f>
        <v>14154.415848666034</v>
      </c>
      <c r="C627" s="339">
        <f>+B627*(Columna!$G$9+Columna!$B$7)/Columna!$G$9</f>
        <v>16862.53729623755</v>
      </c>
      <c r="D627" s="340">
        <f>+B627-A627*'Presiones de casing'!$C$4</f>
        <v>3582.405303054804</v>
      </c>
      <c r="E627" s="340">
        <f>+'Volumen de gas'!$C$1*Tabla!D627/14.7*520/'Volumen de gas'!$C$2*'Volumen de gas'!$C$4/'Volumen de gas'!$C$3</f>
        <v>55280.68520618881</v>
      </c>
      <c r="F627" s="340">
        <f t="shared" si="11"/>
        <v>353.2312153750084</v>
      </c>
    </row>
    <row r="628" spans="1:6" ht="12.75">
      <c r="A628" s="317">
        <v>156.75</v>
      </c>
      <c r="B628" s="339">
        <f>+('Presiones de casing'!$C$2+14.7+'Presiones de casing'!$C$3+('Presiones de casing'!$C$4+'Presiones de casing'!$C$8)*A628)*(1+'Presiones de casing'!$C$7/'Presiones de casing'!$C$13)</f>
        <v>14176.762115612919</v>
      </c>
      <c r="C628" s="339">
        <f>+B628*(Columna!$G$9+Columna!$B$7)/Columna!$G$9</f>
        <v>16889.159006653037</v>
      </c>
      <c r="D628" s="340">
        <f>+B628-A628*'Presiones de casing'!$C$4</f>
        <v>3587.863374241926</v>
      </c>
      <c r="E628" s="340">
        <f>+'Volumen de gas'!$C$1*Tabla!D628/14.7*520/'Volumen de gas'!$C$2*'Volumen de gas'!$C$4/'Volumen de gas'!$C$3</f>
        <v>55364.90960002582</v>
      </c>
      <c r="F628" s="340">
        <f t="shared" si="11"/>
        <v>353.2051649124454</v>
      </c>
    </row>
    <row r="629" spans="1:6" ht="12.75">
      <c r="A629" s="317">
        <v>157</v>
      </c>
      <c r="B629" s="339">
        <f>+('Presiones de casing'!$C$2+14.7+'Presiones de casing'!$C$3+('Presiones de casing'!$C$4+'Presiones de casing'!$C$8)*A629)*(1+'Presiones de casing'!$C$7/'Presiones de casing'!$C$13)</f>
        <v>14199.108382559802</v>
      </c>
      <c r="C629" s="339">
        <f>+B629*(Columna!$G$9+Columna!$B$7)/Columna!$G$9</f>
        <v>16915.78071706852</v>
      </c>
      <c r="D629" s="340">
        <f>+B629-A629*'Presiones de casing'!$C$4</f>
        <v>3593.3214454290464</v>
      </c>
      <c r="E629" s="340">
        <f>+'Volumen de gas'!$C$1*Tabla!D629/14.7*520/'Volumen de gas'!$C$2*'Volumen de gas'!$C$4/'Volumen de gas'!$C$3</f>
        <v>55449.13399386281</v>
      </c>
      <c r="F629" s="340">
        <f t="shared" si="11"/>
        <v>353.1791974131389</v>
      </c>
    </row>
    <row r="630" spans="1:6" ht="12.75">
      <c r="A630" s="317">
        <v>157.25</v>
      </c>
      <c r="B630" s="339">
        <f>+('Presiones de casing'!$C$2+14.7+'Presiones de casing'!$C$3+('Presiones de casing'!$C$4+'Presiones de casing'!$C$8)*A630)*(1+'Presiones de casing'!$C$7/'Presiones de casing'!$C$13)</f>
        <v>14221.454649506686</v>
      </c>
      <c r="C630" s="339">
        <f>+B630*(Columna!$G$9+Columna!$B$7)/Columna!$G$9</f>
        <v>16942.402427484</v>
      </c>
      <c r="D630" s="340">
        <f>+B630-A630*'Presiones de casing'!$C$4</f>
        <v>3598.779516616167</v>
      </c>
      <c r="E630" s="340">
        <f>+'Volumen de gas'!$C$1*Tabla!D630/14.7*520/'Volumen de gas'!$C$2*'Volumen de gas'!$C$4/'Volumen de gas'!$C$3</f>
        <v>55533.35838769979</v>
      </c>
      <c r="F630" s="340">
        <f t="shared" si="11"/>
        <v>353.1533124813977</v>
      </c>
    </row>
    <row r="631" spans="1:6" ht="12.75">
      <c r="A631" s="317">
        <v>157.5</v>
      </c>
      <c r="B631" s="339">
        <f>+('Presiones de casing'!$C$2+14.7+'Presiones de casing'!$C$3+('Presiones de casing'!$C$4+'Presiones de casing'!$C$8)*A631)*(1+'Presiones de casing'!$C$7/'Presiones de casing'!$C$13)</f>
        <v>14243.800916453569</v>
      </c>
      <c r="C631" s="339">
        <f>+B631*(Columna!$G$9+Columna!$B$7)/Columna!$G$9</f>
        <v>16969.024137899483</v>
      </c>
      <c r="D631" s="340">
        <f>+B631-A631*'Presiones de casing'!$C$4</f>
        <v>3604.237587803287</v>
      </c>
      <c r="E631" s="340">
        <f>+'Volumen de gas'!$C$1*Tabla!D631/14.7*520/'Volumen de gas'!$C$2*'Volumen de gas'!$C$4/'Volumen de gas'!$C$3</f>
        <v>55617.58278153677</v>
      </c>
      <c r="F631" s="340">
        <f t="shared" si="11"/>
        <v>353.12750972404297</v>
      </c>
    </row>
    <row r="632" spans="1:6" ht="12.75">
      <c r="A632" s="317">
        <v>157.75</v>
      </c>
      <c r="B632" s="339">
        <f>+('Presiones de casing'!$C$2+14.7+'Presiones de casing'!$C$3+('Presiones de casing'!$C$4+'Presiones de casing'!$C$8)*A632)*(1+'Presiones de casing'!$C$7/'Presiones de casing'!$C$13)</f>
        <v>14266.147183400451</v>
      </c>
      <c r="C632" s="339">
        <f>+B632*(Columna!$G$9+Columna!$B$7)/Columna!$G$9</f>
        <v>16995.645848314965</v>
      </c>
      <c r="D632" s="340">
        <f>+B632-A632*'Presiones de casing'!$C$4</f>
        <v>3609.6956589904075</v>
      </c>
      <c r="E632" s="340">
        <f>+'Volumen de gas'!$C$1*Tabla!D632/14.7*520/'Volumen de gas'!$C$2*'Volumen de gas'!$C$4/'Volumen de gas'!$C$3</f>
        <v>55701.80717537374</v>
      </c>
      <c r="F632" s="340">
        <f t="shared" si="11"/>
        <v>353.1017887503882</v>
      </c>
    </row>
    <row r="633" spans="1:6" ht="12.75">
      <c r="A633" s="317">
        <v>158</v>
      </c>
      <c r="B633" s="339">
        <f>+('Presiones de casing'!$C$2+14.7+'Presiones de casing'!$C$3+('Presiones de casing'!$C$4+'Presiones de casing'!$C$8)*A633)*(1+'Presiones de casing'!$C$7/'Presiones de casing'!$C$13)</f>
        <v>14288.493450347336</v>
      </c>
      <c r="C633" s="339">
        <f>+B633*(Columna!$G$9+Columna!$B$7)/Columna!$G$9</f>
        <v>17022.26755873045</v>
      </c>
      <c r="D633" s="340">
        <f>+B633-A633*'Presiones de casing'!$C$4</f>
        <v>3615.1537301775297</v>
      </c>
      <c r="E633" s="340">
        <f>+'Volumen de gas'!$C$1*Tabla!D633/14.7*520/'Volumen de gas'!$C$2*'Volumen de gas'!$C$4/'Volumen de gas'!$C$3</f>
        <v>55786.03156921076</v>
      </c>
      <c r="F633" s="340">
        <f t="shared" si="11"/>
        <v>353.07614917222</v>
      </c>
    </row>
    <row r="634" spans="1:6" ht="12.75">
      <c r="A634" s="317">
        <v>158.25</v>
      </c>
      <c r="B634" s="339">
        <f>+('Presiones de casing'!$C$2+14.7+'Presiones de casing'!$C$3+('Presiones de casing'!$C$4+'Presiones de casing'!$C$8)*A634)*(1+'Presiones de casing'!$C$7/'Presiones de casing'!$C$13)</f>
        <v>14310.839717294219</v>
      </c>
      <c r="C634" s="339">
        <f>+B634*(Columna!$G$9+Columna!$B$7)/Columna!$G$9</f>
        <v>17048.88926914593</v>
      </c>
      <c r="D634" s="340">
        <f>+B634-A634*'Presiones de casing'!$C$4</f>
        <v>3620.61180136465</v>
      </c>
      <c r="E634" s="340">
        <f>+'Volumen de gas'!$C$1*Tabla!D634/14.7*520/'Volumen de gas'!$C$2*'Volumen de gas'!$C$4/'Volumen de gas'!$C$3</f>
        <v>55870.25596304773</v>
      </c>
      <c r="F634" s="340">
        <f t="shared" si="11"/>
        <v>353.05059060377715</v>
      </c>
    </row>
    <row r="635" spans="1:6" ht="12.75">
      <c r="A635" s="317">
        <v>158.5</v>
      </c>
      <c r="B635" s="339">
        <f>+('Presiones de casing'!$C$2+14.7+'Presiones de casing'!$C$3+('Presiones de casing'!$C$4+'Presiones de casing'!$C$8)*A635)*(1+'Presiones de casing'!$C$7/'Presiones de casing'!$C$13)</f>
        <v>14333.185984241103</v>
      </c>
      <c r="C635" s="339">
        <f>+B635*(Columna!$G$9+Columna!$B$7)/Columna!$G$9</f>
        <v>17075.510979561415</v>
      </c>
      <c r="D635" s="340">
        <f>+B635-A635*'Presiones de casing'!$C$4</f>
        <v>3626.0698725517723</v>
      </c>
      <c r="E635" s="340">
        <f>+'Volumen de gas'!$C$1*Tabla!D635/14.7*520/'Volumen de gas'!$C$2*'Volumen de gas'!$C$4/'Volumen de gas'!$C$3</f>
        <v>55954.480356884735</v>
      </c>
      <c r="F635" s="340">
        <f t="shared" si="11"/>
        <v>353.0251126617333</v>
      </c>
    </row>
    <row r="636" spans="1:6" ht="12.75">
      <c r="A636" s="317">
        <v>158.75</v>
      </c>
      <c r="B636" s="339">
        <f>+('Presiones de casing'!$C$2+14.7+'Presiones de casing'!$C$3+('Presiones de casing'!$C$4+'Presiones de casing'!$C$8)*A636)*(1+'Presiones de casing'!$C$7/'Presiones de casing'!$C$13)</f>
        <v>14355.532251187986</v>
      </c>
      <c r="C636" s="339">
        <f>+B636*(Columna!$G$9+Columna!$B$7)/Columna!$G$9</f>
        <v>17102.132689976894</v>
      </c>
      <c r="D636" s="340">
        <f>+B636-A636*'Presiones de casing'!$C$4</f>
        <v>3631.5279437388926</v>
      </c>
      <c r="E636" s="340">
        <f>+'Volumen de gas'!$C$1*Tabla!D636/14.7*520/'Volumen de gas'!$C$2*'Volumen de gas'!$C$4/'Volumen de gas'!$C$3</f>
        <v>56038.704750721714</v>
      </c>
      <c r="F636" s="340">
        <f t="shared" si="11"/>
        <v>352.99971496517617</v>
      </c>
    </row>
    <row r="637" spans="1:6" ht="12.75">
      <c r="A637" s="317">
        <v>159</v>
      </c>
      <c r="B637" s="339">
        <f>+('Presiones de casing'!$C$2+14.7+'Presiones de casing'!$C$3+('Presiones de casing'!$C$4+'Presiones de casing'!$C$8)*A637)*(1+'Presiones de casing'!$C$7/'Presiones de casing'!$C$13)</f>
        <v>14377.878518134869</v>
      </c>
      <c r="C637" s="339">
        <f>+B637*(Columna!$G$9+Columna!$B$7)/Columna!$G$9</f>
        <v>17128.75440039238</v>
      </c>
      <c r="D637" s="340">
        <f>+B637-A637*'Presiones de casing'!$C$4</f>
        <v>3636.986014926013</v>
      </c>
      <c r="E637" s="340">
        <f>+'Volumen de gas'!$C$1*Tabla!D637/14.7*520/'Volumen de gas'!$C$2*'Volumen de gas'!$C$4/'Volumen de gas'!$C$3</f>
        <v>56122.929144558686</v>
      </c>
      <c r="F637" s="340">
        <f t="shared" si="11"/>
        <v>352.97439713558924</v>
      </c>
    </row>
    <row r="638" spans="1:6" ht="12.75">
      <c r="A638" s="317">
        <v>159.25</v>
      </c>
      <c r="B638" s="339">
        <f>+('Presiones de casing'!$C$2+14.7+'Presiones de casing'!$C$3+('Presiones de casing'!$C$4+'Presiones de casing'!$C$8)*A638)*(1+'Presiones de casing'!$C$7/'Presiones de casing'!$C$13)</f>
        <v>14400.224785081751</v>
      </c>
      <c r="C638" s="339">
        <f>+B638*(Columna!$G$9+Columna!$B$7)/Columna!$G$9</f>
        <v>17155.37611080786</v>
      </c>
      <c r="D638" s="340">
        <f>+B638-A638*'Presiones de casing'!$C$4</f>
        <v>3642.4440861131334</v>
      </c>
      <c r="E638" s="340">
        <f>+'Volumen de gas'!$C$1*Tabla!D638/14.7*520/'Volumen de gas'!$C$2*'Volumen de gas'!$C$4/'Volumen de gas'!$C$3</f>
        <v>56207.153538395665</v>
      </c>
      <c r="F638" s="340">
        <f t="shared" si="11"/>
        <v>352.94915879683305</v>
      </c>
    </row>
    <row r="639" spans="1:6" ht="12.75">
      <c r="A639" s="317">
        <v>159.5</v>
      </c>
      <c r="B639" s="339">
        <f>+('Presiones de casing'!$C$2+14.7+'Presiones de casing'!$C$3+('Presiones de casing'!$C$4+'Presiones de casing'!$C$8)*A639)*(1+'Presiones de casing'!$C$7/'Presiones de casing'!$C$13)</f>
        <v>14422.571052028636</v>
      </c>
      <c r="C639" s="339">
        <f>+B639*(Columna!$G$9+Columna!$B$7)/Columna!$G$9</f>
        <v>17181.997821223344</v>
      </c>
      <c r="D639" s="340">
        <f>+B639-A639*'Presiones de casing'!$C$4</f>
        <v>3647.9021573002556</v>
      </c>
      <c r="E639" s="340">
        <f>+'Volumen de gas'!$C$1*Tabla!D639/14.7*520/'Volumen de gas'!$C$2*'Volumen de gas'!$C$4/'Volumen de gas'!$C$3</f>
        <v>56291.37793223269</v>
      </c>
      <c r="F639" s="340">
        <f t="shared" si="11"/>
        <v>352.9239995751266</v>
      </c>
    </row>
    <row r="640" spans="1:6" ht="12.75">
      <c r="A640" s="317">
        <v>159.75</v>
      </c>
      <c r="B640" s="339">
        <f>+('Presiones de casing'!$C$2+14.7+'Presiones de casing'!$C$3+('Presiones de casing'!$C$4+'Presiones de casing'!$C$8)*A640)*(1+'Presiones de casing'!$C$7/'Presiones de casing'!$C$13)</f>
        <v>14444.917318975518</v>
      </c>
      <c r="C640" s="339">
        <f>+B640*(Columna!$G$9+Columna!$B$7)/Columna!$G$9</f>
        <v>17208.619531638826</v>
      </c>
      <c r="D640" s="340">
        <f>+B640-A640*'Presiones de casing'!$C$4</f>
        <v>3653.360228487376</v>
      </c>
      <c r="E640" s="340">
        <f>+'Volumen de gas'!$C$1*Tabla!D640/14.7*520/'Volumen de gas'!$C$2*'Volumen de gas'!$C$4/'Volumen de gas'!$C$3</f>
        <v>56375.60232606966</v>
      </c>
      <c r="F640" s="340">
        <f t="shared" si="11"/>
        <v>352.8989190990276</v>
      </c>
    </row>
    <row r="641" spans="1:6" ht="12.75">
      <c r="A641" s="317">
        <v>160</v>
      </c>
      <c r="B641" s="339">
        <f>+('Presiones de casing'!$C$2+14.7+'Presiones de casing'!$C$3+('Presiones de casing'!$C$4+'Presiones de casing'!$C$8)*A641)*(1+'Presiones de casing'!$C$7/'Presiones de casing'!$C$13)</f>
        <v>14467.263585922401</v>
      </c>
      <c r="C641" s="339">
        <f>+B641*(Columna!$G$9+Columna!$B$7)/Columna!$G$9</f>
        <v>17235.241242054304</v>
      </c>
      <c r="D641" s="340">
        <f>+B641-A641*'Presiones de casing'!$C$4</f>
        <v>3658.8182996744963</v>
      </c>
      <c r="E641" s="340">
        <f>+'Volumen de gas'!$C$1*Tabla!D641/14.7*520/'Volumen de gas'!$C$2*'Volumen de gas'!$C$4/'Volumen de gas'!$C$3</f>
        <v>56459.82671990664</v>
      </c>
      <c r="F641" s="340">
        <f aca="true" t="shared" si="12" ref="F641:F704">+E641/A641</f>
        <v>352.8739169994165</v>
      </c>
    </row>
    <row r="642" spans="1:6" ht="12.75">
      <c r="A642" s="317">
        <v>160.25</v>
      </c>
      <c r="B642" s="339">
        <f>+('Presiones de casing'!$C$2+14.7+'Presiones de casing'!$C$3+('Presiones de casing'!$C$4+'Presiones de casing'!$C$8)*A642)*(1+'Presiones de casing'!$C$7/'Presiones de casing'!$C$13)</f>
        <v>14489.609852869286</v>
      </c>
      <c r="C642" s="339">
        <f>+B642*(Columna!$G$9+Columna!$B$7)/Columna!$G$9</f>
        <v>17261.86295246979</v>
      </c>
      <c r="D642" s="340">
        <f>+B642-A642*'Presiones de casing'!$C$4</f>
        <v>3664.2763708616185</v>
      </c>
      <c r="E642" s="340">
        <f>+'Volumen de gas'!$C$1*Tabla!D642/14.7*520/'Volumen de gas'!$C$2*'Volumen de gas'!$C$4/'Volumen de gas'!$C$3</f>
        <v>56544.05111374365</v>
      </c>
      <c r="F642" s="340">
        <f t="shared" si="12"/>
        <v>352.84899290947675</v>
      </c>
    </row>
    <row r="643" spans="1:6" ht="12.75">
      <c r="A643" s="317">
        <v>160.5</v>
      </c>
      <c r="B643" s="339">
        <f>+('Presiones de casing'!$C$2+14.7+'Presiones de casing'!$C$3+('Presiones de casing'!$C$4+'Presiones de casing'!$C$8)*A643)*(1+'Presiones de casing'!$C$7/'Presiones de casing'!$C$13)</f>
        <v>14511.956119816168</v>
      </c>
      <c r="C643" s="339">
        <f>+B643*(Columna!$G$9+Columna!$B$7)/Columna!$G$9</f>
        <v>17288.484662885272</v>
      </c>
      <c r="D643" s="340">
        <f>+B643-A643*'Presiones de casing'!$C$4</f>
        <v>3669.734442048739</v>
      </c>
      <c r="E643" s="340">
        <f>+'Volumen de gas'!$C$1*Tabla!D643/14.7*520/'Volumen de gas'!$C$2*'Volumen de gas'!$C$4/'Volumen de gas'!$C$3</f>
        <v>56628.27550758063</v>
      </c>
      <c r="F643" s="340">
        <f t="shared" si="12"/>
        <v>352.8241464646768</v>
      </c>
    </row>
    <row r="644" spans="1:6" ht="12.75">
      <c r="A644" s="317">
        <v>160.75</v>
      </c>
      <c r="B644" s="339">
        <f>+('Presiones de casing'!$C$2+14.7+'Presiones de casing'!$C$3+('Presiones de casing'!$C$4+'Presiones de casing'!$C$8)*A644)*(1+'Presiones de casing'!$C$7/'Presiones de casing'!$C$13)</f>
        <v>14534.302386763053</v>
      </c>
      <c r="C644" s="339">
        <f>+B644*(Columna!$G$9+Columna!$B$7)/Columna!$G$9</f>
        <v>17315.106373300754</v>
      </c>
      <c r="D644" s="340">
        <f>+B644-A644*'Presiones de casing'!$C$4</f>
        <v>3675.192513235861</v>
      </c>
      <c r="E644" s="340">
        <f>+'Volumen de gas'!$C$1*Tabla!D644/14.7*520/'Volumen de gas'!$C$2*'Volumen de gas'!$C$4/'Volumen de gas'!$C$3</f>
        <v>56712.49990141763</v>
      </c>
      <c r="F644" s="340">
        <f t="shared" si="12"/>
        <v>352.7993773027535</v>
      </c>
    </row>
    <row r="645" spans="1:6" ht="12.75">
      <c r="A645" s="317">
        <v>161</v>
      </c>
      <c r="B645" s="339">
        <f>+('Presiones de casing'!$C$2+14.7+'Presiones de casing'!$C$3+('Presiones de casing'!$C$4+'Presiones de casing'!$C$8)*A645)*(1+'Presiones de casing'!$C$7/'Presiones de casing'!$C$13)</f>
        <v>14556.648653709935</v>
      </c>
      <c r="C645" s="339">
        <f>+B645*(Columna!$G$9+Columna!$B$7)/Columna!$G$9</f>
        <v>17341.728083716236</v>
      </c>
      <c r="D645" s="340">
        <f>+B645-A645*'Presiones de casing'!$C$4</f>
        <v>3680.6505844229814</v>
      </c>
      <c r="E645" s="340">
        <f>+'Volumen de gas'!$C$1*Tabla!D645/14.7*520/'Volumen de gas'!$C$2*'Volumen de gas'!$C$4/'Volumen de gas'!$C$3</f>
        <v>56796.724295254615</v>
      </c>
      <c r="F645" s="340">
        <f t="shared" si="12"/>
        <v>352.77468506369325</v>
      </c>
    </row>
    <row r="646" spans="1:6" ht="12.75">
      <c r="A646" s="317">
        <v>161.25</v>
      </c>
      <c r="B646" s="339">
        <f>+('Presiones de casing'!$C$2+14.7+'Presiones de casing'!$C$3+('Presiones de casing'!$C$4+'Presiones de casing'!$C$8)*A646)*(1+'Presiones de casing'!$C$7/'Presiones de casing'!$C$13)</f>
        <v>14578.994920656818</v>
      </c>
      <c r="C646" s="339">
        <f>+B646*(Columna!$G$9+Columna!$B$7)/Columna!$G$9</f>
        <v>17368.34979413172</v>
      </c>
      <c r="D646" s="340">
        <f>+B646-A646*'Presiones de casing'!$C$4</f>
        <v>3686.108655610102</v>
      </c>
      <c r="E646" s="340">
        <f>+'Volumen de gas'!$C$1*Tabla!D646/14.7*520/'Volumen de gas'!$C$2*'Volumen de gas'!$C$4/'Volumen de gas'!$C$3</f>
        <v>56880.948689091594</v>
      </c>
      <c r="F646" s="340">
        <f t="shared" si="12"/>
        <v>352.7500693897153</v>
      </c>
    </row>
    <row r="647" spans="1:6" ht="12.75">
      <c r="A647" s="317">
        <v>161.5</v>
      </c>
      <c r="B647" s="339">
        <f>+('Presiones de casing'!$C$2+14.7+'Presiones de casing'!$C$3+('Presiones de casing'!$C$4+'Presiones de casing'!$C$8)*A647)*(1+'Presiones de casing'!$C$7/'Presiones de casing'!$C$13)</f>
        <v>14601.3411876037</v>
      </c>
      <c r="C647" s="339">
        <f>+B647*(Columna!$G$9+Columna!$B$7)/Columna!$G$9</f>
        <v>17394.9715045472</v>
      </c>
      <c r="D647" s="340">
        <f>+B647-A647*'Presiones de casing'!$C$4</f>
        <v>3691.566726797222</v>
      </c>
      <c r="E647" s="340">
        <f>+'Volumen de gas'!$C$1*Tabla!D647/14.7*520/'Volumen de gas'!$C$2*'Volumen de gas'!$C$4/'Volumen de gas'!$C$3</f>
        <v>56965.17308292857</v>
      </c>
      <c r="F647" s="340">
        <f t="shared" si="12"/>
        <v>352.7255299252543</v>
      </c>
    </row>
    <row r="648" spans="1:6" ht="12.75">
      <c r="A648" s="317">
        <v>161.75</v>
      </c>
      <c r="B648" s="339">
        <f>+('Presiones de casing'!$C$2+14.7+'Presiones de casing'!$C$3+('Presiones de casing'!$C$4+'Presiones de casing'!$C$8)*A648)*(1+'Presiones de casing'!$C$7/'Presiones de casing'!$C$13)</f>
        <v>14623.687454550583</v>
      </c>
      <c r="C648" s="339">
        <f>+B648*(Columna!$G$9+Columna!$B$7)/Columna!$G$9</f>
        <v>17421.59321496268</v>
      </c>
      <c r="D648" s="340">
        <f>+B648-A648*'Presiones de casing'!$C$4</f>
        <v>3697.0247979843425</v>
      </c>
      <c r="E648" s="340">
        <f>+'Volumen de gas'!$C$1*Tabla!D648/14.7*520/'Volumen de gas'!$C$2*'Volumen de gas'!$C$4/'Volumen de gas'!$C$3</f>
        <v>57049.39747676555</v>
      </c>
      <c r="F648" s="340">
        <f t="shared" si="12"/>
        <v>352.7010663169431</v>
      </c>
    </row>
    <row r="649" spans="1:6" ht="12.75">
      <c r="A649" s="317">
        <v>162</v>
      </c>
      <c r="B649" s="339">
        <f>+('Presiones de casing'!$C$2+14.7+'Presiones de casing'!$C$3+('Presiones de casing'!$C$4+'Presiones de casing'!$C$8)*A649)*(1+'Presiones de casing'!$C$7/'Presiones de casing'!$C$13)</f>
        <v>14646.033721497468</v>
      </c>
      <c r="C649" s="339">
        <f>+B649*(Columna!$G$9+Columna!$B$7)/Columna!$G$9</f>
        <v>17448.214925378164</v>
      </c>
      <c r="D649" s="340">
        <f>+B649-A649*'Presiones de casing'!$C$4</f>
        <v>3702.4828691714647</v>
      </c>
      <c r="E649" s="340">
        <f>+'Volumen de gas'!$C$1*Tabla!D649/14.7*520/'Volumen de gas'!$C$2*'Volumen de gas'!$C$4/'Volumen de gas'!$C$3</f>
        <v>57133.621870602554</v>
      </c>
      <c r="F649" s="340">
        <f t="shared" si="12"/>
        <v>352.676678213596</v>
      </c>
    </row>
    <row r="650" spans="1:6" ht="12.75">
      <c r="A650" s="317">
        <v>162.25</v>
      </c>
      <c r="B650" s="339">
        <f>+('Presiones de casing'!$C$2+14.7+'Presiones de casing'!$C$3+('Presiones de casing'!$C$4+'Presiones de casing'!$C$8)*A650)*(1+'Presiones de casing'!$C$7/'Presiones de casing'!$C$13)</f>
        <v>14668.37998844435</v>
      </c>
      <c r="C650" s="339">
        <f>+B650*(Columna!$G$9+Columna!$B$7)/Columna!$G$9</f>
        <v>17474.836635793647</v>
      </c>
      <c r="D650" s="340">
        <f>+B650-A650*'Presiones de casing'!$C$4</f>
        <v>3707.940940358585</v>
      </c>
      <c r="E650" s="340">
        <f>+'Volumen de gas'!$C$1*Tabla!D650/14.7*520/'Volumen de gas'!$C$2*'Volumen de gas'!$C$4/'Volumen de gas'!$C$3</f>
        <v>57217.84626443954</v>
      </c>
      <c r="F650" s="340">
        <f t="shared" si="12"/>
        <v>352.65236526619134</v>
      </c>
    </row>
    <row r="651" spans="1:6" ht="12.75">
      <c r="A651" s="317">
        <v>162.5</v>
      </c>
      <c r="B651" s="339">
        <f>+('Presiones de casing'!$C$2+14.7+'Presiones de casing'!$C$3+('Presiones de casing'!$C$4+'Presiones de casing'!$C$8)*A651)*(1+'Presiones de casing'!$C$7/'Presiones de casing'!$C$13)</f>
        <v>14690.726255391235</v>
      </c>
      <c r="C651" s="339">
        <f>+B651*(Columna!$G$9+Columna!$B$7)/Columna!$G$9</f>
        <v>17501.45834620913</v>
      </c>
      <c r="D651" s="340">
        <f>+B651-A651*'Presiones de casing'!$C$4</f>
        <v>3713.3990115457073</v>
      </c>
      <c r="E651" s="340">
        <f>+'Volumen de gas'!$C$1*Tabla!D651/14.7*520/'Volumen de gas'!$C$2*'Volumen de gas'!$C$4/'Volumen de gas'!$C$3</f>
        <v>57302.07065827654</v>
      </c>
      <c r="F651" s="340">
        <f t="shared" si="12"/>
        <v>352.62812712785563</v>
      </c>
    </row>
    <row r="652" spans="1:6" ht="12.75">
      <c r="A652" s="317">
        <v>162.75</v>
      </c>
      <c r="B652" s="339">
        <f>+('Presiones de casing'!$C$2+14.7+'Presiones de casing'!$C$3+('Presiones de casing'!$C$4+'Presiones de casing'!$C$8)*A652)*(1+'Presiones de casing'!$C$7/'Presiones de casing'!$C$13)</f>
        <v>14713.072522338118</v>
      </c>
      <c r="C652" s="339">
        <f>+B652*(Columna!$G$9+Columna!$B$7)/Columna!$G$9</f>
        <v>17528.08005662461</v>
      </c>
      <c r="D652" s="340">
        <f>+B652-A652*'Presiones de casing'!$C$4</f>
        <v>3718.8570827328276</v>
      </c>
      <c r="E652" s="340">
        <f>+'Volumen de gas'!$C$1*Tabla!D652/14.7*520/'Volumen de gas'!$C$2*'Volumen de gas'!$C$4/'Volumen de gas'!$C$3</f>
        <v>57386.29505211351</v>
      </c>
      <c r="F652" s="340">
        <f t="shared" si="12"/>
        <v>352.60396345384646</v>
      </c>
    </row>
    <row r="653" spans="1:6" ht="12.75">
      <c r="A653" s="317">
        <v>163</v>
      </c>
      <c r="B653" s="339">
        <f>+('Presiones de casing'!$C$2+14.7+'Presiones de casing'!$C$3+('Presiones de casing'!$C$4+'Presiones de casing'!$C$8)*A653)*(1+'Presiones de casing'!$C$7/'Presiones de casing'!$C$13)</f>
        <v>14735.418789285002</v>
      </c>
      <c r="C653" s="339">
        <f>+B653*(Columna!$G$9+Columna!$B$7)/Columna!$G$9</f>
        <v>17554.701767040096</v>
      </c>
      <c r="D653" s="340">
        <f>+B653-A653*'Presiones de casing'!$C$4</f>
        <v>3724.31515391995</v>
      </c>
      <c r="E653" s="340">
        <f>+'Volumen de gas'!$C$1*Tabla!D653/14.7*520/'Volumen de gas'!$C$2*'Volumen de gas'!$C$4/'Volumen de gas'!$C$3</f>
        <v>57470.51944595053</v>
      </c>
      <c r="F653" s="340">
        <f t="shared" si="12"/>
        <v>352.579873901537</v>
      </c>
    </row>
    <row r="654" spans="1:6" ht="12.75">
      <c r="A654" s="317">
        <v>163.25</v>
      </c>
      <c r="B654" s="339">
        <f>+('Presiones de casing'!$C$2+14.7+'Presiones de casing'!$C$3+('Presiones de casing'!$C$4+'Presiones de casing'!$C$8)*A654)*(1+'Presiones de casing'!$C$7/'Presiones de casing'!$C$13)</f>
        <v>14757.765056231885</v>
      </c>
      <c r="C654" s="339">
        <f>+B654*(Columna!$G$9+Columna!$B$7)/Columna!$G$9</f>
        <v>17581.32347745558</v>
      </c>
      <c r="D654" s="340">
        <f>+B654-A654*'Presiones de casing'!$C$4</f>
        <v>3729.77322510707</v>
      </c>
      <c r="E654" s="340">
        <f>+'Volumen de gas'!$C$1*Tabla!D654/14.7*520/'Volumen de gas'!$C$2*'Volumen de gas'!$C$4/'Volumen de gas'!$C$3</f>
        <v>57554.74383978751</v>
      </c>
      <c r="F654" s="340">
        <f t="shared" si="12"/>
        <v>352.55585813039824</v>
      </c>
    </row>
    <row r="655" spans="1:6" ht="12.75">
      <c r="A655" s="317">
        <v>163.5</v>
      </c>
      <c r="B655" s="339">
        <f>+('Presiones de casing'!$C$2+14.7+'Presiones de casing'!$C$3+('Presiones de casing'!$C$4+'Presiones de casing'!$C$8)*A655)*(1+'Presiones de casing'!$C$7/'Presiones de casing'!$C$13)</f>
        <v>14780.111323178768</v>
      </c>
      <c r="C655" s="339">
        <f>+B655*(Columna!$G$9+Columna!$B$7)/Columna!$G$9</f>
        <v>17607.945187871057</v>
      </c>
      <c r="D655" s="340">
        <f>+B655-A655*'Presiones de casing'!$C$4</f>
        <v>3735.2312962941905</v>
      </c>
      <c r="E655" s="340">
        <f>+'Volumen de gas'!$C$1*Tabla!D655/14.7*520/'Volumen de gas'!$C$2*'Volumen de gas'!$C$4/'Volumen de gas'!$C$3</f>
        <v>57638.96823362448</v>
      </c>
      <c r="F655" s="340">
        <f t="shared" si="12"/>
        <v>352.5319158019846</v>
      </c>
    </row>
    <row r="656" spans="1:6" ht="12.75">
      <c r="A656" s="317">
        <v>163.75</v>
      </c>
      <c r="B656" s="339">
        <f>+('Presiones de casing'!$C$2+14.7+'Presiones de casing'!$C$3+('Presiones de casing'!$C$4+'Presiones de casing'!$C$8)*A656)*(1+'Presiones de casing'!$C$7/'Presiones de casing'!$C$13)</f>
        <v>14802.45759012565</v>
      </c>
      <c r="C656" s="339">
        <f>+B656*(Columna!$G$9+Columna!$B$7)/Columna!$G$9</f>
        <v>17634.56689828654</v>
      </c>
      <c r="D656" s="340">
        <f>+B656-A656*'Presiones de casing'!$C$4</f>
        <v>3740.689367481311</v>
      </c>
      <c r="E656" s="340">
        <f>+'Volumen de gas'!$C$1*Tabla!D656/14.7*520/'Volumen de gas'!$C$2*'Volumen de gas'!$C$4/'Volumen de gas'!$C$3</f>
        <v>57723.19262746146</v>
      </c>
      <c r="F656" s="340">
        <f t="shared" si="12"/>
        <v>352.50804657991733</v>
      </c>
    </row>
    <row r="657" spans="1:6" ht="12.75">
      <c r="A657" s="317">
        <v>164</v>
      </c>
      <c r="B657" s="339">
        <f>+('Presiones de casing'!$C$2+14.7+'Presiones de casing'!$C$3+('Presiones de casing'!$C$4+'Presiones de casing'!$C$8)*A657)*(1+'Presiones de casing'!$C$7/'Presiones de casing'!$C$13)</f>
        <v>14824.803857072533</v>
      </c>
      <c r="C657" s="339">
        <f>+B657*(Columna!$G$9+Columna!$B$7)/Columna!$G$9</f>
        <v>17661.18860870202</v>
      </c>
      <c r="D657" s="340">
        <f>+B657-A657*'Presiones de casing'!$C$4</f>
        <v>3746.1474386684313</v>
      </c>
      <c r="E657" s="340">
        <f>+'Volumen de gas'!$C$1*Tabla!D657/14.7*520/'Volumen de gas'!$C$2*'Volumen de gas'!$C$4/'Volumen de gas'!$C$3</f>
        <v>57807.41702129844</v>
      </c>
      <c r="F657" s="340">
        <f t="shared" si="12"/>
        <v>352.48425012986854</v>
      </c>
    </row>
    <row r="658" spans="1:6" ht="12.75">
      <c r="A658" s="317">
        <v>164.25</v>
      </c>
      <c r="B658" s="339">
        <f>+('Presiones de casing'!$C$2+14.7+'Presiones de casing'!$C$3+('Presiones de casing'!$C$4+'Presiones de casing'!$C$8)*A658)*(1+'Presiones de casing'!$C$7/'Presiones de casing'!$C$13)</f>
        <v>14847.150124019417</v>
      </c>
      <c r="C658" s="339">
        <f>+B658*(Columna!$G$9+Columna!$B$7)/Columna!$G$9</f>
        <v>17687.810319117503</v>
      </c>
      <c r="D658" s="340">
        <f>+B658-A658*'Presiones de casing'!$C$4</f>
        <v>3751.6055098555535</v>
      </c>
      <c r="E658" s="340">
        <f>+'Volumen de gas'!$C$1*Tabla!D658/14.7*520/'Volumen de gas'!$C$2*'Volumen de gas'!$C$4/'Volumen de gas'!$C$3</f>
        <v>57891.64141513545</v>
      </c>
      <c r="F658" s="340">
        <f t="shared" si="12"/>
        <v>352.4605261195461</v>
      </c>
    </row>
    <row r="659" spans="1:6" ht="12.75">
      <c r="A659" s="317">
        <v>164.5</v>
      </c>
      <c r="B659" s="339">
        <f>+('Presiones de casing'!$C$2+14.7+'Presiones de casing'!$C$3+('Presiones de casing'!$C$4+'Presiones de casing'!$C$8)*A659)*(1+'Presiones de casing'!$C$7/'Presiones de casing'!$C$13)</f>
        <v>14869.4963909663</v>
      </c>
      <c r="C659" s="339">
        <f>+B659*(Columna!$G$9+Columna!$B$7)/Columna!$G$9</f>
        <v>17714.43202953299</v>
      </c>
      <c r="D659" s="340">
        <f>+B659-A659*'Presiones de casing'!$C$4</f>
        <v>3757.063581042674</v>
      </c>
      <c r="E659" s="340">
        <f>+'Volumen de gas'!$C$1*Tabla!D659/14.7*520/'Volumen de gas'!$C$2*'Volumen de gas'!$C$4/'Volumen de gas'!$C$3</f>
        <v>57975.86580897243</v>
      </c>
      <c r="F659" s="340">
        <f t="shared" si="12"/>
        <v>352.43687421867736</v>
      </c>
    </row>
    <row r="660" spans="1:6" ht="12.75">
      <c r="A660" s="317">
        <v>164.75</v>
      </c>
      <c r="B660" s="339">
        <f>+('Presiones de casing'!$C$2+14.7+'Presiones de casing'!$C$3+('Presiones de casing'!$C$4+'Presiones de casing'!$C$8)*A660)*(1+'Presiones de casing'!$C$7/'Presiones de casing'!$C$13)</f>
        <v>14891.842657913185</v>
      </c>
      <c r="C660" s="339">
        <f>+B660*(Columna!$G$9+Columna!$B$7)/Columna!$G$9</f>
        <v>17741.05373994847</v>
      </c>
      <c r="D660" s="340">
        <f>+B660-A660*'Presiones de casing'!$C$4</f>
        <v>3762.521652229796</v>
      </c>
      <c r="E660" s="340">
        <f>+'Volumen de gas'!$C$1*Tabla!D660/14.7*520/'Volumen de gas'!$C$2*'Volumen de gas'!$C$4/'Volumen de gas'!$C$3</f>
        <v>58060.09020280944</v>
      </c>
      <c r="F660" s="340">
        <f t="shared" si="12"/>
        <v>352.4132940989951</v>
      </c>
    </row>
    <row r="661" spans="1:6" ht="12.75">
      <c r="A661" s="317">
        <v>165</v>
      </c>
      <c r="B661" s="339">
        <f>+('Presiones de casing'!$C$2+14.7+'Presiones de casing'!$C$3+('Presiones de casing'!$C$4+'Presiones de casing'!$C$8)*A661)*(1+'Presiones de casing'!$C$7/'Presiones de casing'!$C$13)</f>
        <v>14914.188924860067</v>
      </c>
      <c r="C661" s="339">
        <f>+B661*(Columna!$G$9+Columna!$B$7)/Columna!$G$9</f>
        <v>17767.675450363953</v>
      </c>
      <c r="D661" s="340">
        <f>+B661-A661*'Presiones de casing'!$C$4</f>
        <v>3767.9797234169164</v>
      </c>
      <c r="E661" s="340">
        <f>+'Volumen de gas'!$C$1*Tabla!D661/14.7*520/'Volumen de gas'!$C$2*'Volumen de gas'!$C$4/'Volumen de gas'!$C$3</f>
        <v>58144.314596646414</v>
      </c>
      <c r="F661" s="340">
        <f t="shared" si="12"/>
        <v>352.3897854342207</v>
      </c>
    </row>
    <row r="662" spans="1:6" ht="12.75">
      <c r="A662" s="317">
        <v>165.25</v>
      </c>
      <c r="B662" s="339">
        <f>+('Presiones de casing'!$C$2+14.7+'Presiones de casing'!$C$3+('Presiones de casing'!$C$4+'Presiones de casing'!$C$8)*A662)*(1+'Presiones de casing'!$C$7/'Presiones de casing'!$C$13)</f>
        <v>14936.535191806952</v>
      </c>
      <c r="C662" s="339">
        <f>+B662*(Columna!$G$9+Columna!$B$7)/Columna!$G$9</f>
        <v>17794.297160779435</v>
      </c>
      <c r="D662" s="340">
        <f>+B662-A662*'Presiones de casing'!$C$4</f>
        <v>3773.4377946040386</v>
      </c>
      <c r="E662" s="340">
        <f>+'Volumen de gas'!$C$1*Tabla!D662/14.7*520/'Volumen de gas'!$C$2*'Volumen de gas'!$C$4/'Volumen de gas'!$C$3</f>
        <v>58228.53899048342</v>
      </c>
      <c r="F662" s="340">
        <f t="shared" si="12"/>
        <v>352.366347900051</v>
      </c>
    </row>
    <row r="663" spans="1:6" ht="12.75">
      <c r="A663" s="317">
        <v>165.5</v>
      </c>
      <c r="B663" s="339">
        <f>+('Presiones de casing'!$C$2+14.7+'Presiones de casing'!$C$3+('Presiones de casing'!$C$4+'Presiones de casing'!$C$8)*A663)*(1+'Presiones de casing'!$C$7/'Presiones de casing'!$C$13)</f>
        <v>14958.881458753835</v>
      </c>
      <c r="C663" s="339">
        <f>+B663*(Columna!$G$9+Columna!$B$7)/Columna!$G$9</f>
        <v>17820.918871194917</v>
      </c>
      <c r="D663" s="340">
        <f>+B663-A663*'Presiones de casing'!$C$4</f>
        <v>3778.895865791159</v>
      </c>
      <c r="E663" s="340">
        <f>+'Volumen de gas'!$C$1*Tabla!D663/14.7*520/'Volumen de gas'!$C$2*'Volumen de gas'!$C$4/'Volumen de gas'!$C$3</f>
        <v>58312.7633843204</v>
      </c>
      <c r="F663" s="340">
        <f t="shared" si="12"/>
        <v>352.3429811741414</v>
      </c>
    </row>
    <row r="664" spans="1:6" ht="12.75">
      <c r="A664" s="317">
        <v>165.75</v>
      </c>
      <c r="B664" s="339">
        <f>+('Presiones de casing'!$C$2+14.7+'Presiones de casing'!$C$3+('Presiones de casing'!$C$4+'Presiones de casing'!$C$8)*A664)*(1+'Presiones de casing'!$C$7/'Presiones de casing'!$C$13)</f>
        <v>14981.227725700717</v>
      </c>
      <c r="C664" s="339">
        <f>+B664*(Columna!$G$9+Columna!$B$7)/Columna!$G$9</f>
        <v>17847.5405816104</v>
      </c>
      <c r="D664" s="340">
        <f>+B664-A664*'Presiones de casing'!$C$4</f>
        <v>3784.3539369782793</v>
      </c>
      <c r="E664" s="340">
        <f>+'Volumen de gas'!$C$1*Tabla!D664/14.7*520/'Volumen de gas'!$C$2*'Volumen de gas'!$C$4/'Volumen de gas'!$C$3</f>
        <v>58396.98777815739</v>
      </c>
      <c r="F664" s="340">
        <f t="shared" si="12"/>
        <v>352.31968493609287</v>
      </c>
    </row>
    <row r="665" spans="1:6" ht="12.75">
      <c r="A665" s="317">
        <v>166</v>
      </c>
      <c r="B665" s="339">
        <f>+('Presiones de casing'!$C$2+14.7+'Presiones de casing'!$C$3+('Presiones de casing'!$C$4+'Presiones de casing'!$C$8)*A665)*(1+'Presiones de casing'!$C$7/'Presiones de casing'!$C$13)</f>
        <v>15003.573992647602</v>
      </c>
      <c r="C665" s="339">
        <f>+B665*(Columna!$G$9+Columna!$B$7)/Columna!$G$9</f>
        <v>17874.16229202588</v>
      </c>
      <c r="D665" s="340">
        <f>+B665-A665*'Presiones de casing'!$C$4</f>
        <v>3789.8120081654015</v>
      </c>
      <c r="E665" s="340">
        <f>+'Volumen de gas'!$C$1*Tabla!D665/14.7*520/'Volumen de gas'!$C$2*'Volumen de gas'!$C$4/'Volumen de gas'!$C$3</f>
        <v>58481.2121719944</v>
      </c>
      <c r="F665" s="340">
        <f t="shared" si="12"/>
        <v>352.2964588674361</v>
      </c>
    </row>
    <row r="666" spans="1:6" ht="12.75">
      <c r="A666" s="317">
        <v>166.25</v>
      </c>
      <c r="B666" s="339">
        <f>+('Presiones de casing'!$C$2+14.7+'Presiones de casing'!$C$3+('Presiones de casing'!$C$4+'Presiones de casing'!$C$8)*A666)*(1+'Presiones de casing'!$C$7/'Presiones de casing'!$C$13)</f>
        <v>15025.920259594483</v>
      </c>
      <c r="C666" s="339">
        <f>+B666*(Columna!$G$9+Columna!$B$7)/Columna!$G$9</f>
        <v>17900.784002441364</v>
      </c>
      <c r="D666" s="340">
        <f>+B666-A666*'Presiones de casing'!$C$4</f>
        <v>3795.27007935252</v>
      </c>
      <c r="E666" s="340">
        <f>+'Volumen de gas'!$C$1*Tabla!D666/14.7*520/'Volumen de gas'!$C$2*'Volumen de gas'!$C$4/'Volumen de gas'!$C$3</f>
        <v>58565.43656583133</v>
      </c>
      <c r="F666" s="340">
        <f t="shared" si="12"/>
        <v>352.27330265161703</v>
      </c>
    </row>
    <row r="667" spans="1:6" ht="12.75">
      <c r="A667" s="317">
        <v>166.5</v>
      </c>
      <c r="B667" s="339">
        <f>+('Presiones de casing'!$C$2+14.7+'Presiones de casing'!$C$3+('Presiones de casing'!$C$4+'Presiones de casing'!$C$8)*A667)*(1+'Presiones de casing'!$C$7/'Presiones de casing'!$C$13)</f>
        <v>15048.266526541367</v>
      </c>
      <c r="C667" s="339">
        <f>+B667*(Columna!$G$9+Columna!$B$7)/Columna!$G$9</f>
        <v>17927.405712856846</v>
      </c>
      <c r="D667" s="340">
        <f>+B667-A667*'Presiones de casing'!$C$4</f>
        <v>3800.7281505396422</v>
      </c>
      <c r="E667" s="340">
        <f>+'Volumen de gas'!$C$1*Tabla!D667/14.7*520/'Volumen de gas'!$C$2*'Volumen de gas'!$C$4/'Volumen de gas'!$C$3</f>
        <v>58649.66095966835</v>
      </c>
      <c r="F667" s="340">
        <f t="shared" si="12"/>
        <v>352.2502159739841</v>
      </c>
    </row>
    <row r="668" spans="1:6" ht="12.75">
      <c r="A668" s="317">
        <v>166.75</v>
      </c>
      <c r="B668" s="339">
        <f>+('Presiones de casing'!$C$2+14.7+'Presiones de casing'!$C$3+('Presiones de casing'!$C$4+'Presiones de casing'!$C$8)*A668)*(1+'Presiones de casing'!$C$7/'Presiones de casing'!$C$13)</f>
        <v>15070.61279348825</v>
      </c>
      <c r="C668" s="339">
        <f>+B668*(Columna!$G$9+Columna!$B$7)/Columna!$G$9</f>
        <v>17954.027423272328</v>
      </c>
      <c r="D668" s="340">
        <f>+B668-A668*'Presiones de casing'!$C$4</f>
        <v>3806.1862217267626</v>
      </c>
      <c r="E668" s="340">
        <f>+'Volumen de gas'!$C$1*Tabla!D668/14.7*520/'Volumen de gas'!$C$2*'Volumen de gas'!$C$4/'Volumen de gas'!$C$3</f>
        <v>58733.885353505335</v>
      </c>
      <c r="F668" s="340">
        <f t="shared" si="12"/>
        <v>352.22719852177113</v>
      </c>
    </row>
    <row r="669" spans="1:6" ht="12.75">
      <c r="A669" s="317">
        <v>167</v>
      </c>
      <c r="B669" s="339">
        <f>+('Presiones de casing'!$C$2+14.7+'Presiones de casing'!$C$3+('Presiones de casing'!$C$4+'Presiones de casing'!$C$8)*A669)*(1+'Presiones de casing'!$C$7/'Presiones de casing'!$C$13)</f>
        <v>15092.959060435134</v>
      </c>
      <c r="C669" s="339">
        <f>+B669*(Columna!$G$9+Columna!$B$7)/Columna!$G$9</f>
        <v>17980.64913368781</v>
      </c>
      <c r="D669" s="340">
        <f>+B669-A669*'Presiones de casing'!$C$4</f>
        <v>3811.644292913885</v>
      </c>
      <c r="E669" s="340">
        <f>+'Volumen de gas'!$C$1*Tabla!D669/14.7*520/'Volumen de gas'!$C$2*'Volumen de gas'!$C$4/'Volumen de gas'!$C$3</f>
        <v>58818.10974734233</v>
      </c>
      <c r="F669" s="340">
        <f t="shared" si="12"/>
        <v>352.2042499840858</v>
      </c>
    </row>
    <row r="670" spans="1:6" ht="12.75">
      <c r="A670" s="317">
        <v>167.25</v>
      </c>
      <c r="B670" s="339">
        <f>+('Presiones de casing'!$C$2+14.7+'Presiones de casing'!$C$3+('Presiones de casing'!$C$4+'Presiones de casing'!$C$8)*A670)*(1+'Presiones de casing'!$C$7/'Presiones de casing'!$C$13)</f>
        <v>15115.305327382017</v>
      </c>
      <c r="C670" s="339">
        <f>+B670*(Columna!$G$9+Columna!$B$7)/Columna!$G$9</f>
        <v>18007.270844103292</v>
      </c>
      <c r="D670" s="340">
        <f>+B670-A670*'Presiones de casing'!$C$4</f>
        <v>3817.102364101005</v>
      </c>
      <c r="E670" s="340">
        <f>+'Volumen de gas'!$C$1*Tabla!D670/14.7*520/'Volumen de gas'!$C$2*'Volumen de gas'!$C$4/'Volumen de gas'!$C$3</f>
        <v>58902.334141179315</v>
      </c>
      <c r="F670" s="340">
        <f t="shared" si="12"/>
        <v>352.18137005189425</v>
      </c>
    </row>
    <row r="671" spans="1:6" ht="12.75">
      <c r="A671" s="317">
        <v>167.5</v>
      </c>
      <c r="B671" s="339">
        <f>+('Presiones de casing'!$C$2+14.7+'Presiones de casing'!$C$3+('Presiones de casing'!$C$4+'Presiones de casing'!$C$8)*A671)*(1+'Presiones de casing'!$C$7/'Presiones de casing'!$C$13)</f>
        <v>15137.6515943289</v>
      </c>
      <c r="C671" s="339">
        <f>+B671*(Columna!$G$9+Columna!$B$7)/Columna!$G$9</f>
        <v>18033.892554518774</v>
      </c>
      <c r="D671" s="340">
        <f>+B671-A671*'Presiones de casing'!$C$4</f>
        <v>3822.5604352881255</v>
      </c>
      <c r="E671" s="340">
        <f>+'Volumen de gas'!$C$1*Tabla!D671/14.7*520/'Volumen de gas'!$C$2*'Volumen de gas'!$C$4/'Volumen de gas'!$C$3</f>
        <v>58986.55853501629</v>
      </c>
      <c r="F671" s="340">
        <f t="shared" si="12"/>
        <v>352.15855841800766</v>
      </c>
    </row>
    <row r="672" spans="1:6" ht="12.75">
      <c r="A672" s="317">
        <v>167.75</v>
      </c>
      <c r="B672" s="339">
        <f>+('Presiones de casing'!$C$2+14.7+'Presiones de casing'!$C$3+('Presiones de casing'!$C$4+'Presiones de casing'!$C$8)*A672)*(1+'Presiones de casing'!$C$7/'Presiones de casing'!$C$13)</f>
        <v>15159.997861275784</v>
      </c>
      <c r="C672" s="339">
        <f>+B672*(Columna!$G$9+Columna!$B$7)/Columna!$G$9</f>
        <v>18060.514264934256</v>
      </c>
      <c r="D672" s="340">
        <f>+B672-A672*'Presiones de casing'!$C$4</f>
        <v>3828.0185064752477</v>
      </c>
      <c r="E672" s="340">
        <f>+'Volumen de gas'!$C$1*Tabla!D672/14.7*520/'Volumen de gas'!$C$2*'Volumen de gas'!$C$4/'Volumen de gas'!$C$3</f>
        <v>59070.7829288533</v>
      </c>
      <c r="F672" s="340">
        <f t="shared" si="12"/>
        <v>352.13581477706884</v>
      </c>
    </row>
    <row r="673" spans="1:6" ht="12.75">
      <c r="A673" s="317">
        <v>168</v>
      </c>
      <c r="B673" s="339">
        <f>+('Presiones de casing'!$C$2+14.7+'Presiones de casing'!$C$3+('Presiones de casing'!$C$4+'Presiones de casing'!$C$8)*A673)*(1+'Presiones de casing'!$C$7/'Presiones de casing'!$C$13)</f>
        <v>15182.344128222667</v>
      </c>
      <c r="C673" s="339">
        <f>+B673*(Columna!$G$9+Columna!$B$7)/Columna!$G$9</f>
        <v>18087.135975349738</v>
      </c>
      <c r="D673" s="340">
        <f>+B673-A673*'Presiones de casing'!$C$4</f>
        <v>3833.476577662368</v>
      </c>
      <c r="E673" s="340">
        <f>+'Volumen de gas'!$C$1*Tabla!D673/14.7*520/'Volumen de gas'!$C$2*'Volumen de gas'!$C$4/'Volumen de gas'!$C$3</f>
        <v>59155.00732269029</v>
      </c>
      <c r="F673" s="340">
        <f t="shared" si="12"/>
        <v>352.1131388255374</v>
      </c>
    </row>
    <row r="674" spans="1:6" ht="12.75">
      <c r="A674" s="317">
        <v>168.25</v>
      </c>
      <c r="B674" s="339">
        <f>+('Presiones de casing'!$C$2+14.7+'Presiones de casing'!$C$3+('Presiones de casing'!$C$4+'Presiones de casing'!$C$8)*A674)*(1+'Presiones de casing'!$C$7/'Presiones de casing'!$C$13)</f>
        <v>15204.690395169551</v>
      </c>
      <c r="C674" s="339">
        <f>+B674*(Columna!$G$9+Columna!$B$7)/Columna!$G$9</f>
        <v>18113.757685765224</v>
      </c>
      <c r="D674" s="340">
        <f>+B674-A674*'Presiones de casing'!$C$4</f>
        <v>3838.9346488494903</v>
      </c>
      <c r="E674" s="340">
        <f>+'Volumen de gas'!$C$1*Tabla!D674/14.7*520/'Volumen de gas'!$C$2*'Volumen de gas'!$C$4/'Volumen de gas'!$C$3</f>
        <v>59239.23171652729</v>
      </c>
      <c r="F674" s="340">
        <f t="shared" si="12"/>
        <v>352.0905302616778</v>
      </c>
    </row>
    <row r="675" spans="1:6" ht="12.75">
      <c r="A675" s="317">
        <v>168.5</v>
      </c>
      <c r="B675" s="339">
        <f>+('Presiones de casing'!$C$2+14.7+'Presiones de casing'!$C$3+('Presiones de casing'!$C$4+'Presiones de casing'!$C$8)*A675)*(1+'Presiones de casing'!$C$7/'Presiones de casing'!$C$13)</f>
        <v>15227.036662116434</v>
      </c>
      <c r="C675" s="339">
        <f>+B675*(Columna!$G$9+Columna!$B$7)/Columna!$G$9</f>
        <v>18140.379396180706</v>
      </c>
      <c r="D675" s="340">
        <f>+B675-A675*'Presiones de casing'!$C$4</f>
        <v>3844.3927200366106</v>
      </c>
      <c r="E675" s="340">
        <f>+'Volumen de gas'!$C$1*Tabla!D675/14.7*520/'Volumen de gas'!$C$2*'Volumen de gas'!$C$4/'Volumen de gas'!$C$3</f>
        <v>59323.45611036427</v>
      </c>
      <c r="F675" s="340">
        <f t="shared" si="12"/>
        <v>352.0679887855446</v>
      </c>
    </row>
    <row r="676" spans="1:6" ht="12.75">
      <c r="A676" s="317">
        <v>168.75</v>
      </c>
      <c r="B676" s="339">
        <f>+('Presiones de casing'!$C$2+14.7+'Presiones de casing'!$C$3+('Presiones de casing'!$C$4+'Presiones de casing'!$C$8)*A676)*(1+'Presiones de casing'!$C$7/'Presiones de casing'!$C$13)</f>
        <v>15249.382929063317</v>
      </c>
      <c r="C676" s="339">
        <f>+B676*(Columna!$G$9+Columna!$B$7)/Columna!$G$9</f>
        <v>18167.001106596188</v>
      </c>
      <c r="D676" s="340">
        <f>+B676-A676*'Presiones de casing'!$C$4</f>
        <v>3849.850791223729</v>
      </c>
      <c r="E676" s="340">
        <f>+'Volumen de gas'!$C$1*Tabla!D676/14.7*520/'Volumen de gas'!$C$2*'Volumen de gas'!$C$4/'Volumen de gas'!$C$3</f>
        <v>59407.68050420121</v>
      </c>
      <c r="F676" s="340">
        <f t="shared" si="12"/>
        <v>352.04551409897016</v>
      </c>
    </row>
    <row r="677" spans="1:6" ht="12.75">
      <c r="A677" s="317">
        <v>169</v>
      </c>
      <c r="B677" s="339">
        <f>+('Presiones de casing'!$C$2+14.7+'Presiones de casing'!$C$3+('Presiones de casing'!$C$4+'Presiones de casing'!$C$8)*A677)*(1+'Presiones de casing'!$C$7/'Presiones de casing'!$C$13)</f>
        <v>15271.7291960102</v>
      </c>
      <c r="C677" s="339">
        <f>+B677*(Columna!$G$9+Columna!$B$7)/Columna!$G$9</f>
        <v>18193.622817011666</v>
      </c>
      <c r="D677" s="340">
        <f>+B677-A677*'Presiones de casing'!$C$4</f>
        <v>3855.3088624108495</v>
      </c>
      <c r="E677" s="340">
        <f>+'Volumen de gas'!$C$1*Tabla!D677/14.7*520/'Volumen de gas'!$C$2*'Volumen de gas'!$C$4/'Volumen de gas'!$C$3</f>
        <v>59491.9048980382</v>
      </c>
      <c r="F677" s="340">
        <f t="shared" si="12"/>
        <v>352.02310590555146</v>
      </c>
    </row>
    <row r="678" spans="1:6" ht="12.75">
      <c r="A678" s="317">
        <v>169.25</v>
      </c>
      <c r="B678" s="339">
        <f>+('Presiones de casing'!$C$2+14.7+'Presiones de casing'!$C$3+('Presiones de casing'!$C$4+'Presiones de casing'!$C$8)*A678)*(1+'Presiones de casing'!$C$7/'Presiones de casing'!$C$13)</f>
        <v>15294.075462957082</v>
      </c>
      <c r="C678" s="339">
        <f>+B678*(Columna!$G$9+Columna!$B$7)/Columna!$G$9</f>
        <v>18220.24452742715</v>
      </c>
      <c r="D678" s="340">
        <f>+B678-A678*'Presiones de casing'!$C$4</f>
        <v>3860.76693359797</v>
      </c>
      <c r="E678" s="340">
        <f>+'Volumen de gas'!$C$1*Tabla!D678/14.7*520/'Volumen de gas'!$C$2*'Volumen de gas'!$C$4/'Volumen de gas'!$C$3</f>
        <v>59576.12929187518</v>
      </c>
      <c r="F678" s="340">
        <f t="shared" si="12"/>
        <v>352.00076391063624</v>
      </c>
    </row>
    <row r="679" spans="1:6" ht="12.75">
      <c r="A679" s="317">
        <v>169.5</v>
      </c>
      <c r="B679" s="339">
        <f>+('Presiones de casing'!$C$2+14.7+'Presiones de casing'!$C$3+('Presiones de casing'!$C$4+'Presiones de casing'!$C$8)*A679)*(1+'Presiones de casing'!$C$7/'Presiones de casing'!$C$13)</f>
        <v>15316.421729903966</v>
      </c>
      <c r="C679" s="339">
        <f>+B679*(Columna!$G$9+Columna!$B$7)/Columna!$G$9</f>
        <v>18246.86623784263</v>
      </c>
      <c r="D679" s="340">
        <f>+B679-A679*'Presiones de casing'!$C$4</f>
        <v>3866.225004785092</v>
      </c>
      <c r="E679" s="340">
        <f>+'Volumen de gas'!$C$1*Tabla!D679/14.7*520/'Volumen de gas'!$C$2*'Volumen de gas'!$C$4/'Volumen de gas'!$C$3</f>
        <v>59660.35368571218</v>
      </c>
      <c r="F679" s="340">
        <f t="shared" si="12"/>
        <v>351.9784878213108</v>
      </c>
    </row>
    <row r="680" spans="1:6" ht="12.75">
      <c r="A680" s="317">
        <v>169.75</v>
      </c>
      <c r="B680" s="339">
        <f>+('Presiones de casing'!$C$2+14.7+'Presiones de casing'!$C$3+('Presiones de casing'!$C$4+'Presiones de casing'!$C$8)*A680)*(1+'Presiones de casing'!$C$7/'Presiones de casing'!$C$13)</f>
        <v>15338.76799685085</v>
      </c>
      <c r="C680" s="339">
        <f>+B680*(Columna!$G$9+Columna!$B$7)/Columna!$G$9</f>
        <v>18273.487948258116</v>
      </c>
      <c r="D680" s="340">
        <f>+B680-A680*'Presiones de casing'!$C$4</f>
        <v>3871.6830759722125</v>
      </c>
      <c r="E680" s="340">
        <f>+'Volumen de gas'!$C$1*Tabla!D680/14.7*520/'Volumen de gas'!$C$2*'Volumen de gas'!$C$4/'Volumen de gas'!$C$3</f>
        <v>59744.578079549145</v>
      </c>
      <c r="F680" s="340">
        <f t="shared" si="12"/>
        <v>351.95627734638674</v>
      </c>
    </row>
    <row r="681" spans="1:6" ht="12.75">
      <c r="A681" s="317">
        <v>170</v>
      </c>
      <c r="B681" s="339">
        <f>+('Presiones de casing'!$C$2+14.7+'Presiones de casing'!$C$3+('Presiones de casing'!$C$4+'Presiones de casing'!$C$8)*A681)*(1+'Presiones de casing'!$C$7/'Presiones de casing'!$C$13)</f>
        <v>15361.114263797734</v>
      </c>
      <c r="C681" s="339">
        <f>+B681*(Columna!$G$9+Columna!$B$7)/Columna!$G$9</f>
        <v>18300.1096586736</v>
      </c>
      <c r="D681" s="340">
        <f>+B681-A681*'Presiones de casing'!$C$4</f>
        <v>3877.1411471593347</v>
      </c>
      <c r="E681" s="340">
        <f>+'Volumen de gas'!$C$1*Tabla!D681/14.7*520/'Volumen de gas'!$C$2*'Volumen de gas'!$C$4/'Volumen de gas'!$C$3</f>
        <v>59828.802473386175</v>
      </c>
      <c r="F681" s="340">
        <f t="shared" si="12"/>
        <v>351.93413219638927</v>
      </c>
    </row>
    <row r="682" spans="1:6" ht="12.75">
      <c r="A682" s="317">
        <v>170.25</v>
      </c>
      <c r="B682" s="339">
        <f>+('Presiones de casing'!$C$2+14.7+'Presiones de casing'!$C$3+('Presiones de casing'!$C$4+'Presiones de casing'!$C$8)*A682)*(1+'Presiones de casing'!$C$7/'Presiones de casing'!$C$13)</f>
        <v>15383.460530744616</v>
      </c>
      <c r="C682" s="339">
        <f>+B682*(Columna!$G$9+Columna!$B$7)/Columna!$G$9</f>
        <v>18326.73136908908</v>
      </c>
      <c r="D682" s="340">
        <f>+B682-A682*'Presiones de casing'!$C$4</f>
        <v>3882.599218346455</v>
      </c>
      <c r="E682" s="340">
        <f>+'Volumen de gas'!$C$1*Tabla!D682/14.7*520/'Volumen de gas'!$C$2*'Volumen de gas'!$C$4/'Volumen de gas'!$C$3</f>
        <v>59913.02686722315</v>
      </c>
      <c r="F682" s="340">
        <f t="shared" si="12"/>
        <v>351.91205208354273</v>
      </c>
    </row>
    <row r="683" spans="1:6" ht="12.75">
      <c r="A683" s="317">
        <v>170.5</v>
      </c>
      <c r="B683" s="339">
        <f>+('Presiones de casing'!$C$2+14.7+'Presiones de casing'!$C$3+('Presiones de casing'!$C$4+'Presiones de casing'!$C$8)*A683)*(1+'Presiones de casing'!$C$7/'Presiones de casing'!$C$13)</f>
        <v>15405.8067976915</v>
      </c>
      <c r="C683" s="339">
        <f>+B683*(Columna!$G$9+Columna!$B$7)/Columna!$G$9</f>
        <v>18353.353079504563</v>
      </c>
      <c r="D683" s="340">
        <f>+B683-A683*'Presiones de casing'!$C$4</f>
        <v>3888.057289533577</v>
      </c>
      <c r="E683" s="340">
        <f>+'Volumen de gas'!$C$1*Tabla!D683/14.7*520/'Volumen de gas'!$C$2*'Volumen de gas'!$C$4/'Volumen de gas'!$C$3</f>
        <v>59997.25126106014</v>
      </c>
      <c r="F683" s="340">
        <f t="shared" si="12"/>
        <v>351.89003672176034</v>
      </c>
    </row>
    <row r="684" spans="1:6" ht="12.75">
      <c r="A684" s="317">
        <v>170.75</v>
      </c>
      <c r="B684" s="339">
        <f>+('Presiones de casing'!$C$2+14.7+'Presiones de casing'!$C$3+('Presiones de casing'!$C$4+'Presiones de casing'!$C$8)*A684)*(1+'Presiones de casing'!$C$7/'Presiones de casing'!$C$13)</f>
        <v>15428.153064638384</v>
      </c>
      <c r="C684" s="339">
        <f>+B684*(Columna!$G$9+Columna!$B$7)/Columna!$G$9</f>
        <v>18379.974789920045</v>
      </c>
      <c r="D684" s="340">
        <f>+B684-A684*'Presiones de casing'!$C$4</f>
        <v>3893.5153607206976</v>
      </c>
      <c r="E684" s="340">
        <f>+'Volumen de gas'!$C$1*Tabla!D684/14.7*520/'Volumen de gas'!$C$2*'Volumen de gas'!$C$4/'Volumen de gas'!$C$3</f>
        <v>60081.475654897135</v>
      </c>
      <c r="F684" s="340">
        <f t="shared" si="12"/>
        <v>351.86808582663036</v>
      </c>
    </row>
    <row r="685" spans="1:6" ht="12.75">
      <c r="A685" s="317">
        <v>171</v>
      </c>
      <c r="B685" s="339">
        <f>+('Presiones de casing'!$C$2+14.7+'Presiones de casing'!$C$3+('Presiones de casing'!$C$4+'Presiones de casing'!$C$8)*A685)*(1+'Presiones de casing'!$C$7/'Presiones de casing'!$C$13)</f>
        <v>15450.499331585268</v>
      </c>
      <c r="C685" s="339">
        <f>+B685*(Columna!$G$9+Columna!$B$7)/Columna!$G$9</f>
        <v>18406.59650033553</v>
      </c>
      <c r="D685" s="340">
        <f>+B685-A685*'Presiones de casing'!$C$4</f>
        <v>3898.9734319078198</v>
      </c>
      <c r="E685" s="340">
        <f>+'Volumen de gas'!$C$1*Tabla!D685/14.7*520/'Volumen de gas'!$C$2*'Volumen de gas'!$C$4/'Volumen de gas'!$C$3</f>
        <v>60165.700048734136</v>
      </c>
      <c r="F685" s="340">
        <f t="shared" si="12"/>
        <v>351.8461991154043</v>
      </c>
    </row>
    <row r="686" spans="1:6" ht="12.75">
      <c r="A686" s="317">
        <v>171.25</v>
      </c>
      <c r="B686" s="339">
        <f>+('Presiones de casing'!$C$2+14.7+'Presiones de casing'!$C$3+('Presiones de casing'!$C$4+'Presiones de casing'!$C$8)*A686)*(1+'Presiones de casing'!$C$7/'Presiones de casing'!$C$13)</f>
        <v>15472.845598532149</v>
      </c>
      <c r="C686" s="339">
        <f>+B686*(Columna!$G$9+Columna!$B$7)/Columna!$G$9</f>
        <v>18433.21821075101</v>
      </c>
      <c r="D686" s="340">
        <f>+B686-A686*'Presiones de casing'!$C$4</f>
        <v>3904.4315030949383</v>
      </c>
      <c r="E686" s="340">
        <f>+'Volumen de gas'!$C$1*Tabla!D686/14.7*520/'Volumen de gas'!$C$2*'Volumen de gas'!$C$4/'Volumen de gas'!$C$3</f>
        <v>60249.924442571086</v>
      </c>
      <c r="F686" s="340">
        <f t="shared" si="12"/>
        <v>351.82437630698445</v>
      </c>
    </row>
    <row r="687" spans="1:6" ht="12.75">
      <c r="A687" s="317">
        <v>171.5</v>
      </c>
      <c r="B687" s="339">
        <f>+('Presiones de casing'!$C$2+14.7+'Presiones de casing'!$C$3+('Presiones de casing'!$C$4+'Presiones de casing'!$C$8)*A687)*(1+'Presiones de casing'!$C$7/'Presiones de casing'!$C$13)</f>
        <v>15495.191865479032</v>
      </c>
      <c r="C687" s="339">
        <f>+B687*(Columna!$G$9+Columna!$B$7)/Columna!$G$9</f>
        <v>18459.83992116649</v>
      </c>
      <c r="D687" s="340">
        <f>+B687-A687*'Presiones de casing'!$C$4</f>
        <v>3909.8895742820587</v>
      </c>
      <c r="E687" s="340">
        <f>+'Volumen de gas'!$C$1*Tabla!D687/14.7*520/'Volumen de gas'!$C$2*'Volumen de gas'!$C$4/'Volumen de gas'!$C$3</f>
        <v>60334.148836408065</v>
      </c>
      <c r="F687" s="340">
        <f t="shared" si="12"/>
        <v>351.80261712191293</v>
      </c>
    </row>
    <row r="688" spans="1:6" ht="12.75">
      <c r="A688" s="317">
        <v>171.75</v>
      </c>
      <c r="B688" s="339">
        <f>+('Presiones de casing'!$C$2+14.7+'Presiones de casing'!$C$3+('Presiones de casing'!$C$4+'Presiones de casing'!$C$8)*A688)*(1+'Presiones de casing'!$C$7/'Presiones de casing'!$C$13)</f>
        <v>15517.538132425916</v>
      </c>
      <c r="C688" s="339">
        <f>+B688*(Columna!$G$9+Columna!$B$7)/Columna!$G$9</f>
        <v>18486.461631581973</v>
      </c>
      <c r="D688" s="340">
        <f>+B688-A688*'Presiones de casing'!$C$4</f>
        <v>3915.347645469181</v>
      </c>
      <c r="E688" s="340">
        <f>+'Volumen de gas'!$C$1*Tabla!D688/14.7*520/'Volumen de gas'!$C$2*'Volumen de gas'!$C$4/'Volumen de gas'!$C$3</f>
        <v>60418.37323024509</v>
      </c>
      <c r="F688" s="340">
        <f t="shared" si="12"/>
        <v>351.7809212823586</v>
      </c>
    </row>
    <row r="689" spans="1:6" ht="12.75">
      <c r="A689" s="317">
        <v>172</v>
      </c>
      <c r="B689" s="339">
        <f>+('Presiones de casing'!$C$2+14.7+'Presiones de casing'!$C$3+('Presiones de casing'!$C$4+'Presiones de casing'!$C$8)*A689)*(1+'Presiones de casing'!$C$7/'Presiones de casing'!$C$13)</f>
        <v>15539.884399372799</v>
      </c>
      <c r="C689" s="339">
        <f>+B689*(Columna!$G$9+Columna!$B$7)/Columna!$G$9</f>
        <v>18513.083341997455</v>
      </c>
      <c r="D689" s="340">
        <f>+B689-A689*'Presiones de casing'!$C$4</f>
        <v>3920.8057166563012</v>
      </c>
      <c r="E689" s="340">
        <f>+'Volumen de gas'!$C$1*Tabla!D689/14.7*520/'Volumen de gas'!$C$2*'Volumen de gas'!$C$4/'Volumen de gas'!$C$3</f>
        <v>60502.59762408206</v>
      </c>
      <c r="F689" s="340">
        <f t="shared" si="12"/>
        <v>351.759288512105</v>
      </c>
    </row>
    <row r="690" spans="1:6" ht="12.75">
      <c r="A690" s="317">
        <v>172.25</v>
      </c>
      <c r="B690" s="339">
        <f>+('Presiones de casing'!$C$2+14.7+'Presiones de casing'!$C$3+('Presiones de casing'!$C$4+'Presiones de casing'!$C$8)*A690)*(1+'Presiones de casing'!$C$7/'Presiones de casing'!$C$13)</f>
        <v>15562.230666319683</v>
      </c>
      <c r="C690" s="339">
        <f>+B690*(Columna!$G$9+Columna!$B$7)/Columna!$G$9</f>
        <v>18539.70505241294</v>
      </c>
      <c r="D690" s="340">
        <f>+B690-A690*'Presiones de casing'!$C$4</f>
        <v>3926.2637878434234</v>
      </c>
      <c r="E690" s="340">
        <f>+'Volumen de gas'!$C$1*Tabla!D690/14.7*520/'Volumen de gas'!$C$2*'Volumen de gas'!$C$4/'Volumen de gas'!$C$3</f>
        <v>60586.82201791906</v>
      </c>
      <c r="F690" s="340">
        <f t="shared" si="12"/>
        <v>351.7377185365403</v>
      </c>
    </row>
    <row r="691" spans="1:6" ht="12.75">
      <c r="A691" s="317">
        <v>172.5</v>
      </c>
      <c r="B691" s="339">
        <f>+('Presiones de casing'!$C$2+14.7+'Presiones de casing'!$C$3+('Presiones de casing'!$C$4+'Presiones de casing'!$C$8)*A691)*(1+'Presiones de casing'!$C$7/'Presiones de casing'!$C$13)</f>
        <v>15584.576933266566</v>
      </c>
      <c r="C691" s="339">
        <f>+B691*(Columna!$G$9+Columna!$B$7)/Columna!$G$9</f>
        <v>18566.32676282842</v>
      </c>
      <c r="D691" s="340">
        <f>+B691-A691*'Presiones de casing'!$C$4</f>
        <v>3931.721859030544</v>
      </c>
      <c r="E691" s="340">
        <f>+'Volumen de gas'!$C$1*Tabla!D691/14.7*520/'Volumen de gas'!$C$2*'Volumen de gas'!$C$4/'Volumen de gas'!$C$3</f>
        <v>60671.04641175604</v>
      </c>
      <c r="F691" s="340">
        <f t="shared" si="12"/>
        <v>351.7162110826437</v>
      </c>
    </row>
    <row r="692" spans="1:6" ht="12.75">
      <c r="A692" s="317">
        <v>172.75</v>
      </c>
      <c r="B692" s="339">
        <f>+('Presiones de casing'!$C$2+14.7+'Presiones de casing'!$C$3+('Presiones de casing'!$C$4+'Presiones de casing'!$C$8)*A692)*(1+'Presiones de casing'!$C$7/'Presiones de casing'!$C$13)</f>
        <v>15606.92320021345</v>
      </c>
      <c r="C692" s="339">
        <f>+B692*(Columna!$G$9+Columna!$B$7)/Columna!$G$9</f>
        <v>18592.948473243905</v>
      </c>
      <c r="D692" s="340">
        <f>+B692-A692*'Presiones de casing'!$C$4</f>
        <v>3937.179930217666</v>
      </c>
      <c r="E692" s="340">
        <f>+'Volumen de gas'!$C$1*Tabla!D692/14.7*520/'Volumen de gas'!$C$2*'Volumen de gas'!$C$4/'Volumen de gas'!$C$3</f>
        <v>60755.27080559305</v>
      </c>
      <c r="F692" s="340">
        <f t="shared" si="12"/>
        <v>351.69476587897566</v>
      </c>
    </row>
    <row r="693" spans="1:6" ht="12.75">
      <c r="A693" s="317">
        <v>173</v>
      </c>
      <c r="B693" s="339">
        <f>+('Presiones de casing'!$C$2+14.7+'Presiones de casing'!$C$3+('Presiones de casing'!$C$4+'Presiones de casing'!$C$8)*A693)*(1+'Presiones de casing'!$C$7/'Presiones de casing'!$C$13)</f>
        <v>15629.269467160333</v>
      </c>
      <c r="C693" s="339">
        <f>+B693*(Columna!$G$9+Columna!$B$7)/Columna!$G$9</f>
        <v>18619.570183659383</v>
      </c>
      <c r="D693" s="340">
        <f>+B693-A693*'Presiones de casing'!$C$4</f>
        <v>3942.6380014047863</v>
      </c>
      <c r="E693" s="340">
        <f>+'Volumen de gas'!$C$1*Tabla!D693/14.7*520/'Volumen de gas'!$C$2*'Volumen de gas'!$C$4/'Volumen de gas'!$C$3</f>
        <v>60839.49519943003</v>
      </c>
      <c r="F693" s="340">
        <f t="shared" si="12"/>
        <v>351.6733826556649</v>
      </c>
    </row>
    <row r="694" spans="1:6" ht="12.75">
      <c r="A694" s="317">
        <v>173.25</v>
      </c>
      <c r="B694" s="339">
        <f>+('Presiones de casing'!$C$2+14.7+'Presiones de casing'!$C$3+('Presiones de casing'!$C$4+'Presiones de casing'!$C$8)*A694)*(1+'Presiones de casing'!$C$7/'Presiones de casing'!$C$13)</f>
        <v>15651.615734107216</v>
      </c>
      <c r="C694" s="339">
        <f>+B694*(Columna!$G$9+Columna!$B$7)/Columna!$G$9</f>
        <v>18646.191894074866</v>
      </c>
      <c r="D694" s="340">
        <f>+B694-A694*'Presiones de casing'!$C$4</f>
        <v>3948.0960725919067</v>
      </c>
      <c r="E694" s="340">
        <f>+'Volumen de gas'!$C$1*Tabla!D694/14.7*520/'Volumen de gas'!$C$2*'Volumen de gas'!$C$4/'Volumen de gas'!$C$3</f>
        <v>60923.719593267015</v>
      </c>
      <c r="F694" s="340">
        <f t="shared" si="12"/>
        <v>351.6520611443984</v>
      </c>
    </row>
    <row r="695" spans="1:6" ht="12.75">
      <c r="A695" s="317">
        <v>173.5</v>
      </c>
      <c r="B695" s="339">
        <f>+('Presiones de casing'!$C$2+14.7+'Presiones de casing'!$C$3+('Presiones de casing'!$C$4+'Presiones de casing'!$C$8)*A695)*(1+'Presiones de casing'!$C$7/'Presiones de casing'!$C$13)</f>
        <v>15673.9620010541</v>
      </c>
      <c r="C695" s="339">
        <f>+B695*(Columna!$G$9+Columna!$B$7)/Columna!$G$9</f>
        <v>18672.81360449035</v>
      </c>
      <c r="D695" s="340">
        <f>+B695-A695*'Presiones de casing'!$C$4</f>
        <v>3953.554143779029</v>
      </c>
      <c r="E695" s="340">
        <f>+'Volumen de gas'!$C$1*Tabla!D695/14.7*520/'Volumen de gas'!$C$2*'Volumen de gas'!$C$4/'Volumen de gas'!$C$3</f>
        <v>61007.943987104016</v>
      </c>
      <c r="F695" s="340">
        <f t="shared" si="12"/>
        <v>351.6308010784093</v>
      </c>
    </row>
    <row r="696" spans="1:6" ht="12.75">
      <c r="A696" s="317">
        <v>173.75</v>
      </c>
      <c r="B696" s="339">
        <f>+('Presiones de casing'!$C$2+14.7+'Presiones de casing'!$C$3+('Presiones de casing'!$C$4+'Presiones de casing'!$C$8)*A696)*(1+'Presiones de casing'!$C$7/'Presiones de casing'!$C$13)</f>
        <v>15696.308268000981</v>
      </c>
      <c r="C696" s="339">
        <f>+B696*(Columna!$G$9+Columna!$B$7)/Columna!$G$9</f>
        <v>18699.43531490583</v>
      </c>
      <c r="D696" s="340">
        <f>+B696-A696*'Presiones de casing'!$C$4</f>
        <v>3959.0122149661474</v>
      </c>
      <c r="E696" s="340">
        <f>+'Volumen de gas'!$C$1*Tabla!D696/14.7*520/'Volumen de gas'!$C$2*'Volumen de gas'!$C$4/'Volumen de gas'!$C$3</f>
        <v>61092.168380940966</v>
      </c>
      <c r="F696" s="340">
        <f t="shared" si="12"/>
        <v>351.609602192466</v>
      </c>
    </row>
    <row r="697" spans="1:6" ht="12.75">
      <c r="A697" s="317">
        <v>174</v>
      </c>
      <c r="B697" s="339">
        <f>+('Presiones de casing'!$C$2+14.7+'Presiones de casing'!$C$3+('Presiones de casing'!$C$4+'Presiones de casing'!$C$8)*A697)*(1+'Presiones de casing'!$C$7/'Presiones de casing'!$C$13)</f>
        <v>15718.654534947866</v>
      </c>
      <c r="C697" s="339">
        <f>+B697*(Columna!$G$9+Columna!$B$7)/Columna!$G$9</f>
        <v>18726.057025321315</v>
      </c>
      <c r="D697" s="340">
        <f>+B697-A697*'Presiones de casing'!$C$4</f>
        <v>3964.4702861532696</v>
      </c>
      <c r="E697" s="340">
        <f>+'Volumen de gas'!$C$1*Tabla!D697/14.7*520/'Volumen de gas'!$C$2*'Volumen de gas'!$C$4/'Volumen de gas'!$C$3</f>
        <v>61176.39277477797</v>
      </c>
      <c r="F697" s="340">
        <f t="shared" si="12"/>
        <v>351.5884642228619</v>
      </c>
    </row>
    <row r="698" spans="1:6" ht="12.75">
      <c r="A698" s="317">
        <v>174.25</v>
      </c>
      <c r="B698" s="339">
        <f>+('Presiones de casing'!$C$2+14.7+'Presiones de casing'!$C$3+('Presiones de casing'!$C$4+'Presiones de casing'!$C$8)*A698)*(1+'Presiones de casing'!$C$7/'Presiones de casing'!$C$13)</f>
        <v>15741.000801894748</v>
      </c>
      <c r="C698" s="339">
        <f>+B698*(Columna!$G$9+Columna!$B$7)/Columna!$G$9</f>
        <v>18752.678735736794</v>
      </c>
      <c r="D698" s="340">
        <f>+B698-A698*'Presiones de casing'!$C$4</f>
        <v>3969.92835734039</v>
      </c>
      <c r="E698" s="340">
        <f>+'Volumen de gas'!$C$1*Tabla!D698/14.7*520/'Volumen de gas'!$C$2*'Volumen de gas'!$C$4/'Volumen de gas'!$C$3</f>
        <v>61260.617168614954</v>
      </c>
      <c r="F698" s="340">
        <f t="shared" si="12"/>
        <v>351.56738690740286</v>
      </c>
    </row>
    <row r="699" spans="1:6" ht="12.75">
      <c r="A699" s="317">
        <v>174.5</v>
      </c>
      <c r="B699" s="339">
        <f>+('Presiones de casing'!$C$2+14.7+'Presiones de casing'!$C$3+('Presiones de casing'!$C$4+'Presiones de casing'!$C$8)*A699)*(1+'Presiones de casing'!$C$7/'Presiones de casing'!$C$13)</f>
        <v>15763.347068841633</v>
      </c>
      <c r="C699" s="339">
        <f>+B699*(Columna!$G$9+Columna!$B$7)/Columna!$G$9</f>
        <v>18779.30044615228</v>
      </c>
      <c r="D699" s="340">
        <f>+B699-A699*'Presiones de casing'!$C$4</f>
        <v>3975.386428527512</v>
      </c>
      <c r="E699" s="340">
        <f>+'Volumen de gas'!$C$1*Tabla!D699/14.7*520/'Volumen de gas'!$C$2*'Volumen de gas'!$C$4/'Volumen de gas'!$C$3</f>
        <v>61344.84156245196</v>
      </c>
      <c r="F699" s="340">
        <f t="shared" si="12"/>
        <v>351.5463699853981</v>
      </c>
    </row>
    <row r="700" spans="1:6" ht="12.75">
      <c r="A700" s="317">
        <v>174.75</v>
      </c>
      <c r="B700" s="339">
        <f>+('Presiones de casing'!$C$2+14.7+'Presiones de casing'!$C$3+('Presiones de casing'!$C$4+'Presiones de casing'!$C$8)*A700)*(1+'Presiones de casing'!$C$7/'Presiones de casing'!$C$13)</f>
        <v>15785.693335788515</v>
      </c>
      <c r="C700" s="339">
        <f>+B700*(Columna!$G$9+Columna!$B$7)/Columna!$G$9</f>
        <v>18805.92215656776</v>
      </c>
      <c r="D700" s="340">
        <f>+B700-A700*'Presiones de casing'!$C$4</f>
        <v>3980.8444997146325</v>
      </c>
      <c r="E700" s="340">
        <f>+'Volumen de gas'!$C$1*Tabla!D700/14.7*520/'Volumen de gas'!$C$2*'Volumen de gas'!$C$4/'Volumen de gas'!$C$3</f>
        <v>61429.06595628894</v>
      </c>
      <c r="F700" s="340">
        <f t="shared" si="12"/>
        <v>351.5254131976477</v>
      </c>
    </row>
    <row r="701" spans="1:6" ht="12.75">
      <c r="A701" s="317">
        <v>175</v>
      </c>
      <c r="B701" s="339">
        <f>+('Presiones de casing'!$C$2+14.7+'Presiones de casing'!$C$3+('Presiones de casing'!$C$4+'Presiones de casing'!$C$8)*A701)*(1+'Presiones de casing'!$C$7/'Presiones de casing'!$C$13)</f>
        <v>15808.0396027354</v>
      </c>
      <c r="C701" s="339">
        <f>+B701*(Columna!$G$9+Columna!$B$7)/Columna!$G$9</f>
        <v>18832.543866983244</v>
      </c>
      <c r="D701" s="340">
        <f>+B701-A701*'Presiones de casing'!$C$4</f>
        <v>3986.3025709017547</v>
      </c>
      <c r="E701" s="340">
        <f>+'Volumen de gas'!$C$1*Tabla!D701/14.7*520/'Volumen de gas'!$C$2*'Volumen de gas'!$C$4/'Volumen de gas'!$C$3</f>
        <v>61513.29035012594</v>
      </c>
      <c r="F701" s="340">
        <f t="shared" si="12"/>
        <v>351.50451628643395</v>
      </c>
    </row>
    <row r="702" spans="1:6" ht="12.75">
      <c r="A702" s="317">
        <v>175.25</v>
      </c>
      <c r="B702" s="339">
        <f>+('Presiones de casing'!$C$2+14.7+'Presiones de casing'!$C$3+('Presiones de casing'!$C$4+'Presiones de casing'!$C$8)*A702)*(1+'Presiones de casing'!$C$7/'Presiones de casing'!$C$13)</f>
        <v>15830.385869682283</v>
      </c>
      <c r="C702" s="339">
        <f>+B702*(Columna!$G$9+Columna!$B$7)/Columna!$G$9</f>
        <v>18859.165577398726</v>
      </c>
      <c r="D702" s="340">
        <f>+B702-A702*'Presiones de casing'!$C$4</f>
        <v>3991.760642088875</v>
      </c>
      <c r="E702" s="340">
        <f>+'Volumen de gas'!$C$1*Tabla!D702/14.7*520/'Volumen de gas'!$C$2*'Volumen de gas'!$C$4/'Volumen de gas'!$C$3</f>
        <v>61597.514743962936</v>
      </c>
      <c r="F702" s="340">
        <f t="shared" si="12"/>
        <v>351.4836789955089</v>
      </c>
    </row>
    <row r="703" spans="1:6" ht="12.75">
      <c r="A703" s="317">
        <v>175.5</v>
      </c>
      <c r="B703" s="339">
        <f>+('Presiones de casing'!$C$2+14.7+'Presiones de casing'!$C$3+('Presiones de casing'!$C$4+'Presiones de casing'!$C$8)*A703)*(1+'Presiones de casing'!$C$7/'Presiones de casing'!$C$13)</f>
        <v>15852.732136629165</v>
      </c>
      <c r="C703" s="339">
        <f>+B703*(Columna!$G$9+Columna!$B$7)/Columna!$G$9</f>
        <v>18885.787287814208</v>
      </c>
      <c r="D703" s="340">
        <f>+B703-A703*'Presiones de casing'!$C$4</f>
        <v>3997.2187132759955</v>
      </c>
      <c r="E703" s="340">
        <f>+'Volumen de gas'!$C$1*Tabla!D703/14.7*520/'Volumen de gas'!$C$2*'Volumen de gas'!$C$4/'Volumen de gas'!$C$3</f>
        <v>61681.7391377999</v>
      </c>
      <c r="F703" s="340">
        <f t="shared" si="12"/>
        <v>351.4629010700849</v>
      </c>
    </row>
    <row r="704" spans="1:6" ht="12.75">
      <c r="A704" s="317">
        <v>175.75</v>
      </c>
      <c r="B704" s="339">
        <f>+('Presiones de casing'!$C$2+14.7+'Presiones de casing'!$C$3+('Presiones de casing'!$C$4+'Presiones de casing'!$C$8)*A704)*(1+'Presiones de casing'!$C$7/'Presiones de casing'!$C$13)</f>
        <v>15875.07840357605</v>
      </c>
      <c r="C704" s="339">
        <f>+B704*(Columna!$G$9+Columna!$B$7)/Columna!$G$9</f>
        <v>18912.40899822969</v>
      </c>
      <c r="D704" s="340">
        <f>+B704-A704*'Presiones de casing'!$C$4</f>
        <v>4002.6767844631177</v>
      </c>
      <c r="E704" s="340">
        <f>+'Volumen de gas'!$C$1*Tabla!D704/14.7*520/'Volumen de gas'!$C$2*'Volumen de gas'!$C$4/'Volumen de gas'!$C$3</f>
        <v>61765.96353163691</v>
      </c>
      <c r="F704" s="340">
        <f t="shared" si="12"/>
        <v>351.44218225682454</v>
      </c>
    </row>
    <row r="705" spans="1:6" ht="12.75">
      <c r="A705" s="317">
        <v>176</v>
      </c>
      <c r="B705" s="339">
        <f>+('Presiones de casing'!$C$2+14.7+'Presiones de casing'!$C$3+('Presiones de casing'!$C$4+'Presiones de casing'!$C$8)*A705)*(1+'Presiones de casing'!$C$7/'Presiones de casing'!$C$13)</f>
        <v>15897.42467052293</v>
      </c>
      <c r="C705" s="339">
        <f>+B705*(Columna!$G$9+Columna!$B$7)/Columna!$G$9</f>
        <v>18939.03070864517</v>
      </c>
      <c r="D705" s="340">
        <f>+B705-A705*'Presiones de casing'!$C$4</f>
        <v>4008.134855650236</v>
      </c>
      <c r="E705" s="340">
        <f>+'Volumen de gas'!$C$1*Tabla!D705/14.7*520/'Volumen de gas'!$C$2*'Volumen de gas'!$C$4/'Volumen de gas'!$C$3</f>
        <v>61850.18792547387</v>
      </c>
      <c r="F705" s="340">
        <f aca="true" t="shared" si="13" ref="F705:F768">+E705/A705</f>
        <v>351.4215223038288</v>
      </c>
    </row>
    <row r="706" spans="1:6" ht="12.75">
      <c r="A706" s="317">
        <v>176.25</v>
      </c>
      <c r="B706" s="339">
        <f>+('Presiones de casing'!$C$2+14.7+'Presiones de casing'!$C$3+('Presiones de casing'!$C$4+'Presiones de casing'!$C$8)*A706)*(1+'Presiones de casing'!$C$7/'Presiones de casing'!$C$13)</f>
        <v>15919.770937469815</v>
      </c>
      <c r="C706" s="339">
        <f>+B706*(Columna!$G$9+Columna!$B$7)/Columna!$G$9</f>
        <v>18965.652419060654</v>
      </c>
      <c r="D706" s="340">
        <f>+B706-A706*'Presiones de casing'!$C$4</f>
        <v>4013.5929268373584</v>
      </c>
      <c r="E706" s="340">
        <f>+'Volumen de gas'!$C$1*Tabla!D706/14.7*520/'Volumen de gas'!$C$2*'Volumen de gas'!$C$4/'Volumen de gas'!$C$3</f>
        <v>61934.41231931086</v>
      </c>
      <c r="F706" s="340">
        <f t="shared" si="13"/>
        <v>351.400920960629</v>
      </c>
    </row>
    <row r="707" spans="1:6" ht="12.75">
      <c r="A707" s="317">
        <v>176.5</v>
      </c>
      <c r="B707" s="339">
        <f>+('Presiones de casing'!$C$2+14.7+'Presiones de casing'!$C$3+('Presiones de casing'!$C$4+'Presiones de casing'!$C$8)*A707)*(1+'Presiones de casing'!$C$7/'Presiones de casing'!$C$13)</f>
        <v>15942.117204416698</v>
      </c>
      <c r="C707" s="339">
        <f>+B707*(Columna!$G$9+Columna!$B$7)/Columna!$G$9</f>
        <v>18992.274129476136</v>
      </c>
      <c r="D707" s="340">
        <f>+B707-A707*'Presiones de casing'!$C$4</f>
        <v>4019.0509980244788</v>
      </c>
      <c r="E707" s="340">
        <f>+'Volumen de gas'!$C$1*Tabla!D707/14.7*520/'Volumen de gas'!$C$2*'Volumen de gas'!$C$4/'Volumen de gas'!$C$3</f>
        <v>62018.636713147855</v>
      </c>
      <c r="F707" s="340">
        <f t="shared" si="13"/>
        <v>351.3803779781748</v>
      </c>
    </row>
    <row r="708" spans="1:6" ht="12.75">
      <c r="A708" s="317">
        <v>176.75</v>
      </c>
      <c r="B708" s="339">
        <f>+('Presiones de casing'!$C$2+14.7+'Presiones de casing'!$C$3+('Presiones de casing'!$C$4+'Presiones de casing'!$C$8)*A708)*(1+'Presiones de casing'!$C$7/'Presiones de casing'!$C$13)</f>
        <v>15964.463471363582</v>
      </c>
      <c r="C708" s="339">
        <f>+B708*(Columna!$G$9+Columna!$B$7)/Columna!$G$9</f>
        <v>19018.89583989162</v>
      </c>
      <c r="D708" s="340">
        <f>+B708-A708*'Presiones de casing'!$C$4</f>
        <v>4024.509069211601</v>
      </c>
      <c r="E708" s="340">
        <f>+'Volumen de gas'!$C$1*Tabla!D708/14.7*520/'Volumen de gas'!$C$2*'Volumen de gas'!$C$4/'Volumen de gas'!$C$3</f>
        <v>62102.861106984856</v>
      </c>
      <c r="F708" s="340">
        <f t="shared" si="13"/>
        <v>351.3598931088252</v>
      </c>
    </row>
    <row r="709" spans="1:6" ht="12.75">
      <c r="A709" s="317">
        <v>177</v>
      </c>
      <c r="B709" s="339">
        <f>+('Presiones de casing'!$C$2+14.7+'Presiones de casing'!$C$3+('Presiones de casing'!$C$4+'Presiones de casing'!$C$8)*A709)*(1+'Presiones de casing'!$C$7/'Presiones de casing'!$C$13)</f>
        <v>15986.809738310465</v>
      </c>
      <c r="C709" s="339">
        <f>+B709*(Columna!$G$9+Columna!$B$7)/Columna!$G$9</f>
        <v>19045.5175503071</v>
      </c>
      <c r="D709" s="340">
        <f>+B709-A709*'Presiones de casing'!$C$4</f>
        <v>4029.9671403987213</v>
      </c>
      <c r="E709" s="340">
        <f>+'Volumen de gas'!$C$1*Tabla!D709/14.7*520/'Volumen de gas'!$C$2*'Volumen de gas'!$C$4/'Volumen de gas'!$C$3</f>
        <v>62187.085500821835</v>
      </c>
      <c r="F709" s="340">
        <f t="shared" si="13"/>
        <v>351.339466106338</v>
      </c>
    </row>
    <row r="710" spans="1:6" ht="12.75">
      <c r="A710" s="317">
        <v>177.25</v>
      </c>
      <c r="B710" s="339">
        <f>+('Presiones de casing'!$C$2+14.7+'Presiones de casing'!$C$3+('Presiones de casing'!$C$4+'Presiones de casing'!$C$8)*A710)*(1+'Presiones de casing'!$C$7/'Presiones de casing'!$C$13)</f>
        <v>16009.156005257348</v>
      </c>
      <c r="C710" s="339">
        <f>+B710*(Columna!$G$9+Columna!$B$7)/Columna!$G$9</f>
        <v>19072.139260722583</v>
      </c>
      <c r="D710" s="340">
        <f>+B710-A710*'Presiones de casing'!$C$4</f>
        <v>4035.4252115858417</v>
      </c>
      <c r="E710" s="340">
        <f>+'Volumen de gas'!$C$1*Tabla!D710/14.7*520/'Volumen de gas'!$C$2*'Volumen de gas'!$C$4/'Volumen de gas'!$C$3</f>
        <v>62271.30989465881</v>
      </c>
      <c r="F710" s="340">
        <f t="shared" si="13"/>
        <v>351.3190967258607</v>
      </c>
    </row>
    <row r="711" spans="1:6" ht="12.75">
      <c r="A711" s="317">
        <v>177.5</v>
      </c>
      <c r="B711" s="339">
        <f>+('Presiones de casing'!$C$2+14.7+'Presiones de casing'!$C$3+('Presiones de casing'!$C$4+'Presiones de casing'!$C$8)*A711)*(1+'Presiones de casing'!$C$7/'Presiones de casing'!$C$13)</f>
        <v>16031.502272204232</v>
      </c>
      <c r="C711" s="339">
        <f>+B711*(Columna!$G$9+Columna!$B$7)/Columna!$G$9</f>
        <v>19098.76097113807</v>
      </c>
      <c r="D711" s="340">
        <f>+B711-A711*'Presiones de casing'!$C$4</f>
        <v>4040.883282772964</v>
      </c>
      <c r="E711" s="340">
        <f>+'Volumen de gas'!$C$1*Tabla!D711/14.7*520/'Volumen de gas'!$C$2*'Volumen de gas'!$C$4/'Volumen de gas'!$C$3</f>
        <v>62355.53428849583</v>
      </c>
      <c r="F711" s="340">
        <f t="shared" si="13"/>
        <v>351.29878472392016</v>
      </c>
    </row>
    <row r="712" spans="1:6" ht="12.75">
      <c r="A712" s="317">
        <v>177.75</v>
      </c>
      <c r="B712" s="339">
        <f>+('Presiones de casing'!$C$2+14.7+'Presiones de casing'!$C$3+('Presiones de casing'!$C$4+'Presiones de casing'!$C$8)*A712)*(1+'Presiones de casing'!$C$7/'Presiones de casing'!$C$13)</f>
        <v>16053.848539151115</v>
      </c>
      <c r="C712" s="339">
        <f>+B712*(Columna!$G$9+Columna!$B$7)/Columna!$G$9</f>
        <v>19125.382681553547</v>
      </c>
      <c r="D712" s="340">
        <f>+B712-A712*'Presiones de casing'!$C$4</f>
        <v>4046.3413539600842</v>
      </c>
      <c r="E712" s="340">
        <f>+'Volumen de gas'!$C$1*Tabla!D712/14.7*520/'Volumen de gas'!$C$2*'Volumen de gas'!$C$4/'Volumen de gas'!$C$3</f>
        <v>62439.758682332795</v>
      </c>
      <c r="F712" s="340">
        <f t="shared" si="13"/>
        <v>351.27852985841236</v>
      </c>
    </row>
    <row r="713" spans="1:6" ht="12.75">
      <c r="A713" s="317">
        <v>178</v>
      </c>
      <c r="B713" s="339">
        <f>+('Presiones de casing'!$C$2+14.7+'Presiones de casing'!$C$3+('Presiones de casing'!$C$4+'Presiones de casing'!$C$8)*A713)*(1+'Presiones de casing'!$C$7/'Presiones de casing'!$C$13)</f>
        <v>16076.194806098</v>
      </c>
      <c r="C713" s="339">
        <f>+B713*(Columna!$G$9+Columna!$B$7)/Columna!$G$9</f>
        <v>19152.004391969032</v>
      </c>
      <c r="D713" s="340">
        <f>+B713-A713*'Presiones de casing'!$C$4</f>
        <v>4051.7994251472064</v>
      </c>
      <c r="E713" s="340">
        <f>+'Volumen de gas'!$C$1*Tabla!D713/14.7*520/'Volumen de gas'!$C$2*'Volumen de gas'!$C$4/'Volumen de gas'!$C$3</f>
        <v>62523.98307616982</v>
      </c>
      <c r="F713" s="340">
        <f t="shared" si="13"/>
        <v>351.25833188859445</v>
      </c>
    </row>
    <row r="714" spans="1:6" ht="12.75">
      <c r="A714" s="317">
        <v>178.25</v>
      </c>
      <c r="B714" s="339">
        <f>+('Presiones de casing'!$C$2+14.7+'Presiones de casing'!$C$3+('Presiones de casing'!$C$4+'Presiones de casing'!$C$8)*A714)*(1+'Presiones de casing'!$C$7/'Presiones de casing'!$C$13)</f>
        <v>16098.541073044882</v>
      </c>
      <c r="C714" s="339">
        <f>+B714*(Columna!$G$9+Columna!$B$7)/Columna!$G$9</f>
        <v>19178.626102384515</v>
      </c>
      <c r="D714" s="340">
        <f>+B714-A714*'Presiones de casing'!$C$4</f>
        <v>4057.257496334327</v>
      </c>
      <c r="E714" s="340">
        <f>+'Volumen de gas'!$C$1*Tabla!D714/14.7*520/'Volumen de gas'!$C$2*'Volumen de gas'!$C$4/'Volumen de gas'!$C$3</f>
        <v>62608.2074700068</v>
      </c>
      <c r="F714" s="340">
        <f t="shared" si="13"/>
        <v>351.2381905750732</v>
      </c>
    </row>
    <row r="715" spans="1:6" ht="12.75">
      <c r="A715" s="317">
        <v>178.5</v>
      </c>
      <c r="B715" s="339">
        <f>+('Presiones de casing'!$C$2+14.7+'Presiones de casing'!$C$3+('Presiones de casing'!$C$4+'Presiones de casing'!$C$8)*A715)*(1+'Presiones de casing'!$C$7/'Presiones de casing'!$C$13)</f>
        <v>16120.887339991765</v>
      </c>
      <c r="C715" s="339">
        <f>+B715*(Columna!$G$9+Columna!$B$7)/Columna!$G$9</f>
        <v>19205.247812799993</v>
      </c>
      <c r="D715" s="340">
        <f>+B715-A715*'Presiones de casing'!$C$4</f>
        <v>4062.715567521447</v>
      </c>
      <c r="E715" s="340">
        <f>+'Volumen de gas'!$C$1*Tabla!D715/14.7*520/'Volumen de gas'!$C$2*'Volumen de gas'!$C$4/'Volumen de gas'!$C$3</f>
        <v>62692.43186384377</v>
      </c>
      <c r="F715" s="340">
        <f t="shared" si="13"/>
        <v>351.218105679797</v>
      </c>
    </row>
    <row r="716" spans="1:6" ht="12.75">
      <c r="A716" s="317">
        <v>178.75</v>
      </c>
      <c r="B716" s="339">
        <f>+('Presiones de casing'!$C$2+14.7+'Presiones de casing'!$C$3+('Presiones de casing'!$C$4+'Presiones de casing'!$C$8)*A716)*(1+'Presiones de casing'!$C$7/'Presiones de casing'!$C$13)</f>
        <v>16143.233606938647</v>
      </c>
      <c r="C716" s="339">
        <f>+B716*(Columna!$G$9+Columna!$B$7)/Columna!$G$9</f>
        <v>19231.869523215475</v>
      </c>
      <c r="D716" s="340">
        <f>+B716-A716*'Presiones de casing'!$C$4</f>
        <v>4068.1736387085675</v>
      </c>
      <c r="E716" s="340">
        <f>+'Volumen de gas'!$C$1*Tabla!D716/14.7*520/'Volumen de gas'!$C$2*'Volumen de gas'!$C$4/'Volumen de gas'!$C$3</f>
        <v>62776.65625768075</v>
      </c>
      <c r="F716" s="340">
        <f t="shared" si="13"/>
        <v>351.19807696604613</v>
      </c>
    </row>
    <row r="717" spans="1:6" ht="12.75">
      <c r="A717" s="317">
        <v>179</v>
      </c>
      <c r="B717" s="339">
        <f>+('Presiones de casing'!$C$2+14.7+'Presiones de casing'!$C$3+('Presiones de casing'!$C$4+'Presiones de casing'!$C$8)*A717)*(1+'Presiones de casing'!$C$7/'Presiones de casing'!$C$13)</f>
        <v>16165.57987388553</v>
      </c>
      <c r="C717" s="339">
        <f>+B717*(Columna!$G$9+Columna!$B$7)/Columna!$G$9</f>
        <v>19258.491233630957</v>
      </c>
      <c r="D717" s="340">
        <f>+B717-A717*'Presiones de casing'!$C$4</f>
        <v>4073.631709895688</v>
      </c>
      <c r="E717" s="340">
        <f>+'Volumen de gas'!$C$1*Tabla!D717/14.7*520/'Volumen de gas'!$C$2*'Volumen de gas'!$C$4/'Volumen de gas'!$C$3</f>
        <v>62860.88065151773</v>
      </c>
      <c r="F717" s="340">
        <f t="shared" si="13"/>
        <v>351.17810419842306</v>
      </c>
    </row>
    <row r="718" spans="1:6" ht="12.75">
      <c r="A718" s="317">
        <v>179.25</v>
      </c>
      <c r="B718" s="339">
        <f>+('Presiones de casing'!$C$2+14.7+'Presiones de casing'!$C$3+('Presiones de casing'!$C$4+'Presiones de casing'!$C$8)*A718)*(1+'Presiones de casing'!$C$7/'Presiones de casing'!$C$13)</f>
        <v>16187.926140832415</v>
      </c>
      <c r="C718" s="339">
        <f>+B718*(Columna!$G$9+Columna!$B$7)/Columna!$G$9</f>
        <v>19285.112944046443</v>
      </c>
      <c r="D718" s="340">
        <f>+B718-A718*'Presiones de casing'!$C$4</f>
        <v>4079.08978108281</v>
      </c>
      <c r="E718" s="340">
        <f>+'Volumen de gas'!$C$1*Tabla!D718/14.7*520/'Volumen de gas'!$C$2*'Volumen de gas'!$C$4/'Volumen de gas'!$C$3</f>
        <v>62945.105045354736</v>
      </c>
      <c r="F718" s="340">
        <f t="shared" si="13"/>
        <v>351.1581871428437</v>
      </c>
    </row>
    <row r="719" spans="1:6" ht="12.75">
      <c r="A719" s="317">
        <v>179.5</v>
      </c>
      <c r="B719" s="339">
        <f>+('Presiones de casing'!$C$2+14.7+'Presiones de casing'!$C$3+('Presiones de casing'!$C$4+'Presiones de casing'!$C$8)*A719)*(1+'Presiones de casing'!$C$7/'Presiones de casing'!$C$13)</f>
        <v>16210.272407779297</v>
      </c>
      <c r="C719" s="339">
        <f>+B719*(Columna!$G$9+Columna!$B$7)/Columna!$G$9</f>
        <v>19311.734654461925</v>
      </c>
      <c r="D719" s="340">
        <f>+B719-A719*'Presiones de casing'!$C$4</f>
        <v>4084.5478522699304</v>
      </c>
      <c r="E719" s="340">
        <f>+'Volumen de gas'!$C$1*Tabla!D719/14.7*520/'Volumen de gas'!$C$2*'Volumen de gas'!$C$4/'Volumen de gas'!$C$3</f>
        <v>63029.329439191715</v>
      </c>
      <c r="F719" s="340">
        <f t="shared" si="13"/>
        <v>351.13832556652767</v>
      </c>
    </row>
    <row r="720" spans="1:6" ht="12.75">
      <c r="A720" s="317">
        <v>179.75</v>
      </c>
      <c r="B720" s="339">
        <f>+('Presiones de casing'!$C$2+14.7+'Presiones de casing'!$C$3+('Presiones de casing'!$C$4+'Presiones de casing'!$C$8)*A720)*(1+'Presiones de casing'!$C$7/'Presiones de casing'!$C$13)</f>
        <v>16232.618674726182</v>
      </c>
      <c r="C720" s="339">
        <f>+B720*(Columna!$G$9+Columna!$B$7)/Columna!$G$9</f>
        <v>19338.356364877407</v>
      </c>
      <c r="D720" s="340">
        <f>+B720-A720*'Presiones de casing'!$C$4</f>
        <v>4090.0059234570526</v>
      </c>
      <c r="E720" s="340">
        <f>+'Volumen de gas'!$C$1*Tabla!D720/14.7*520/'Volumen de gas'!$C$2*'Volumen de gas'!$C$4/'Volumen de gas'!$C$3</f>
        <v>63113.55383302872</v>
      </c>
      <c r="F720" s="340">
        <f t="shared" si="13"/>
        <v>351.11851923799014</v>
      </c>
    </row>
    <row r="721" spans="1:6" ht="12.75">
      <c r="A721" s="317">
        <v>180</v>
      </c>
      <c r="B721" s="339">
        <f>+('Presiones de casing'!$C$2+14.7+'Presiones de casing'!$C$3+('Presiones de casing'!$C$4+'Presiones de casing'!$C$8)*A721)*(1+'Presiones de casing'!$C$7/'Presiones de casing'!$C$13)</f>
        <v>16254.964941673064</v>
      </c>
      <c r="C721" s="339">
        <f>+B721*(Columna!$G$9+Columna!$B$7)/Columna!$G$9</f>
        <v>19364.97807529289</v>
      </c>
      <c r="D721" s="340">
        <f>+B721-A721*'Presiones de casing'!$C$4</f>
        <v>4095.463994644173</v>
      </c>
      <c r="E721" s="340">
        <f>+'Volumen de gas'!$C$1*Tabla!D721/14.7*520/'Volumen de gas'!$C$2*'Volumen de gas'!$C$4/'Volumen de gas'!$C$3</f>
        <v>63197.778226865696</v>
      </c>
      <c r="F721" s="340">
        <f t="shared" si="13"/>
        <v>351.09876792703164</v>
      </c>
    </row>
    <row r="722" spans="1:6" ht="12.75">
      <c r="A722" s="317">
        <v>180.25</v>
      </c>
      <c r="B722" s="339">
        <f>+('Presiones de casing'!$C$2+14.7+'Presiones de casing'!$C$3+('Presiones de casing'!$C$4+'Presiones de casing'!$C$8)*A722)*(1+'Presiones de casing'!$C$7/'Presiones de casing'!$C$13)</f>
        <v>16277.311208619949</v>
      </c>
      <c r="C722" s="339">
        <f>+B722*(Columna!$G$9+Columna!$B$7)/Columna!$G$9</f>
        <v>19391.59978570837</v>
      </c>
      <c r="D722" s="340">
        <f>+B722-A722*'Presiones de casing'!$C$4</f>
        <v>4100.922065831295</v>
      </c>
      <c r="E722" s="340">
        <f>+'Volumen de gas'!$C$1*Tabla!D722/14.7*520/'Volumen de gas'!$C$2*'Volumen de gas'!$C$4/'Volumen de gas'!$C$3</f>
        <v>63282.002620702704</v>
      </c>
      <c r="F722" s="340">
        <f t="shared" si="13"/>
        <v>351.07907140473066</v>
      </c>
    </row>
    <row r="723" spans="1:6" ht="12.75">
      <c r="A723" s="317">
        <v>180.5</v>
      </c>
      <c r="B723" s="339">
        <f>+('Presiones de casing'!$C$2+14.7+'Presiones de casing'!$C$3+('Presiones de casing'!$C$4+'Presiones de casing'!$C$8)*A723)*(1+'Presiones de casing'!$C$7/'Presiones de casing'!$C$13)</f>
        <v>16299.657475566832</v>
      </c>
      <c r="C723" s="339">
        <f>+B723*(Columna!$G$9+Columna!$B$7)/Columna!$G$9</f>
        <v>19418.221496123853</v>
      </c>
      <c r="D723" s="340">
        <f>+B723-A723*'Presiones de casing'!$C$4</f>
        <v>4106.380137018414</v>
      </c>
      <c r="E723" s="340">
        <f>+'Volumen de gas'!$C$1*Tabla!D723/14.7*520/'Volumen de gas'!$C$2*'Volumen de gas'!$C$4/'Volumen de gas'!$C$3</f>
        <v>63366.227014539654</v>
      </c>
      <c r="F723" s="340">
        <f t="shared" si="13"/>
        <v>351.059429443433</v>
      </c>
    </row>
    <row r="724" spans="1:6" ht="12.75">
      <c r="A724" s="317">
        <v>180.75</v>
      </c>
      <c r="B724" s="339">
        <f>+('Presiones de casing'!$C$2+14.7+'Presiones de casing'!$C$3+('Presiones de casing'!$C$4+'Presiones de casing'!$C$8)*A724)*(1+'Presiones de casing'!$C$7/'Presiones de casing'!$C$13)</f>
        <v>16322.003742513716</v>
      </c>
      <c r="C724" s="339">
        <f>+B724*(Columna!$G$9+Columna!$B$7)/Columna!$G$9</f>
        <v>19444.843206539335</v>
      </c>
      <c r="D724" s="340">
        <f>+B724-A724*'Presiones de casing'!$C$4</f>
        <v>4111.838208205536</v>
      </c>
      <c r="E724" s="340">
        <f>+'Volumen de gas'!$C$1*Tabla!D724/14.7*520/'Volumen de gas'!$C$2*'Volumen de gas'!$C$4/'Volumen de gas'!$C$3</f>
        <v>63450.451408376655</v>
      </c>
      <c r="F724" s="340">
        <f t="shared" si="13"/>
        <v>351.03984181674497</v>
      </c>
    </row>
    <row r="725" spans="1:6" ht="12.75">
      <c r="A725" s="317">
        <v>181</v>
      </c>
      <c r="B725" s="339">
        <f>+('Presiones de casing'!$C$2+14.7+'Presiones de casing'!$C$3+('Presiones de casing'!$C$4+'Presiones de casing'!$C$8)*A725)*(1+'Presiones de casing'!$C$7/'Presiones de casing'!$C$13)</f>
        <v>16344.350009460597</v>
      </c>
      <c r="C725" s="339">
        <f>+B725*(Columna!$G$9+Columna!$B$7)/Columna!$G$9</f>
        <v>19471.464916954817</v>
      </c>
      <c r="D725" s="340">
        <f>+B725-A725*'Presiones de casing'!$C$4</f>
        <v>4117.2962793926545</v>
      </c>
      <c r="E725" s="340">
        <f>+'Volumen de gas'!$C$1*Tabla!D725/14.7*520/'Volumen de gas'!$C$2*'Volumen de gas'!$C$4/'Volumen de gas'!$C$3</f>
        <v>63534.67580221362</v>
      </c>
      <c r="F725" s="340">
        <f t="shared" si="13"/>
        <v>351.02030829952275</v>
      </c>
    </row>
    <row r="726" spans="1:6" ht="12.75">
      <c r="A726" s="317">
        <v>181.25</v>
      </c>
      <c r="B726" s="339">
        <f>+('Presiones de casing'!$C$2+14.7+'Presiones de casing'!$C$3+('Presiones de casing'!$C$4+'Presiones de casing'!$C$8)*A726)*(1+'Presiones de casing'!$C$7/'Presiones de casing'!$C$13)</f>
        <v>16366.69627640748</v>
      </c>
      <c r="C726" s="339">
        <f>+B726*(Columna!$G$9+Columna!$B$7)/Columna!$G$9</f>
        <v>19498.0866273703</v>
      </c>
      <c r="D726" s="340">
        <f>+B726-A726*'Presiones de casing'!$C$4</f>
        <v>4122.754350579775</v>
      </c>
      <c r="E726" s="340">
        <f>+'Volumen de gas'!$C$1*Tabla!D726/14.7*520/'Volumen de gas'!$C$2*'Volumen de gas'!$C$4/'Volumen de gas'!$C$3</f>
        <v>63618.900196050585</v>
      </c>
      <c r="F726" s="340">
        <f t="shared" si="13"/>
        <v>351.0008286678653</v>
      </c>
    </row>
    <row r="727" spans="1:6" ht="12.75">
      <c r="A727" s="317">
        <v>181.5</v>
      </c>
      <c r="B727" s="339">
        <f>+('Presiones de casing'!$C$2+14.7+'Presiones de casing'!$C$3+('Presiones de casing'!$C$4+'Presiones de casing'!$C$8)*A727)*(1+'Presiones de casing'!$C$7/'Presiones de casing'!$C$13)</f>
        <v>16389.042543354364</v>
      </c>
      <c r="C727" s="339">
        <f>+B727*(Columna!$G$9+Columna!$B$7)/Columna!$G$9</f>
        <v>19524.70833778578</v>
      </c>
      <c r="D727" s="340">
        <f>+B727-A727*'Presiones de casing'!$C$4</f>
        <v>4128.212421766897</v>
      </c>
      <c r="E727" s="340">
        <f>+'Volumen de gas'!$C$1*Tabla!D727/14.7*520/'Volumen de gas'!$C$2*'Volumen de gas'!$C$4/'Volumen de gas'!$C$3</f>
        <v>63703.12458988759</v>
      </c>
      <c r="F727" s="340">
        <f t="shared" si="13"/>
        <v>350.9814026991052</v>
      </c>
    </row>
    <row r="728" spans="1:6" ht="12.75">
      <c r="A728" s="317">
        <v>181.75</v>
      </c>
      <c r="B728" s="339">
        <f>+('Presiones de casing'!$C$2+14.7+'Presiones de casing'!$C$3+('Presiones de casing'!$C$4+'Presiones de casing'!$C$8)*A728)*(1+'Presiones de casing'!$C$7/'Presiones de casing'!$C$13)</f>
        <v>16411.388810301247</v>
      </c>
      <c r="C728" s="339">
        <f>+B728*(Columna!$G$9+Columna!$B$7)/Columna!$G$9</f>
        <v>19551.330048201264</v>
      </c>
      <c r="D728" s="340">
        <f>+B728-A728*'Presiones de casing'!$C$4</f>
        <v>4133.670492954017</v>
      </c>
      <c r="E728" s="340">
        <f>+'Volumen de gas'!$C$1*Tabla!D728/14.7*520/'Volumen de gas'!$C$2*'Volumen de gas'!$C$4/'Volumen de gas'!$C$3</f>
        <v>63787.34898372459</v>
      </c>
      <c r="F728" s="340">
        <f t="shared" si="13"/>
        <v>350.96203017179965</v>
      </c>
    </row>
    <row r="729" spans="1:6" ht="12.75">
      <c r="A729" s="317">
        <v>182</v>
      </c>
      <c r="B729" s="339">
        <f>+('Presiones de casing'!$C$2+14.7+'Presiones de casing'!$C$3+('Presiones de casing'!$C$4+'Presiones de casing'!$C$8)*A729)*(1+'Presiones de casing'!$C$7/'Presiones de casing'!$C$13)</f>
        <v>16433.73507724813</v>
      </c>
      <c r="C729" s="339">
        <f>+B729*(Columna!$G$9+Columna!$B$7)/Columna!$G$9</f>
        <v>19577.951758616742</v>
      </c>
      <c r="D729" s="340">
        <f>+B729-A729*'Presiones de casing'!$C$4</f>
        <v>4139.128564141138</v>
      </c>
      <c r="E729" s="340">
        <f>+'Volumen de gas'!$C$1*Tabla!D729/14.7*520/'Volumen de gas'!$C$2*'Volumen de gas'!$C$4/'Volumen de gas'!$C$3</f>
        <v>63871.57337756156</v>
      </c>
      <c r="F729" s="340">
        <f t="shared" si="13"/>
        <v>350.94271086572286</v>
      </c>
    </row>
    <row r="730" spans="1:6" ht="12.75">
      <c r="A730" s="317">
        <v>182.25</v>
      </c>
      <c r="B730" s="339">
        <f>+('Presiones de casing'!$C$2+14.7+'Presiones de casing'!$C$3+('Presiones de casing'!$C$4+'Presiones de casing'!$C$8)*A730)*(1+'Presiones de casing'!$C$7/'Presiones de casing'!$C$13)</f>
        <v>16456.081344195016</v>
      </c>
      <c r="C730" s="339">
        <f>+B730*(Columna!$G$9+Columna!$B$7)/Columna!$G$9</f>
        <v>19604.57346903223</v>
      </c>
      <c r="D730" s="340">
        <f>+B730-A730*'Presiones de casing'!$C$4</f>
        <v>4144.586635328262</v>
      </c>
      <c r="E730" s="340">
        <f>+'Volumen de gas'!$C$1*Tabla!D730/14.7*520/'Volumen de gas'!$C$2*'Volumen de gas'!$C$4/'Volumen de gas'!$C$3</f>
        <v>63955.7977713986</v>
      </c>
      <c r="F730" s="340">
        <f t="shared" si="13"/>
        <v>350.9234445618579</v>
      </c>
    </row>
    <row r="731" spans="1:6" ht="12.75">
      <c r="A731" s="317">
        <v>182.5</v>
      </c>
      <c r="B731" s="339">
        <f>+('Presiones de casing'!$C$2+14.7+'Presiones de casing'!$C$3+('Presiones de casing'!$C$4+'Presiones de casing'!$C$8)*A731)*(1+'Presiones de casing'!$C$7/'Presiones de casing'!$C$13)</f>
        <v>16478.4276111419</v>
      </c>
      <c r="C731" s="339">
        <f>+B731*(Columna!$G$9+Columna!$B$7)/Columna!$G$9</f>
        <v>19631.19517944771</v>
      </c>
      <c r="D731" s="340">
        <f>+B731-A731*'Presiones de casing'!$C$4</f>
        <v>4150.044706515382</v>
      </c>
      <c r="E731" s="340">
        <f>+'Volumen de gas'!$C$1*Tabla!D731/14.7*520/'Volumen de gas'!$C$2*'Volumen de gas'!$C$4/'Volumen de gas'!$C$3</f>
        <v>64040.022165235576</v>
      </c>
      <c r="F731" s="340">
        <f t="shared" si="13"/>
        <v>350.9042310423867</v>
      </c>
    </row>
    <row r="732" spans="1:6" ht="12.75">
      <c r="A732" s="317">
        <v>182.75</v>
      </c>
      <c r="B732" s="339">
        <f>+('Presiones de casing'!$C$2+14.7+'Presiones de casing'!$C$3+('Presiones de casing'!$C$4+'Presiones de casing'!$C$8)*A732)*(1+'Presiones de casing'!$C$7/'Presiones de casing'!$C$13)</f>
        <v>16500.77387808878</v>
      </c>
      <c r="C732" s="339">
        <f>+B732*(Columna!$G$9+Columna!$B$7)/Columna!$G$9</f>
        <v>19657.816889863192</v>
      </c>
      <c r="D732" s="340">
        <f>+B732-A732*'Presiones de casing'!$C$4</f>
        <v>4155.5027777025025</v>
      </c>
      <c r="E732" s="340">
        <f>+'Volumen de gas'!$C$1*Tabla!D732/14.7*520/'Volumen de gas'!$C$2*'Volumen de gas'!$C$4/'Volumen de gas'!$C$3</f>
        <v>64124.24655907255</v>
      </c>
      <c r="F732" s="340">
        <f t="shared" si="13"/>
        <v>350.8850700906843</v>
      </c>
    </row>
    <row r="733" spans="1:6" ht="12.75">
      <c r="A733" s="317">
        <v>183</v>
      </c>
      <c r="B733" s="339">
        <f>+('Presiones de casing'!$C$2+14.7+'Presiones de casing'!$C$3+('Presiones de casing'!$C$4+'Presiones de casing'!$C$8)*A733)*(1+'Presiones de casing'!$C$7/'Presiones de casing'!$C$13)</f>
        <v>16523.120145035664</v>
      </c>
      <c r="C733" s="339">
        <f>+B733*(Columna!$G$9+Columna!$B$7)/Columna!$G$9</f>
        <v>19684.438600278678</v>
      </c>
      <c r="D733" s="340">
        <f>+B733-A733*'Presiones de casing'!$C$4</f>
        <v>4160.960848889623</v>
      </c>
      <c r="E733" s="340">
        <f>+'Volumen de gas'!$C$1*Tabla!D733/14.7*520/'Volumen de gas'!$C$2*'Volumen de gas'!$C$4/'Volumen de gas'!$C$3</f>
        <v>64208.470952909534</v>
      </c>
      <c r="F733" s="340">
        <f t="shared" si="13"/>
        <v>350.86596149130895</v>
      </c>
    </row>
    <row r="734" spans="1:6" ht="12.75">
      <c r="A734" s="317">
        <v>183.25</v>
      </c>
      <c r="B734" s="339">
        <f>+('Presiones de casing'!$C$2+14.7+'Presiones de casing'!$C$3+('Presiones de casing'!$C$4+'Presiones de casing'!$C$8)*A734)*(1+'Presiones de casing'!$C$7/'Presiones de casing'!$C$13)</f>
        <v>16545.466411982547</v>
      </c>
      <c r="C734" s="339">
        <f>+B734*(Columna!$G$9+Columna!$B$7)/Columna!$G$9</f>
        <v>19711.060310694156</v>
      </c>
      <c r="D734" s="340">
        <f>+B734-A734*'Presiones de casing'!$C$4</f>
        <v>4166.418920076743</v>
      </c>
      <c r="E734" s="340">
        <f>+'Volumen de gas'!$C$1*Tabla!D734/14.7*520/'Volumen de gas'!$C$2*'Volumen de gas'!$C$4/'Volumen de gas'!$C$3</f>
        <v>64292.69534674651</v>
      </c>
      <c r="F734" s="340">
        <f t="shared" si="13"/>
        <v>350.84690502999456</v>
      </c>
    </row>
    <row r="735" spans="1:6" ht="12.75">
      <c r="A735" s="317">
        <v>183.5</v>
      </c>
      <c r="B735" s="339">
        <f>+('Presiones de casing'!$C$2+14.7+'Presiones de casing'!$C$3+('Presiones de casing'!$C$4+'Presiones de casing'!$C$8)*A735)*(1+'Presiones de casing'!$C$7/'Presiones de casing'!$C$13)</f>
        <v>16567.81267892943</v>
      </c>
      <c r="C735" s="339">
        <f>+B735*(Columna!$G$9+Columna!$B$7)/Columna!$G$9</f>
        <v>19737.68202110964</v>
      </c>
      <c r="D735" s="340">
        <f>+B735-A735*'Presiones de casing'!$C$4</f>
        <v>4171.876991263864</v>
      </c>
      <c r="E735" s="340">
        <f>+'Volumen de gas'!$C$1*Tabla!D735/14.7*520/'Volumen de gas'!$C$2*'Volumen de gas'!$C$4/'Volumen de gas'!$C$3</f>
        <v>64376.9197405835</v>
      </c>
      <c r="F735" s="340">
        <f t="shared" si="13"/>
        <v>350.827900493643</v>
      </c>
    </row>
    <row r="736" spans="1:6" ht="12.75">
      <c r="A736" s="317">
        <v>183.75</v>
      </c>
      <c r="B736" s="339">
        <f>+('Presiones de casing'!$C$2+14.7+'Presiones de casing'!$C$3+('Presiones de casing'!$C$4+'Presiones de casing'!$C$8)*A736)*(1+'Presiones de casing'!$C$7/'Presiones de casing'!$C$13)</f>
        <v>16590.158945876312</v>
      </c>
      <c r="C736" s="339">
        <f>+B736*(Columna!$G$9+Columna!$B$7)/Columna!$G$9</f>
        <v>19764.30373152512</v>
      </c>
      <c r="D736" s="340">
        <f>+B736-A736*'Presiones de casing'!$C$4</f>
        <v>4177.335062450984</v>
      </c>
      <c r="E736" s="340">
        <f>+'Volumen de gas'!$C$1*Tabla!D736/14.7*520/'Volumen de gas'!$C$2*'Volumen de gas'!$C$4/'Volumen de gas'!$C$3</f>
        <v>64461.14413442047</v>
      </c>
      <c r="F736" s="340">
        <f t="shared" si="13"/>
        <v>350.8089476703155</v>
      </c>
    </row>
    <row r="737" spans="1:6" ht="12.75">
      <c r="A737" s="317">
        <v>184</v>
      </c>
      <c r="B737" s="339">
        <f>+('Presiones de casing'!$C$2+14.7+'Presiones de casing'!$C$3+('Presiones de casing'!$C$4+'Presiones de casing'!$C$8)*A737)*(1+'Presiones de casing'!$C$7/'Presiones de casing'!$C$13)</f>
        <v>16612.5052128232</v>
      </c>
      <c r="C737" s="339">
        <f>+B737*(Columna!$G$9+Columna!$B$7)/Columna!$G$9</f>
        <v>19790.925441940606</v>
      </c>
      <c r="D737" s="340">
        <f>+B737-A737*'Presiones de casing'!$C$4</f>
        <v>4182.793133638108</v>
      </c>
      <c r="E737" s="340">
        <f>+'Volumen de gas'!$C$1*Tabla!D737/14.7*520/'Volumen de gas'!$C$2*'Volumen de gas'!$C$4/'Volumen de gas'!$C$3</f>
        <v>64545.36852825751</v>
      </c>
      <c r="F737" s="340">
        <f t="shared" si="13"/>
        <v>350.7900463492256</v>
      </c>
    </row>
    <row r="738" spans="1:6" ht="12.75">
      <c r="A738" s="317">
        <v>184.25</v>
      </c>
      <c r="B738" s="339">
        <f>+('Presiones de casing'!$C$2+14.7+'Presiones de casing'!$C$3+('Presiones de casing'!$C$4+'Presiones de casing'!$C$8)*A738)*(1+'Presiones de casing'!$C$7/'Presiones de casing'!$C$13)</f>
        <v>16634.85147977008</v>
      </c>
      <c r="C738" s="339">
        <f>+B738*(Columna!$G$9+Columna!$B$7)/Columna!$G$9</f>
        <v>19817.54715235609</v>
      </c>
      <c r="D738" s="340">
        <f>+B738-A738*'Presiones de casing'!$C$4</f>
        <v>4188.251204825228</v>
      </c>
      <c r="E738" s="340">
        <f>+'Volumen de gas'!$C$1*Tabla!D738/14.7*520/'Volumen de gas'!$C$2*'Volumen de gas'!$C$4/'Volumen de gas'!$C$3</f>
        <v>64629.59292209449</v>
      </c>
      <c r="F738" s="340">
        <f t="shared" si="13"/>
        <v>350.7711963207299</v>
      </c>
    </row>
    <row r="739" spans="1:6" ht="12.75">
      <c r="A739" s="317">
        <v>184.5</v>
      </c>
      <c r="B739" s="339">
        <f>+('Presiones de casing'!$C$2+14.7+'Presiones de casing'!$C$3+('Presiones de casing'!$C$4+'Presiones de casing'!$C$8)*A739)*(1+'Presiones de casing'!$C$7/'Presiones de casing'!$C$13)</f>
        <v>16657.197746716964</v>
      </c>
      <c r="C739" s="339">
        <f>+B739*(Columna!$G$9+Columna!$B$7)/Columna!$G$9</f>
        <v>19844.16886277157</v>
      </c>
      <c r="D739" s="340">
        <f>+B739-A739*'Presiones de casing'!$C$4</f>
        <v>4193.709276012349</v>
      </c>
      <c r="E739" s="340">
        <f>+'Volumen de gas'!$C$1*Tabla!D739/14.7*520/'Volumen de gas'!$C$2*'Volumen de gas'!$C$4/'Volumen de gas'!$C$3</f>
        <v>64713.81731593146</v>
      </c>
      <c r="F739" s="340">
        <f t="shared" si="13"/>
        <v>350.7523973763223</v>
      </c>
    </row>
    <row r="740" spans="1:6" ht="12.75">
      <c r="A740" s="317">
        <v>184.75</v>
      </c>
      <c r="B740" s="339">
        <f>+('Presiones de casing'!$C$2+14.7+'Presiones de casing'!$C$3+('Presiones de casing'!$C$4+'Presiones de casing'!$C$8)*A740)*(1+'Presiones de casing'!$C$7/'Presiones de casing'!$C$13)</f>
        <v>16679.544013663846</v>
      </c>
      <c r="C740" s="339">
        <f>+B740*(Columna!$G$9+Columna!$B$7)/Columna!$G$9</f>
        <v>19870.790573187052</v>
      </c>
      <c r="D740" s="340">
        <f>+B740-A740*'Presiones de casing'!$C$4</f>
        <v>4199.167347199469</v>
      </c>
      <c r="E740" s="340">
        <f>+'Volumen de gas'!$C$1*Tabla!D740/14.7*520/'Volumen de gas'!$C$2*'Volumen de gas'!$C$4/'Volumen de gas'!$C$3</f>
        <v>64798.04170976844</v>
      </c>
      <c r="F740" s="340">
        <f t="shared" si="13"/>
        <v>350.7336493086248</v>
      </c>
    </row>
    <row r="741" spans="1:6" ht="12.75">
      <c r="A741" s="317">
        <v>185</v>
      </c>
      <c r="B741" s="339">
        <f>+('Presiones de casing'!$C$2+14.7+'Presiones de casing'!$C$3+('Presiones de casing'!$C$4+'Presiones de casing'!$C$8)*A741)*(1+'Presiones de casing'!$C$7/'Presiones de casing'!$C$13)</f>
        <v>16701.89028061073</v>
      </c>
      <c r="C741" s="339">
        <f>+B741*(Columna!$G$9+Columna!$B$7)/Columna!$G$9</f>
        <v>19897.41228360253</v>
      </c>
      <c r="D741" s="340">
        <f>+B741-A741*'Presiones de casing'!$C$4</f>
        <v>4204.625418386589</v>
      </c>
      <c r="E741" s="340">
        <f>+'Volumen de gas'!$C$1*Tabla!D741/14.7*520/'Volumen de gas'!$C$2*'Volumen de gas'!$C$4/'Volumen de gas'!$C$3</f>
        <v>64882.26610360541</v>
      </c>
      <c r="F741" s="340">
        <f t="shared" si="13"/>
        <v>350.7149519113806</v>
      </c>
    </row>
    <row r="742" spans="1:6" ht="12.75">
      <c r="A742" s="317">
        <v>185.25</v>
      </c>
      <c r="B742" s="339">
        <f>+('Presiones de casing'!$C$2+14.7+'Presiones de casing'!$C$3+('Presiones de casing'!$C$4+'Presiones de casing'!$C$8)*A742)*(1+'Presiones de casing'!$C$7/'Presiones de casing'!$C$13)</f>
        <v>16724.236547557615</v>
      </c>
      <c r="C742" s="339">
        <f>+B742*(Columna!$G$9+Columna!$B$7)/Columna!$G$9</f>
        <v>19924.03399401802</v>
      </c>
      <c r="D742" s="340">
        <f>+B742-A742*'Presiones de casing'!$C$4</f>
        <v>4210.083489573713</v>
      </c>
      <c r="E742" s="340">
        <f>+'Volumen de gas'!$C$1*Tabla!D742/14.7*520/'Volumen de gas'!$C$2*'Volumen de gas'!$C$4/'Volumen de gas'!$C$3</f>
        <v>64966.49049744245</v>
      </c>
      <c r="F742" s="340">
        <f t="shared" si="13"/>
        <v>350.69630497944644</v>
      </c>
    </row>
    <row r="743" spans="1:6" ht="12.75">
      <c r="A743" s="317">
        <v>185.5</v>
      </c>
      <c r="B743" s="339">
        <f>+('Presiones de casing'!$C$2+14.7+'Presiones de casing'!$C$3+('Presiones de casing'!$C$4+'Presiones de casing'!$C$8)*A743)*(1+'Presiones de casing'!$C$7/'Presiones de casing'!$C$13)</f>
        <v>16746.582814504498</v>
      </c>
      <c r="C743" s="339">
        <f>+B743*(Columna!$G$9+Columna!$B$7)/Columna!$G$9</f>
        <v>19950.6557044335</v>
      </c>
      <c r="D743" s="340">
        <f>+B743-A743*'Presiones de casing'!$C$4</f>
        <v>4215.541560760834</v>
      </c>
      <c r="E743" s="340">
        <f>+'Volumen de gas'!$C$1*Tabla!D743/14.7*520/'Volumen de gas'!$C$2*'Volumen de gas'!$C$4/'Volumen de gas'!$C$3</f>
        <v>65050.71489127943</v>
      </c>
      <c r="F743" s="340">
        <f t="shared" si="13"/>
        <v>350.67770830878396</v>
      </c>
    </row>
    <row r="744" spans="1:6" ht="12.75">
      <c r="A744" s="317">
        <v>185.75</v>
      </c>
      <c r="B744" s="339">
        <f>+('Presiones de casing'!$C$2+14.7+'Presiones de casing'!$C$3+('Presiones de casing'!$C$4+'Presiones de casing'!$C$8)*A744)*(1+'Presiones de casing'!$C$7/'Presiones de casing'!$C$13)</f>
        <v>16768.929081451384</v>
      </c>
      <c r="C744" s="339">
        <f>+B744*(Columna!$G$9+Columna!$B$7)/Columna!$G$9</f>
        <v>19977.277414848984</v>
      </c>
      <c r="D744" s="340">
        <f>+B744-A744*'Presiones de casing'!$C$4</f>
        <v>4220.999631947958</v>
      </c>
      <c r="E744" s="340">
        <f>+'Volumen de gas'!$C$1*Tabla!D744/14.7*520/'Volumen de gas'!$C$2*'Volumen de gas'!$C$4/'Volumen de gas'!$C$3</f>
        <v>65134.93928511647</v>
      </c>
      <c r="F744" s="340">
        <f t="shared" si="13"/>
        <v>350.65916169645476</v>
      </c>
    </row>
    <row r="745" spans="1:6" ht="12.75">
      <c r="A745" s="317">
        <v>186</v>
      </c>
      <c r="B745" s="339">
        <f>+('Presiones de casing'!$C$2+14.7+'Presiones de casing'!$C$3+('Presiones de casing'!$C$4+'Presiones de casing'!$C$8)*A745)*(1+'Presiones de casing'!$C$7/'Presiones de casing'!$C$13)</f>
        <v>16791.275348398263</v>
      </c>
      <c r="C745" s="339">
        <f>+B745*(Columna!$G$9+Columna!$B$7)/Columna!$G$9</f>
        <v>20003.899125264463</v>
      </c>
      <c r="D745" s="340">
        <f>+B745-A745*'Presiones de casing'!$C$4</f>
        <v>4226.457703135075</v>
      </c>
      <c r="E745" s="340">
        <f>+'Volumen de gas'!$C$1*Tabla!D745/14.7*520/'Volumen de gas'!$C$2*'Volumen de gas'!$C$4/'Volumen de gas'!$C$3</f>
        <v>65219.163678953395</v>
      </c>
      <c r="F745" s="340">
        <f t="shared" si="13"/>
        <v>350.64066494060967</v>
      </c>
    </row>
    <row r="746" spans="1:6" ht="12.75">
      <c r="A746" s="317">
        <v>186.25</v>
      </c>
      <c r="B746" s="339">
        <f>+('Presiones de casing'!$C$2+14.7+'Presiones de casing'!$C$3+('Presiones de casing'!$C$4+'Presiones de casing'!$C$8)*A746)*(1+'Presiones de casing'!$C$7/'Presiones de casing'!$C$13)</f>
        <v>16813.621615345146</v>
      </c>
      <c r="C746" s="339">
        <f>+B746*(Columna!$G$9+Columna!$B$7)/Columna!$G$9</f>
        <v>20030.520835679945</v>
      </c>
      <c r="D746" s="340">
        <f>+B746-A746*'Presiones de casing'!$C$4</f>
        <v>4231.915774322195</v>
      </c>
      <c r="E746" s="340">
        <f>+'Volumen de gas'!$C$1*Tabla!D746/14.7*520/'Volumen de gas'!$C$2*'Volumen de gas'!$C$4/'Volumen de gas'!$C$3</f>
        <v>65303.38807279036</v>
      </c>
      <c r="F746" s="340">
        <f t="shared" si="13"/>
        <v>350.6222178404852</v>
      </c>
    </row>
    <row r="747" spans="1:6" ht="12.75">
      <c r="A747" s="317">
        <v>186.5</v>
      </c>
      <c r="B747" s="339">
        <f>+('Presiones de casing'!$C$2+14.7+'Presiones de casing'!$C$3+('Presiones de casing'!$C$4+'Presiones de casing'!$C$8)*A747)*(1+'Presiones de casing'!$C$7/'Presiones de casing'!$C$13)</f>
        <v>16835.967882292032</v>
      </c>
      <c r="C747" s="339">
        <f>+B747*(Columna!$G$9+Columna!$B$7)/Columna!$G$9</f>
        <v>20057.14254609543</v>
      </c>
      <c r="D747" s="340">
        <f>+B747-A747*'Presiones de casing'!$C$4</f>
        <v>4237.373845509319</v>
      </c>
      <c r="E747" s="340">
        <f>+'Volumen de gas'!$C$1*Tabla!D747/14.7*520/'Volumen de gas'!$C$2*'Volumen de gas'!$C$4/'Volumen de gas'!$C$3</f>
        <v>65387.612466627405</v>
      </c>
      <c r="F747" s="340">
        <f t="shared" si="13"/>
        <v>350.6038201963936</v>
      </c>
    </row>
    <row r="748" spans="1:6" ht="12.75">
      <c r="A748" s="317">
        <v>186.75</v>
      </c>
      <c r="B748" s="339">
        <f>+('Presiones de casing'!$C$2+14.7+'Presiones de casing'!$C$3+('Presiones de casing'!$C$4+'Presiones de casing'!$C$8)*A748)*(1+'Presiones de casing'!$C$7/'Presiones de casing'!$C$13)</f>
        <v>16858.31414923891</v>
      </c>
      <c r="C748" s="339">
        <f>+B748*(Columna!$G$9+Columna!$B$7)/Columna!$G$9</f>
        <v>20083.764256510905</v>
      </c>
      <c r="D748" s="340">
        <f>+B748-A748*'Presiones de casing'!$C$4</f>
        <v>4242.831916696436</v>
      </c>
      <c r="E748" s="340">
        <f>+'Volumen de gas'!$C$1*Tabla!D748/14.7*520/'Volumen de gas'!$C$2*'Volumen de gas'!$C$4/'Volumen de gas'!$C$3</f>
        <v>65471.836860464326</v>
      </c>
      <c r="F748" s="340">
        <f t="shared" si="13"/>
        <v>350.5854718097153</v>
      </c>
    </row>
    <row r="749" spans="1:6" ht="12.75">
      <c r="A749" s="317">
        <v>187</v>
      </c>
      <c r="B749" s="339">
        <f>+('Presiones de casing'!$C$2+14.7+'Presiones de casing'!$C$3+('Presiones de casing'!$C$4+'Presiones de casing'!$C$8)*A749)*(1+'Presiones de casing'!$C$7/'Presiones de casing'!$C$13)</f>
        <v>16880.660416185798</v>
      </c>
      <c r="C749" s="339">
        <f>+B749*(Columna!$G$9+Columna!$B$7)/Columna!$G$9</f>
        <v>20110.385966926395</v>
      </c>
      <c r="D749" s="340">
        <f>+B749-A749*'Presiones de casing'!$C$4</f>
        <v>4248.28998788356</v>
      </c>
      <c r="E749" s="340">
        <f>+'Volumen de gas'!$C$1*Tabla!D749/14.7*520/'Volumen de gas'!$C$2*'Volumen de gas'!$C$4/'Volumen de gas'!$C$3</f>
        <v>65556.06125430137</v>
      </c>
      <c r="F749" s="340">
        <f t="shared" si="13"/>
        <v>350.56717248289505</v>
      </c>
    </row>
    <row r="750" spans="1:6" ht="12.75">
      <c r="A750" s="317">
        <v>187.25</v>
      </c>
      <c r="B750" s="339">
        <f>+('Presiones de casing'!$C$2+14.7+'Presiones de casing'!$C$3+('Presiones de casing'!$C$4+'Presiones de casing'!$C$8)*A750)*(1+'Presiones de casing'!$C$7/'Presiones de casing'!$C$13)</f>
        <v>16903.00668313268</v>
      </c>
      <c r="C750" s="339">
        <f>+B750*(Columna!$G$9+Columna!$B$7)/Columna!$G$9</f>
        <v>20137.007677341877</v>
      </c>
      <c r="D750" s="340">
        <f>+B750-A750*'Presiones de casing'!$C$4</f>
        <v>4253.74805907068</v>
      </c>
      <c r="E750" s="340">
        <f>+'Volumen de gas'!$C$1*Tabla!D750/14.7*520/'Volumen de gas'!$C$2*'Volumen de gas'!$C$4/'Volumen de gas'!$C$3</f>
        <v>65640.28564813835</v>
      </c>
      <c r="F750" s="340">
        <f t="shared" si="13"/>
        <v>350.54892201943045</v>
      </c>
    </row>
    <row r="751" spans="1:6" ht="12.75">
      <c r="A751" s="317">
        <v>187.5</v>
      </c>
      <c r="B751" s="339">
        <f>+('Presiones de casing'!$C$2+14.7+'Presiones de casing'!$C$3+('Presiones de casing'!$C$4+'Presiones de casing'!$C$8)*A751)*(1+'Presiones de casing'!$C$7/'Presiones de casing'!$C$13)</f>
        <v>16925.352950079567</v>
      </c>
      <c r="C751" s="339">
        <f>+B751*(Columna!$G$9+Columna!$B$7)/Columna!$G$9</f>
        <v>20163.62938775736</v>
      </c>
      <c r="D751" s="340">
        <f>+B751-A751*'Presiones de casing'!$C$4</f>
        <v>4259.206130257804</v>
      </c>
      <c r="E751" s="340">
        <f>+'Volumen de gas'!$C$1*Tabla!D751/14.7*520/'Volumen de gas'!$C$2*'Volumen de gas'!$C$4/'Volumen de gas'!$C$3</f>
        <v>65724.51004197537</v>
      </c>
      <c r="F751" s="340">
        <f t="shared" si="13"/>
        <v>350.5307202238686</v>
      </c>
    </row>
    <row r="752" spans="1:6" ht="12.75">
      <c r="A752" s="317">
        <v>187.75</v>
      </c>
      <c r="B752" s="339">
        <f>+('Presiones de casing'!$C$2+14.7+'Presiones de casing'!$C$3+('Presiones de casing'!$C$4+'Presiones de casing'!$C$8)*A752)*(1+'Presiones de casing'!$C$7/'Presiones de casing'!$C$13)</f>
        <v>16947.699217026446</v>
      </c>
      <c r="C752" s="339">
        <f>+B752*(Columna!$G$9+Columna!$B$7)/Columna!$G$9</f>
        <v>20190.251098172837</v>
      </c>
      <c r="D752" s="340">
        <f>+B752-A752*'Presiones de casing'!$C$4</f>
        <v>4264.664201444921</v>
      </c>
      <c r="E752" s="340">
        <f>+'Volumen de gas'!$C$1*Tabla!D752/14.7*520/'Volumen de gas'!$C$2*'Volumen de gas'!$C$4/'Volumen de gas'!$C$3</f>
        <v>65808.7344358123</v>
      </c>
      <c r="F752" s="340">
        <f t="shared" si="13"/>
        <v>350.5125669017965</v>
      </c>
    </row>
    <row r="753" spans="1:6" ht="12.75">
      <c r="A753" s="317">
        <v>188</v>
      </c>
      <c r="B753" s="339">
        <f>+('Presiones de casing'!$C$2+14.7+'Presiones de casing'!$C$3+('Presiones de casing'!$C$4+'Presiones de casing'!$C$8)*A753)*(1+'Presiones de casing'!$C$7/'Presiones de casing'!$C$13)</f>
        <v>16970.045483973332</v>
      </c>
      <c r="C753" s="339">
        <f>+B753*(Columna!$G$9+Columna!$B$7)/Columna!$G$9</f>
        <v>20216.872808588323</v>
      </c>
      <c r="D753" s="340">
        <f>+B753-A753*'Presiones de casing'!$C$4</f>
        <v>4270.122272632045</v>
      </c>
      <c r="E753" s="340">
        <f>+'Volumen de gas'!$C$1*Tabla!D753/14.7*520/'Volumen de gas'!$C$2*'Volumen de gas'!$C$4/'Volumen de gas'!$C$3</f>
        <v>65892.95882964935</v>
      </c>
      <c r="F753" s="340">
        <f t="shared" si="13"/>
        <v>350.4944618598369</v>
      </c>
    </row>
    <row r="754" spans="1:6" ht="12.75">
      <c r="A754" s="317">
        <v>188.25</v>
      </c>
      <c r="B754" s="339">
        <f>+('Presiones de casing'!$C$2+14.7+'Presiones de casing'!$C$3+('Presiones de casing'!$C$4+'Presiones de casing'!$C$8)*A754)*(1+'Presiones de casing'!$C$7/'Presiones de casing'!$C$13)</f>
        <v>16992.391750920215</v>
      </c>
      <c r="C754" s="339">
        <f>+B754*(Columna!$G$9+Columna!$B$7)/Columna!$G$9</f>
        <v>20243.494519003805</v>
      </c>
      <c r="D754" s="340">
        <f>+B754-A754*'Presiones de casing'!$C$4</f>
        <v>4275.580343819165</v>
      </c>
      <c r="E754" s="340">
        <f>+'Volumen de gas'!$C$1*Tabla!D754/14.7*520/'Volumen de gas'!$C$2*'Volumen de gas'!$C$4/'Volumen de gas'!$C$3</f>
        <v>65977.18322348633</v>
      </c>
      <c r="F754" s="340">
        <f t="shared" si="13"/>
        <v>350.4764049056378</v>
      </c>
    </row>
    <row r="755" spans="1:6" ht="12.75">
      <c r="A755" s="317">
        <v>188.5</v>
      </c>
      <c r="B755" s="339">
        <f>+('Presiones de casing'!$C$2+14.7+'Presiones de casing'!$C$3+('Presiones de casing'!$C$4+'Presiones de casing'!$C$8)*A755)*(1+'Presiones de casing'!$C$7/'Presiones de casing'!$C$13)</f>
        <v>17014.7380178671</v>
      </c>
      <c r="C755" s="339">
        <f>+B755*(Columna!$G$9+Columna!$B$7)/Columna!$G$9</f>
        <v>20270.11622941929</v>
      </c>
      <c r="D755" s="340">
        <f>+B755-A755*'Presiones de casing'!$C$4</f>
        <v>4281.038415006289</v>
      </c>
      <c r="E755" s="340">
        <f>+'Volumen de gas'!$C$1*Tabla!D755/14.7*520/'Volumen de gas'!$C$2*'Volumen de gas'!$C$4/'Volumen de gas'!$C$3</f>
        <v>66061.40761732335</v>
      </c>
      <c r="F755" s="340">
        <f t="shared" si="13"/>
        <v>350.4583958478692</v>
      </c>
    </row>
    <row r="756" spans="1:6" ht="12.75">
      <c r="A756" s="317">
        <v>188.75</v>
      </c>
      <c r="B756" s="339">
        <f>+('Presiones de casing'!$C$2+14.7+'Presiones de casing'!$C$3+('Presiones de casing'!$C$4+'Presiones de casing'!$C$8)*A756)*(1+'Presiones de casing'!$C$7/'Presiones de casing'!$C$13)</f>
        <v>17037.08428481398</v>
      </c>
      <c r="C756" s="339">
        <f>+B756*(Columna!$G$9+Columna!$B$7)/Columna!$G$9</f>
        <v>20296.73793983477</v>
      </c>
      <c r="D756" s="340">
        <f>+B756-A756*'Presiones de casing'!$C$4</f>
        <v>4286.496486193406</v>
      </c>
      <c r="E756" s="340">
        <f>+'Volumen de gas'!$C$1*Tabla!D756/14.7*520/'Volumen de gas'!$C$2*'Volumen de gas'!$C$4/'Volumen de gas'!$C$3</f>
        <v>66145.63201116028</v>
      </c>
      <c r="F756" s="340">
        <f t="shared" si="13"/>
        <v>350.4404344962134</v>
      </c>
    </row>
    <row r="757" spans="1:6" ht="12.75">
      <c r="A757" s="317">
        <v>189</v>
      </c>
      <c r="B757" s="339">
        <f>+('Presiones de casing'!$C$2+14.7+'Presiones de casing'!$C$3+('Presiones de casing'!$C$4+'Presiones de casing'!$C$8)*A757)*(1+'Presiones de casing'!$C$7/'Presiones de casing'!$C$13)</f>
        <v>17059.430551760866</v>
      </c>
      <c r="C757" s="339">
        <f>+B757*(Columna!$G$9+Columna!$B$7)/Columna!$G$9</f>
        <v>20323.35965025025</v>
      </c>
      <c r="D757" s="340">
        <f>+B757-A757*'Presiones de casing'!$C$4</f>
        <v>4291.95455738053</v>
      </c>
      <c r="E757" s="340">
        <f>+'Volumen de gas'!$C$1*Tabla!D757/14.7*520/'Volumen de gas'!$C$2*'Volumen de gas'!$C$4/'Volumen de gas'!$C$3</f>
        <v>66229.8564049973</v>
      </c>
      <c r="F757" s="340">
        <f t="shared" si="13"/>
        <v>350.42252066136143</v>
      </c>
    </row>
    <row r="758" spans="1:6" ht="12.75">
      <c r="A758" s="317">
        <v>189.25</v>
      </c>
      <c r="B758" s="339">
        <f>+('Presiones de casing'!$C$2+14.7+'Presiones de casing'!$C$3+('Presiones de casing'!$C$4+'Presiones de casing'!$C$8)*A758)*(1+'Presiones de casing'!$C$7/'Presiones de casing'!$C$13)</f>
        <v>17081.77681870775</v>
      </c>
      <c r="C758" s="339">
        <f>+B758*(Columna!$G$9+Columna!$B$7)/Columna!$G$9</f>
        <v>20349.981360665737</v>
      </c>
      <c r="D758" s="340">
        <f>+B758-A758*'Presiones de casing'!$C$4</f>
        <v>4297.41262856765</v>
      </c>
      <c r="E758" s="340">
        <f>+'Volumen de gas'!$C$1*Tabla!D758/14.7*520/'Volumen de gas'!$C$2*'Volumen de gas'!$C$4/'Volumen de gas'!$C$3</f>
        <v>66314.08079883427</v>
      </c>
      <c r="F758" s="340">
        <f t="shared" si="13"/>
        <v>350.40465415500273</v>
      </c>
    </row>
    <row r="759" spans="1:6" ht="12.75">
      <c r="A759" s="317">
        <v>189.5</v>
      </c>
      <c r="B759" s="339">
        <f>+('Presiones de casing'!$C$2+14.7+'Presiones de casing'!$C$3+('Presiones de casing'!$C$4+'Presiones de casing'!$C$8)*A759)*(1+'Presiones de casing'!$C$7/'Presiones de casing'!$C$13)</f>
        <v>17104.12308565463</v>
      </c>
      <c r="C759" s="339">
        <f>+B759*(Columna!$G$9+Columna!$B$7)/Columna!$G$9</f>
        <v>20376.60307108122</v>
      </c>
      <c r="D759" s="340">
        <f>+B759-A759*'Presiones de casing'!$C$4</f>
        <v>4302.870699754771</v>
      </c>
      <c r="E759" s="340">
        <f>+'Volumen de gas'!$C$1*Tabla!D759/14.7*520/'Volumen de gas'!$C$2*'Volumen de gas'!$C$4/'Volumen de gas'!$C$3</f>
        <v>66398.30519267127</v>
      </c>
      <c r="F759" s="340">
        <f t="shared" si="13"/>
        <v>350.386834789822</v>
      </c>
    </row>
    <row r="760" spans="1:6" ht="12.75">
      <c r="A760" s="317">
        <v>189.75</v>
      </c>
      <c r="B760" s="339">
        <f>+('Presiones de casing'!$C$2+14.7+'Presiones de casing'!$C$3+('Presiones de casing'!$C$4+'Presiones de casing'!$C$8)*A760)*(1+'Presiones de casing'!$C$7/'Presiones de casing'!$C$13)</f>
        <v>17126.469352601514</v>
      </c>
      <c r="C760" s="339">
        <f>+B760*(Columna!$G$9+Columna!$B$7)/Columna!$G$9</f>
        <v>20403.224781496698</v>
      </c>
      <c r="D760" s="340">
        <f>+B760-A760*'Presiones de casing'!$C$4</f>
        <v>4308.328770941891</v>
      </c>
      <c r="E760" s="340">
        <f>+'Volumen de gas'!$C$1*Tabla!D760/14.7*520/'Volumen de gas'!$C$2*'Volumen de gas'!$C$4/'Volumen de gas'!$C$3</f>
        <v>66482.52958650826</v>
      </c>
      <c r="F760" s="340">
        <f t="shared" si="13"/>
        <v>350.3690623794902</v>
      </c>
    </row>
    <row r="761" spans="1:6" ht="12.75">
      <c r="A761" s="317">
        <v>190</v>
      </c>
      <c r="B761" s="339">
        <f>+('Presiones de casing'!$C$2+14.7+'Presiones de casing'!$C$3+('Presiones de casing'!$C$4+'Presiones de casing'!$C$8)*A761)*(1+'Presiones de casing'!$C$7/'Presiones de casing'!$C$13)</f>
        <v>17148.815619548397</v>
      </c>
      <c r="C761" s="339">
        <f>+B761*(Columna!$G$9+Columna!$B$7)/Columna!$G$9</f>
        <v>20429.84649191218</v>
      </c>
      <c r="D761" s="340">
        <f>+B761-A761*'Presiones de casing'!$C$4</f>
        <v>4313.786842129011</v>
      </c>
      <c r="E761" s="340">
        <f>+'Volumen de gas'!$C$1*Tabla!D761/14.7*520/'Volumen de gas'!$C$2*'Volumen de gas'!$C$4/'Volumen de gas'!$C$3</f>
        <v>66566.75398034522</v>
      </c>
      <c r="F761" s="340">
        <f t="shared" si="13"/>
        <v>350.3513367386591</v>
      </c>
    </row>
    <row r="762" spans="1:6" ht="12.75">
      <c r="A762" s="317">
        <v>190.25</v>
      </c>
      <c r="B762" s="339">
        <f>+('Presiones de casing'!$C$2+14.7+'Presiones de casing'!$C$3+('Presiones de casing'!$C$4+'Presiones de casing'!$C$8)*A762)*(1+'Presiones de casing'!$C$7/'Presiones de casing'!$C$13)</f>
        <v>17171.161886495283</v>
      </c>
      <c r="C762" s="339">
        <f>+B762*(Columna!$G$9+Columna!$B$7)/Columna!$G$9</f>
        <v>20456.468202327665</v>
      </c>
      <c r="D762" s="340">
        <f>+B762-A762*'Presiones de casing'!$C$4</f>
        <v>4319.244913316135</v>
      </c>
      <c r="E762" s="340">
        <f>+'Volumen de gas'!$C$1*Tabla!D762/14.7*520/'Volumen de gas'!$C$2*'Volumen de gas'!$C$4/'Volumen de gas'!$C$3</f>
        <v>66650.97837418226</v>
      </c>
      <c r="F762" s="340">
        <f t="shared" si="13"/>
        <v>350.3336576829554</v>
      </c>
    </row>
    <row r="763" spans="1:6" ht="12.75">
      <c r="A763" s="317">
        <v>190.5</v>
      </c>
      <c r="B763" s="339">
        <f>+('Presiones de casing'!$C$2+14.7+'Presiones de casing'!$C$3+('Presiones de casing'!$C$4+'Presiones de casing'!$C$8)*A763)*(1+'Presiones de casing'!$C$7/'Presiones de casing'!$C$13)</f>
        <v>17193.508153442162</v>
      </c>
      <c r="C763" s="339">
        <f>+B763*(Columna!$G$9+Columna!$B$7)/Columna!$G$9</f>
        <v>20483.089912743144</v>
      </c>
      <c r="D763" s="340">
        <f>+B763-A763*'Presiones de casing'!$C$4</f>
        <v>4324.702984503252</v>
      </c>
      <c r="E763" s="340">
        <f>+'Volumen de gas'!$C$1*Tabla!D763/14.7*520/'Volumen de gas'!$C$2*'Volumen de gas'!$C$4/'Volumen de gas'!$C$3</f>
        <v>66735.20276801918</v>
      </c>
      <c r="F763" s="340">
        <f t="shared" si="13"/>
        <v>350.3160250289721</v>
      </c>
    </row>
    <row r="764" spans="1:6" ht="12.75">
      <c r="A764" s="317">
        <v>190.75</v>
      </c>
      <c r="B764" s="339">
        <f>+('Presiones de casing'!$C$2+14.7+'Presiones de casing'!$C$3+('Presiones de casing'!$C$4+'Presiones de casing'!$C$8)*A764)*(1+'Presiones de casing'!$C$7/'Presiones de casing'!$C$13)</f>
        <v>17215.85442038905</v>
      </c>
      <c r="C764" s="339">
        <f>+B764*(Columna!$G$9+Columna!$B$7)/Columna!$G$9</f>
        <v>20509.71162315863</v>
      </c>
      <c r="D764" s="340">
        <f>+B764-A764*'Presiones de casing'!$C$4</f>
        <v>4330.161055690376</v>
      </c>
      <c r="E764" s="340">
        <f>+'Volumen de gas'!$C$1*Tabla!D764/14.7*520/'Volumen de gas'!$C$2*'Volumen de gas'!$C$4/'Volumen de gas'!$C$3</f>
        <v>66819.42716185622</v>
      </c>
      <c r="F764" s="340">
        <f t="shared" si="13"/>
        <v>350.2984385942659</v>
      </c>
    </row>
    <row r="765" spans="1:6" ht="12.75">
      <c r="A765" s="317">
        <v>191</v>
      </c>
      <c r="B765" s="339">
        <f>+('Presiones de casing'!$C$2+14.7+'Presiones de casing'!$C$3+('Presiones de casing'!$C$4+'Presiones de casing'!$C$8)*A765)*(1+'Presiones de casing'!$C$7/'Presiones de casing'!$C$13)</f>
        <v>17238.20068733593</v>
      </c>
      <c r="C765" s="339">
        <f>+B765*(Columna!$G$9+Columna!$B$7)/Columna!$G$9</f>
        <v>20536.33333357411</v>
      </c>
      <c r="D765" s="340">
        <f>+B765-A765*'Presiones de casing'!$C$4</f>
        <v>4335.6191268774965</v>
      </c>
      <c r="E765" s="340">
        <f>+'Volumen de gas'!$C$1*Tabla!D765/14.7*520/'Volumen de gas'!$C$2*'Volumen de gas'!$C$4/'Volumen de gas'!$C$3</f>
        <v>66903.6515556932</v>
      </c>
      <c r="F765" s="340">
        <f t="shared" si="13"/>
        <v>350.2808981973466</v>
      </c>
    </row>
    <row r="766" spans="1:6" ht="12.75">
      <c r="A766" s="317">
        <v>191.25</v>
      </c>
      <c r="B766" s="339">
        <f>+('Presiones de casing'!$C$2+14.7+'Presiones de casing'!$C$3+('Presiones de casing'!$C$4+'Presiones de casing'!$C$8)*A766)*(1+'Presiones de casing'!$C$7/'Presiones de casing'!$C$13)</f>
        <v>17260.546954282814</v>
      </c>
      <c r="C766" s="339">
        <f>+B766*(Columna!$G$9+Columna!$B$7)/Columna!$G$9</f>
        <v>20562.955043989594</v>
      </c>
      <c r="D766" s="340">
        <f>+B766-A766*'Presiones de casing'!$C$4</f>
        <v>4341.077198064617</v>
      </c>
      <c r="E766" s="340">
        <f>+'Volumen de gas'!$C$1*Tabla!D766/14.7*520/'Volumen de gas'!$C$2*'Volumen de gas'!$C$4/'Volumen de gas'!$C$3</f>
        <v>66987.87594953016</v>
      </c>
      <c r="F766" s="340">
        <f t="shared" si="13"/>
        <v>350.2634036576741</v>
      </c>
    </row>
    <row r="767" spans="1:6" ht="12.75">
      <c r="A767" s="317">
        <v>191.5</v>
      </c>
      <c r="B767" s="339">
        <f>+('Presiones de casing'!$C$2+14.7+'Presiones de casing'!$C$3+('Presiones de casing'!$C$4+'Presiones de casing'!$C$8)*A767)*(1+'Presiones de casing'!$C$7/'Presiones de casing'!$C$13)</f>
        <v>17282.893221229697</v>
      </c>
      <c r="C767" s="339">
        <f>+B767*(Columna!$G$9+Columna!$B$7)/Columna!$G$9</f>
        <v>20589.576754405072</v>
      </c>
      <c r="D767" s="340">
        <f>+B767-A767*'Presiones de casing'!$C$4</f>
        <v>4346.535269251737</v>
      </c>
      <c r="E767" s="340">
        <f>+'Volumen de gas'!$C$1*Tabla!D767/14.7*520/'Volumen de gas'!$C$2*'Volumen de gas'!$C$4/'Volumen de gas'!$C$3</f>
        <v>67072.10034336716</v>
      </c>
      <c r="F767" s="340">
        <f t="shared" si="13"/>
        <v>350.24595479565096</v>
      </c>
    </row>
    <row r="768" spans="1:6" ht="12.75">
      <c r="A768" s="317">
        <v>191.75</v>
      </c>
      <c r="B768" s="339">
        <f>+('Presiones de casing'!$C$2+14.7+'Presiones de casing'!$C$3+('Presiones de casing'!$C$4+'Presiones de casing'!$C$8)*A768)*(1+'Presiones de casing'!$C$7/'Presiones de casing'!$C$13)</f>
        <v>17305.239488176583</v>
      </c>
      <c r="C768" s="339">
        <f>+B768*(Columna!$G$9+Columna!$B$7)/Columna!$G$9</f>
        <v>20616.19846482056</v>
      </c>
      <c r="D768" s="340">
        <f>+B768-A768*'Presiones de casing'!$C$4</f>
        <v>4351.993340438861</v>
      </c>
      <c r="E768" s="340">
        <f>+'Volumen de gas'!$C$1*Tabla!D768/14.7*520/'Volumen de gas'!$C$2*'Volumen de gas'!$C$4/'Volumen de gas'!$C$3</f>
        <v>67156.3247372042</v>
      </c>
      <c r="F768" s="340">
        <f t="shared" si="13"/>
        <v>350.2285514326164</v>
      </c>
    </row>
    <row r="769" spans="1:6" ht="12.75">
      <c r="A769" s="317">
        <v>192</v>
      </c>
      <c r="B769" s="339">
        <f>+('Presiones de casing'!$C$2+14.7+'Presiones de casing'!$C$3+('Presiones de casing'!$C$4+'Presiones de casing'!$C$8)*A769)*(1+'Presiones de casing'!$C$7/'Presiones de casing'!$C$13)</f>
        <v>17327.585755123466</v>
      </c>
      <c r="C769" s="339">
        <f>+B769*(Columna!$G$9+Columna!$B$7)/Columna!$G$9</f>
        <v>20642.82017523604</v>
      </c>
      <c r="D769" s="340">
        <f>+B769-A769*'Presiones de casing'!$C$4</f>
        <v>4357.451411625982</v>
      </c>
      <c r="E769" s="340">
        <f>+'Volumen de gas'!$C$1*Tabla!D769/14.7*520/'Volumen de gas'!$C$2*'Volumen de gas'!$C$4/'Volumen de gas'!$C$3</f>
        <v>67240.54913104117</v>
      </c>
      <c r="F769" s="340">
        <f aca="true" t="shared" si="14" ref="F769:F832">+E769/A769</f>
        <v>350.21119339083947</v>
      </c>
    </row>
    <row r="770" spans="1:6" ht="12.75">
      <c r="A770" s="317">
        <v>192.25</v>
      </c>
      <c r="B770" s="339">
        <f>+('Presiones de casing'!$C$2+14.7+'Presiones de casing'!$C$3+('Presiones de casing'!$C$4+'Presiones de casing'!$C$8)*A770)*(1+'Presiones de casing'!$C$7/'Presiones de casing'!$C$13)</f>
        <v>17349.932022070345</v>
      </c>
      <c r="C770" s="339">
        <f>+B770*(Columna!$G$9+Columna!$B$7)/Columna!$G$9</f>
        <v>20669.44188565152</v>
      </c>
      <c r="D770" s="340">
        <f>+B770-A770*'Presiones de casing'!$C$4</f>
        <v>4362.9094828130965</v>
      </c>
      <c r="E770" s="340">
        <f>+'Volumen de gas'!$C$1*Tabla!D770/14.7*520/'Volumen de gas'!$C$2*'Volumen de gas'!$C$4/'Volumen de gas'!$C$3</f>
        <v>67324.77352487807</v>
      </c>
      <c r="F770" s="340">
        <f t="shared" si="14"/>
        <v>350.193880493514</v>
      </c>
    </row>
    <row r="771" spans="1:6" ht="12.75">
      <c r="A771" s="317">
        <v>192.5</v>
      </c>
      <c r="B771" s="339">
        <f>+('Presiones de casing'!$C$2+14.7+'Presiones de casing'!$C$3+('Presiones de casing'!$C$4+'Presiones de casing'!$C$8)*A771)*(1+'Presiones de casing'!$C$7/'Presiones de casing'!$C$13)</f>
        <v>17372.27828901723</v>
      </c>
      <c r="C771" s="339">
        <f>+B771*(Columna!$G$9+Columna!$B$7)/Columna!$G$9</f>
        <v>20696.063596067004</v>
      </c>
      <c r="D771" s="340">
        <f>+B771-A771*'Presiones de casing'!$C$4</f>
        <v>4368.3675540002205</v>
      </c>
      <c r="E771" s="340">
        <f>+'Volumen de gas'!$C$1*Tabla!D771/14.7*520/'Volumen de gas'!$C$2*'Volumen de gas'!$C$4/'Volumen de gas'!$C$3</f>
        <v>67408.9979187151</v>
      </c>
      <c r="F771" s="340">
        <f t="shared" si="14"/>
        <v>350.1766125647538</v>
      </c>
    </row>
    <row r="772" spans="1:6" ht="12.75">
      <c r="A772" s="317">
        <v>192.75</v>
      </c>
      <c r="B772" s="339">
        <f>+('Presiones de casing'!$C$2+14.7+'Presiones de casing'!$C$3+('Presiones de casing'!$C$4+'Presiones de casing'!$C$8)*A772)*(1+'Presiones de casing'!$C$7/'Presiones de casing'!$C$13)</f>
        <v>17394.624555964114</v>
      </c>
      <c r="C772" s="339">
        <f>+B772*(Columna!$G$9+Columna!$B$7)/Columna!$G$9</f>
        <v>20722.685306482486</v>
      </c>
      <c r="D772" s="340">
        <f>+B772-A772*'Presiones de casing'!$C$4</f>
        <v>4373.825625187341</v>
      </c>
      <c r="E772" s="340">
        <f>+'Volumen de gas'!$C$1*Tabla!D772/14.7*520/'Volumen de gas'!$C$2*'Volumen de gas'!$C$4/'Volumen de gas'!$C$3</f>
        <v>67493.22231255208</v>
      </c>
      <c r="F772" s="340">
        <f t="shared" si="14"/>
        <v>350.1593894295828</v>
      </c>
    </row>
    <row r="773" spans="1:6" ht="12.75">
      <c r="A773" s="317">
        <v>193</v>
      </c>
      <c r="B773" s="339">
        <f>+('Presiones de casing'!$C$2+14.7+'Presiones de casing'!$C$3+('Presiones de casing'!$C$4+'Presiones de casing'!$C$8)*A773)*(1+'Presiones de casing'!$C$7/'Presiones de casing'!$C$13)</f>
        <v>17416.970822910997</v>
      </c>
      <c r="C773" s="339">
        <f>+B773*(Columna!$G$9+Columna!$B$7)/Columna!$G$9</f>
        <v>20749.30701689797</v>
      </c>
      <c r="D773" s="340">
        <f>+B773-A773*'Presiones de casing'!$C$4</f>
        <v>4379.283696374461</v>
      </c>
      <c r="E773" s="340">
        <f>+'Volumen de gas'!$C$1*Tabla!D773/14.7*520/'Volumen de gas'!$C$2*'Volumen de gas'!$C$4/'Volumen de gas'!$C$3</f>
        <v>67577.44670638906</v>
      </c>
      <c r="F773" s="340">
        <f t="shared" si="14"/>
        <v>350.14221091393296</v>
      </c>
    </row>
    <row r="774" spans="1:6" ht="12.75">
      <c r="A774" s="317">
        <v>193.25</v>
      </c>
      <c r="B774" s="339">
        <f>+('Presiones de casing'!$C$2+14.7+'Presiones de casing'!$C$3+('Presiones de casing'!$C$4+'Presiones de casing'!$C$8)*A774)*(1+'Presiones de casing'!$C$7/'Presiones de casing'!$C$13)</f>
        <v>17439.31708985788</v>
      </c>
      <c r="C774" s="339">
        <f>+B774*(Columna!$G$9+Columna!$B$7)/Columna!$G$9</f>
        <v>20775.928727313447</v>
      </c>
      <c r="D774" s="340">
        <f>+B774-A774*'Presiones de casing'!$C$4</f>
        <v>4384.741767561582</v>
      </c>
      <c r="E774" s="340">
        <f>+'Volumen de gas'!$C$1*Tabla!D774/14.7*520/'Volumen de gas'!$C$2*'Volumen de gas'!$C$4/'Volumen de gas'!$C$3</f>
        <v>67661.67110022604</v>
      </c>
      <c r="F774" s="340">
        <f t="shared" si="14"/>
        <v>350.1250768446367</v>
      </c>
    </row>
    <row r="775" spans="1:6" ht="12.75">
      <c r="A775" s="317">
        <v>193.5</v>
      </c>
      <c r="B775" s="339">
        <f>+('Presiones de casing'!$C$2+14.7+'Presiones de casing'!$C$3+('Presiones de casing'!$C$4+'Presiones de casing'!$C$8)*A775)*(1+'Presiones de casing'!$C$7/'Presiones de casing'!$C$13)</f>
        <v>17461.663356804765</v>
      </c>
      <c r="C775" s="339">
        <f>+B775*(Columna!$G$9+Columna!$B$7)/Columna!$G$9</f>
        <v>20802.550437728936</v>
      </c>
      <c r="D775" s="340">
        <f>+B775-A775*'Presiones de casing'!$C$4</f>
        <v>4390.199838748706</v>
      </c>
      <c r="E775" s="340">
        <f>+'Volumen de gas'!$C$1*Tabla!D775/14.7*520/'Volumen de gas'!$C$2*'Volumen de gas'!$C$4/'Volumen de gas'!$C$3</f>
        <v>67745.89549406308</v>
      </c>
      <c r="F775" s="340">
        <f t="shared" si="14"/>
        <v>350.1079870494216</v>
      </c>
    </row>
    <row r="776" spans="1:6" ht="12.75">
      <c r="A776" s="317">
        <v>193.75</v>
      </c>
      <c r="B776" s="339">
        <f>+('Presiones de casing'!$C$2+14.7+'Presiones de casing'!$C$3+('Presiones de casing'!$C$4+'Presiones de casing'!$C$8)*A776)*(1+'Presiones de casing'!$C$7/'Presiones de casing'!$C$13)</f>
        <v>17484.009623751648</v>
      </c>
      <c r="C776" s="339">
        <f>+B776*(Columna!$G$9+Columna!$B$7)/Columna!$G$9</f>
        <v>20829.17214814442</v>
      </c>
      <c r="D776" s="340">
        <f>+B776-A776*'Presiones de casing'!$C$4</f>
        <v>4395.657909935826</v>
      </c>
      <c r="E776" s="340">
        <f>+'Volumen de gas'!$C$1*Tabla!D776/14.7*520/'Volumen de gas'!$C$2*'Volumen de gas'!$C$4/'Volumen de gas'!$C$3</f>
        <v>67830.11988790004</v>
      </c>
      <c r="F776" s="340">
        <f t="shared" si="14"/>
        <v>350.09094135690344</v>
      </c>
    </row>
    <row r="777" spans="1:6" ht="12.75">
      <c r="A777" s="317">
        <v>194</v>
      </c>
      <c r="B777" s="339">
        <f>+('Presiones de casing'!$C$2+14.7+'Presiones de casing'!$C$3+('Presiones de casing'!$C$4+'Presiones de casing'!$C$8)*A777)*(1+'Presiones de casing'!$C$7/'Presiones de casing'!$C$13)</f>
        <v>17506.35589069853</v>
      </c>
      <c r="C777" s="339">
        <f>+B777*(Columna!$G$9+Columna!$B$7)/Columna!$G$9</f>
        <v>20855.793858559897</v>
      </c>
      <c r="D777" s="340">
        <f>+B777-A777*'Presiones de casing'!$C$4</f>
        <v>4401.115981122946</v>
      </c>
      <c r="E777" s="340">
        <f>+'Volumen de gas'!$C$1*Tabla!D777/14.7*520/'Volumen de gas'!$C$2*'Volumen de gas'!$C$4/'Volumen de gas'!$C$3</f>
        <v>67914.34428173704</v>
      </c>
      <c r="F777" s="340">
        <f t="shared" si="14"/>
        <v>350.07393959658265</v>
      </c>
    </row>
    <row r="778" spans="1:6" ht="12.75">
      <c r="A778" s="317">
        <v>194.25</v>
      </c>
      <c r="B778" s="339">
        <f>+('Presiones de casing'!$C$2+14.7+'Presiones de casing'!$C$3+('Presiones de casing'!$C$4+'Presiones de casing'!$C$8)*A778)*(1+'Presiones de casing'!$C$7/'Presiones de casing'!$C$13)</f>
        <v>17528.702157645414</v>
      </c>
      <c r="C778" s="339">
        <f>+B778*(Columna!$G$9+Columna!$B$7)/Columna!$G$9</f>
        <v>20882.41556897538</v>
      </c>
      <c r="D778" s="340">
        <f>+B778-A778*'Presiones de casing'!$C$4</f>
        <v>4406.574052310067</v>
      </c>
      <c r="E778" s="340">
        <f>+'Volumen de gas'!$C$1*Tabla!D778/14.7*520/'Volumen de gas'!$C$2*'Volumen de gas'!$C$4/'Volumen de gas'!$C$3</f>
        <v>67998.568675574</v>
      </c>
      <c r="F778" s="340">
        <f t="shared" si="14"/>
        <v>350.05698159883656</v>
      </c>
    </row>
    <row r="779" spans="1:6" ht="12.75">
      <c r="A779" s="317">
        <v>194.5</v>
      </c>
      <c r="B779" s="339">
        <f>+('Presiones de casing'!$C$2+14.7+'Presiones de casing'!$C$3+('Presiones de casing'!$C$4+'Presiones de casing'!$C$8)*A779)*(1+'Presiones de casing'!$C$7/'Presiones de casing'!$C$13)</f>
        <v>17551.048424592296</v>
      </c>
      <c r="C779" s="339">
        <f>+B779*(Columna!$G$9+Columna!$B$7)/Columna!$G$9</f>
        <v>20909.03727939086</v>
      </c>
      <c r="D779" s="340">
        <f>+B779-A779*'Presiones de casing'!$C$4</f>
        <v>4412.032123497187</v>
      </c>
      <c r="E779" s="340">
        <f>+'Volumen de gas'!$C$1*Tabla!D779/14.7*520/'Volumen de gas'!$C$2*'Volumen de gas'!$C$4/'Volumen de gas'!$C$3</f>
        <v>68082.793069411</v>
      </c>
      <c r="F779" s="340">
        <f t="shared" si="14"/>
        <v>350.04006719491514</v>
      </c>
    </row>
    <row r="780" spans="1:6" ht="12.75">
      <c r="A780" s="317">
        <v>194.75</v>
      </c>
      <c r="B780" s="339">
        <f>+('Presiones de casing'!$C$2+14.7+'Presiones de casing'!$C$3+('Presiones de casing'!$C$4+'Presiones de casing'!$C$8)*A780)*(1+'Presiones de casing'!$C$7/'Presiones de casing'!$C$13)</f>
        <v>17573.39469153918</v>
      </c>
      <c r="C780" s="339">
        <f>+B780*(Columna!$G$9+Columna!$B$7)/Columna!$G$9</f>
        <v>20935.658989806343</v>
      </c>
      <c r="D780" s="340">
        <f>+B780-A780*'Presiones de casing'!$C$4</f>
        <v>4417.490194684307</v>
      </c>
      <c r="E780" s="340">
        <f>+'Volumen de gas'!$C$1*Tabla!D780/14.7*520/'Volumen de gas'!$C$2*'Volumen de gas'!$C$4/'Volumen de gas'!$C$3</f>
        <v>68167.01746324798</v>
      </c>
      <c r="F780" s="340">
        <f t="shared" si="14"/>
        <v>350.0231962169344</v>
      </c>
    </row>
    <row r="781" spans="1:6" ht="12.75">
      <c r="A781" s="317">
        <v>195</v>
      </c>
      <c r="B781" s="339">
        <f>+('Presiones de casing'!$C$2+14.7+'Presiones de casing'!$C$3+('Presiones de casing'!$C$4+'Presiones de casing'!$C$8)*A781)*(1+'Presiones de casing'!$C$7/'Presiones de casing'!$C$13)</f>
        <v>17595.74095848606</v>
      </c>
      <c r="C781" s="339">
        <f>+B781*(Columna!$G$9+Columna!$B$7)/Columna!$G$9</f>
        <v>20962.280700221825</v>
      </c>
      <c r="D781" s="340">
        <f>+B781-A781*'Presiones de casing'!$C$4</f>
        <v>4422.948265871428</v>
      </c>
      <c r="E781" s="340">
        <f>+'Volumen de gas'!$C$1*Tabla!D781/14.7*520/'Volumen de gas'!$C$2*'Volumen de gas'!$C$4/'Volumen de gas'!$C$3</f>
        <v>68251.24185708495</v>
      </c>
      <c r="F781" s="340">
        <f t="shared" si="14"/>
        <v>350.00636849787156</v>
      </c>
    </row>
    <row r="782" spans="1:6" ht="12.75">
      <c r="A782" s="317">
        <v>195.25</v>
      </c>
      <c r="B782" s="339">
        <f>+('Presiones de casing'!$C$2+14.7+'Presiones de casing'!$C$3+('Presiones de casing'!$C$4+'Presiones de casing'!$C$8)*A782)*(1+'Presiones de casing'!$C$7/'Presiones de casing'!$C$13)</f>
        <v>17618.087225432948</v>
      </c>
      <c r="C782" s="339">
        <f>+B782*(Columna!$G$9+Columna!$B$7)/Columna!$G$9</f>
        <v>20988.90241063731</v>
      </c>
      <c r="D782" s="340">
        <f>+B782-A782*'Presiones de casing'!$C$4</f>
        <v>4428.406337058552</v>
      </c>
      <c r="E782" s="340">
        <f>+'Volumen de gas'!$C$1*Tabla!D782/14.7*520/'Volumen de gas'!$C$2*'Volumen de gas'!$C$4/'Volumen de gas'!$C$3</f>
        <v>68335.46625092199</v>
      </c>
      <c r="F782" s="340">
        <f t="shared" si="14"/>
        <v>349.9895838715595</v>
      </c>
    </row>
    <row r="783" spans="1:6" ht="12.75">
      <c r="A783" s="317">
        <v>195.5</v>
      </c>
      <c r="B783" s="339">
        <f>+('Presiones de casing'!$C$2+14.7+'Presiones de casing'!$C$3+('Presiones de casing'!$C$4+'Presiones de casing'!$C$8)*A783)*(1+'Presiones de casing'!$C$7/'Presiones de casing'!$C$13)</f>
        <v>17640.43349237983</v>
      </c>
      <c r="C783" s="339">
        <f>+B783*(Columna!$G$9+Columna!$B$7)/Columna!$G$9</f>
        <v>21015.524121052793</v>
      </c>
      <c r="D783" s="340">
        <f>+B783-A783*'Presiones de casing'!$C$4</f>
        <v>4433.864408245672</v>
      </c>
      <c r="E783" s="340">
        <f>+'Volumen de gas'!$C$1*Tabla!D783/14.7*520/'Volumen de gas'!$C$2*'Volumen de gas'!$C$4/'Volumen de gas'!$C$3</f>
        <v>68419.69064475897</v>
      </c>
      <c r="F783" s="340">
        <f t="shared" si="14"/>
        <v>349.97284217268015</v>
      </c>
    </row>
    <row r="784" spans="1:6" ht="12.75">
      <c r="A784" s="317">
        <v>195.75</v>
      </c>
      <c r="B784" s="339">
        <f>+('Presiones de casing'!$C$2+14.7+'Presiones de casing'!$C$3+('Presiones de casing'!$C$4+'Presiones de casing'!$C$8)*A784)*(1+'Presiones de casing'!$C$7/'Presiones de casing'!$C$13)</f>
        <v>17662.779759326713</v>
      </c>
      <c r="C784" s="339">
        <f>+B784*(Columna!$G$9+Columna!$B$7)/Columna!$G$9</f>
        <v>21042.14583146827</v>
      </c>
      <c r="D784" s="340">
        <f>+B784-A784*'Presiones de casing'!$C$4</f>
        <v>4439.3224794327925</v>
      </c>
      <c r="E784" s="340">
        <f>+'Volumen de gas'!$C$1*Tabla!D784/14.7*520/'Volumen de gas'!$C$2*'Volumen de gas'!$C$4/'Volumen de gas'!$C$3</f>
        <v>68503.91503859594</v>
      </c>
      <c r="F784" s="340">
        <f t="shared" si="14"/>
        <v>349.95614323676085</v>
      </c>
    </row>
    <row r="785" spans="1:6" ht="12.75">
      <c r="A785" s="317">
        <v>196</v>
      </c>
      <c r="B785" s="339">
        <f>+('Presiones de casing'!$C$2+14.7+'Presiones de casing'!$C$3+('Presiones de casing'!$C$4+'Presiones de casing'!$C$8)*A785)*(1+'Presiones de casing'!$C$7/'Presiones de casing'!$C$13)</f>
        <v>17685.126026273596</v>
      </c>
      <c r="C785" s="339">
        <f>+B785*(Columna!$G$9+Columna!$B$7)/Columna!$G$9</f>
        <v>21068.767541883757</v>
      </c>
      <c r="D785" s="340">
        <f>+B785-A785*'Presiones de casing'!$C$4</f>
        <v>4444.780550619913</v>
      </c>
      <c r="E785" s="340">
        <f>+'Volumen de gas'!$C$1*Tabla!D785/14.7*520/'Volumen de gas'!$C$2*'Volumen de gas'!$C$4/'Volumen de gas'!$C$3</f>
        <v>68588.13943243292</v>
      </c>
      <c r="F785" s="340">
        <f t="shared" si="14"/>
        <v>349.93948690016794</v>
      </c>
    </row>
    <row r="786" spans="1:6" ht="12.75">
      <c r="A786" s="317">
        <v>196.25</v>
      </c>
      <c r="B786" s="339">
        <f>+('Presiones de casing'!$C$2+14.7+'Presiones de casing'!$C$3+('Presiones de casing'!$C$4+'Presiones de casing'!$C$8)*A786)*(1+'Presiones de casing'!$C$7/'Presiones de casing'!$C$13)</f>
        <v>17707.472293220482</v>
      </c>
      <c r="C786" s="339">
        <f>+B786*(Columna!$G$9+Columna!$B$7)/Columna!$G$9</f>
        <v>21095.38925229924</v>
      </c>
      <c r="D786" s="340">
        <f>+B786-A786*'Presiones de casing'!$C$4</f>
        <v>4450.238621807037</v>
      </c>
      <c r="E786" s="340">
        <f>+'Volumen de gas'!$C$1*Tabla!D786/14.7*520/'Volumen de gas'!$C$2*'Volumen de gas'!$C$4/'Volumen de gas'!$C$3</f>
        <v>68672.36382626997</v>
      </c>
      <c r="F786" s="340">
        <f t="shared" si="14"/>
        <v>349.92287300010173</v>
      </c>
    </row>
    <row r="787" spans="1:6" ht="12.75">
      <c r="A787" s="317">
        <v>196.5</v>
      </c>
      <c r="B787" s="339">
        <f>+('Presiones de casing'!$C$2+14.7+'Presiones de casing'!$C$3+('Presiones de casing'!$C$4+'Presiones de casing'!$C$8)*A787)*(1+'Presiones de casing'!$C$7/'Presiones de casing'!$C$13)</f>
        <v>17729.81856016736</v>
      </c>
      <c r="C787" s="339">
        <f>+B787*(Columna!$G$9+Columna!$B$7)/Columna!$G$9</f>
        <v>21122.010962714718</v>
      </c>
      <c r="D787" s="340">
        <f>+B787-A787*'Presiones de casing'!$C$4</f>
        <v>4455.696692994154</v>
      </c>
      <c r="E787" s="340">
        <f>+'Volumen de gas'!$C$1*Tabla!D787/14.7*520/'Volumen de gas'!$C$2*'Volumen de gas'!$C$4/'Volumen de gas'!$C$3</f>
        <v>68756.58822010687</v>
      </c>
      <c r="F787" s="340">
        <f t="shared" si="14"/>
        <v>349.9063013745897</v>
      </c>
    </row>
    <row r="788" spans="1:6" ht="12.75">
      <c r="A788" s="317">
        <v>196.75</v>
      </c>
      <c r="B788" s="339">
        <f>+('Presiones de casing'!$C$2+14.7+'Presiones de casing'!$C$3+('Presiones de casing'!$C$4+'Presiones de casing'!$C$8)*A788)*(1+'Presiones de casing'!$C$7/'Presiones de casing'!$C$13)</f>
        <v>17752.164827114248</v>
      </c>
      <c r="C788" s="339">
        <f>+B788*(Columna!$G$9+Columna!$B$7)/Columna!$G$9</f>
        <v>21148.632673130203</v>
      </c>
      <c r="D788" s="340">
        <f>+B788-A788*'Presiones de casing'!$C$4</f>
        <v>4461.154764181278</v>
      </c>
      <c r="E788" s="340">
        <f>+'Volumen de gas'!$C$1*Tabla!D788/14.7*520/'Volumen de gas'!$C$2*'Volumen de gas'!$C$4/'Volumen de gas'!$C$3</f>
        <v>68840.81261394391</v>
      </c>
      <c r="F788" s="340">
        <f t="shared" si="14"/>
        <v>349.88977186248496</v>
      </c>
    </row>
    <row r="789" spans="1:6" ht="12.75">
      <c r="A789" s="317">
        <v>197</v>
      </c>
      <c r="B789" s="339">
        <f>+('Presiones de casing'!$C$2+14.7+'Presiones de casing'!$C$3+('Presiones de casing'!$C$4+'Presiones de casing'!$C$8)*A789)*(1+'Presiones de casing'!$C$7/'Presiones de casing'!$C$13)</f>
        <v>17774.51109406113</v>
      </c>
      <c r="C789" s="339">
        <f>+B789*(Columna!$G$9+Columna!$B$7)/Columna!$G$9</f>
        <v>21175.254383545685</v>
      </c>
      <c r="D789" s="340">
        <f>+B789-A789*'Presiones de casing'!$C$4</f>
        <v>4466.612835368398</v>
      </c>
      <c r="E789" s="340">
        <f>+'Volumen de gas'!$C$1*Tabla!D789/14.7*520/'Volumen de gas'!$C$2*'Volumen de gas'!$C$4/'Volumen de gas'!$C$3</f>
        <v>68925.03700778089</v>
      </c>
      <c r="F789" s="340">
        <f t="shared" si="14"/>
        <v>349.8732843034563</v>
      </c>
    </row>
    <row r="790" spans="1:6" ht="12.75">
      <c r="A790" s="317">
        <v>197.25</v>
      </c>
      <c r="B790" s="339">
        <f>+('Presiones de casing'!$C$2+14.7+'Presiones de casing'!$C$3+('Presiones de casing'!$C$4+'Presiones de casing'!$C$8)*A790)*(1+'Presiones de casing'!$C$7/'Presiones de casing'!$C$13)</f>
        <v>17796.857361008013</v>
      </c>
      <c r="C790" s="339">
        <f>+B790*(Columna!$G$9+Columna!$B$7)/Columna!$G$9</f>
        <v>21201.876093961167</v>
      </c>
      <c r="D790" s="340">
        <f>+B790-A790*'Presiones de casing'!$C$4</f>
        <v>4472.070906555518</v>
      </c>
      <c r="E790" s="340">
        <f>+'Volumen de gas'!$C$1*Tabla!D790/14.7*520/'Volumen de gas'!$C$2*'Volumen de gas'!$C$4/'Volumen de gas'!$C$3</f>
        <v>69009.26140161787</v>
      </c>
      <c r="F790" s="340">
        <f t="shared" si="14"/>
        <v>349.8568385379867</v>
      </c>
    </row>
    <row r="791" spans="1:6" ht="12.75">
      <c r="A791" s="317">
        <v>197.5</v>
      </c>
      <c r="B791" s="339">
        <f>+('Presiones de casing'!$C$2+14.7+'Presiones de casing'!$C$3+('Presiones de casing'!$C$4+'Presiones de casing'!$C$8)*A791)*(1+'Presiones de casing'!$C$7/'Presiones de casing'!$C$13)</f>
        <v>17819.203627954896</v>
      </c>
      <c r="C791" s="339">
        <f>+B791*(Columna!$G$9+Columna!$B$7)/Columna!$G$9</f>
        <v>21228.49780437665</v>
      </c>
      <c r="D791" s="340">
        <f>+B791-A791*'Presiones de casing'!$C$4</f>
        <v>4477.528977742639</v>
      </c>
      <c r="E791" s="340">
        <f>+'Volumen de gas'!$C$1*Tabla!D791/14.7*520/'Volumen de gas'!$C$2*'Volumen de gas'!$C$4/'Volumen de gas'!$C$3</f>
        <v>69093.48579545486</v>
      </c>
      <c r="F791" s="340">
        <f t="shared" si="14"/>
        <v>349.8404344073664</v>
      </c>
    </row>
    <row r="792" spans="1:6" ht="12.75">
      <c r="A792" s="317">
        <v>197.75</v>
      </c>
      <c r="B792" s="339">
        <f>+('Presiones de casing'!$C$2+14.7+'Presiones de casing'!$C$3+('Presiones de casing'!$C$4+'Presiones de casing'!$C$8)*A792)*(1+'Presiones de casing'!$C$7/'Presiones de casing'!$C$13)</f>
        <v>17841.54989490178</v>
      </c>
      <c r="C792" s="339">
        <f>+B792*(Columna!$G$9+Columna!$B$7)/Columna!$G$9</f>
        <v>21255.11951479213</v>
      </c>
      <c r="D792" s="340">
        <f>+B792-A792*'Presiones de casing'!$C$4</f>
        <v>4482.987048929759</v>
      </c>
      <c r="E792" s="340">
        <f>+'Volumen de gas'!$C$1*Tabla!D792/14.7*520/'Volumen de gas'!$C$2*'Volumen de gas'!$C$4/'Volumen de gas'!$C$3</f>
        <v>69177.71018929183</v>
      </c>
      <c r="F792" s="340">
        <f t="shared" si="14"/>
        <v>349.82407175368814</v>
      </c>
    </row>
    <row r="793" spans="1:6" ht="12.75">
      <c r="A793" s="317">
        <v>198</v>
      </c>
      <c r="B793" s="339">
        <f>+('Presiones de casing'!$C$2+14.7+'Presiones de casing'!$C$3+('Presiones de casing'!$C$4+'Presiones de casing'!$C$8)*A793)*(1+'Presiones de casing'!$C$7/'Presiones de casing'!$C$13)</f>
        <v>17863.896161848665</v>
      </c>
      <c r="C793" s="339">
        <f>+B793*(Columna!$G$9+Columna!$B$7)/Columna!$G$9</f>
        <v>21281.741225207614</v>
      </c>
      <c r="D793" s="340">
        <f>+B793-A793*'Presiones de casing'!$C$4</f>
        <v>4488.445120116883</v>
      </c>
      <c r="E793" s="340">
        <f>+'Volumen de gas'!$C$1*Tabla!D793/14.7*520/'Volumen de gas'!$C$2*'Volumen de gas'!$C$4/'Volumen de gas'!$C$3</f>
        <v>69261.93458312887</v>
      </c>
      <c r="F793" s="340">
        <f t="shared" si="14"/>
        <v>349.80775041984276</v>
      </c>
    </row>
    <row r="794" spans="1:6" ht="12.75">
      <c r="A794" s="317">
        <v>198.25</v>
      </c>
      <c r="B794" s="339">
        <f>+('Presiones de casing'!$C$2+14.7+'Presiones de casing'!$C$3+('Presiones de casing'!$C$4+'Presiones de casing'!$C$8)*A794)*(1+'Presiones de casing'!$C$7/'Presiones de casing'!$C$13)</f>
        <v>17886.242428795547</v>
      </c>
      <c r="C794" s="339">
        <f>+B794*(Columna!$G$9+Columna!$B$7)/Columna!$G$9</f>
        <v>21308.362935623096</v>
      </c>
      <c r="D794" s="340">
        <f>+B794-A794*'Presiones de casing'!$C$4</f>
        <v>4493.9031913040035</v>
      </c>
      <c r="E794" s="340">
        <f>+'Volumen de gas'!$C$1*Tabla!D794/14.7*520/'Volumen de gas'!$C$2*'Volumen de gas'!$C$4/'Volumen de gas'!$C$3</f>
        <v>69346.15897696586</v>
      </c>
      <c r="F794" s="340">
        <f t="shared" si="14"/>
        <v>349.79147024951254</v>
      </c>
    </row>
    <row r="795" spans="1:6" ht="12.75">
      <c r="A795" s="317">
        <v>198.5</v>
      </c>
      <c r="B795" s="339">
        <f>+('Presiones de casing'!$C$2+14.7+'Presiones de casing'!$C$3+('Presiones de casing'!$C$4+'Presiones de casing'!$C$8)*A795)*(1+'Presiones de casing'!$C$7/'Presiones de casing'!$C$13)</f>
        <v>17908.58869574243</v>
      </c>
      <c r="C795" s="339">
        <f>+B795*(Columna!$G$9+Columna!$B$7)/Columna!$G$9</f>
        <v>21334.98464603858</v>
      </c>
      <c r="D795" s="340">
        <f>+B795-A795*'Presiones de casing'!$C$4</f>
        <v>4499.361262491124</v>
      </c>
      <c r="E795" s="340">
        <f>+'Volumen de gas'!$C$1*Tabla!D795/14.7*520/'Volumen de gas'!$C$2*'Volumen de gas'!$C$4/'Volumen de gas'!$C$3</f>
        <v>69430.38337080283</v>
      </c>
      <c r="F795" s="340">
        <f t="shared" si="14"/>
        <v>349.77523108716787</v>
      </c>
    </row>
    <row r="796" spans="1:6" ht="12.75">
      <c r="A796" s="317">
        <v>198.75</v>
      </c>
      <c r="B796" s="339">
        <f>+('Presiones de casing'!$C$2+14.7+'Presiones de casing'!$C$3+('Presiones de casing'!$C$4+'Presiones de casing'!$C$8)*A796)*(1+'Presiones de casing'!$C$7/'Presiones de casing'!$C$13)</f>
        <v>17930.934962689313</v>
      </c>
      <c r="C796" s="339">
        <f>+B796*(Columna!$G$9+Columna!$B$7)/Columna!$G$9</f>
        <v>21361.60635645406</v>
      </c>
      <c r="D796" s="340">
        <f>+B796-A796*'Presiones de casing'!$C$4</f>
        <v>4504.819333678244</v>
      </c>
      <c r="E796" s="340">
        <f>+'Volumen de gas'!$C$1*Tabla!D796/14.7*520/'Volumen de gas'!$C$2*'Volumen de gas'!$C$4/'Volumen de gas'!$C$3</f>
        <v>69514.6077646398</v>
      </c>
      <c r="F796" s="340">
        <f t="shared" si="14"/>
        <v>349.7590327780619</v>
      </c>
    </row>
    <row r="797" spans="1:6" ht="12.75">
      <c r="A797" s="317">
        <v>199</v>
      </c>
      <c r="B797" s="339">
        <f>+('Presiones de casing'!$C$2+14.7+'Presiones de casing'!$C$3+('Presiones de casing'!$C$4+'Presiones de casing'!$C$8)*A797)*(1+'Presiones de casing'!$C$7/'Presiones de casing'!$C$13)</f>
        <v>17953.2812296362</v>
      </c>
      <c r="C797" s="339">
        <f>+B797*(Columna!$G$9+Columna!$B$7)/Columna!$G$9</f>
        <v>21388.228066869546</v>
      </c>
      <c r="D797" s="340">
        <f>+B797-A797*'Presiones de casing'!$C$4</f>
        <v>4510.277404865368</v>
      </c>
      <c r="E797" s="340">
        <f>+'Volumen de gas'!$C$1*Tabla!D797/14.7*520/'Volumen de gas'!$C$2*'Volumen de gas'!$C$4/'Volumen de gas'!$C$3</f>
        <v>69598.83215847684</v>
      </c>
      <c r="F797" s="340">
        <f t="shared" si="14"/>
        <v>349.74287516822534</v>
      </c>
    </row>
    <row r="798" spans="1:6" ht="12.75">
      <c r="A798" s="317">
        <v>199.25</v>
      </c>
      <c r="B798" s="339">
        <f>+('Presiones de casing'!$C$2+14.7+'Presiones de casing'!$C$3+('Presiones de casing'!$C$4+'Presiones de casing'!$C$8)*A798)*(1+'Presiones de casing'!$C$7/'Presiones de casing'!$C$13)</f>
        <v>17975.627496583078</v>
      </c>
      <c r="C798" s="339">
        <f>+B798*(Columna!$G$9+Columna!$B$7)/Columna!$G$9</f>
        <v>21414.849777285024</v>
      </c>
      <c r="D798" s="340">
        <f>+B798-A798*'Presiones de casing'!$C$4</f>
        <v>4515.735476052485</v>
      </c>
      <c r="E798" s="340">
        <f>+'Volumen de gas'!$C$1*Tabla!D798/14.7*520/'Volumen de gas'!$C$2*'Volumen de gas'!$C$4/'Volumen de gas'!$C$3</f>
        <v>69683.05655231376</v>
      </c>
      <c r="F798" s="340">
        <f t="shared" si="14"/>
        <v>349.72675810446054</v>
      </c>
    </row>
    <row r="799" spans="1:6" ht="12.75">
      <c r="A799" s="317">
        <v>199.5</v>
      </c>
      <c r="B799" s="339">
        <f>+('Presiones de casing'!$C$2+14.7+'Presiones de casing'!$C$3+('Presiones de casing'!$C$4+'Presiones de casing'!$C$8)*A799)*(1+'Presiones de casing'!$C$7/'Presiones de casing'!$C$13)</f>
        <v>17997.97376352996</v>
      </c>
      <c r="C799" s="339">
        <f>+B799*(Columna!$G$9+Columna!$B$7)/Columna!$G$9</f>
        <v>21441.471487700506</v>
      </c>
      <c r="D799" s="340">
        <f>+B799-A799*'Presiones de casing'!$C$4</f>
        <v>4521.193547239605</v>
      </c>
      <c r="E799" s="340">
        <f>+'Volumen de gas'!$C$1*Tabla!D799/14.7*520/'Volumen de gas'!$C$2*'Volumen de gas'!$C$4/'Volumen de gas'!$C$3</f>
        <v>69767.28094615073</v>
      </c>
      <c r="F799" s="340">
        <f t="shared" si="14"/>
        <v>349.7106814343395</v>
      </c>
    </row>
    <row r="800" spans="1:6" ht="12.75">
      <c r="A800" s="317">
        <v>199.75</v>
      </c>
      <c r="B800" s="339">
        <f>+('Presiones de casing'!$C$2+14.7+'Presiones de casing'!$C$3+('Presiones de casing'!$C$4+'Presiones de casing'!$C$8)*A800)*(1+'Presiones de casing'!$C$7/'Presiones de casing'!$C$13)</f>
        <v>18020.320030476847</v>
      </c>
      <c r="C800" s="339">
        <f>+B800*(Columna!$G$9+Columna!$B$7)/Columna!$G$9</f>
        <v>21468.09319811599</v>
      </c>
      <c r="D800" s="340">
        <f>+B800-A800*'Presiones de casing'!$C$4</f>
        <v>4526.651618426729</v>
      </c>
      <c r="E800" s="340">
        <f>+'Volumen de gas'!$C$1*Tabla!D800/14.7*520/'Volumen de gas'!$C$2*'Volumen de gas'!$C$4/'Volumen de gas'!$C$3</f>
        <v>69851.50533998778</v>
      </c>
      <c r="F800" s="340">
        <f t="shared" si="14"/>
        <v>349.69464500619665</v>
      </c>
    </row>
    <row r="801" spans="1:6" ht="12.75">
      <c r="A801" s="317">
        <v>200</v>
      </c>
      <c r="B801" s="339">
        <f>+('Presiones de casing'!$C$2+14.7+'Presiones de casing'!$C$3+('Presiones de casing'!$C$4+'Presiones de casing'!$C$8)*A801)*(1+'Presiones de casing'!$C$7/'Presiones de casing'!$C$13)</f>
        <v>18042.66629742373</v>
      </c>
      <c r="C801" s="339">
        <f>+B801*(Columna!$G$9+Columna!$B$7)/Columna!$G$9</f>
        <v>21494.714908531474</v>
      </c>
      <c r="D801" s="340">
        <f>+B801-A801*'Presiones de casing'!$C$4</f>
        <v>4532.10968961385</v>
      </c>
      <c r="E801" s="340">
        <f>+'Volumen de gas'!$C$1*Tabla!D801/14.7*520/'Volumen de gas'!$C$2*'Volumen de gas'!$C$4/'Volumen de gas'!$C$3</f>
        <v>69935.72973382476</v>
      </c>
      <c r="F801" s="340">
        <f t="shared" si="14"/>
        <v>349.6786486691238</v>
      </c>
    </row>
    <row r="802" spans="1:6" ht="12.75">
      <c r="A802" s="317">
        <v>200.25</v>
      </c>
      <c r="B802" s="339">
        <f>+('Presiones de casing'!$C$2+14.7+'Presiones de casing'!$C$3+('Presiones de casing'!$C$4+'Presiones de casing'!$C$8)*A802)*(1+'Presiones de casing'!$C$7/'Presiones de casing'!$C$13)</f>
        <v>18065.012564370612</v>
      </c>
      <c r="C802" s="339">
        <f>+B802*(Columna!$G$9+Columna!$B$7)/Columna!$G$9</f>
        <v>21521.336618946956</v>
      </c>
      <c r="D802" s="340">
        <f>+B802-A802*'Presiones de casing'!$C$4</f>
        <v>4537.56776080097</v>
      </c>
      <c r="E802" s="340">
        <f>+'Volumen de gas'!$C$1*Tabla!D802/14.7*520/'Volumen de gas'!$C$2*'Volumen de gas'!$C$4/'Volumen de gas'!$C$3</f>
        <v>70019.95412766174</v>
      </c>
      <c r="F802" s="340">
        <f t="shared" si="14"/>
        <v>349.6626922729675</v>
      </c>
    </row>
    <row r="803" spans="1:6" ht="12.75">
      <c r="A803" s="317">
        <v>200.5</v>
      </c>
      <c r="B803" s="339">
        <f>+('Presiones de casing'!$C$2+14.7+'Presiones de casing'!$C$3+('Presiones de casing'!$C$4+'Presiones de casing'!$C$8)*A803)*(1+'Presiones de casing'!$C$7/'Presiones de casing'!$C$13)</f>
        <v>18087.358831317495</v>
      </c>
      <c r="C803" s="339">
        <f>+B803*(Columna!$G$9+Columna!$B$7)/Columna!$G$9</f>
        <v>21547.95832936244</v>
      </c>
      <c r="D803" s="340">
        <f>+B803-A803*'Presiones de casing'!$C$4</f>
        <v>4543.02583198809</v>
      </c>
      <c r="E803" s="340">
        <f>+'Volumen de gas'!$C$1*Tabla!D803/14.7*520/'Volumen de gas'!$C$2*'Volumen de gas'!$C$4/'Volumen de gas'!$C$3</f>
        <v>70104.17852149872</v>
      </c>
      <c r="F803" s="340">
        <f t="shared" si="14"/>
        <v>349.6467756683228</v>
      </c>
    </row>
    <row r="804" spans="1:6" ht="12.75">
      <c r="A804" s="317">
        <v>200.75</v>
      </c>
      <c r="B804" s="339">
        <f>+('Presiones de casing'!$C$2+14.7+'Presiones de casing'!$C$3+('Presiones de casing'!$C$4+'Presiones de casing'!$C$8)*A804)*(1+'Presiones de casing'!$C$7/'Presiones de casing'!$C$13)</f>
        <v>18109.70509826438</v>
      </c>
      <c r="C804" s="339">
        <f>+B804*(Columna!$G$9+Columna!$B$7)/Columna!$G$9</f>
        <v>21574.58003977792</v>
      </c>
      <c r="D804" s="340">
        <f>+B804-A804*'Presiones de casing'!$C$4</f>
        <v>4548.483903175214</v>
      </c>
      <c r="E804" s="340">
        <f>+'Volumen de gas'!$C$1*Tabla!D804/14.7*520/'Volumen de gas'!$C$2*'Volumen de gas'!$C$4/'Volumen de gas'!$C$3</f>
        <v>70188.40291533576</v>
      </c>
      <c r="F804" s="340">
        <f t="shared" si="14"/>
        <v>349.6308987065293</v>
      </c>
    </row>
    <row r="805" spans="1:6" ht="12.75">
      <c r="A805" s="317">
        <v>201</v>
      </c>
      <c r="B805" s="339">
        <f>+('Presiones de casing'!$C$2+14.7+'Presiones de casing'!$C$3+('Presiones de casing'!$C$4+'Presiones de casing'!$C$8)*A805)*(1+'Presiones de casing'!$C$7/'Presiones de casing'!$C$13)</f>
        <v>18132.05136521126</v>
      </c>
      <c r="C805" s="339">
        <f>+B805*(Columna!$G$9+Columna!$B$7)/Columna!$G$9</f>
        <v>21601.2017501934</v>
      </c>
      <c r="D805" s="340">
        <f>+B805-A805*'Presiones de casing'!$C$4</f>
        <v>4553.941974362331</v>
      </c>
      <c r="E805" s="340">
        <f>+'Volumen de gas'!$C$1*Tabla!D805/14.7*520/'Volumen de gas'!$C$2*'Volumen de gas'!$C$4/'Volumen de gas'!$C$3</f>
        <v>70272.62730917268</v>
      </c>
      <c r="F805" s="340">
        <f t="shared" si="14"/>
        <v>349.61506123966507</v>
      </c>
    </row>
    <row r="806" spans="1:6" ht="12.75">
      <c r="A806" s="317">
        <v>201.25</v>
      </c>
      <c r="B806" s="339">
        <f>+('Presiones de casing'!$C$2+14.7+'Presiones de casing'!$C$3+('Presiones de casing'!$C$4+'Presiones de casing'!$C$8)*A806)*(1+'Presiones de casing'!$C$7/'Presiones de casing'!$C$13)</f>
        <v>18154.397632158147</v>
      </c>
      <c r="C806" s="339">
        <f>+B806*(Columna!$G$9+Columna!$B$7)/Columna!$G$9</f>
        <v>21627.823460608884</v>
      </c>
      <c r="D806" s="340">
        <f>+B806-A806*'Presiones de casing'!$C$4</f>
        <v>4559.400045549455</v>
      </c>
      <c r="E806" s="340">
        <f>+'Volumen de gas'!$C$1*Tabla!D806/14.7*520/'Volumen de gas'!$C$2*'Volumen de gas'!$C$4/'Volumen de gas'!$C$3</f>
        <v>70356.85170300971</v>
      </c>
      <c r="F806" s="340">
        <f t="shared" si="14"/>
        <v>349.5992631205452</v>
      </c>
    </row>
    <row r="807" spans="1:6" ht="12.75">
      <c r="A807" s="317">
        <v>201.5</v>
      </c>
      <c r="B807" s="339">
        <f>+('Presiones de casing'!$C$2+14.7+'Presiones de casing'!$C$3+('Presiones de casing'!$C$4+'Presiones de casing'!$C$8)*A807)*(1+'Presiones de casing'!$C$7/'Presiones de casing'!$C$13)</f>
        <v>18176.74389910503</v>
      </c>
      <c r="C807" s="339">
        <f>+B807*(Columna!$G$9+Columna!$B$7)/Columna!$G$9</f>
        <v>21654.445171024367</v>
      </c>
      <c r="D807" s="340">
        <f>+B807-A807*'Presiones de casing'!$C$4</f>
        <v>4564.8581167365755</v>
      </c>
      <c r="E807" s="340">
        <f>+'Volumen de gas'!$C$1*Tabla!D807/14.7*520/'Volumen de gas'!$C$2*'Volumen de gas'!$C$4/'Volumen de gas'!$C$3</f>
        <v>70441.07609684668</v>
      </c>
      <c r="F807" s="340">
        <f t="shared" si="14"/>
        <v>349.5835042027131</v>
      </c>
    </row>
    <row r="808" spans="1:6" ht="12.75">
      <c r="A808" s="317">
        <v>201.75</v>
      </c>
      <c r="B808" s="339">
        <f>+('Presiones de casing'!$C$2+14.7+'Presiones de casing'!$C$3+('Presiones de casing'!$C$4+'Presiones de casing'!$C$8)*A808)*(1+'Presiones de casing'!$C$7/'Presiones de casing'!$C$13)</f>
        <v>18199.090166051916</v>
      </c>
      <c r="C808" s="339">
        <f>+B808*(Columna!$G$9+Columna!$B$7)/Columna!$G$9</f>
        <v>21681.06688143985</v>
      </c>
      <c r="D808" s="340">
        <f>+B808-A808*'Presiones de casing'!$C$4</f>
        <v>4570.3161879236995</v>
      </c>
      <c r="E808" s="340">
        <f>+'Volumen de gas'!$C$1*Tabla!D808/14.7*520/'Volumen de gas'!$C$2*'Volumen de gas'!$C$4/'Volumen de gas'!$C$3</f>
        <v>70525.30049068373</v>
      </c>
      <c r="F808" s="340">
        <f t="shared" si="14"/>
        <v>349.5677843404398</v>
      </c>
    </row>
    <row r="809" spans="1:6" ht="12.75">
      <c r="A809" s="317">
        <v>202</v>
      </c>
      <c r="B809" s="339">
        <f>+('Presiones de casing'!$C$2+14.7+'Presiones de casing'!$C$3+('Presiones de casing'!$C$4+'Presiones de casing'!$C$8)*A809)*(1+'Presiones de casing'!$C$7/'Presiones de casing'!$C$13)</f>
        <v>18221.436432998795</v>
      </c>
      <c r="C809" s="339">
        <f>+B809*(Columna!$G$9+Columna!$B$7)/Columna!$G$9</f>
        <v>21707.688591855327</v>
      </c>
      <c r="D809" s="340">
        <f>+B809-A809*'Presiones de casing'!$C$4</f>
        <v>4575.774259110816</v>
      </c>
      <c r="E809" s="340">
        <f>+'Volumen de gas'!$C$1*Tabla!D809/14.7*520/'Volumen de gas'!$C$2*'Volumen de gas'!$C$4/'Volumen de gas'!$C$3</f>
        <v>70609.52488452064</v>
      </c>
      <c r="F809" s="340">
        <f t="shared" si="14"/>
        <v>349.55210338871603</v>
      </c>
    </row>
    <row r="810" spans="1:6" ht="12.75">
      <c r="A810" s="317">
        <v>202.25</v>
      </c>
      <c r="B810" s="339">
        <f>+('Presiones de casing'!$C$2+14.7+'Presiones de casing'!$C$3+('Presiones de casing'!$C$4+'Presiones de casing'!$C$8)*A810)*(1+'Presiones de casing'!$C$7/'Presiones de casing'!$C$13)</f>
        <v>18243.782699945677</v>
      </c>
      <c r="C810" s="339">
        <f>+B810*(Columna!$G$9+Columna!$B$7)/Columna!$G$9</f>
        <v>21734.31030227081</v>
      </c>
      <c r="D810" s="340">
        <f>+B810-A810*'Presiones de casing'!$C$4</f>
        <v>4581.232330297937</v>
      </c>
      <c r="E810" s="340">
        <f>+'Volumen de gas'!$C$1*Tabla!D810/14.7*520/'Volumen de gas'!$C$2*'Volumen de gas'!$C$4/'Volumen de gas'!$C$3</f>
        <v>70693.74927835763</v>
      </c>
      <c r="F810" s="340">
        <f t="shared" si="14"/>
        <v>349.5364612032516</v>
      </c>
    </row>
    <row r="811" spans="1:6" ht="12.75">
      <c r="A811" s="317">
        <v>202.5</v>
      </c>
      <c r="B811" s="339">
        <f>+('Presiones de casing'!$C$2+14.7+'Presiones de casing'!$C$3+('Presiones de casing'!$C$4+'Presiones de casing'!$C$8)*A811)*(1+'Presiones de casing'!$C$7/'Presiones de casing'!$C$13)</f>
        <v>18266.128966892564</v>
      </c>
      <c r="C811" s="339">
        <f>+B811*(Columna!$G$9+Columna!$B$7)/Columna!$G$9</f>
        <v>21760.9320126863</v>
      </c>
      <c r="D811" s="340">
        <f>+B811-A811*'Presiones de casing'!$C$4</f>
        <v>4586.690401485061</v>
      </c>
      <c r="E811" s="340">
        <f>+'Volumen de gas'!$C$1*Tabla!D811/14.7*520/'Volumen de gas'!$C$2*'Volumen de gas'!$C$4/'Volumen de gas'!$C$3</f>
        <v>70777.97367219465</v>
      </c>
      <c r="F811" s="340">
        <f t="shared" si="14"/>
        <v>349.5208576404674</v>
      </c>
    </row>
    <row r="812" spans="1:6" ht="12.75">
      <c r="A812" s="317">
        <v>202.75</v>
      </c>
      <c r="B812" s="339">
        <f>+('Presiones de casing'!$C$2+14.7+'Presiones de casing'!$C$3+('Presiones de casing'!$C$4+'Presiones de casing'!$C$8)*A812)*(1+'Presiones de casing'!$C$7/'Presiones de casing'!$C$13)</f>
        <v>18288.475233839443</v>
      </c>
      <c r="C812" s="339">
        <f>+B812*(Columna!$G$9+Columna!$B$7)/Columna!$G$9</f>
        <v>21787.553723101773</v>
      </c>
      <c r="D812" s="340">
        <f>+B812-A812*'Presiones de casing'!$C$4</f>
        <v>4592.148472672177</v>
      </c>
      <c r="E812" s="340">
        <f>+'Volumen de gas'!$C$1*Tabla!D812/14.7*520/'Volumen de gas'!$C$2*'Volumen de gas'!$C$4/'Volumen de gas'!$C$3</f>
        <v>70862.19806603157</v>
      </c>
      <c r="F812" s="340">
        <f t="shared" si="14"/>
        <v>349.50529255749234</v>
      </c>
    </row>
    <row r="813" spans="1:6" ht="12.75">
      <c r="A813" s="317">
        <v>203</v>
      </c>
      <c r="B813" s="339">
        <f>+('Presiones de casing'!$C$2+14.7+'Presiones de casing'!$C$3+('Presiones de casing'!$C$4+'Presiones de casing'!$C$8)*A813)*(1+'Presiones de casing'!$C$7/'Presiones de casing'!$C$13)</f>
        <v>18310.82150078633</v>
      </c>
      <c r="C813" s="339">
        <f>+B813*(Columna!$G$9+Columna!$B$7)/Columna!$G$9</f>
        <v>21814.175433517263</v>
      </c>
      <c r="D813" s="340">
        <f>+B813-A813*'Presiones de casing'!$C$4</f>
        <v>4597.606543859301</v>
      </c>
      <c r="E813" s="340">
        <f>+'Volumen de gas'!$C$1*Tabla!D813/14.7*520/'Volumen de gas'!$C$2*'Volumen de gas'!$C$4/'Volumen de gas'!$C$3</f>
        <v>70946.42245986863</v>
      </c>
      <c r="F813" s="340">
        <f t="shared" si="14"/>
        <v>349.4897658121607</v>
      </c>
    </row>
    <row r="814" spans="1:6" ht="12.75">
      <c r="A814" s="317">
        <v>203.25</v>
      </c>
      <c r="B814" s="339">
        <f>+('Presiones de casing'!$C$2+14.7+'Presiones de casing'!$C$3+('Presiones de casing'!$C$4+'Presiones de casing'!$C$8)*A814)*(1+'Presiones de casing'!$C$7/'Presiones de casing'!$C$13)</f>
        <v>18333.16776773321</v>
      </c>
      <c r="C814" s="339">
        <f>+B814*(Columna!$G$9+Columna!$B$7)/Columna!$G$9</f>
        <v>21840.79714393274</v>
      </c>
      <c r="D814" s="340">
        <f>+B814-A814*'Presiones de casing'!$C$4</f>
        <v>4603.064615046422</v>
      </c>
      <c r="E814" s="340">
        <f>+'Volumen de gas'!$C$1*Tabla!D814/14.7*520/'Volumen de gas'!$C$2*'Volumen de gas'!$C$4/'Volumen de gas'!$C$3</f>
        <v>71030.6468537056</v>
      </c>
      <c r="F814" s="340">
        <f t="shared" si="14"/>
        <v>349.47427726300424</v>
      </c>
    </row>
    <row r="815" spans="1:6" ht="12.75">
      <c r="A815" s="317">
        <v>203.5</v>
      </c>
      <c r="B815" s="339">
        <f>+('Presiones de casing'!$C$2+14.7+'Presiones de casing'!$C$3+('Presiones de casing'!$C$4+'Presiones de casing'!$C$8)*A815)*(1+'Presiones de casing'!$C$7/'Presiones de casing'!$C$13)</f>
        <v>18355.514034680098</v>
      </c>
      <c r="C815" s="339">
        <f>+B815*(Columna!$G$9+Columna!$B$7)/Columna!$G$9</f>
        <v>21867.418854348227</v>
      </c>
      <c r="D815" s="340">
        <f>+B815-A815*'Presiones de casing'!$C$4</f>
        <v>4608.522686233546</v>
      </c>
      <c r="E815" s="340">
        <f>+'Volumen de gas'!$C$1*Tabla!D815/14.7*520/'Volumen de gas'!$C$2*'Volumen de gas'!$C$4/'Volumen de gas'!$C$3</f>
        <v>71114.87124754264</v>
      </c>
      <c r="F815" s="340">
        <f t="shared" si="14"/>
        <v>349.45882676925135</v>
      </c>
    </row>
    <row r="816" spans="1:6" ht="12.75">
      <c r="A816" s="317">
        <v>203.75</v>
      </c>
      <c r="B816" s="339">
        <f>+('Presiones de casing'!$C$2+14.7+'Presiones de casing'!$C$3+('Presiones de casing'!$C$4+'Presiones de casing'!$C$8)*A816)*(1+'Presiones de casing'!$C$7/'Presiones de casing'!$C$13)</f>
        <v>18377.860301626977</v>
      </c>
      <c r="C816" s="339">
        <f>+B816*(Columna!$G$9+Columna!$B$7)/Columna!$G$9</f>
        <v>21894.040564763705</v>
      </c>
      <c r="D816" s="340">
        <f>+B816-A816*'Presiones de casing'!$C$4</f>
        <v>4613.980757420661</v>
      </c>
      <c r="E816" s="340">
        <f>+'Volumen de gas'!$C$1*Tabla!D816/14.7*520/'Volumen de gas'!$C$2*'Volumen de gas'!$C$4/'Volumen de gas'!$C$3</f>
        <v>71199.09564137954</v>
      </c>
      <c r="F816" s="340">
        <f t="shared" si="14"/>
        <v>349.4434141908198</v>
      </c>
    </row>
    <row r="817" spans="1:6" ht="12.75">
      <c r="A817" s="317">
        <v>204</v>
      </c>
      <c r="B817" s="339">
        <f>+('Presiones de casing'!$C$2+14.7+'Presiones de casing'!$C$3+('Presiones de casing'!$C$4+'Presiones de casing'!$C$8)*A817)*(1+'Presiones de casing'!$C$7/'Presiones de casing'!$C$13)</f>
        <v>18400.206568573863</v>
      </c>
      <c r="C817" s="339">
        <f>+B817*(Columna!$G$9+Columna!$B$7)/Columna!$G$9</f>
        <v>21920.66227517919</v>
      </c>
      <c r="D817" s="340">
        <f>+B817-A817*'Presiones de casing'!$C$4</f>
        <v>4619.438828607785</v>
      </c>
      <c r="E817" s="340">
        <f>+'Volumen de gas'!$C$1*Tabla!D817/14.7*520/'Volumen de gas'!$C$2*'Volumen de gas'!$C$4/'Volumen de gas'!$C$3</f>
        <v>71283.32003521656</v>
      </c>
      <c r="F817" s="340">
        <f t="shared" si="14"/>
        <v>349.42803938831645</v>
      </c>
    </row>
    <row r="818" spans="1:6" ht="12.75">
      <c r="A818" s="317">
        <v>204.25</v>
      </c>
      <c r="B818" s="339">
        <f>+('Presiones de casing'!$C$2+14.7+'Presiones de casing'!$C$3+('Presiones de casing'!$C$4+'Presiones de casing'!$C$8)*A818)*(1+'Presiones de casing'!$C$7/'Presiones de casing'!$C$13)</f>
        <v>18422.552835520746</v>
      </c>
      <c r="C818" s="339">
        <f>+B818*(Columna!$G$9+Columna!$B$7)/Columna!$G$9</f>
        <v>21947.28398559467</v>
      </c>
      <c r="D818" s="340">
        <f>+B818-A818*'Presiones de casing'!$C$4</f>
        <v>4624.896899794905</v>
      </c>
      <c r="E818" s="340">
        <f>+'Volumen de gas'!$C$1*Tabla!D818/14.7*520/'Volumen de gas'!$C$2*'Volumen de gas'!$C$4/'Volumen de gas'!$C$3</f>
        <v>71367.54442905354</v>
      </c>
      <c r="F818" s="340">
        <f t="shared" si="14"/>
        <v>349.41270222302836</v>
      </c>
    </row>
    <row r="819" spans="1:6" ht="12.75">
      <c r="A819" s="317">
        <v>204.5</v>
      </c>
      <c r="B819" s="339">
        <f>+('Presiones de casing'!$C$2+14.7+'Presiones de casing'!$C$3+('Presiones de casing'!$C$4+'Presiones de casing'!$C$8)*A819)*(1+'Presiones de casing'!$C$7/'Presiones de casing'!$C$13)</f>
        <v>18444.899102467625</v>
      </c>
      <c r="C819" s="339">
        <f>+B819*(Columna!$G$9+Columna!$B$7)/Columna!$G$9</f>
        <v>21973.905696010148</v>
      </c>
      <c r="D819" s="340">
        <f>+B819-A819*'Presiones de casing'!$C$4</f>
        <v>4630.354970982022</v>
      </c>
      <c r="E819" s="340">
        <f>+'Volumen de gas'!$C$1*Tabla!D819/14.7*520/'Volumen de gas'!$C$2*'Volumen de gas'!$C$4/'Volumen de gas'!$C$3</f>
        <v>71451.76882289047</v>
      </c>
      <c r="F819" s="340">
        <f t="shared" si="14"/>
        <v>349.39740255692163</v>
      </c>
    </row>
    <row r="820" spans="1:6" ht="12.75">
      <c r="A820" s="317">
        <v>204.75</v>
      </c>
      <c r="B820" s="339">
        <f>+('Presiones de casing'!$C$2+14.7+'Presiones de casing'!$C$3+('Presiones de casing'!$C$4+'Presiones de casing'!$C$8)*A820)*(1+'Presiones de casing'!$C$7/'Presiones de casing'!$C$13)</f>
        <v>18467.24536941451</v>
      </c>
      <c r="C820" s="339">
        <f>+B820*(Columna!$G$9+Columna!$B$7)/Columna!$G$9</f>
        <v>22000.527406425634</v>
      </c>
      <c r="D820" s="340">
        <f>+B820-A820*'Presiones de casing'!$C$4</f>
        <v>4635.813042169146</v>
      </c>
      <c r="E820" s="340">
        <f>+'Volumen de gas'!$C$1*Tabla!D820/14.7*520/'Volumen de gas'!$C$2*'Volumen de gas'!$C$4/'Volumen de gas'!$C$3</f>
        <v>71535.9932167275</v>
      </c>
      <c r="F820" s="340">
        <f t="shared" si="14"/>
        <v>349.3821402526373</v>
      </c>
    </row>
    <row r="821" spans="1:6" ht="12.75">
      <c r="A821" s="317">
        <v>205</v>
      </c>
      <c r="B821" s="339">
        <f>+('Presiones de casing'!$C$2+14.7+'Presiones de casing'!$C$3+('Presiones de casing'!$C$4+'Presiones de casing'!$C$8)*A821)*(1+'Presiones de casing'!$C$7/'Presiones de casing'!$C$13)</f>
        <v>18489.591636361394</v>
      </c>
      <c r="C821" s="339">
        <f>+B821*(Columna!$G$9+Columna!$B$7)/Columna!$G$9</f>
        <v>22027.149116841116</v>
      </c>
      <c r="D821" s="340">
        <f>+B821-A821*'Presiones de casing'!$C$4</f>
        <v>4641.271113356266</v>
      </c>
      <c r="E821" s="340">
        <f>+'Volumen de gas'!$C$1*Tabla!D821/14.7*520/'Volumen de gas'!$C$2*'Volumen de gas'!$C$4/'Volumen de gas'!$C$3</f>
        <v>71620.21761056448</v>
      </c>
      <c r="F821" s="340">
        <f t="shared" si="14"/>
        <v>349.36691517348527</v>
      </c>
    </row>
    <row r="822" spans="1:6" ht="12.75">
      <c r="A822" s="317">
        <v>205.25</v>
      </c>
      <c r="B822" s="339">
        <f>+('Presiones de casing'!$C$2+14.7+'Presiones de casing'!$C$3+('Presiones de casing'!$C$4+'Presiones de casing'!$C$8)*A822)*(1+'Presiones de casing'!$C$7/'Presiones de casing'!$C$13)</f>
        <v>18511.93790330828</v>
      </c>
      <c r="C822" s="339">
        <f>+B822*(Columna!$G$9+Columna!$B$7)/Columna!$G$9</f>
        <v>22053.770827256605</v>
      </c>
      <c r="D822" s="340">
        <f>+B822-A822*'Presiones de casing'!$C$4</f>
        <v>4646.72918454339</v>
      </c>
      <c r="E822" s="340">
        <f>+'Volumen de gas'!$C$1*Tabla!D822/14.7*520/'Volumen de gas'!$C$2*'Volumen de gas'!$C$4/'Volumen de gas'!$C$3</f>
        <v>71704.44200440151</v>
      </c>
      <c r="F822" s="340">
        <f t="shared" si="14"/>
        <v>349.3517271834422</v>
      </c>
    </row>
    <row r="823" spans="1:6" ht="12.75">
      <c r="A823" s="317">
        <v>205.5</v>
      </c>
      <c r="B823" s="339">
        <f>+('Presiones de casing'!$C$2+14.7+'Presiones de casing'!$C$3+('Presiones de casing'!$C$4+'Presiones de casing'!$C$8)*A823)*(1+'Presiones de casing'!$C$7/'Presiones de casing'!$C$13)</f>
        <v>18534.28417025516</v>
      </c>
      <c r="C823" s="339">
        <f>+B823*(Columna!$G$9+Columna!$B$7)/Columna!$G$9</f>
        <v>22080.392537672076</v>
      </c>
      <c r="D823" s="340">
        <f>+B823-A823*'Presiones de casing'!$C$4</f>
        <v>4652.187255730507</v>
      </c>
      <c r="E823" s="340">
        <f>+'Volumen de gas'!$C$1*Tabla!D823/14.7*520/'Volumen de gas'!$C$2*'Volumen de gas'!$C$4/'Volumen de gas'!$C$3</f>
        <v>71788.66639823843</v>
      </c>
      <c r="F823" s="340">
        <f t="shared" si="14"/>
        <v>349.33657614714565</v>
      </c>
    </row>
    <row r="824" spans="1:6" ht="12.75">
      <c r="A824" s="317">
        <v>205.75</v>
      </c>
      <c r="B824" s="339">
        <f>+('Presiones de casing'!$C$2+14.7+'Presiones de casing'!$C$3+('Presiones de casing'!$C$4+'Presiones de casing'!$C$8)*A824)*(1+'Presiones de casing'!$C$7/'Presiones de casing'!$C$13)</f>
        <v>18556.630437202046</v>
      </c>
      <c r="C824" s="339">
        <f>+B824*(Columna!$G$9+Columna!$B$7)/Columna!$G$9</f>
        <v>22107.014248087566</v>
      </c>
      <c r="D824" s="340">
        <f>+B824-A824*'Presiones de casing'!$C$4</f>
        <v>4657.645326917631</v>
      </c>
      <c r="E824" s="340">
        <f>+'Volumen de gas'!$C$1*Tabla!D824/14.7*520/'Volumen de gas'!$C$2*'Volumen de gas'!$C$4/'Volumen de gas'!$C$3</f>
        <v>71872.89079207546</v>
      </c>
      <c r="F824" s="340">
        <f t="shared" si="14"/>
        <v>349.32146192989285</v>
      </c>
    </row>
    <row r="825" spans="1:6" ht="12.75">
      <c r="A825" s="317">
        <v>206</v>
      </c>
      <c r="B825" s="339">
        <f>+('Presiones de casing'!$C$2+14.7+'Presiones de casing'!$C$3+('Presiones de casing'!$C$4+'Presiones de casing'!$C$8)*A825)*(1+'Presiones de casing'!$C$7/'Presiones de casing'!$C$13)</f>
        <v>18578.97670414893</v>
      </c>
      <c r="C825" s="339">
        <f>+B825*(Columna!$G$9+Columna!$B$7)/Columna!$G$9</f>
        <v>22133.635958503048</v>
      </c>
      <c r="D825" s="340">
        <f>+B825-A825*'Presiones de casing'!$C$4</f>
        <v>4663.103398104751</v>
      </c>
      <c r="E825" s="340">
        <f>+'Volumen de gas'!$C$1*Tabla!D825/14.7*520/'Volumen de gas'!$C$2*'Volumen de gas'!$C$4/'Volumen de gas'!$C$3</f>
        <v>71957.11518591244</v>
      </c>
      <c r="F825" s="340">
        <f t="shared" si="14"/>
        <v>349.30638439763317</v>
      </c>
    </row>
    <row r="826" spans="1:6" ht="12.75">
      <c r="A826" s="317">
        <v>206.25</v>
      </c>
      <c r="B826" s="339">
        <f>+('Presiones de casing'!$C$2+14.7+'Presiones de casing'!$C$3+('Presiones de casing'!$C$4+'Presiones de casing'!$C$8)*A826)*(1+'Presiones de casing'!$C$7/'Presiones de casing'!$C$13)</f>
        <v>18601.32297109581</v>
      </c>
      <c r="C826" s="339">
        <f>+B826*(Columna!$G$9+Columna!$B$7)/Columna!$G$9</f>
        <v>22160.25766891853</v>
      </c>
      <c r="D826" s="340">
        <f>+B826-A826*'Presiones de casing'!$C$4</f>
        <v>4668.561469291872</v>
      </c>
      <c r="E826" s="340">
        <f>+'Volumen de gas'!$C$1*Tabla!D826/14.7*520/'Volumen de gas'!$C$2*'Volumen de gas'!$C$4/'Volumen de gas'!$C$3</f>
        <v>72041.33957974942</v>
      </c>
      <c r="F826" s="340">
        <f t="shared" si="14"/>
        <v>349.29134341696687</v>
      </c>
    </row>
    <row r="827" spans="1:6" ht="12.75">
      <c r="A827" s="317">
        <v>206.5</v>
      </c>
      <c r="B827" s="339">
        <f>+('Presiones de casing'!$C$2+14.7+'Presiones de casing'!$C$3+('Presiones de casing'!$C$4+'Presiones de casing'!$C$8)*A827)*(1+'Presiones de casing'!$C$7/'Presiones de casing'!$C$13)</f>
        <v>18623.669238042694</v>
      </c>
      <c r="C827" s="339">
        <f>+B827*(Columna!$G$9+Columna!$B$7)/Columna!$G$9</f>
        <v>22186.879379334012</v>
      </c>
      <c r="D827" s="340">
        <f>+B827-A827*'Presiones de casing'!$C$4</f>
        <v>4674.019540478992</v>
      </c>
      <c r="E827" s="340">
        <f>+'Volumen de gas'!$C$1*Tabla!D827/14.7*520/'Volumen de gas'!$C$2*'Volumen de gas'!$C$4/'Volumen de gas'!$C$3</f>
        <v>72125.56397358642</v>
      </c>
      <c r="F827" s="340">
        <f t="shared" si="14"/>
        <v>349.27633885514007</v>
      </c>
    </row>
    <row r="828" spans="1:6" ht="12.75">
      <c r="A828" s="317">
        <v>206.75</v>
      </c>
      <c r="B828" s="339">
        <f>+('Presiones de casing'!$C$2+14.7+'Presiones de casing'!$C$3+('Presiones de casing'!$C$4+'Presiones de casing'!$C$8)*A828)*(1+'Presiones de casing'!$C$7/'Presiones de casing'!$C$13)</f>
        <v>18646.01550498958</v>
      </c>
      <c r="C828" s="339">
        <f>+B828*(Columna!$G$9+Columna!$B$7)/Columna!$G$9</f>
        <v>22213.501089749494</v>
      </c>
      <c r="D828" s="340">
        <f>+B828-A828*'Presiones de casing'!$C$4</f>
        <v>4679.477611666116</v>
      </c>
      <c r="E828" s="340">
        <f>+'Volumen de gas'!$C$1*Tabla!D828/14.7*520/'Volumen de gas'!$C$2*'Volumen de gas'!$C$4/'Volumen de gas'!$C$3</f>
        <v>72209.78836742345</v>
      </c>
      <c r="F828" s="340">
        <f t="shared" si="14"/>
        <v>349.2613705800409</v>
      </c>
    </row>
    <row r="829" spans="1:6" ht="12.75">
      <c r="A829" s="317">
        <v>207</v>
      </c>
      <c r="B829" s="339">
        <f>+('Presiones de casing'!$C$2+14.7+'Presiones de casing'!$C$3+('Presiones de casing'!$C$4+'Presiones de casing'!$C$8)*A829)*(1+'Presiones de casing'!$C$7/'Presiones de casing'!$C$13)</f>
        <v>18668.361771936463</v>
      </c>
      <c r="C829" s="339">
        <f>+B829*(Columna!$G$9+Columna!$B$7)/Columna!$G$9</f>
        <v>22240.122800164976</v>
      </c>
      <c r="D829" s="340">
        <f>+B829-A829*'Presiones de casing'!$C$4</f>
        <v>4684.935682853236</v>
      </c>
      <c r="E829" s="340">
        <f>+'Volumen de gas'!$C$1*Tabla!D829/14.7*520/'Volumen de gas'!$C$2*'Volumen de gas'!$C$4/'Volumen de gas'!$C$3</f>
        <v>72294.01276126043</v>
      </c>
      <c r="F829" s="340">
        <f t="shared" si="14"/>
        <v>349.2464384601953</v>
      </c>
    </row>
    <row r="830" spans="1:6" ht="12.75">
      <c r="A830" s="317">
        <v>207.25</v>
      </c>
      <c r="B830" s="339">
        <f>+('Presiones de casing'!$C$2+14.7+'Presiones de casing'!$C$3+('Presiones de casing'!$C$4+'Presiones de casing'!$C$8)*A830)*(1+'Presiones de casing'!$C$7/'Presiones de casing'!$C$13)</f>
        <v>18690.708038883342</v>
      </c>
      <c r="C830" s="339">
        <f>+B830*(Columna!$G$9+Columna!$B$7)/Columna!$G$9</f>
        <v>22266.744510580455</v>
      </c>
      <c r="D830" s="340">
        <f>+B830-A830*'Presiones de casing'!$C$4</f>
        <v>4690.393754040353</v>
      </c>
      <c r="E830" s="340">
        <f>+'Volumen de gas'!$C$1*Tabla!D830/14.7*520/'Volumen de gas'!$C$2*'Volumen de gas'!$C$4/'Volumen de gas'!$C$3</f>
        <v>72378.23715509735</v>
      </c>
      <c r="F830" s="340">
        <f t="shared" si="14"/>
        <v>349.23154236476404</v>
      </c>
    </row>
    <row r="831" spans="1:6" ht="12.75">
      <c r="A831" s="317">
        <v>207.5</v>
      </c>
      <c r="B831" s="339">
        <f>+('Presiones de casing'!$C$2+14.7+'Presiones de casing'!$C$3+('Presiones de casing'!$C$4+'Presiones de casing'!$C$8)*A831)*(1+'Presiones de casing'!$C$7/'Presiones de casing'!$C$13)</f>
        <v>18713.05430583023</v>
      </c>
      <c r="C831" s="339">
        <f>+B831*(Columna!$G$9+Columna!$B$7)/Columna!$G$9</f>
        <v>22293.36622099594</v>
      </c>
      <c r="D831" s="340">
        <f>+B831-A831*'Presiones de casing'!$C$4</f>
        <v>4695.851825227477</v>
      </c>
      <c r="E831" s="340">
        <f>+'Volumen de gas'!$C$1*Tabla!D831/14.7*520/'Volumen de gas'!$C$2*'Volumen de gas'!$C$4/'Volumen de gas'!$C$3</f>
        <v>72462.46154893437</v>
      </c>
      <c r="F831" s="340">
        <f t="shared" si="14"/>
        <v>349.21668216353913</v>
      </c>
    </row>
    <row r="832" spans="1:6" ht="12.75">
      <c r="A832" s="317">
        <v>207.75</v>
      </c>
      <c r="B832" s="339">
        <f>+('Presiones de casing'!$C$2+14.7+'Presiones de casing'!$C$3+('Presiones de casing'!$C$4+'Presiones de casing'!$C$8)*A832)*(1+'Presiones de casing'!$C$7/'Presiones de casing'!$C$13)</f>
        <v>18735.40057277711</v>
      </c>
      <c r="C832" s="339">
        <f>+B832*(Columna!$G$9+Columna!$B$7)/Columna!$G$9</f>
        <v>22319.987931411426</v>
      </c>
      <c r="D832" s="340">
        <f>+B832-A832*'Presiones de casing'!$C$4</f>
        <v>4701.3098964145975</v>
      </c>
      <c r="E832" s="340">
        <f>+'Volumen de gas'!$C$1*Tabla!D832/14.7*520/'Volumen de gas'!$C$2*'Volumen de gas'!$C$4/'Volumen de gas'!$C$3</f>
        <v>72546.68594277136</v>
      </c>
      <c r="F832" s="340">
        <f t="shared" si="14"/>
        <v>349.201857726938</v>
      </c>
    </row>
    <row r="833" spans="1:6" ht="12.75">
      <c r="A833" s="317">
        <v>208</v>
      </c>
      <c r="B833" s="339">
        <f>+('Presiones de casing'!$C$2+14.7+'Presiones de casing'!$C$3+('Presiones de casing'!$C$4+'Presiones de casing'!$C$8)*A833)*(1+'Presiones de casing'!$C$7/'Presiones de casing'!$C$13)</f>
        <v>18757.746839723997</v>
      </c>
      <c r="C833" s="339">
        <f>+B833*(Columna!$G$9+Columna!$B$7)/Columna!$G$9</f>
        <v>22346.609641826908</v>
      </c>
      <c r="D833" s="340">
        <f>+B833-A833*'Presiones de casing'!$C$4</f>
        <v>4706.7679676017215</v>
      </c>
      <c r="E833" s="340">
        <f>+'Volumen de gas'!$C$1*Tabla!D833/14.7*520/'Volumen de gas'!$C$2*'Volumen de gas'!$C$4/'Volumen de gas'!$C$3</f>
        <v>72630.91033660842</v>
      </c>
      <c r="F833" s="340">
        <f aca="true" t="shared" si="15" ref="F833:F896">+E833/A833</f>
        <v>349.187068926002</v>
      </c>
    </row>
    <row r="834" spans="1:6" ht="12.75">
      <c r="A834" s="317">
        <v>208.25</v>
      </c>
      <c r="B834" s="339">
        <f>+('Presiones de casing'!$C$2+14.7+'Presiones de casing'!$C$3+('Presiones de casing'!$C$4+'Presiones de casing'!$C$8)*A834)*(1+'Presiones de casing'!$C$7/'Presiones de casing'!$C$13)</f>
        <v>18780.093106670876</v>
      </c>
      <c r="C834" s="339">
        <f>+B834*(Columna!$G$9+Columna!$B$7)/Columna!$G$9</f>
        <v>22373.231352242383</v>
      </c>
      <c r="D834" s="340">
        <f>+B834-A834*'Presiones de casing'!$C$4</f>
        <v>4712.226038788838</v>
      </c>
      <c r="E834" s="340">
        <f>+'Volumen de gas'!$C$1*Tabla!D834/14.7*520/'Volumen de gas'!$C$2*'Volumen de gas'!$C$4/'Volumen de gas'!$C$3</f>
        <v>72715.13473044532</v>
      </c>
      <c r="F834" s="340">
        <f t="shared" si="15"/>
        <v>349.1723156323905</v>
      </c>
    </row>
    <row r="835" spans="1:6" ht="12.75">
      <c r="A835" s="317">
        <v>208.5</v>
      </c>
      <c r="B835" s="339">
        <f>+('Presiones de casing'!$C$2+14.7+'Presiones de casing'!$C$3+('Presiones de casing'!$C$4+'Presiones de casing'!$C$8)*A835)*(1+'Presiones de casing'!$C$7/'Presiones de casing'!$C$13)</f>
        <v>18802.439373617763</v>
      </c>
      <c r="C835" s="339">
        <f>+B835*(Columna!$G$9+Columna!$B$7)/Columna!$G$9</f>
        <v>22399.853062657872</v>
      </c>
      <c r="D835" s="340">
        <f>+B835-A835*'Presiones de casing'!$C$4</f>
        <v>4717.684109975962</v>
      </c>
      <c r="E835" s="340">
        <f>+'Volumen de gas'!$C$1*Tabla!D835/14.7*520/'Volumen de gas'!$C$2*'Volumen de gas'!$C$4/'Volumen de gas'!$C$3</f>
        <v>72799.35912428236</v>
      </c>
      <c r="F835" s="340">
        <f t="shared" si="15"/>
        <v>349.1575977183806</v>
      </c>
    </row>
    <row r="836" spans="1:6" ht="12.75">
      <c r="A836" s="317">
        <v>208.75</v>
      </c>
      <c r="B836" s="339">
        <f>+('Presiones de casing'!$C$2+14.7+'Presiones de casing'!$C$3+('Presiones de casing'!$C$4+'Presiones de casing'!$C$8)*A836)*(1+'Presiones de casing'!$C$7/'Presiones de casing'!$C$13)</f>
        <v>18824.785640564645</v>
      </c>
      <c r="C836" s="339">
        <f>+B836*(Columna!$G$9+Columna!$B$7)/Columna!$G$9</f>
        <v>22426.474773073354</v>
      </c>
      <c r="D836" s="340">
        <f>+B836-A836*'Presiones de casing'!$C$4</f>
        <v>4723.142181163083</v>
      </c>
      <c r="E836" s="340">
        <f>+'Volumen de gas'!$C$1*Tabla!D836/14.7*520/'Volumen de gas'!$C$2*'Volumen de gas'!$C$4/'Volumen de gas'!$C$3</f>
        <v>72883.58351811934</v>
      </c>
      <c r="F836" s="340">
        <f t="shared" si="15"/>
        <v>349.1429150568591</v>
      </c>
    </row>
    <row r="837" spans="1:6" ht="12.75">
      <c r="A837" s="317">
        <v>209</v>
      </c>
      <c r="B837" s="339">
        <f>+('Presiones de casing'!$C$2+14.7+'Presiones de casing'!$C$3+('Presiones de casing'!$C$4+'Presiones de casing'!$C$8)*A837)*(1+'Presiones de casing'!$C$7/'Presiones de casing'!$C$13)</f>
        <v>18847.131907511528</v>
      </c>
      <c r="C837" s="339">
        <f>+B837*(Columna!$G$9+Columna!$B$7)/Columna!$G$9</f>
        <v>22453.096483488833</v>
      </c>
      <c r="D837" s="340">
        <f>+B837-A837*'Presiones de casing'!$C$4</f>
        <v>4728.600252350203</v>
      </c>
      <c r="E837" s="340">
        <f>+'Volumen de gas'!$C$1*Tabla!D837/14.7*520/'Volumen de gas'!$C$2*'Volumen de gas'!$C$4/'Volumen de gas'!$C$3</f>
        <v>72967.80791195632</v>
      </c>
      <c r="F837" s="340">
        <f t="shared" si="15"/>
        <v>349.1282675213221</v>
      </c>
    </row>
    <row r="838" spans="1:6" ht="12.75">
      <c r="A838" s="317">
        <v>209.25</v>
      </c>
      <c r="B838" s="339">
        <f>+('Presiones de casing'!$C$2+14.7+'Presiones de casing'!$C$3+('Presiones de casing'!$C$4+'Presiones de casing'!$C$8)*A838)*(1+'Presiones de casing'!$C$7/'Presiones de casing'!$C$13)</f>
        <v>18869.47817445841</v>
      </c>
      <c r="C838" s="339">
        <f>+B838*(Columna!$G$9+Columna!$B$7)/Columna!$G$9</f>
        <v>22479.718193904315</v>
      </c>
      <c r="D838" s="340">
        <f>+B838-A838*'Presiones de casing'!$C$4</f>
        <v>4734.058323537323</v>
      </c>
      <c r="E838" s="340">
        <f>+'Volumen de gas'!$C$1*Tabla!D838/14.7*520/'Volumen de gas'!$C$2*'Volumen de gas'!$C$4/'Volumen de gas'!$C$3</f>
        <v>73052.03230579328</v>
      </c>
      <c r="F838" s="340">
        <f t="shared" si="15"/>
        <v>349.1136549858699</v>
      </c>
    </row>
    <row r="839" spans="1:6" ht="12.75">
      <c r="A839" s="317">
        <v>209.5</v>
      </c>
      <c r="B839" s="339">
        <f>+('Presiones de casing'!$C$2+14.7+'Presiones de casing'!$C$3+('Presiones de casing'!$C$4+'Presiones de casing'!$C$8)*A839)*(1+'Presiones de casing'!$C$7/'Presiones de casing'!$C$13)</f>
        <v>18891.824441405293</v>
      </c>
      <c r="C839" s="339">
        <f>+B839*(Columna!$G$9+Columna!$B$7)/Columna!$G$9</f>
        <v>22506.339904319797</v>
      </c>
      <c r="D839" s="340">
        <f>+B839-A839*'Presiones de casing'!$C$4</f>
        <v>4739.516394724444</v>
      </c>
      <c r="E839" s="340">
        <f>+'Volumen de gas'!$C$1*Tabla!D839/14.7*520/'Volumen de gas'!$C$2*'Volumen de gas'!$C$4/'Volumen de gas'!$C$3</f>
        <v>73136.25669963026</v>
      </c>
      <c r="F839" s="340">
        <f t="shared" si="15"/>
        <v>349.0990773252041</v>
      </c>
    </row>
    <row r="840" spans="1:6" ht="12.75">
      <c r="A840" s="317">
        <v>209.75</v>
      </c>
      <c r="B840" s="339">
        <f>+('Presiones de casing'!$C$2+14.7+'Presiones de casing'!$C$3+('Presiones de casing'!$C$4+'Presiones de casing'!$C$8)*A840)*(1+'Presiones de casing'!$C$7/'Presiones de casing'!$C$13)</f>
        <v>18914.17070835218</v>
      </c>
      <c r="C840" s="339">
        <f>+B840*(Columna!$G$9+Columna!$B$7)/Columna!$G$9</f>
        <v>22532.961614735283</v>
      </c>
      <c r="D840" s="340">
        <f>+B840-A840*'Presiones de casing'!$C$4</f>
        <v>4744.974465911568</v>
      </c>
      <c r="E840" s="340">
        <f>+'Volumen de gas'!$C$1*Tabla!D840/14.7*520/'Volumen de gas'!$C$2*'Volumen de gas'!$C$4/'Volumen de gas'!$C$3</f>
        <v>73220.4810934673</v>
      </c>
      <c r="F840" s="340">
        <f t="shared" si="15"/>
        <v>349.0845344146236</v>
      </c>
    </row>
    <row r="841" spans="1:6" ht="12.75">
      <c r="A841" s="317">
        <v>210</v>
      </c>
      <c r="B841" s="339">
        <f>+('Presiones de casing'!$C$2+14.7+'Presiones de casing'!$C$3+('Presiones de casing'!$C$4+'Presiones de casing'!$C$8)*A841)*(1+'Presiones de casing'!$C$7/'Presiones de casing'!$C$13)</f>
        <v>18936.51697529906</v>
      </c>
      <c r="C841" s="339">
        <f>+B841*(Columna!$G$9+Columna!$B$7)/Columna!$G$9</f>
        <v>22559.58332515076</v>
      </c>
      <c r="D841" s="340">
        <f>+B841-A841*'Presiones de casing'!$C$4</f>
        <v>4750.432537098684</v>
      </c>
      <c r="E841" s="340">
        <f>+'Volumen de gas'!$C$1*Tabla!D841/14.7*520/'Volumen de gas'!$C$2*'Volumen de gas'!$C$4/'Volumen de gas'!$C$3</f>
        <v>73304.70548730424</v>
      </c>
      <c r="F841" s="340">
        <f t="shared" si="15"/>
        <v>349.07002613002015</v>
      </c>
    </row>
    <row r="842" spans="1:6" ht="12.75">
      <c r="A842" s="317">
        <v>210.25</v>
      </c>
      <c r="B842" s="339">
        <f>+('Presiones de casing'!$C$2+14.7+'Presiones de casing'!$C$3+('Presiones de casing'!$C$4+'Presiones de casing'!$C$8)*A842)*(1+'Presiones de casing'!$C$7/'Presiones de casing'!$C$13)</f>
        <v>18958.863242245945</v>
      </c>
      <c r="C842" s="339">
        <f>+B842*(Columna!$G$9+Columna!$B$7)/Columna!$G$9</f>
        <v>22586.205035566243</v>
      </c>
      <c r="D842" s="340">
        <f>+B842-A842*'Presiones de casing'!$C$4</f>
        <v>4755.890608285808</v>
      </c>
      <c r="E842" s="340">
        <f>+'Volumen de gas'!$C$1*Tabla!D842/14.7*520/'Volumen de gas'!$C$2*'Volumen de gas'!$C$4/'Volumen de gas'!$C$3</f>
        <v>73388.92988114127</v>
      </c>
      <c r="F842" s="340">
        <f t="shared" si="15"/>
        <v>349.05555234787766</v>
      </c>
    </row>
    <row r="843" spans="1:6" ht="12.75">
      <c r="A843" s="317">
        <v>210.5</v>
      </c>
      <c r="B843" s="339">
        <f>+('Presiones de casing'!$C$2+14.7+'Presiones de casing'!$C$3+('Presiones de casing'!$C$4+'Presiones de casing'!$C$8)*A843)*(1+'Presiones de casing'!$C$7/'Presiones de casing'!$C$13)</f>
        <v>18981.209509192828</v>
      </c>
      <c r="C843" s="339">
        <f>+B843*(Columna!$G$9+Columna!$B$7)/Columna!$G$9</f>
        <v>22612.826745981725</v>
      </c>
      <c r="D843" s="340">
        <f>+B843-A843*'Presiones de casing'!$C$4</f>
        <v>4761.348679472929</v>
      </c>
      <c r="E843" s="340">
        <f>+'Volumen de gas'!$C$1*Tabla!D843/14.7*520/'Volumen de gas'!$C$2*'Volumen de gas'!$C$4/'Volumen de gas'!$C$3</f>
        <v>73473.15427497825</v>
      </c>
      <c r="F843" s="340">
        <f t="shared" si="15"/>
        <v>349.04111294526484</v>
      </c>
    </row>
    <row r="844" spans="1:6" ht="12.75">
      <c r="A844" s="317">
        <v>210.75</v>
      </c>
      <c r="B844" s="339">
        <f>+('Presiones de casing'!$C$2+14.7+'Presiones de casing'!$C$3+('Presiones de casing'!$C$4+'Presiones de casing'!$C$8)*A844)*(1+'Presiones de casing'!$C$7/'Presiones de casing'!$C$13)</f>
        <v>19003.55577613971</v>
      </c>
      <c r="C844" s="339">
        <f>+B844*(Columna!$G$9+Columna!$B$7)/Columna!$G$9</f>
        <v>22639.44845639721</v>
      </c>
      <c r="D844" s="340">
        <f>+B844-A844*'Presiones de casing'!$C$4</f>
        <v>4766.806750660049</v>
      </c>
      <c r="E844" s="340">
        <f>+'Volumen de gas'!$C$1*Tabla!D844/14.7*520/'Volumen de gas'!$C$2*'Volumen de gas'!$C$4/'Volumen de gas'!$C$3</f>
        <v>73557.37866881523</v>
      </c>
      <c r="F844" s="340">
        <f t="shared" si="15"/>
        <v>349.02670779983504</v>
      </c>
    </row>
    <row r="845" spans="1:6" ht="12.75">
      <c r="A845" s="317">
        <v>211</v>
      </c>
      <c r="B845" s="339">
        <f>+('Presiones de casing'!$C$2+14.7+'Presiones de casing'!$C$3+('Presiones de casing'!$C$4+'Presiones de casing'!$C$8)*A845)*(1+'Presiones de casing'!$C$7/'Presiones de casing'!$C$13)</f>
        <v>19025.902043086593</v>
      </c>
      <c r="C845" s="339">
        <f>+B845*(Columna!$G$9+Columna!$B$7)/Columna!$G$9</f>
        <v>22666.070166812693</v>
      </c>
      <c r="D845" s="340">
        <f>+B845-A845*'Presiones de casing'!$C$4</f>
        <v>4772.2648218471695</v>
      </c>
      <c r="E845" s="340">
        <f>+'Volumen de gas'!$C$1*Tabla!D845/14.7*520/'Volumen de gas'!$C$2*'Volumen de gas'!$C$4/'Volumen de gas'!$C$3</f>
        <v>73641.60306265221</v>
      </c>
      <c r="F845" s="340">
        <f t="shared" si="15"/>
        <v>349.0123367898209</v>
      </c>
    </row>
    <row r="846" spans="1:6" ht="12.75">
      <c r="A846" s="317">
        <v>211.25</v>
      </c>
      <c r="B846" s="339">
        <f>+('Presiones de casing'!$C$2+14.7+'Presiones de casing'!$C$3+('Presiones de casing'!$C$4+'Presiones de casing'!$C$8)*A846)*(1+'Presiones de casing'!$C$7/'Presiones de casing'!$C$13)</f>
        <v>19048.24831003348</v>
      </c>
      <c r="C846" s="339">
        <f>+B846*(Columna!$G$9+Columna!$B$7)/Columna!$G$9</f>
        <v>22692.69187722818</v>
      </c>
      <c r="D846" s="340">
        <f>+B846-A846*'Presiones de casing'!$C$4</f>
        <v>4777.7228930342935</v>
      </c>
      <c r="E846" s="340">
        <f>+'Volumen de gas'!$C$1*Tabla!D846/14.7*520/'Volumen de gas'!$C$2*'Volumen de gas'!$C$4/'Volumen de gas'!$C$3</f>
        <v>73725.82745648923</v>
      </c>
      <c r="F846" s="340">
        <f t="shared" si="15"/>
        <v>348.9979997940319</v>
      </c>
    </row>
    <row r="847" spans="1:6" ht="12.75">
      <c r="A847" s="317">
        <v>211.5</v>
      </c>
      <c r="B847" s="339">
        <f>+('Presiones de casing'!$C$2+14.7+'Presiones de casing'!$C$3+('Presiones de casing'!$C$4+'Presiones de casing'!$C$8)*A847)*(1+'Presiones de casing'!$C$7/'Presiones de casing'!$C$13)</f>
        <v>19070.594576980362</v>
      </c>
      <c r="C847" s="339">
        <f>+B847*(Columna!$G$9+Columna!$B$7)/Columna!$G$9</f>
        <v>22719.313587643657</v>
      </c>
      <c r="D847" s="340">
        <f>+B847-A847*'Presiones de casing'!$C$4</f>
        <v>4783.180964221414</v>
      </c>
      <c r="E847" s="340">
        <f>+'Volumen de gas'!$C$1*Tabla!D847/14.7*520/'Volumen de gas'!$C$2*'Volumen de gas'!$C$4/'Volumen de gas'!$C$3</f>
        <v>73810.05185032621</v>
      </c>
      <c r="F847" s="340">
        <f t="shared" si="15"/>
        <v>348.98369669184973</v>
      </c>
    </row>
    <row r="848" spans="1:6" ht="12.75">
      <c r="A848" s="317">
        <v>211.75</v>
      </c>
      <c r="B848" s="339">
        <f>+('Presiones de casing'!$C$2+14.7+'Presiones de casing'!$C$3+('Presiones de casing'!$C$4+'Presiones de casing'!$C$8)*A848)*(1+'Presiones de casing'!$C$7/'Presiones de casing'!$C$13)</f>
        <v>19092.94084392724</v>
      </c>
      <c r="C848" s="339">
        <f>+B848*(Columna!$G$9+Columna!$B$7)/Columna!$G$9</f>
        <v>22745.935298059136</v>
      </c>
      <c r="D848" s="340">
        <f>+B848-A848*'Presiones de casing'!$C$4</f>
        <v>4788.639035408531</v>
      </c>
      <c r="E848" s="340">
        <f>+'Volumen de gas'!$C$1*Tabla!D848/14.7*520/'Volumen de gas'!$C$2*'Volumen de gas'!$C$4/'Volumen de gas'!$C$3</f>
        <v>73894.27624416312</v>
      </c>
      <c r="F848" s="340">
        <f t="shared" si="15"/>
        <v>348.9694273632261</v>
      </c>
    </row>
    <row r="849" spans="1:6" ht="12.75">
      <c r="A849" s="317">
        <v>212</v>
      </c>
      <c r="B849" s="339">
        <f>+('Presiones de casing'!$C$2+14.7+'Presiones de casing'!$C$3+('Presiones de casing'!$C$4+'Presiones de casing'!$C$8)*A849)*(1+'Presiones de casing'!$C$7/'Presiones de casing'!$C$13)</f>
        <v>19115.287110874127</v>
      </c>
      <c r="C849" s="339">
        <f>+B849*(Columna!$G$9+Columna!$B$7)/Columna!$G$9</f>
        <v>22772.55700847462</v>
      </c>
      <c r="D849" s="340">
        <f>+B849-A849*'Presiones de casing'!$C$4</f>
        <v>4794.097106595655</v>
      </c>
      <c r="E849" s="340">
        <f>+'Volumen de gas'!$C$1*Tabla!D849/14.7*520/'Volumen de gas'!$C$2*'Volumen de gas'!$C$4/'Volumen de gas'!$C$3</f>
        <v>73978.5006380002</v>
      </c>
      <c r="F849" s="340">
        <f t="shared" si="15"/>
        <v>348.9551916886802</v>
      </c>
    </row>
    <row r="850" spans="1:6" ht="12.75">
      <c r="A850" s="317">
        <v>212.25</v>
      </c>
      <c r="B850" s="339">
        <f>+('Presiones de casing'!$C$2+14.7+'Presiones de casing'!$C$3+('Presiones de casing'!$C$4+'Presiones de casing'!$C$8)*A850)*(1+'Presiones de casing'!$C$7/'Presiones de casing'!$C$13)</f>
        <v>19137.63337782101</v>
      </c>
      <c r="C850" s="339">
        <f>+B850*(Columna!$G$9+Columna!$B$7)/Columna!$G$9</f>
        <v>22799.178718890103</v>
      </c>
      <c r="D850" s="340">
        <f>+B850-A850*'Presiones de casing'!$C$4</f>
        <v>4799.555177782775</v>
      </c>
      <c r="E850" s="340">
        <f>+'Volumen de gas'!$C$1*Tabla!D850/14.7*520/'Volumen de gas'!$C$2*'Volumen de gas'!$C$4/'Volumen de gas'!$C$3</f>
        <v>74062.72503183718</v>
      </c>
      <c r="F850" s="340">
        <f t="shared" si="15"/>
        <v>348.94098954929177</v>
      </c>
    </row>
    <row r="851" spans="1:6" ht="12.75">
      <c r="A851" s="317">
        <v>212.5</v>
      </c>
      <c r="B851" s="339">
        <f>+('Presiones de casing'!$C$2+14.7+'Presiones de casing'!$C$3+('Presiones de casing'!$C$4+'Presiones de casing'!$C$8)*A851)*(1+'Presiones de casing'!$C$7/'Presiones de casing'!$C$13)</f>
        <v>19159.979644767893</v>
      </c>
      <c r="C851" s="339">
        <f>+B851*(Columna!$G$9+Columna!$B$7)/Columna!$G$9</f>
        <v>22825.800429305586</v>
      </c>
      <c r="D851" s="340">
        <f>+B851-A851*'Presiones de casing'!$C$4</f>
        <v>4805.013248969895</v>
      </c>
      <c r="E851" s="340">
        <f>+'Volumen de gas'!$C$1*Tabla!D851/14.7*520/'Volumen de gas'!$C$2*'Volumen de gas'!$C$4/'Volumen de gas'!$C$3</f>
        <v>74146.94942567413</v>
      </c>
      <c r="F851" s="340">
        <f t="shared" si="15"/>
        <v>348.92682082670177</v>
      </c>
    </row>
    <row r="852" spans="1:6" ht="12.75">
      <c r="A852" s="317">
        <v>212.75</v>
      </c>
      <c r="B852" s="339">
        <f>+('Presiones de casing'!$C$2+14.7+'Presiones de casing'!$C$3+('Presiones de casing'!$C$4+'Presiones de casing'!$C$8)*A852)*(1+'Presiones de casing'!$C$7/'Presiones de casing'!$C$13)</f>
        <v>19182.325911714775</v>
      </c>
      <c r="C852" s="339">
        <f>+B852*(Columna!$G$9+Columna!$B$7)/Columna!$G$9</f>
        <v>22852.422139721064</v>
      </c>
      <c r="D852" s="340">
        <f>+B852-A852*'Presiones de casing'!$C$4</f>
        <v>4810.471320157016</v>
      </c>
      <c r="E852" s="340">
        <f>+'Volumen de gas'!$C$1*Tabla!D852/14.7*520/'Volumen de gas'!$C$2*'Volumen de gas'!$C$4/'Volumen de gas'!$C$3</f>
        <v>74231.17381951111</v>
      </c>
      <c r="F852" s="340">
        <f t="shared" si="15"/>
        <v>348.91268540310745</v>
      </c>
    </row>
    <row r="853" spans="1:6" ht="12.75">
      <c r="A853" s="317">
        <v>213</v>
      </c>
      <c r="B853" s="339">
        <f>+('Presiones de casing'!$C$2+14.7+'Presiones de casing'!$C$3+('Presiones de casing'!$C$4+'Presiones de casing'!$C$8)*A853)*(1+'Presiones de casing'!$C$7/'Presiones de casing'!$C$13)</f>
        <v>19204.67217866166</v>
      </c>
      <c r="C853" s="339">
        <f>+B853*(Columna!$G$9+Columna!$B$7)/Columna!$G$9</f>
        <v>22879.043850136553</v>
      </c>
      <c r="D853" s="340">
        <f>+B853-A853*'Presiones de casing'!$C$4</f>
        <v>4815.92939134414</v>
      </c>
      <c r="E853" s="340">
        <f>+'Volumen de gas'!$C$1*Tabla!D853/14.7*520/'Volumen de gas'!$C$2*'Volumen de gas'!$C$4/'Volumen de gas'!$C$3</f>
        <v>74315.39821334815</v>
      </c>
      <c r="F853" s="340">
        <f t="shared" si="15"/>
        <v>348.8985831612589</v>
      </c>
    </row>
    <row r="854" spans="1:6" ht="12.75">
      <c r="A854" s="317">
        <v>213.25</v>
      </c>
      <c r="B854" s="339">
        <f>+('Presiones de casing'!$C$2+14.7+'Presiones de casing'!$C$3+('Presiones de casing'!$C$4+'Presiones de casing'!$C$8)*A854)*(1+'Presiones de casing'!$C$7/'Presiones de casing'!$C$13)</f>
        <v>19227.018445608544</v>
      </c>
      <c r="C854" s="339">
        <f>+B854*(Columna!$G$9+Columna!$B$7)/Columna!$G$9</f>
        <v>22905.665560552035</v>
      </c>
      <c r="D854" s="340">
        <f>+B854-A854*'Presiones de casing'!$C$4</f>
        <v>4821.38746253126</v>
      </c>
      <c r="E854" s="340">
        <f>+'Volumen de gas'!$C$1*Tabla!D854/14.7*520/'Volumen de gas'!$C$2*'Volumen de gas'!$C$4/'Volumen de gas'!$C$3</f>
        <v>74399.62260718513</v>
      </c>
      <c r="F854" s="340">
        <f t="shared" si="15"/>
        <v>348.88451398445545</v>
      </c>
    </row>
    <row r="855" spans="1:6" ht="12.75">
      <c r="A855" s="317">
        <v>213.5</v>
      </c>
      <c r="B855" s="339">
        <f>+('Presiones de casing'!$C$2+14.7+'Presiones de casing'!$C$3+('Presiones de casing'!$C$4+'Presiones de casing'!$C$8)*A855)*(1+'Presiones de casing'!$C$7/'Presiones de casing'!$C$13)</f>
        <v>19249.364712555427</v>
      </c>
      <c r="C855" s="339">
        <f>+B855*(Columna!$G$9+Columna!$B$7)/Columna!$G$9</f>
        <v>22932.287270967518</v>
      </c>
      <c r="D855" s="340">
        <f>+B855-A855*'Presiones de casing'!$C$4</f>
        <v>4826.8455337183805</v>
      </c>
      <c r="E855" s="340">
        <f>+'Volumen de gas'!$C$1*Tabla!D855/14.7*520/'Volumen de gas'!$C$2*'Volumen de gas'!$C$4/'Volumen de gas'!$C$3</f>
        <v>74483.8470010221</v>
      </c>
      <c r="F855" s="340">
        <f t="shared" si="15"/>
        <v>348.87047775654383</v>
      </c>
    </row>
    <row r="856" spans="1:6" ht="12.75">
      <c r="A856" s="317">
        <v>213.75</v>
      </c>
      <c r="B856" s="339">
        <f>+('Presiones de casing'!$C$2+14.7+'Presiones de casing'!$C$3+('Presiones de casing'!$C$4+'Presiones de casing'!$C$8)*A856)*(1+'Presiones de casing'!$C$7/'Presiones de casing'!$C$13)</f>
        <v>19271.71097950231</v>
      </c>
      <c r="C856" s="339">
        <f>+B856*(Columna!$G$9+Columna!$B$7)/Columna!$G$9</f>
        <v>22958.908981383</v>
      </c>
      <c r="D856" s="340">
        <f>+B856-A856*'Presiones de casing'!$C$4</f>
        <v>4832.303604905501</v>
      </c>
      <c r="E856" s="340">
        <f>+'Volumen de gas'!$C$1*Tabla!D856/14.7*520/'Volumen de gas'!$C$2*'Volumen de gas'!$C$4/'Volumen de gas'!$C$3</f>
        <v>74568.07139485909</v>
      </c>
      <c r="F856" s="340">
        <f t="shared" si="15"/>
        <v>348.85647436191385</v>
      </c>
    </row>
    <row r="857" spans="1:6" ht="12.75">
      <c r="A857" s="317">
        <v>214</v>
      </c>
      <c r="B857" s="339">
        <f>+('Presiones de casing'!$C$2+14.7+'Presiones de casing'!$C$3+('Presiones de casing'!$C$4+'Presiones de casing'!$C$8)*A857)*(1+'Presiones de casing'!$C$7/'Presiones de casing'!$C$13)</f>
        <v>19294.057246449196</v>
      </c>
      <c r="C857" s="339">
        <f>+B857*(Columna!$G$9+Columna!$B$7)/Columna!$G$9</f>
        <v>22985.53069179848</v>
      </c>
      <c r="D857" s="340">
        <f>+B857-A857*'Presiones de casing'!$C$4</f>
        <v>4837.761676092625</v>
      </c>
      <c r="E857" s="340">
        <f>+'Volumen de gas'!$C$1*Tabla!D857/14.7*520/'Volumen de gas'!$C$2*'Volumen de gas'!$C$4/'Volumen de gas'!$C$3</f>
        <v>74652.29578869611</v>
      </c>
      <c r="F857" s="340">
        <f t="shared" si="15"/>
        <v>348.84250368549584</v>
      </c>
    </row>
    <row r="858" spans="1:6" ht="12.75">
      <c r="A858" s="317">
        <v>214.25</v>
      </c>
      <c r="B858" s="339">
        <f>+('Presiones de casing'!$C$2+14.7+'Presiones de casing'!$C$3+('Presiones de casing'!$C$4+'Presiones de casing'!$C$8)*A858)*(1+'Presiones de casing'!$C$7/'Presiones de casing'!$C$13)</f>
        <v>19316.403513396075</v>
      </c>
      <c r="C858" s="339">
        <f>+B858*(Columna!$G$9+Columna!$B$7)/Columna!$G$9</f>
        <v>23012.15240221396</v>
      </c>
      <c r="D858" s="340">
        <f>+B858-A858*'Presiones de casing'!$C$4</f>
        <v>4843.219747279742</v>
      </c>
      <c r="E858" s="340">
        <f>+'Volumen de gas'!$C$1*Tabla!D858/14.7*520/'Volumen de gas'!$C$2*'Volumen de gas'!$C$4/'Volumen de gas'!$C$3</f>
        <v>74736.52018253306</v>
      </c>
      <c r="F858" s="340">
        <f t="shared" si="15"/>
        <v>348.8285656127564</v>
      </c>
    </row>
    <row r="859" spans="1:6" ht="12.75">
      <c r="A859" s="317">
        <v>214.5</v>
      </c>
      <c r="B859" s="339">
        <f>+('Presiones de casing'!$C$2+14.7+'Presiones de casing'!$C$3+('Presiones de casing'!$C$4+'Presiones de casing'!$C$8)*A859)*(1+'Presiones de casing'!$C$7/'Presiones de casing'!$C$13)</f>
        <v>19338.749780342958</v>
      </c>
      <c r="C859" s="339">
        <f>+B859*(Columna!$G$9+Columna!$B$7)/Columna!$G$9</f>
        <v>23038.774112629442</v>
      </c>
      <c r="D859" s="340">
        <f>+B859-A859*'Presiones de casing'!$C$4</f>
        <v>4848.677818466862</v>
      </c>
      <c r="E859" s="340">
        <f>+'Volumen de gas'!$C$1*Tabla!D859/14.7*520/'Volumen de gas'!$C$2*'Volumen de gas'!$C$4/'Volumen de gas'!$C$3</f>
        <v>74820.74457637002</v>
      </c>
      <c r="F859" s="340">
        <f t="shared" si="15"/>
        <v>348.81466002969705</v>
      </c>
    </row>
    <row r="860" spans="1:6" ht="12.75">
      <c r="A860" s="317">
        <v>214.75</v>
      </c>
      <c r="B860" s="339">
        <f>+('Presiones de casing'!$C$2+14.7+'Presiones de casing'!$C$3+('Presiones de casing'!$C$4+'Presiones de casing'!$C$8)*A860)*(1+'Presiones de casing'!$C$7/'Presiones de casing'!$C$13)</f>
        <v>19361.096047289844</v>
      </c>
      <c r="C860" s="339">
        <f>+B860*(Columna!$G$9+Columna!$B$7)/Columna!$G$9</f>
        <v>23065.395823044928</v>
      </c>
      <c r="D860" s="340">
        <f>+B860-A860*'Presiones de casing'!$C$4</f>
        <v>4854.135889653986</v>
      </c>
      <c r="E860" s="340">
        <f>+'Volumen de gas'!$C$1*Tabla!D860/14.7*520/'Volumen de gas'!$C$2*'Volumen de gas'!$C$4/'Volumen de gas'!$C$3</f>
        <v>74904.96897020706</v>
      </c>
      <c r="F860" s="340">
        <f t="shared" si="15"/>
        <v>348.8007868228501</v>
      </c>
    </row>
    <row r="861" spans="1:6" ht="12.75">
      <c r="A861" s="317">
        <v>215</v>
      </c>
      <c r="B861" s="339">
        <f>+('Presiones de casing'!$C$2+14.7+'Presiones de casing'!$C$3+('Presiones de casing'!$C$4+'Presiones de casing'!$C$8)*A861)*(1+'Presiones de casing'!$C$7/'Presiones de casing'!$C$13)</f>
        <v>19383.442314236727</v>
      </c>
      <c r="C861" s="339">
        <f>+B861*(Columna!$G$9+Columna!$B$7)/Columna!$G$9</f>
        <v>23092.017533460406</v>
      </c>
      <c r="D861" s="340">
        <f>+B861-A861*'Presiones de casing'!$C$4</f>
        <v>4859.593960841106</v>
      </c>
      <c r="E861" s="340">
        <f>+'Volumen de gas'!$C$1*Tabla!D861/14.7*520/'Volumen de gas'!$C$2*'Volumen de gas'!$C$4/'Volumen de gas'!$C$3</f>
        <v>74989.19336404404</v>
      </c>
      <c r="F861" s="340">
        <f t="shared" si="15"/>
        <v>348.7869458792746</v>
      </c>
    </row>
    <row r="862" spans="1:6" ht="12.75">
      <c r="A862" s="317">
        <v>215.25</v>
      </c>
      <c r="B862" s="339">
        <f>+('Presiones de casing'!$C$2+14.7+'Presiones de casing'!$C$3+('Presiones de casing'!$C$4+'Presiones de casing'!$C$8)*A862)*(1+'Presiones de casing'!$C$7/'Presiones de casing'!$C$13)</f>
        <v>19405.78858118361</v>
      </c>
      <c r="C862" s="339">
        <f>+B862*(Columna!$G$9+Columna!$B$7)/Columna!$G$9</f>
        <v>23118.63924387589</v>
      </c>
      <c r="D862" s="340">
        <f>+B862-A862*'Presiones de casing'!$C$4</f>
        <v>4865.052032028227</v>
      </c>
      <c r="E862" s="340">
        <f>+'Volumen de gas'!$C$1*Tabla!D862/14.7*520/'Volumen de gas'!$C$2*'Volumen de gas'!$C$4/'Volumen de gas'!$C$3</f>
        <v>75073.41775788102</v>
      </c>
      <c r="F862" s="340">
        <f t="shared" si="15"/>
        <v>348.77313708655527</v>
      </c>
    </row>
    <row r="863" spans="1:6" ht="12.75">
      <c r="A863" s="317">
        <v>215.5</v>
      </c>
      <c r="B863" s="339">
        <f>+('Presiones de casing'!$C$2+14.7+'Presiones de casing'!$C$3+('Presiones de casing'!$C$4+'Presiones de casing'!$C$8)*A863)*(1+'Presiones de casing'!$C$7/'Presiones de casing'!$C$13)</f>
        <v>19428.134848130492</v>
      </c>
      <c r="C863" s="339">
        <f>+B863*(Columna!$G$9+Columna!$B$7)/Columna!$G$9</f>
        <v>23145.26095429137</v>
      </c>
      <c r="D863" s="340">
        <f>+B863-A863*'Presiones de casing'!$C$4</f>
        <v>4870.510103215345</v>
      </c>
      <c r="E863" s="340">
        <f>+'Volumen de gas'!$C$1*Tabla!D863/14.7*520/'Volumen de gas'!$C$2*'Volumen de gas'!$C$4/'Volumen de gas'!$C$3</f>
        <v>75157.64215171797</v>
      </c>
      <c r="F863" s="340">
        <f t="shared" si="15"/>
        <v>348.759360332798</v>
      </c>
    </row>
    <row r="864" spans="1:6" ht="12.75">
      <c r="A864" s="317">
        <v>215.75</v>
      </c>
      <c r="B864" s="339">
        <f>+('Presiones de casing'!$C$2+14.7+'Presiones de casing'!$C$3+('Presiones de casing'!$C$4+'Presiones de casing'!$C$8)*A864)*(1+'Presiones de casing'!$C$7/'Presiones de casing'!$C$13)</f>
        <v>19450.48111507738</v>
      </c>
      <c r="C864" s="339">
        <f>+B864*(Columna!$G$9+Columna!$B$7)/Columna!$G$9</f>
        <v>23171.88266470686</v>
      </c>
      <c r="D864" s="340">
        <f>+B864-A864*'Presiones de casing'!$C$4</f>
        <v>4875.968174402469</v>
      </c>
      <c r="E864" s="340">
        <f>+'Volumen de gas'!$C$1*Tabla!D864/14.7*520/'Volumen de gas'!$C$2*'Volumen de gas'!$C$4/'Volumen de gas'!$C$3</f>
        <v>75241.86654555499</v>
      </c>
      <c r="F864" s="340">
        <f t="shared" si="15"/>
        <v>348.745615506628</v>
      </c>
    </row>
    <row r="865" spans="1:6" ht="12.75">
      <c r="A865" s="317">
        <v>216</v>
      </c>
      <c r="B865" s="339">
        <f>+('Presiones de casing'!$C$2+14.7+'Presiones de casing'!$C$3+('Presiones de casing'!$C$4+'Presiones de casing'!$C$8)*A865)*(1+'Presiones de casing'!$C$7/'Presiones de casing'!$C$13)</f>
        <v>19472.827382024258</v>
      </c>
      <c r="C865" s="339">
        <f>+B865*(Columna!$G$9+Columna!$B$7)/Columna!$G$9</f>
        <v>23198.504375122335</v>
      </c>
      <c r="D865" s="340">
        <f>+B865-A865*'Presiones de casing'!$C$4</f>
        <v>4881.426245589586</v>
      </c>
      <c r="E865" s="340">
        <f>+'Volumen de gas'!$C$1*Tabla!D865/14.7*520/'Volumen de gas'!$C$2*'Volumen de gas'!$C$4/'Volumen de gas'!$C$3</f>
        <v>75326.09093939191</v>
      </c>
      <c r="F865" s="340">
        <f t="shared" si="15"/>
        <v>348.73190249718476</v>
      </c>
    </row>
    <row r="866" spans="1:6" ht="12.75">
      <c r="A866" s="317">
        <v>216.25</v>
      </c>
      <c r="B866" s="339">
        <f>+('Presiones de casing'!$C$2+14.7+'Presiones de casing'!$C$3+('Presiones de casing'!$C$4+'Presiones de casing'!$C$8)*A866)*(1+'Presiones de casing'!$C$7/'Presiones de casing'!$C$13)</f>
        <v>19495.173648971144</v>
      </c>
      <c r="C866" s="339">
        <f>+B866*(Columna!$G$9+Columna!$B$7)/Columna!$G$9</f>
        <v>23225.12608553782</v>
      </c>
      <c r="D866" s="340">
        <f>+B866-A866*'Presiones de casing'!$C$4</f>
        <v>4886.88431677671</v>
      </c>
      <c r="E866" s="340">
        <f>+'Volumen de gas'!$C$1*Tabla!D866/14.7*520/'Volumen de gas'!$C$2*'Volumen de gas'!$C$4/'Volumen de gas'!$C$3</f>
        <v>75410.31533322897</v>
      </c>
      <c r="F866" s="340">
        <f t="shared" si="15"/>
        <v>348.7182211941224</v>
      </c>
    </row>
    <row r="867" spans="1:6" ht="12.75">
      <c r="A867" s="317">
        <v>216.5</v>
      </c>
      <c r="B867" s="339">
        <f>+('Presiones de casing'!$C$2+14.7+'Presiones de casing'!$C$3+('Presiones de casing'!$C$4+'Presiones de casing'!$C$8)*A867)*(1+'Presiones de casing'!$C$7/'Presiones de casing'!$C$13)</f>
        <v>19517.519915918027</v>
      </c>
      <c r="C867" s="339">
        <f>+B867*(Columna!$G$9+Columna!$B$7)/Columna!$G$9</f>
        <v>23251.747795953303</v>
      </c>
      <c r="D867" s="340">
        <f>+B867-A867*'Presiones de casing'!$C$4</f>
        <v>4892.34238796383</v>
      </c>
      <c r="E867" s="340">
        <f>+'Volumen de gas'!$C$1*Tabla!D867/14.7*520/'Volumen de gas'!$C$2*'Volumen de gas'!$C$4/'Volumen de gas'!$C$3</f>
        <v>75494.53972706593</v>
      </c>
      <c r="F867" s="340">
        <f t="shared" si="15"/>
        <v>348.70457148760244</v>
      </c>
    </row>
    <row r="868" spans="1:6" ht="12.75">
      <c r="A868" s="317">
        <v>216.75</v>
      </c>
      <c r="B868" s="339">
        <f>+('Presiones de casing'!$C$2+14.7+'Presiones de casing'!$C$3+('Presiones de casing'!$C$4+'Presiones de casing'!$C$8)*A868)*(1+'Presiones de casing'!$C$7/'Presiones de casing'!$C$13)</f>
        <v>19539.86618286491</v>
      </c>
      <c r="C868" s="339">
        <f>+B868*(Columna!$G$9+Columna!$B$7)/Columna!$G$9</f>
        <v>23278.369506368785</v>
      </c>
      <c r="D868" s="340">
        <f>+B868-A868*'Presiones de casing'!$C$4</f>
        <v>4897.800459150951</v>
      </c>
      <c r="E868" s="340">
        <f>+'Volumen de gas'!$C$1*Tabla!D868/14.7*520/'Volumen de gas'!$C$2*'Volumen de gas'!$C$4/'Volumen de gas'!$C$3</f>
        <v>75578.76412090291</v>
      </c>
      <c r="F868" s="340">
        <f t="shared" si="15"/>
        <v>348.69095326829483</v>
      </c>
    </row>
    <row r="869" spans="1:6" ht="12.75">
      <c r="A869" s="317">
        <v>217</v>
      </c>
      <c r="B869" s="339">
        <f>+('Presiones de casing'!$C$2+14.7+'Presiones de casing'!$C$3+('Presiones de casing'!$C$4+'Presiones de casing'!$C$8)*A869)*(1+'Presiones de casing'!$C$7/'Presiones de casing'!$C$13)</f>
        <v>19562.212449811792</v>
      </c>
      <c r="C869" s="339">
        <f>+B869*(Columna!$G$9+Columna!$B$7)/Columna!$G$9</f>
        <v>23304.991216784267</v>
      </c>
      <c r="D869" s="340">
        <f>+B869-A869*'Presiones de casing'!$C$4</f>
        <v>4903.258530338071</v>
      </c>
      <c r="E869" s="340">
        <f>+'Volumen de gas'!$C$1*Tabla!D869/14.7*520/'Volumen de gas'!$C$2*'Volumen de gas'!$C$4/'Volumen de gas'!$C$3</f>
        <v>75662.98851473989</v>
      </c>
      <c r="F869" s="340">
        <f t="shared" si="15"/>
        <v>348.67736642737276</v>
      </c>
    </row>
    <row r="870" spans="1:6" ht="12.75">
      <c r="A870" s="317">
        <v>217.25</v>
      </c>
      <c r="B870" s="339">
        <f>+('Presiones de casing'!$C$2+14.7+'Presiones de casing'!$C$3+('Presiones de casing'!$C$4+'Presiones de casing'!$C$8)*A870)*(1+'Presiones de casing'!$C$7/'Presiones de casing'!$C$13)</f>
        <v>19584.558716758675</v>
      </c>
      <c r="C870" s="339">
        <f>+B870*(Columna!$G$9+Columna!$B$7)/Columna!$G$9</f>
        <v>23331.61292719975</v>
      </c>
      <c r="D870" s="340">
        <f>+B870-A870*'Presiones de casing'!$C$4</f>
        <v>4908.716601525191</v>
      </c>
      <c r="E870" s="340">
        <f>+'Volumen de gas'!$C$1*Tabla!D870/14.7*520/'Volumen de gas'!$C$2*'Volumen de gas'!$C$4/'Volumen de gas'!$C$3</f>
        <v>75747.21290857687</v>
      </c>
      <c r="F870" s="340">
        <f t="shared" si="15"/>
        <v>348.66381085651034</v>
      </c>
    </row>
    <row r="871" spans="1:6" ht="12.75">
      <c r="A871" s="317">
        <v>217.5</v>
      </c>
      <c r="B871" s="339">
        <f>+('Presiones de casing'!$C$2+14.7+'Presiones de casing'!$C$3+('Presiones de casing'!$C$4+'Presiones de casing'!$C$8)*A871)*(1+'Presiones de casing'!$C$7/'Presiones de casing'!$C$13)</f>
        <v>19606.90498370556</v>
      </c>
      <c r="C871" s="339">
        <f>+B871*(Columna!$G$9+Columna!$B$7)/Columna!$G$9</f>
        <v>23358.23463761523</v>
      </c>
      <c r="D871" s="340">
        <f>+B871-A871*'Presiones de casing'!$C$4</f>
        <v>4914.174672712315</v>
      </c>
      <c r="E871" s="340">
        <f>+'Volumen de gas'!$C$1*Tabla!D871/14.7*520/'Volumen de gas'!$C$2*'Volumen de gas'!$C$4/'Volumen de gas'!$C$3</f>
        <v>75831.4373024139</v>
      </c>
      <c r="F871" s="340">
        <f t="shared" si="15"/>
        <v>348.65028644788003</v>
      </c>
    </row>
    <row r="872" spans="1:6" ht="12.75">
      <c r="A872" s="317">
        <v>217.75</v>
      </c>
      <c r="B872" s="339">
        <f>+('Presiones de casing'!$C$2+14.7+'Presiones de casing'!$C$3+('Presiones de casing'!$C$4+'Presiones de casing'!$C$8)*A872)*(1+'Presiones de casing'!$C$7/'Presiones de casing'!$C$13)</f>
        <v>19629.25125065244</v>
      </c>
      <c r="C872" s="339">
        <f>+B872*(Columna!$G$9+Columna!$B$7)/Columna!$G$9</f>
        <v>23384.85634803071</v>
      </c>
      <c r="D872" s="340">
        <f>+B872-A872*'Presiones de casing'!$C$4</f>
        <v>4919.632743899432</v>
      </c>
      <c r="E872" s="340">
        <f>+'Volumen de gas'!$C$1*Tabla!D872/14.7*520/'Volumen de gas'!$C$2*'Volumen de gas'!$C$4/'Volumen de gas'!$C$3</f>
        <v>75915.66169625084</v>
      </c>
      <c r="F872" s="340">
        <f t="shared" si="15"/>
        <v>348.6367930941485</v>
      </c>
    </row>
    <row r="873" spans="1:6" ht="12.75">
      <c r="A873" s="317">
        <v>218</v>
      </c>
      <c r="B873" s="339">
        <f>+('Presiones de casing'!$C$2+14.7+'Presiones de casing'!$C$3+('Presiones de casing'!$C$4+'Presiones de casing'!$C$8)*A873)*(1+'Presiones de casing'!$C$7/'Presiones de casing'!$C$13)</f>
        <v>19651.597517599326</v>
      </c>
      <c r="C873" s="339">
        <f>+B873*(Columna!$G$9+Columna!$B$7)/Columna!$G$9</f>
        <v>23411.478058446195</v>
      </c>
      <c r="D873" s="340">
        <f>+B873-A873*'Presiones de casing'!$C$4</f>
        <v>4925.090815086556</v>
      </c>
      <c r="E873" s="340">
        <f>+'Volumen de gas'!$C$1*Tabla!D873/14.7*520/'Volumen de gas'!$C$2*'Volumen de gas'!$C$4/'Volumen de gas'!$C$3</f>
        <v>75999.88609008786</v>
      </c>
      <c r="F873" s="340">
        <f t="shared" si="15"/>
        <v>348.6233306884764</v>
      </c>
    </row>
    <row r="874" spans="1:6" ht="12.75">
      <c r="A874" s="317">
        <v>218.25</v>
      </c>
      <c r="B874" s="339">
        <f>+('Presiones de casing'!$C$2+14.7+'Presiones de casing'!$C$3+('Presiones de casing'!$C$4+'Presiones de casing'!$C$8)*A874)*(1+'Presiones de casing'!$C$7/'Presiones de casing'!$C$13)</f>
        <v>19673.94378454621</v>
      </c>
      <c r="C874" s="339">
        <f>+B874*(Columna!$G$9+Columna!$B$7)/Columna!$G$9</f>
        <v>23438.099768861677</v>
      </c>
      <c r="D874" s="340">
        <f>+B874-A874*'Presiones de casing'!$C$4</f>
        <v>4930.5488862736765</v>
      </c>
      <c r="E874" s="340">
        <f>+'Volumen de gas'!$C$1*Tabla!D874/14.7*520/'Volumen de gas'!$C$2*'Volumen de gas'!$C$4/'Volumen de gas'!$C$3</f>
        <v>76084.11048392484</v>
      </c>
      <c r="F874" s="340">
        <f t="shared" si="15"/>
        <v>348.6098991245125</v>
      </c>
    </row>
    <row r="875" spans="1:6" ht="12.75">
      <c r="A875" s="317">
        <v>218.5</v>
      </c>
      <c r="B875" s="339">
        <f>+('Presiones de casing'!$C$2+14.7+'Presiones de casing'!$C$3+('Presiones de casing'!$C$4+'Presiones de casing'!$C$8)*A875)*(1+'Presiones de casing'!$C$7/'Presiones de casing'!$C$13)</f>
        <v>19696.290051493095</v>
      </c>
      <c r="C875" s="339">
        <f>+B875*(Columna!$G$9+Columna!$B$7)/Columna!$G$9</f>
        <v>23464.721479277163</v>
      </c>
      <c r="D875" s="340">
        <f>+B875-A875*'Presiones de casing'!$C$4</f>
        <v>4936.006957460801</v>
      </c>
      <c r="E875" s="340">
        <f>+'Volumen de gas'!$C$1*Tabla!D875/14.7*520/'Volumen de gas'!$C$2*'Volumen de gas'!$C$4/'Volumen de gas'!$C$3</f>
        <v>76168.33487776188</v>
      </c>
      <c r="F875" s="340">
        <f t="shared" si="15"/>
        <v>348.59649829639307</v>
      </c>
    </row>
    <row r="876" spans="1:6" ht="12.75">
      <c r="A876" s="317">
        <v>218.75</v>
      </c>
      <c r="B876" s="339">
        <f>+('Presiones de casing'!$C$2+14.7+'Presiones de casing'!$C$3+('Presiones de casing'!$C$4+'Presiones de casing'!$C$8)*A876)*(1+'Presiones de casing'!$C$7/'Presiones de casing'!$C$13)</f>
        <v>19718.636318439974</v>
      </c>
      <c r="C876" s="339">
        <f>+B876*(Columna!$G$9+Columna!$B$7)/Columna!$G$9</f>
        <v>23491.343189692638</v>
      </c>
      <c r="D876" s="340">
        <f>+B876-A876*'Presiones de casing'!$C$4</f>
        <v>4941.465028647917</v>
      </c>
      <c r="E876" s="340">
        <f>+'Volumen de gas'!$C$1*Tabla!D876/14.7*520/'Volumen de gas'!$C$2*'Volumen de gas'!$C$4/'Volumen de gas'!$C$3</f>
        <v>76252.55927159882</v>
      </c>
      <c r="F876" s="340">
        <f t="shared" si="15"/>
        <v>348.58312809873746</v>
      </c>
    </row>
    <row r="877" spans="1:6" ht="12.75">
      <c r="A877" s="317">
        <v>219</v>
      </c>
      <c r="B877" s="339">
        <f>+('Presiones de casing'!$C$2+14.7+'Presiones de casing'!$C$3+('Presiones de casing'!$C$4+'Presiones de casing'!$C$8)*A877)*(1+'Presiones de casing'!$C$7/'Presiones de casing'!$C$13)</f>
        <v>19740.98258538686</v>
      </c>
      <c r="C877" s="339">
        <f>+B877*(Columna!$G$9+Columna!$B$7)/Columna!$G$9</f>
        <v>23517.964900108127</v>
      </c>
      <c r="D877" s="340">
        <f>+B877-A877*'Presiones de casing'!$C$4</f>
        <v>4946.923099835041</v>
      </c>
      <c r="E877" s="340">
        <f>+'Volumen de gas'!$C$1*Tabla!D877/14.7*520/'Volumen de gas'!$C$2*'Volumen de gas'!$C$4/'Volumen de gas'!$C$3</f>
        <v>76336.78366543584</v>
      </c>
      <c r="F877" s="340">
        <f t="shared" si="15"/>
        <v>348.5697884266477</v>
      </c>
    </row>
    <row r="878" spans="1:6" ht="12.75">
      <c r="A878" s="317">
        <v>219.25</v>
      </c>
      <c r="B878" s="339">
        <f>+('Presiones de casing'!$C$2+14.7+'Presiones de casing'!$C$3+('Presiones de casing'!$C$4+'Presiones de casing'!$C$8)*A878)*(1+'Presiones de casing'!$C$7/'Presiones de casing'!$C$13)</f>
        <v>19763.328852333743</v>
      </c>
      <c r="C878" s="339">
        <f>+B878*(Columna!$G$9+Columna!$B$7)/Columna!$G$9</f>
        <v>23544.58661052361</v>
      </c>
      <c r="D878" s="340">
        <f>+B878-A878*'Presiones de casing'!$C$4</f>
        <v>4952.381171022162</v>
      </c>
      <c r="E878" s="340">
        <f>+'Volumen de gas'!$C$1*Tabla!D878/14.7*520/'Volumen de gas'!$C$2*'Volumen de gas'!$C$4/'Volumen de gas'!$C$3</f>
        <v>76421.00805927283</v>
      </c>
      <c r="F878" s="340">
        <f t="shared" si="15"/>
        <v>348.55647917570275</v>
      </c>
    </row>
    <row r="879" spans="1:6" ht="12.75">
      <c r="A879" s="317">
        <v>219.5</v>
      </c>
      <c r="B879" s="339">
        <f>+('Presiones de casing'!$C$2+14.7+'Presiones de casing'!$C$3+('Presiones de casing'!$C$4+'Presiones de casing'!$C$8)*A879)*(1+'Presiones de casing'!$C$7/'Presiones de casing'!$C$13)</f>
        <v>19785.675119280626</v>
      </c>
      <c r="C879" s="339">
        <f>+B879*(Columna!$G$9+Columna!$B$7)/Columna!$G$9</f>
        <v>23571.20832093909</v>
      </c>
      <c r="D879" s="340">
        <f>+B879-A879*'Presiones de casing'!$C$4</f>
        <v>4957.839242209282</v>
      </c>
      <c r="E879" s="340">
        <f>+'Volumen de gas'!$C$1*Tabla!D879/14.7*520/'Volumen de gas'!$C$2*'Volumen de gas'!$C$4/'Volumen de gas'!$C$3</f>
        <v>76505.23245310981</v>
      </c>
      <c r="F879" s="340">
        <f t="shared" si="15"/>
        <v>348.5432002419581</v>
      </c>
    </row>
    <row r="880" spans="1:6" ht="12.75">
      <c r="A880" s="317">
        <v>219.75</v>
      </c>
      <c r="B880" s="339">
        <f>+('Presiones de casing'!$C$2+14.7+'Presiones de casing'!$C$3+('Presiones de casing'!$C$4+'Presiones de casing'!$C$8)*A880)*(1+'Presiones de casing'!$C$7/'Presiones de casing'!$C$13)</f>
        <v>19808.02138622751</v>
      </c>
      <c r="C880" s="339">
        <f>+B880*(Columna!$G$9+Columna!$B$7)/Columna!$G$9</f>
        <v>23597.83003135457</v>
      </c>
      <c r="D880" s="340">
        <f>+B880-A880*'Presiones de casing'!$C$4</f>
        <v>4963.297313396402</v>
      </c>
      <c r="E880" s="340">
        <f>+'Volumen de gas'!$C$1*Tabla!D880/14.7*520/'Volumen de gas'!$C$2*'Volumen de gas'!$C$4/'Volumen de gas'!$C$3</f>
        <v>76589.45684694678</v>
      </c>
      <c r="F880" s="340">
        <f t="shared" si="15"/>
        <v>348.5299515219421</v>
      </c>
    </row>
    <row r="881" spans="1:6" ht="12.75">
      <c r="A881" s="317">
        <v>220</v>
      </c>
      <c r="B881" s="339">
        <f>+('Presiones de casing'!$C$2+14.7+'Presiones de casing'!$C$3+('Presiones de casing'!$C$4+'Presiones de casing'!$C$8)*A881)*(1+'Presiones de casing'!$C$7/'Presiones de casing'!$C$13)</f>
        <v>19830.36765317439</v>
      </c>
      <c r="C881" s="339">
        <f>+B881*(Columna!$G$9+Columna!$B$7)/Columna!$G$9</f>
        <v>23624.45174177005</v>
      </c>
      <c r="D881" s="340">
        <f>+B881-A881*'Presiones de casing'!$C$4</f>
        <v>4968.755384583523</v>
      </c>
      <c r="E881" s="340">
        <f>+'Volumen de gas'!$C$1*Tabla!D881/14.7*520/'Volumen de gas'!$C$2*'Volumen de gas'!$C$4/'Volumen de gas'!$C$3</f>
        <v>76673.68124078376</v>
      </c>
      <c r="F881" s="340">
        <f t="shared" si="15"/>
        <v>348.5167329126534</v>
      </c>
    </row>
    <row r="882" spans="1:6" ht="12.75">
      <c r="A882" s="317">
        <v>220.25</v>
      </c>
      <c r="B882" s="339">
        <f>+('Presiones de casing'!$C$2+14.7+'Presiones de casing'!$C$3+('Presiones de casing'!$C$4+'Presiones de casing'!$C$8)*A882)*(1+'Presiones de casing'!$C$7/'Presiones de casing'!$C$13)</f>
        <v>19852.713920121278</v>
      </c>
      <c r="C882" s="339">
        <f>+B882*(Columna!$G$9+Columna!$B$7)/Columna!$G$9</f>
        <v>23651.073452185537</v>
      </c>
      <c r="D882" s="340">
        <f>+B882-A882*'Presiones de casing'!$C$4</f>
        <v>4974.213455770647</v>
      </c>
      <c r="E882" s="340">
        <f>+'Volumen de gas'!$C$1*Tabla!D882/14.7*520/'Volumen de gas'!$C$2*'Volumen de gas'!$C$4/'Volumen de gas'!$C$3</f>
        <v>76757.9056346208</v>
      </c>
      <c r="F882" s="340">
        <f t="shared" si="15"/>
        <v>348.50354431155864</v>
      </c>
    </row>
    <row r="883" spans="1:6" ht="12.75">
      <c r="A883" s="317">
        <v>220.5</v>
      </c>
      <c r="B883" s="339">
        <f>+('Presiones de casing'!$C$2+14.7+'Presiones de casing'!$C$3+('Presiones de casing'!$C$4+'Presiones de casing'!$C$8)*A883)*(1+'Presiones de casing'!$C$7/'Presiones de casing'!$C$13)</f>
        <v>19875.060187068157</v>
      </c>
      <c r="C883" s="339">
        <f>+B883*(Columna!$G$9+Columna!$B$7)/Columna!$G$9</f>
        <v>23677.695162601016</v>
      </c>
      <c r="D883" s="340">
        <f>+B883-A883*'Presiones de casing'!$C$4</f>
        <v>4979.6715269577635</v>
      </c>
      <c r="E883" s="340">
        <f>+'Volumen de gas'!$C$1*Tabla!D883/14.7*520/'Volumen de gas'!$C$2*'Volumen de gas'!$C$4/'Volumen de gas'!$C$3</f>
        <v>76842.13002845772</v>
      </c>
      <c r="F883" s="340">
        <f t="shared" si="15"/>
        <v>348.4903856165883</v>
      </c>
    </row>
    <row r="884" spans="1:6" ht="12.75">
      <c r="A884" s="317">
        <v>220.75</v>
      </c>
      <c r="B884" s="339">
        <f>+('Presiones de casing'!$C$2+14.7+'Presiones de casing'!$C$3+('Presiones de casing'!$C$4+'Presiones de casing'!$C$8)*A884)*(1+'Presiones de casing'!$C$7/'Presiones de casing'!$C$13)</f>
        <v>19897.406454015043</v>
      </c>
      <c r="C884" s="339">
        <f>+B884*(Columna!$G$9+Columna!$B$7)/Columna!$G$9</f>
        <v>23704.316873016505</v>
      </c>
      <c r="D884" s="340">
        <f>+B884-A884*'Presiones de casing'!$C$4</f>
        <v>4985.1295981448875</v>
      </c>
      <c r="E884" s="340">
        <f>+'Volumen de gas'!$C$1*Tabla!D884/14.7*520/'Volumen de gas'!$C$2*'Volumen de gas'!$C$4/'Volumen de gas'!$C$3</f>
        <v>76926.35442229477</v>
      </c>
      <c r="F884" s="340">
        <f t="shared" si="15"/>
        <v>348.4772567261371</v>
      </c>
    </row>
    <row r="885" spans="1:6" ht="12.75">
      <c r="A885" s="317">
        <v>221</v>
      </c>
      <c r="B885" s="339">
        <f>+('Presiones de casing'!$C$2+14.7+'Presiones de casing'!$C$3+('Presiones de casing'!$C$4+'Presiones de casing'!$C$8)*A885)*(1+'Presiones de casing'!$C$7/'Presiones de casing'!$C$13)</f>
        <v>19919.752720961926</v>
      </c>
      <c r="C885" s="339">
        <f>+B885*(Columna!$G$9+Columna!$B$7)/Columna!$G$9</f>
        <v>23730.93858343198</v>
      </c>
      <c r="D885" s="340">
        <f>+B885-A885*'Presiones de casing'!$C$4</f>
        <v>4990.587669332008</v>
      </c>
      <c r="E885" s="340">
        <f>+'Volumen de gas'!$C$1*Tabla!D885/14.7*520/'Volumen de gas'!$C$2*'Volumen de gas'!$C$4/'Volumen de gas'!$C$3</f>
        <v>77010.57881613173</v>
      </c>
      <c r="F885" s="340">
        <f t="shared" si="15"/>
        <v>348.4641575390576</v>
      </c>
    </row>
    <row r="886" spans="1:6" ht="12.75">
      <c r="A886" s="317">
        <v>221.25</v>
      </c>
      <c r="B886" s="339">
        <f>+('Presiones de casing'!$C$2+14.7+'Presiones de casing'!$C$3+('Presiones de casing'!$C$4+'Presiones de casing'!$C$8)*A886)*(1+'Presiones de casing'!$C$7/'Presiones de casing'!$C$13)</f>
        <v>19942.098987908812</v>
      </c>
      <c r="C886" s="339">
        <f>+B886*(Columna!$G$9+Columna!$B$7)/Columna!$G$9</f>
        <v>23757.56029384747</v>
      </c>
      <c r="D886" s="340">
        <f>+B886-A886*'Presiones de casing'!$C$4</f>
        <v>4996.045740519132</v>
      </c>
      <c r="E886" s="340">
        <f>+'Volumen de gas'!$C$1*Tabla!D886/14.7*520/'Volumen de gas'!$C$2*'Volumen de gas'!$C$4/'Volumen de gas'!$C$3</f>
        <v>77094.80320996877</v>
      </c>
      <c r="F886" s="340">
        <f t="shared" si="15"/>
        <v>348.4510879546611</v>
      </c>
    </row>
    <row r="887" spans="1:6" ht="12.75">
      <c r="A887" s="317">
        <v>221.5</v>
      </c>
      <c r="B887" s="339">
        <f>+('Presiones de casing'!$C$2+14.7+'Presiones de casing'!$C$3+('Presiones de casing'!$C$4+'Presiones de casing'!$C$8)*A887)*(1+'Presiones de casing'!$C$7/'Presiones de casing'!$C$13)</f>
        <v>19964.44525485569</v>
      </c>
      <c r="C887" s="339">
        <f>+B887*(Columna!$G$9+Columna!$B$7)/Columna!$G$9</f>
        <v>23784.182004262948</v>
      </c>
      <c r="D887" s="340">
        <f>+B887-A887*'Presiones de casing'!$C$4</f>
        <v>5001.503811706249</v>
      </c>
      <c r="E887" s="340">
        <f>+'Volumen de gas'!$C$1*Tabla!D887/14.7*520/'Volumen de gas'!$C$2*'Volumen de gas'!$C$4/'Volumen de gas'!$C$3</f>
        <v>77179.02760380569</v>
      </c>
      <c r="F887" s="340">
        <f t="shared" si="15"/>
        <v>348.43804787271193</v>
      </c>
    </row>
    <row r="888" spans="1:6" ht="12.75">
      <c r="A888" s="317">
        <v>221.75</v>
      </c>
      <c r="B888" s="339">
        <f>+('Presiones de casing'!$C$2+14.7+'Presiones de casing'!$C$3+('Presiones de casing'!$C$4+'Presiones de casing'!$C$8)*A888)*(1+'Presiones de casing'!$C$7/'Presiones de casing'!$C$13)</f>
        <v>19986.791521802574</v>
      </c>
      <c r="C888" s="339">
        <f>+B888*(Columna!$G$9+Columna!$B$7)/Columna!$G$9</f>
        <v>23810.80371467843</v>
      </c>
      <c r="D888" s="340">
        <f>+B888-A888*'Presiones de casing'!$C$4</f>
        <v>5006.961882893369</v>
      </c>
      <c r="E888" s="340">
        <f>+'Volumen de gas'!$C$1*Tabla!D888/14.7*520/'Volumen de gas'!$C$2*'Volumen de gas'!$C$4/'Volumen de gas'!$C$3</f>
        <v>77263.25199764267</v>
      </c>
      <c r="F888" s="340">
        <f t="shared" si="15"/>
        <v>348.42503719342807</v>
      </c>
    </row>
    <row r="889" spans="1:6" ht="12.75">
      <c r="A889" s="317">
        <v>222</v>
      </c>
      <c r="B889" s="339">
        <f>+('Presiones de casing'!$C$2+14.7+'Presiones de casing'!$C$3+('Presiones de casing'!$C$4+'Presiones de casing'!$C$8)*A889)*(1+'Presiones de casing'!$C$7/'Presiones de casing'!$C$13)</f>
        <v>20009.13778874946</v>
      </c>
      <c r="C889" s="339">
        <f>+B889*(Columna!$G$9+Columna!$B$7)/Columna!$G$9</f>
        <v>23837.425425093916</v>
      </c>
      <c r="D889" s="340">
        <f>+B889-A889*'Presiones de casing'!$C$4</f>
        <v>5012.419954080493</v>
      </c>
      <c r="E889" s="340">
        <f>+'Volumen de gas'!$C$1*Tabla!D889/14.7*520/'Volumen de gas'!$C$2*'Volumen de gas'!$C$4/'Volumen de gas'!$C$3</f>
        <v>77347.47639147972</v>
      </c>
      <c r="F889" s="340">
        <f t="shared" si="15"/>
        <v>348.41205581747624</v>
      </c>
    </row>
    <row r="890" spans="1:6" ht="12.75">
      <c r="A890" s="317">
        <v>222.25</v>
      </c>
      <c r="B890" s="339">
        <f>+('Presiones de casing'!$C$2+14.7+'Presiones de casing'!$C$3+('Presiones de casing'!$C$4+'Presiones de casing'!$C$8)*A890)*(1+'Presiones de casing'!$C$7/'Presiones de casing'!$C$13)</f>
        <v>20031.48405569634</v>
      </c>
      <c r="C890" s="339">
        <f>+B890*(Columna!$G$9+Columna!$B$7)/Columna!$G$9</f>
        <v>23864.04713550939</v>
      </c>
      <c r="D890" s="340">
        <f>+B890-A890*'Presiones de casing'!$C$4</f>
        <v>5017.87802526761</v>
      </c>
      <c r="E890" s="340">
        <f>+'Volumen de gas'!$C$1*Tabla!D890/14.7*520/'Volumen de gas'!$C$2*'Volumen de gas'!$C$4/'Volumen de gas'!$C$3</f>
        <v>77431.70078531664</v>
      </c>
      <c r="F890" s="340">
        <f t="shared" si="15"/>
        <v>348.39910364596915</v>
      </c>
    </row>
    <row r="891" spans="1:6" ht="12.75">
      <c r="A891" s="317">
        <v>222.5</v>
      </c>
      <c r="B891" s="339">
        <f>+('Presiones de casing'!$C$2+14.7+'Presiones de casing'!$C$3+('Presiones de casing'!$C$4+'Presiones de casing'!$C$8)*A891)*(1+'Presiones de casing'!$C$7/'Presiones de casing'!$C$13)</f>
        <v>20053.830322643225</v>
      </c>
      <c r="C891" s="339">
        <f>+B891*(Columna!$G$9+Columna!$B$7)/Columna!$G$9</f>
        <v>23890.668845924876</v>
      </c>
      <c r="D891" s="340">
        <f>+B891-A891*'Presiones de casing'!$C$4</f>
        <v>5023.336096454734</v>
      </c>
      <c r="E891" s="340">
        <f>+'Volumen de gas'!$C$1*Tabla!D891/14.7*520/'Volumen de gas'!$C$2*'Volumen de gas'!$C$4/'Volumen de gas'!$C$3</f>
        <v>77515.92517915365</v>
      </c>
      <c r="F891" s="340">
        <f t="shared" si="15"/>
        <v>348.38618058046586</v>
      </c>
    </row>
    <row r="892" spans="1:6" ht="12.75">
      <c r="A892" s="317">
        <v>222.75</v>
      </c>
      <c r="B892" s="339">
        <f>+('Presiones de casing'!$C$2+14.7+'Presiones de casing'!$C$3+('Presiones de casing'!$C$4+'Presiones de casing'!$C$8)*A892)*(1+'Presiones de casing'!$C$7/'Presiones de casing'!$C$13)</f>
        <v>20076.176589590108</v>
      </c>
      <c r="C892" s="339">
        <f>+B892*(Columna!$G$9+Columna!$B$7)/Columna!$G$9</f>
        <v>23917.29055634036</v>
      </c>
      <c r="D892" s="340">
        <f>+B892-A892*'Presiones de casing'!$C$4</f>
        <v>5028.794167641854</v>
      </c>
      <c r="E892" s="340">
        <f>+'Volumen de gas'!$C$1*Tabla!D892/14.7*520/'Volumen de gas'!$C$2*'Volumen de gas'!$C$4/'Volumen de gas'!$C$3</f>
        <v>77600.14957299065</v>
      </c>
      <c r="F892" s="340">
        <f t="shared" si="15"/>
        <v>348.3732865229659</v>
      </c>
    </row>
    <row r="893" spans="1:6" ht="12.75">
      <c r="A893" s="317">
        <v>223</v>
      </c>
      <c r="B893" s="339">
        <f>+('Presiones de casing'!$C$2+14.7+'Presiones de casing'!$C$3+('Presiones de casing'!$C$4+'Presiones de casing'!$C$8)*A893)*(1+'Presiones de casing'!$C$7/'Presiones de casing'!$C$13)</f>
        <v>20098.522856536994</v>
      </c>
      <c r="C893" s="339">
        <f>+B893*(Columna!$G$9+Columna!$B$7)/Columna!$G$9</f>
        <v>23943.912266755844</v>
      </c>
      <c r="D893" s="340">
        <f>+B893-A893*'Presiones de casing'!$C$4</f>
        <v>5034.252238828978</v>
      </c>
      <c r="E893" s="340">
        <f>+'Volumen de gas'!$C$1*Tabla!D893/14.7*520/'Volumen de gas'!$C$2*'Volumen de gas'!$C$4/'Volumen de gas'!$C$3</f>
        <v>77684.37396682768</v>
      </c>
      <c r="F893" s="340">
        <f t="shared" si="15"/>
        <v>348.3604213759089</v>
      </c>
    </row>
    <row r="894" spans="1:6" ht="12.75">
      <c r="A894" s="317">
        <v>223.25</v>
      </c>
      <c r="B894" s="339">
        <f>+('Presiones de casing'!$C$2+14.7+'Presiones de casing'!$C$3+('Presiones de casing'!$C$4+'Presiones de casing'!$C$8)*A894)*(1+'Presiones de casing'!$C$7/'Presiones de casing'!$C$13)</f>
        <v>20120.869123483873</v>
      </c>
      <c r="C894" s="339">
        <f>+B894*(Columna!$G$9+Columna!$B$7)/Columna!$G$9</f>
        <v>23970.533977171322</v>
      </c>
      <c r="D894" s="340">
        <f>+B894-A894*'Presiones de casing'!$C$4</f>
        <v>5039.710310016095</v>
      </c>
      <c r="E894" s="340">
        <f>+'Volumen de gas'!$C$1*Tabla!D894/14.7*520/'Volumen de gas'!$C$2*'Volumen de gas'!$C$4/'Volumen de gas'!$C$3</f>
        <v>77768.5983606646</v>
      </c>
      <c r="F894" s="340">
        <f t="shared" si="15"/>
        <v>348.3475850421707</v>
      </c>
    </row>
    <row r="895" spans="1:6" ht="12.75">
      <c r="A895" s="317">
        <v>223.5</v>
      </c>
      <c r="B895" s="339">
        <f>+('Presiones de casing'!$C$2+14.7+'Presiones de casing'!$C$3+('Presiones de casing'!$C$4+'Presiones de casing'!$C$8)*A895)*(1+'Presiones de casing'!$C$7/'Presiones de casing'!$C$13)</f>
        <v>20143.21539043076</v>
      </c>
      <c r="C895" s="339">
        <f>+B895*(Columna!$G$9+Columna!$B$7)/Columna!$G$9</f>
        <v>23997.155687586805</v>
      </c>
      <c r="D895" s="340">
        <f>+B895-A895*'Presiones de casing'!$C$4</f>
        <v>5045.168381203219</v>
      </c>
      <c r="E895" s="340">
        <f>+'Volumen de gas'!$C$1*Tabla!D895/14.7*520/'Volumen de gas'!$C$2*'Volumen de gas'!$C$4/'Volumen de gas'!$C$3</f>
        <v>77852.82275450164</v>
      </c>
      <c r="F895" s="340">
        <f t="shared" si="15"/>
        <v>348.3347774250633</v>
      </c>
    </row>
    <row r="896" spans="1:6" ht="12.75">
      <c r="A896" s="317">
        <v>223.75</v>
      </c>
      <c r="B896" s="339">
        <f>+('Presiones de casing'!$C$2+14.7+'Presiones de casing'!$C$3+('Presiones de casing'!$C$4+'Presiones de casing'!$C$8)*A896)*(1+'Presiones de casing'!$C$7/'Presiones de casing'!$C$13)</f>
        <v>20165.561657377642</v>
      </c>
      <c r="C896" s="339">
        <f>+B896*(Columna!$G$9+Columna!$B$7)/Columna!$G$9</f>
        <v>24023.77739800229</v>
      </c>
      <c r="D896" s="340">
        <f>+B896-A896*'Presiones de casing'!$C$4</f>
        <v>5050.626452390339</v>
      </c>
      <c r="E896" s="340">
        <f>+'Volumen de gas'!$C$1*Tabla!D896/14.7*520/'Volumen de gas'!$C$2*'Volumen de gas'!$C$4/'Volumen de gas'!$C$3</f>
        <v>77937.04714833862</v>
      </c>
      <c r="F896" s="340">
        <f t="shared" si="15"/>
        <v>348.32199842832904</v>
      </c>
    </row>
    <row r="897" spans="1:6" ht="12.75">
      <c r="A897" s="317">
        <v>224</v>
      </c>
      <c r="B897" s="339">
        <f>+('Presiones de casing'!$C$2+14.7+'Presiones de casing'!$C$3+('Presiones de casing'!$C$4+'Presiones de casing'!$C$8)*A897)*(1+'Presiones de casing'!$C$7/'Presiones de casing'!$C$13)</f>
        <v>20187.90792432452</v>
      </c>
      <c r="C897" s="339">
        <f>+B897*(Columna!$G$9+Columna!$B$7)/Columna!$G$9</f>
        <v>24050.399108417765</v>
      </c>
      <c r="D897" s="340">
        <f>+B897-A897*'Presiones de casing'!$C$4</f>
        <v>5056.084523577456</v>
      </c>
      <c r="E897" s="340">
        <f>+'Volumen de gas'!$C$1*Tabla!D897/14.7*520/'Volumen de gas'!$C$2*'Volumen de gas'!$C$4/'Volumen de gas'!$C$3</f>
        <v>78021.27154217554</v>
      </c>
      <c r="F897" s="340">
        <f aca="true" t="shared" si="16" ref="F897:F914">+E897/A897</f>
        <v>348.30924795614084</v>
      </c>
    </row>
    <row r="898" spans="1:6" ht="12.75">
      <c r="A898" s="317">
        <v>224.25</v>
      </c>
      <c r="B898" s="339">
        <f>+('Presiones de casing'!$C$2+14.7+'Presiones de casing'!$C$3+('Presiones de casing'!$C$4+'Presiones de casing'!$C$8)*A898)*(1+'Presiones de casing'!$C$7/'Presiones de casing'!$C$13)</f>
        <v>20210.254191271408</v>
      </c>
      <c r="C898" s="339">
        <f>+B898*(Columna!$G$9+Columna!$B$7)/Columna!$G$9</f>
        <v>24077.020818833254</v>
      </c>
      <c r="D898" s="340">
        <f>+B898-A898*'Presiones de casing'!$C$4</f>
        <v>5061.54259476458</v>
      </c>
      <c r="E898" s="340">
        <f>+'Volumen de gas'!$C$1*Tabla!D898/14.7*520/'Volumen de gas'!$C$2*'Volumen de gas'!$C$4/'Volumen de gas'!$C$3</f>
        <v>78105.49593601258</v>
      </c>
      <c r="F898" s="340">
        <f t="shared" si="16"/>
        <v>348.2965259130996</v>
      </c>
    </row>
    <row r="899" spans="1:6" ht="12.75">
      <c r="A899" s="317">
        <v>224.5</v>
      </c>
      <c r="B899" s="339">
        <f>+('Presiones de casing'!$C$2+14.7+'Presiones de casing'!$C$3+('Presiones de casing'!$C$4+'Presiones de casing'!$C$8)*A899)*(1+'Presiones de casing'!$C$7/'Presiones de casing'!$C$13)</f>
        <v>20232.60045821829</v>
      </c>
      <c r="C899" s="339">
        <f>+B899*(Columna!$G$9+Columna!$B$7)/Columna!$G$9</f>
        <v>24103.642529248737</v>
      </c>
      <c r="D899" s="340">
        <f>+B899-A899*'Presiones de casing'!$C$4</f>
        <v>5067.0006659517</v>
      </c>
      <c r="E899" s="340">
        <f>+'Volumen de gas'!$C$1*Tabla!D899/14.7*520/'Volumen de gas'!$C$2*'Volumen de gas'!$C$4/'Volumen de gas'!$C$3</f>
        <v>78189.72032984956</v>
      </c>
      <c r="F899" s="340">
        <f t="shared" si="16"/>
        <v>348.28383220422967</v>
      </c>
    </row>
    <row r="900" spans="1:6" ht="12.75">
      <c r="A900" s="317">
        <v>224.75</v>
      </c>
      <c r="B900" s="339">
        <f>+('Presiones de casing'!$C$2+14.7+'Presiones de casing'!$C$3+('Presiones de casing'!$C$4+'Presiones de casing'!$C$8)*A900)*(1+'Presiones de casing'!$C$7/'Presiones de casing'!$C$13)</f>
        <v>20254.946725165177</v>
      </c>
      <c r="C900" s="339">
        <f>+B900*(Columna!$G$9+Columna!$B$7)/Columna!$G$9</f>
        <v>24130.26423966422</v>
      </c>
      <c r="D900" s="340">
        <f>+B900-A900*'Presiones de casing'!$C$4</f>
        <v>5072.458737138824</v>
      </c>
      <c r="E900" s="340">
        <f>+'Volumen de gas'!$C$1*Tabla!D900/14.7*520/'Volumen de gas'!$C$2*'Volumen de gas'!$C$4/'Volumen de gas'!$C$3</f>
        <v>78273.9447236866</v>
      </c>
      <c r="F900" s="340">
        <f t="shared" si="16"/>
        <v>348.2711667349793</v>
      </c>
    </row>
    <row r="901" spans="1:6" ht="12.75">
      <c r="A901" s="317">
        <v>225</v>
      </c>
      <c r="B901" s="339">
        <f>+('Presiones de casing'!$C$2+14.7+'Presiones de casing'!$C$3+('Presiones de casing'!$C$4+'Presiones de casing'!$C$8)*A901)*(1+'Presiones de casing'!$C$7/'Presiones de casing'!$C$13)</f>
        <v>20277.292992112056</v>
      </c>
      <c r="C901" s="339">
        <f>+B901*(Columna!$G$9+Columna!$B$7)/Columna!$G$9</f>
        <v>24156.885950079697</v>
      </c>
      <c r="D901" s="340">
        <f>+B901-A901*'Presiones de casing'!$C$4</f>
        <v>5077.916808325941</v>
      </c>
      <c r="E901" s="340">
        <f>+'Volumen de gas'!$C$1*Tabla!D901/14.7*520/'Volumen de gas'!$C$2*'Volumen de gas'!$C$4/'Volumen de gas'!$C$3</f>
        <v>78358.16911752352</v>
      </c>
      <c r="F901" s="340">
        <f t="shared" si="16"/>
        <v>348.25852941121565</v>
      </c>
    </row>
    <row r="902" spans="1:6" ht="12.75">
      <c r="A902" s="317">
        <v>225.25</v>
      </c>
      <c r="B902" s="339">
        <f>+('Presiones de casing'!$C$2+14.7+'Presiones de casing'!$C$3+('Presiones de casing'!$C$4+'Presiones de casing'!$C$8)*A902)*(1+'Presiones de casing'!$C$7/'Presiones de casing'!$C$13)</f>
        <v>20299.639259058942</v>
      </c>
      <c r="C902" s="339">
        <f>+B902*(Columna!$G$9+Columna!$B$7)/Columna!$G$9</f>
        <v>24183.507660495183</v>
      </c>
      <c r="D902" s="340">
        <f>+B902-A902*'Presiones de casing'!$C$4</f>
        <v>5083.374879513065</v>
      </c>
      <c r="E902" s="340">
        <f>+'Volumen de gas'!$C$1*Tabla!D902/14.7*520/'Volumen de gas'!$C$2*'Volumen de gas'!$C$4/'Volumen de gas'!$C$3</f>
        <v>78442.39351136055</v>
      </c>
      <c r="F902" s="340">
        <f t="shared" si="16"/>
        <v>348.2459201392256</v>
      </c>
    </row>
    <row r="903" spans="1:6" ht="12.75">
      <c r="A903" s="317">
        <v>225.5</v>
      </c>
      <c r="B903" s="339">
        <f>+('Presiones de casing'!$C$2+14.7+'Presiones de casing'!$C$3+('Presiones de casing'!$C$4+'Presiones de casing'!$C$8)*A903)*(1+'Presiones de casing'!$C$7/'Presiones de casing'!$C$13)</f>
        <v>20321.985526005825</v>
      </c>
      <c r="C903" s="339">
        <f>+B903*(Columna!$G$9+Columna!$B$7)/Columna!$G$9</f>
        <v>24210.129370910665</v>
      </c>
      <c r="D903" s="340">
        <f>+B903-A903*'Presiones de casing'!$C$4</f>
        <v>5088.832950700185</v>
      </c>
      <c r="E903" s="340">
        <f>+'Volumen de gas'!$C$1*Tabla!D903/14.7*520/'Volumen de gas'!$C$2*'Volumen de gas'!$C$4/'Volumen de gas'!$C$3</f>
        <v>78526.61790519752</v>
      </c>
      <c r="F903" s="340">
        <f t="shared" si="16"/>
        <v>348.2333388257096</v>
      </c>
    </row>
    <row r="904" spans="1:6" ht="12.75">
      <c r="A904" s="317">
        <v>225.75</v>
      </c>
      <c r="B904" s="339">
        <f>+('Presiones de casing'!$C$2+14.7+'Presiones de casing'!$C$3+('Presiones de casing'!$C$4+'Presiones de casing'!$C$8)*A904)*(1+'Presiones de casing'!$C$7/'Presiones de casing'!$C$13)</f>
        <v>20344.331792952707</v>
      </c>
      <c r="C904" s="339">
        <f>+B904*(Columna!$G$9+Columna!$B$7)/Columna!$G$9</f>
        <v>24236.751081326143</v>
      </c>
      <c r="D904" s="340">
        <f>+B904-A904*'Presiones de casing'!$C$4</f>
        <v>5094.291021887306</v>
      </c>
      <c r="E904" s="340">
        <f>+'Volumen de gas'!$C$1*Tabla!D904/14.7*520/'Volumen de gas'!$C$2*'Volumen de gas'!$C$4/'Volumen de gas'!$C$3</f>
        <v>78610.84229903448</v>
      </c>
      <c r="F904" s="340">
        <f t="shared" si="16"/>
        <v>348.2207853777829</v>
      </c>
    </row>
    <row r="905" spans="1:6" ht="12.75">
      <c r="A905" s="317">
        <v>226</v>
      </c>
      <c r="B905" s="339">
        <f>+('Presiones de casing'!$C$2+14.7+'Presiones de casing'!$C$3+('Presiones de casing'!$C$4+'Presiones de casing'!$C$8)*A905)*(1+'Presiones de casing'!$C$7/'Presiones de casing'!$C$13)</f>
        <v>20366.67805989959</v>
      </c>
      <c r="C905" s="339">
        <f>+B905*(Columna!$G$9+Columna!$B$7)/Columna!$G$9</f>
        <v>24263.372791741625</v>
      </c>
      <c r="D905" s="340">
        <f>+B905-A905*'Presiones de casing'!$C$4</f>
        <v>5099.749093074426</v>
      </c>
      <c r="E905" s="340">
        <f>+'Volumen de gas'!$C$1*Tabla!D905/14.7*520/'Volumen de gas'!$C$2*'Volumen de gas'!$C$4/'Volumen de gas'!$C$3</f>
        <v>78695.06669287148</v>
      </c>
      <c r="F905" s="340">
        <f t="shared" si="16"/>
        <v>348.20825970297113</v>
      </c>
    </row>
    <row r="906" spans="1:6" ht="12.75">
      <c r="A906" s="317">
        <v>226.25</v>
      </c>
      <c r="B906" s="339">
        <f>+('Presiones de casing'!$C$2+14.7+'Presiones de casing'!$C$3+('Presiones de casing'!$C$4+'Presiones de casing'!$C$8)*A906)*(1+'Presiones de casing'!$C$7/'Presiones de casing'!$C$13)</f>
        <v>20389.024326846476</v>
      </c>
      <c r="C906" s="339">
        <f>+B906*(Columna!$G$9+Columna!$B$7)/Columna!$G$9</f>
        <v>24289.994502157115</v>
      </c>
      <c r="D906" s="340">
        <f>+B906-A906*'Presiones de casing'!$C$4</f>
        <v>5105.20716426155</v>
      </c>
      <c r="E906" s="340">
        <f>+'Volumen de gas'!$C$1*Tabla!D906/14.7*520/'Volumen de gas'!$C$2*'Volumen de gas'!$C$4/'Volumen de gas'!$C$3</f>
        <v>78779.29108670853</v>
      </c>
      <c r="F906" s="340">
        <f t="shared" si="16"/>
        <v>348.19576170920897</v>
      </c>
    </row>
    <row r="907" spans="1:6" ht="12.75">
      <c r="A907" s="317">
        <v>226.5</v>
      </c>
      <c r="B907" s="339">
        <f>+('Presiones de casing'!$C$2+14.7+'Presiones de casing'!$C$3+('Presiones de casing'!$C$4+'Presiones de casing'!$C$8)*A907)*(1+'Presiones de casing'!$C$7/'Presiones de casing'!$C$13)</f>
        <v>20411.37059379336</v>
      </c>
      <c r="C907" s="339">
        <f>+B907*(Columna!$G$9+Columna!$B$7)/Columna!$G$9</f>
        <v>24316.616212572597</v>
      </c>
      <c r="D907" s="340">
        <f>+B907-A907*'Presiones de casing'!$C$4</f>
        <v>5110.6652354486705</v>
      </c>
      <c r="E907" s="340">
        <f>+'Volumen de gas'!$C$1*Tabla!D907/14.7*520/'Volumen de gas'!$C$2*'Volumen de gas'!$C$4/'Volumen de gas'!$C$3</f>
        <v>78863.51548054551</v>
      </c>
      <c r="F907" s="340">
        <f t="shared" si="16"/>
        <v>348.1832913048367</v>
      </c>
    </row>
    <row r="908" spans="1:6" ht="12.75">
      <c r="A908" s="317">
        <v>226.75</v>
      </c>
      <c r="B908" s="339">
        <f>+('Presiones de casing'!$C$2+14.7+'Presiones de casing'!$C$3+('Presiones de casing'!$C$4+'Presiones de casing'!$C$8)*A908)*(1+'Presiones de casing'!$C$7/'Presiones de casing'!$C$13)</f>
        <v>20433.71686074024</v>
      </c>
      <c r="C908" s="339">
        <f>+B908*(Columna!$G$9+Columna!$B$7)/Columna!$G$9</f>
        <v>24343.23792298807</v>
      </c>
      <c r="D908" s="340">
        <f>+B908-A908*'Presiones de casing'!$C$4</f>
        <v>5116.123306635787</v>
      </c>
      <c r="E908" s="340">
        <f>+'Volumen de gas'!$C$1*Tabla!D908/14.7*520/'Volumen de gas'!$C$2*'Volumen de gas'!$C$4/'Volumen de gas'!$C$3</f>
        <v>78947.73987438242</v>
      </c>
      <c r="F908" s="340">
        <f t="shared" si="16"/>
        <v>348.1708483985994</v>
      </c>
    </row>
    <row r="909" spans="1:6" ht="12.75">
      <c r="A909" s="317">
        <v>227</v>
      </c>
      <c r="B909" s="339">
        <f>+('Presiones de casing'!$C$2+14.7+'Presiones de casing'!$C$3+('Presiones de casing'!$C$4+'Presiones de casing'!$C$8)*A909)*(1+'Presiones de casing'!$C$7/'Presiones de casing'!$C$13)</f>
        <v>20456.063127687125</v>
      </c>
      <c r="C909" s="339">
        <f>+B909*(Columna!$G$9+Columna!$B$7)/Columna!$G$9</f>
        <v>24369.859633403557</v>
      </c>
      <c r="D909" s="340">
        <f>+B909-A909*'Presiones de casing'!$C$4</f>
        <v>5121.581377822909</v>
      </c>
      <c r="E909" s="340">
        <f>+'Volumen de gas'!$C$1*Tabla!D909/14.7*520/'Volumen de gas'!$C$2*'Volumen de gas'!$C$4/'Volumen de gas'!$C$3</f>
        <v>79031.96426821944</v>
      </c>
      <c r="F909" s="340">
        <f t="shared" si="16"/>
        <v>348.1584328996451</v>
      </c>
    </row>
    <row r="910" spans="1:6" ht="12.75">
      <c r="A910" s="317">
        <v>227.25</v>
      </c>
      <c r="B910" s="339">
        <f>+('Presiones de casing'!$C$2+14.7+'Presiones de casing'!$C$3+('Presiones de casing'!$C$4+'Presiones de casing'!$C$8)*A910)*(1+'Presiones de casing'!$C$7/'Presiones de casing'!$C$13)</f>
        <v>20478.409394634007</v>
      </c>
      <c r="C910" s="339">
        <f>+B910*(Columna!$G$9+Columna!$B$7)/Columna!$G$9</f>
        <v>24396.48134381904</v>
      </c>
      <c r="D910" s="340">
        <f>+B910-A910*'Presiones de casing'!$C$4</f>
        <v>5127.03944901003</v>
      </c>
      <c r="E910" s="340">
        <f>+'Volumen de gas'!$C$1*Tabla!D910/14.7*520/'Volumen de gas'!$C$2*'Volumen de gas'!$C$4/'Volumen de gas'!$C$3</f>
        <v>79116.18866205642</v>
      </c>
      <c r="F910" s="340">
        <f t="shared" si="16"/>
        <v>348.14604471752</v>
      </c>
    </row>
    <row r="911" spans="1:6" ht="12.75">
      <c r="A911" s="317">
        <v>227.5</v>
      </c>
      <c r="B911" s="339">
        <f>+('Presiones de casing'!$C$2+14.7+'Presiones de casing'!$C$3+('Presiones de casing'!$C$4+'Presiones de casing'!$C$8)*A911)*(1+'Presiones de casing'!$C$7/'Presiones de casing'!$C$13)</f>
        <v>20500.75566158089</v>
      </c>
      <c r="C911" s="339">
        <f>+B911*(Columna!$G$9+Columna!$B$7)/Columna!$G$9</f>
        <v>24423.10305423452</v>
      </c>
      <c r="D911" s="340">
        <f>+B911-A911*'Presiones de casing'!$C$4</f>
        <v>5132.49752019715</v>
      </c>
      <c r="E911" s="340">
        <f>+'Volumen de gas'!$C$1*Tabla!D911/14.7*520/'Volumen de gas'!$C$2*'Volumen de gas'!$C$4/'Volumen de gas'!$C$3</f>
        <v>79200.41305589338</v>
      </c>
      <c r="F911" s="340">
        <f t="shared" si="16"/>
        <v>348.13368376216874</v>
      </c>
    </row>
    <row r="912" spans="1:6" ht="12.75">
      <c r="A912" s="317">
        <v>227.75</v>
      </c>
      <c r="B912" s="339">
        <f>+('Presiones de casing'!$C$2+14.7+'Presiones de casing'!$C$3+('Presiones de casing'!$C$4+'Presiones de casing'!$C$8)*A912)*(1+'Presiones de casing'!$C$7/'Presiones de casing'!$C$13)</f>
        <v>20523.101928527773</v>
      </c>
      <c r="C912" s="339">
        <f>+B912*(Columna!$G$9+Columna!$B$7)/Columna!$G$9</f>
        <v>24449.724764650004</v>
      </c>
      <c r="D912" s="340">
        <f>+B912-A912*'Presiones de casing'!$C$4</f>
        <v>5137.9555913842705</v>
      </c>
      <c r="E912" s="340">
        <f>+'Volumen de gas'!$C$1*Tabla!D912/14.7*520/'Volumen de gas'!$C$2*'Volumen de gas'!$C$4/'Volumen de gas'!$C$3</f>
        <v>79284.63744973036</v>
      </c>
      <c r="F912" s="340">
        <f t="shared" si="16"/>
        <v>348.12134994393136</v>
      </c>
    </row>
    <row r="913" spans="1:6" ht="12.75">
      <c r="A913" s="317">
        <v>228</v>
      </c>
      <c r="B913" s="339">
        <f>+('Presiones de casing'!$C$2+14.7+'Presiones de casing'!$C$3+('Presiones de casing'!$C$4+'Presiones de casing'!$C$8)*A913)*(1+'Presiones de casing'!$C$7/'Presiones de casing'!$C$13)</f>
        <v>20545.44819547466</v>
      </c>
      <c r="C913" s="339">
        <f>+B913*(Columna!$G$9+Columna!$B$7)/Columna!$G$9</f>
        <v>24476.34647506549</v>
      </c>
      <c r="D913" s="340">
        <f>+B913-A913*'Presiones de casing'!$C$4</f>
        <v>5143.4136625713945</v>
      </c>
      <c r="E913" s="340">
        <f>+'Volumen de gas'!$C$1*Tabla!D913/14.7*520/'Volumen de gas'!$C$2*'Volumen de gas'!$C$4/'Volumen de gas'!$C$3</f>
        <v>79368.8618435674</v>
      </c>
      <c r="F913" s="340">
        <f t="shared" si="16"/>
        <v>348.10904317354124</v>
      </c>
    </row>
    <row r="914" spans="1:6" ht="12.75">
      <c r="A914" s="317">
        <v>228.25</v>
      </c>
      <c r="B914" s="339">
        <f>+('Presiones de casing'!$C$2+14.7+'Presiones de casing'!$C$3+('Presiones de casing'!$C$4+'Presiones de casing'!$C$8)*A914)*(1+'Presiones de casing'!$C$7/'Presiones de casing'!$C$13)</f>
        <v>20567.79446242154</v>
      </c>
      <c r="C914" s="339">
        <f>+B914*(Columna!$G$9+Columna!$B$7)/Columna!$G$9</f>
        <v>24502.968185480968</v>
      </c>
      <c r="D914" s="340">
        <f>+B914-A914*'Presiones de casing'!$C$4</f>
        <v>5148.871733758515</v>
      </c>
      <c r="E914" s="340">
        <f>+'Volumen de gas'!$C$1*Tabla!D914/14.7*520/'Volumen de gas'!$C$2*'Volumen de gas'!$C$4/'Volumen de gas'!$C$3</f>
        <v>79453.08623740436</v>
      </c>
      <c r="F914" s="340">
        <f t="shared" si="16"/>
        <v>348.0967633621221</v>
      </c>
    </row>
  </sheetData>
  <mergeCells count="2">
    <mergeCell ref="H7:I7"/>
    <mergeCell ref="H11:I11"/>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E. Garay</dc:creator>
  <cp:keywords/>
  <dc:description/>
  <cp:lastModifiedBy>MANERA</cp:lastModifiedBy>
  <cp:lastPrinted>2002-07-14T22:32:54Z</cp:lastPrinted>
  <dcterms:created xsi:type="dcterms:W3CDTF">2000-06-18T00:40:28Z</dcterms:created>
  <dcterms:modified xsi:type="dcterms:W3CDTF">2002-07-14T22:33:02Z</dcterms:modified>
  <cp:category/>
  <cp:version/>
  <cp:contentType/>
  <cp:contentStatus/>
</cp:coreProperties>
</file>