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97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'Hoja1'!#REF!</definedName>
  </definedNames>
  <calcPr fullCalcOnLoad="1"/>
</workbook>
</file>

<file path=xl/sharedStrings.xml><?xml version="1.0" encoding="utf-8"?>
<sst xmlns="http://schemas.openxmlformats.org/spreadsheetml/2006/main" count="182" uniqueCount="87">
  <si>
    <t>DATOS DE FLUIDOS</t>
  </si>
  <si>
    <t>Densidad del gas</t>
  </si>
  <si>
    <t>Densidad del petroleo</t>
  </si>
  <si>
    <t>Densidad del agua</t>
  </si>
  <si>
    <t>DATOS DE PRODUCCIÓN</t>
  </si>
  <si>
    <t>º API</t>
  </si>
  <si>
    <t>Rugosidad relativa</t>
  </si>
  <si>
    <t>SLUG</t>
  </si>
  <si>
    <t>TRAMO</t>
  </si>
  <si>
    <t>PROF</t>
  </si>
  <si>
    <t>TEMP°F</t>
  </si>
  <si>
    <t>PRESION</t>
  </si>
  <si>
    <t>TIPO FL.</t>
  </si>
  <si>
    <t>Caudal de petroleo bbld</t>
  </si>
  <si>
    <t>Caudal de agua bbld</t>
  </si>
  <si>
    <t>Relación gas/liq  GLR scf/bbl</t>
  </si>
  <si>
    <t>Temperatura fondo °F</t>
  </si>
  <si>
    <t>Temperatura linea °F</t>
  </si>
  <si>
    <t>Delta T° °F/tramo</t>
  </si>
  <si>
    <t>Presion de cabeza psi</t>
  </si>
  <si>
    <t>Presion de fondo psi</t>
  </si>
  <si>
    <t>Profundidad tbg ft</t>
  </si>
  <si>
    <t>Diametro interior plg.</t>
  </si>
  <si>
    <t>GOR scf/bbl</t>
  </si>
  <si>
    <t>Longitud del tramo ft.</t>
  </si>
  <si>
    <t>Fondo de pozo</t>
  </si>
  <si>
    <t>ft</t>
  </si>
  <si>
    <t>Diametro de csg</t>
  </si>
  <si>
    <t>plg</t>
  </si>
  <si>
    <t>Diametro de tubing</t>
  </si>
  <si>
    <t>Techo Intervalo productivo punzado</t>
  </si>
  <si>
    <t>Fondo Intervalo productivo punzado</t>
  </si>
  <si>
    <t>Presión estática del reservorio</t>
  </si>
  <si>
    <t>psi</t>
  </si>
  <si>
    <t>Caudal de petróleo (ensayo)</t>
  </si>
  <si>
    <t>bbld</t>
  </si>
  <si>
    <t>Caudal de agua (ensayo)</t>
  </si>
  <si>
    <t>Presión  dinámica para caudal de ensayo</t>
  </si>
  <si>
    <t>Presion en cabeza de pozo para caudal de ensayo</t>
  </si>
  <si>
    <t>Densidad del agua de formación</t>
  </si>
  <si>
    <t>Densidad del petroleo en ° API</t>
  </si>
  <si>
    <t>°API</t>
  </si>
  <si>
    <t>Densidad relativa del petroleo</t>
  </si>
  <si>
    <t>Densidad media</t>
  </si>
  <si>
    <t>Relacion gas-petroleo</t>
  </si>
  <si>
    <t>scf/bbl</t>
  </si>
  <si>
    <t>Relacion gas-liquido</t>
  </si>
  <si>
    <t>Presión disponible de gas de inyección</t>
  </si>
  <si>
    <t>Caudal maximo de gas disponible</t>
  </si>
  <si>
    <t>Mcfd</t>
  </si>
  <si>
    <t>Temperatura de formación</t>
  </si>
  <si>
    <t>ºF</t>
  </si>
  <si>
    <t>Temperatura de cabeza de pozo estática</t>
  </si>
  <si>
    <t>Temperatura de cabeza de pozo @ 200 bbld</t>
  </si>
  <si>
    <t>Gradiente geotermico</t>
  </si>
  <si>
    <t>ºF/100ft</t>
  </si>
  <si>
    <t>VOGEL</t>
  </si>
  <si>
    <t>Qmax =</t>
  </si>
  <si>
    <t>Q / (1- 0.2 (Pwf/Pws) - 0.8 (Pwf/Pws)^2)</t>
  </si>
  <si>
    <t xml:space="preserve">Q/Qmax = </t>
  </si>
  <si>
    <t>1- 0.2 (Pwf/Pws) - 0.8 (Pwf/Pws)^2</t>
  </si>
  <si>
    <t>Q(bbld)</t>
  </si>
  <si>
    <t>Q/Qmax</t>
  </si>
  <si>
    <t>Pwf(psi)</t>
  </si>
  <si>
    <t>Qoil(bbld)</t>
  </si>
  <si>
    <t>Qw(bbld)</t>
  </si>
  <si>
    <t xml:space="preserve"> </t>
  </si>
  <si>
    <t>DATOS PARA IPR</t>
  </si>
  <si>
    <t>Caudal de ensayo</t>
  </si>
  <si>
    <t>Porcentaje de agua</t>
  </si>
  <si>
    <t>%</t>
  </si>
  <si>
    <t>Relacion Gas/Liquido</t>
  </si>
  <si>
    <t>Caudal maximo Vogel</t>
  </si>
  <si>
    <t>RESULTADOS</t>
  </si>
  <si>
    <t>DATOS DE POZO</t>
  </si>
  <si>
    <t>pulg</t>
  </si>
  <si>
    <t>adim</t>
  </si>
  <si>
    <t>rel</t>
  </si>
  <si>
    <t>PSI</t>
  </si>
  <si>
    <t>Datos p/lineas</t>
  </si>
  <si>
    <t>PRESIÓN DE CABEZA DE POZO    PHT:</t>
  </si>
  <si>
    <t>Titulo</t>
  </si>
  <si>
    <t>CALCULO DE UNA INSTALACIÓN DE SURGENCIA NATURAL</t>
  </si>
  <si>
    <t xml:space="preserve">Pr.Outflow </t>
  </si>
  <si>
    <t>/  64"</t>
  </si>
  <si>
    <t>DIAMETRO CHOKE :</t>
  </si>
  <si>
    <t>FLUJO BIFASICO VERTICAL - DISTRIBUCIÓN DE PRESION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</si>
</sst>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0.0000E+00"/>
    <numFmt numFmtId="196" formatCode="0.000E+00"/>
    <numFmt numFmtId="197" formatCode="0.0E+00"/>
    <numFmt numFmtId="198" formatCode="0E+00"/>
  </numFmts>
  <fonts count="22">
    <font>
      <sz val="10"/>
      <name val="Arial"/>
      <family val="0"/>
    </font>
    <font>
      <sz val="17.75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.5"/>
      <name val="Arial"/>
      <family val="2"/>
    </font>
    <font>
      <sz val="2.5"/>
      <name val="Arial"/>
      <family val="0"/>
    </font>
    <font>
      <sz val="2"/>
      <name val="Arial"/>
      <family val="2"/>
    </font>
    <font>
      <sz val="16.5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i/>
      <sz val="11.25"/>
      <name val="Arial"/>
      <family val="2"/>
    </font>
    <font>
      <b/>
      <sz val="18"/>
      <name val="Arial"/>
      <family val="2"/>
    </font>
    <font>
      <b/>
      <sz val="8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2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0" fillId="2" borderId="0" xfId="0" applyNumberFormat="1" applyFill="1" applyAlignment="1">
      <alignment/>
    </xf>
    <xf numFmtId="0" fontId="0" fillId="2" borderId="6" xfId="0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0" fontId="12" fillId="2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5" fillId="2" borderId="15" xfId="0" applyFont="1" applyFill="1" applyBorder="1" applyAlignment="1">
      <alignment/>
    </xf>
    <xf numFmtId="0" fontId="0" fillId="2" borderId="12" xfId="0" applyFill="1" applyBorder="1" applyAlignment="1">
      <alignment/>
    </xf>
    <xf numFmtId="0" fontId="14" fillId="2" borderId="13" xfId="0" applyFont="1" applyFill="1" applyBorder="1" applyAlignment="1">
      <alignment/>
    </xf>
    <xf numFmtId="1" fontId="14" fillId="2" borderId="14" xfId="0" applyNumberFormat="1" applyFont="1" applyFill="1" applyBorder="1" applyAlignment="1">
      <alignment horizontal="right"/>
    </xf>
    <xf numFmtId="0" fontId="0" fillId="2" borderId="15" xfId="0" applyFill="1" applyBorder="1" applyAlignment="1">
      <alignment/>
    </xf>
    <xf numFmtId="0" fontId="12" fillId="2" borderId="16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2" fillId="2" borderId="8" xfId="0" applyFont="1" applyFill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0" fontId="2" fillId="2" borderId="11" xfId="0" applyFont="1" applyFill="1" applyBorder="1" applyAlignment="1">
      <alignment/>
    </xf>
    <xf numFmtId="164" fontId="2" fillId="2" borderId="0" xfId="0" applyNumberFormat="1" applyFont="1" applyFill="1" applyAlignment="1">
      <alignment/>
    </xf>
    <xf numFmtId="0" fontId="2" fillId="2" borderId="1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69" fontId="0" fillId="2" borderId="12" xfId="0" applyNumberForma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25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1"/>
          <c:order val="0"/>
          <c:tx>
            <c:strRef>
              <c:f>Hoja1!$A$40</c:f>
              <c:strCache>
                <c:ptCount val="1"/>
                <c:pt idx="0">
                  <c:v>Caudal: 350bbld   RGL: 500cf/bl   PHT: 150psi   PBT: 1954psi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Hoja1!$W$13:$W$81</c:f>
              <c:numCache/>
            </c:numRef>
          </c:xVal>
          <c:yVal>
            <c:numRef>
              <c:f>Hoja1!$U$13:$U$81</c:f>
              <c:numCache/>
            </c:numRef>
          </c:yVal>
          <c:smooth val="1"/>
        </c:ser>
        <c:axId val="37231908"/>
        <c:axId val="66651717"/>
      </c:scatterChart>
      <c:valAx>
        <c:axId val="37231908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Presion en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crossBetween val="midCat"/>
        <c:dispUnits/>
        <c:majorUnit val="100"/>
      </c:valAx>
      <c:valAx>
        <c:axId val="66651717"/>
        <c:scaling>
          <c:orientation val="maxMin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Profundidad en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crossBetween val="midCat"/>
        <c:dispUnits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7525"/>
          <c:w val="0.85125"/>
          <c:h val="0.90975"/>
        </c:manualLayout>
      </c:layout>
      <c:scatterChart>
        <c:scatterStyle val="smooth"/>
        <c:varyColors val="0"/>
        <c:ser>
          <c:idx val="0"/>
          <c:order val="0"/>
          <c:tx>
            <c:v>IPR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Hoja1!$B$87:$B$97</c:f>
              <c:numCache/>
            </c:numRef>
          </c:xVal>
          <c:yVal>
            <c:numRef>
              <c:f>Hoja1!$E$87:$E$97</c:f>
              <c:numCache/>
            </c:numRef>
          </c:yVal>
          <c:smooth val="1"/>
        </c:ser>
        <c:ser>
          <c:idx val="1"/>
          <c:order val="1"/>
          <c:tx>
            <c:strRef>
              <c:f>Hoja1!$F$86</c:f>
              <c:strCache>
                <c:ptCount val="1"/>
                <c:pt idx="0">
                  <c:v>Pr.Outflow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Hoja1!$B$87:$B$97</c:f>
              <c:numCache/>
            </c:numRef>
          </c:xVal>
          <c:yVal>
            <c:numRef>
              <c:f>Hoja1!$F$87:$F$97</c:f>
              <c:numCache/>
            </c:numRef>
          </c:yVal>
          <c:smooth val="1"/>
        </c:ser>
        <c:ser>
          <c:idx val="3"/>
          <c:order val="2"/>
          <c:tx>
            <c:v>CHOKE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Hoja1!$I$88:$I$89</c:f>
              <c:numCache/>
            </c:numRef>
          </c:xVal>
          <c:yVal>
            <c:numRef>
              <c:f>Hoja1!$H$88:$H$89</c:f>
              <c:numCache/>
            </c:numRef>
          </c:yVal>
          <c:smooth val="1"/>
        </c:ser>
        <c:ser>
          <c:idx val="4"/>
          <c:order val="3"/>
          <c:tx>
            <c:v>DpTbg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Hoja1!$I$91:$I$95</c:f>
              <c:numCache/>
            </c:numRef>
          </c:xVal>
          <c:yVal>
            <c:numRef>
              <c:f>Hoja1!$H$91:$H$95</c:f>
              <c:numCache/>
            </c:numRef>
          </c:yVal>
          <c:smooth val="1"/>
        </c:ser>
        <c:ser>
          <c:idx val="5"/>
          <c:order val="4"/>
          <c:tx>
            <c:v>PHT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Hoja1!$I$94:$I$96</c:f>
              <c:numCache/>
            </c:numRef>
          </c:xVal>
          <c:yVal>
            <c:numRef>
              <c:f>Hoja1!$H$94:$H$96</c:f>
              <c:numCache/>
            </c:numRef>
          </c:yVal>
          <c:smooth val="1"/>
        </c:ser>
        <c:ser>
          <c:idx val="6"/>
          <c:order val="5"/>
          <c:tx>
            <c:v>Dpreservorio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Hoja1!$I$97:$I$99</c:f>
              <c:numCache/>
            </c:numRef>
          </c:xVal>
          <c:yVal>
            <c:numRef>
              <c:f>Hoja1!$H$97:$H$99</c:f>
              <c:numCache/>
            </c:numRef>
          </c:yVal>
          <c:smooth val="1"/>
        </c:ser>
        <c:axId val="62994542"/>
        <c:axId val="30079967"/>
      </c:scatterChart>
      <c:valAx>
        <c:axId val="62994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 val="autoZero"/>
        <c:crossBetween val="midCat"/>
        <c:dispUnits/>
      </c:valAx>
      <c:valAx>
        <c:axId val="300799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775"/>
          <c:w val="0.13"/>
          <c:h val="0.1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IPR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'[1]IPR'!$D$8</c:f>
              <c:strCache>
                <c:ptCount val="1"/>
                <c:pt idx="0">
                  <c:v>Pwf(psi)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'[1]IPR'!$B$9:$B$23</c:f>
              <c:numCache>
                <c:ptCount val="1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1334.571766675258</c:v>
                </c:pt>
              </c:numCache>
            </c:numRef>
          </c:xVal>
          <c:yVal>
            <c:numRef>
              <c:f>'[1]IPR'!$D$9:$D$23</c:f>
              <c:numCache>
                <c:ptCount val="15"/>
                <c:pt idx="0">
                  <c:v>2125</c:v>
                </c:pt>
                <c:pt idx="1">
                  <c:v>2034.8403639263952</c:v>
                </c:pt>
                <c:pt idx="2">
                  <c:v>1941</c:v>
                </c:pt>
                <c:pt idx="3">
                  <c:v>1842.9875510925428</c:v>
                </c:pt>
                <c:pt idx="4">
                  <c:v>1740.1915146954495</c:v>
                </c:pt>
                <c:pt idx="5">
                  <c:v>1631.8345886671739</c:v>
                </c:pt>
                <c:pt idx="6">
                  <c:v>1516.9029494653096</c:v>
                </c:pt>
                <c:pt idx="7">
                  <c:v>1394.0312567667443</c:v>
                </c:pt>
                <c:pt idx="8">
                  <c:v>1261.3039081764753</c:v>
                </c:pt>
                <c:pt idx="9">
                  <c:v>1115.8831941939404</c:v>
                </c:pt>
                <c:pt idx="10">
                  <c:v>953.2342579231627</c:v>
                </c:pt>
                <c:pt idx="11">
                  <c:v>765.2342972006428</c:v>
                </c:pt>
                <c:pt idx="12">
                  <c:v>534.2024130242116</c:v>
                </c:pt>
                <c:pt idx="13">
                  <c:v>199.96805259529324</c:v>
                </c:pt>
                <c:pt idx="14">
                  <c:v>0</c:v>
                </c:pt>
              </c:numCache>
            </c:numRef>
          </c:yVal>
          <c:smooth val="1"/>
        </c:ser>
        <c:axId val="2284248"/>
        <c:axId val="20558233"/>
      </c:scatterChart>
      <c:valAx>
        <c:axId val="2284248"/>
        <c:scaling>
          <c:orientation val="minMax"/>
          <c:max val="14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crossBetween val="midCat"/>
        <c:dispUnits/>
        <c:majorUnit val="100"/>
      </c:valAx>
      <c:valAx>
        <c:axId val="20558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10</xdr:col>
      <xdr:colOff>2647950</xdr:colOff>
      <xdr:row>40</xdr:row>
      <xdr:rowOff>9525</xdr:rowOff>
    </xdr:to>
    <xdr:graphicFrame>
      <xdr:nvGraphicFramePr>
        <xdr:cNvPr id="1" name="Chart 3"/>
        <xdr:cNvGraphicFramePr/>
      </xdr:nvGraphicFramePr>
      <xdr:xfrm>
        <a:off x="3457575" y="676275"/>
        <a:ext cx="81819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2009775</xdr:colOff>
      <xdr:row>28</xdr:row>
      <xdr:rowOff>152400</xdr:rowOff>
    </xdr:from>
    <xdr:to>
      <xdr:col>1</xdr:col>
      <xdr:colOff>447675</xdr:colOff>
      <xdr:row>31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50006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42</xdr:row>
      <xdr:rowOff>28575</xdr:rowOff>
    </xdr:from>
    <xdr:to>
      <xdr:col>10</xdr:col>
      <xdr:colOff>2228850</xdr:colOff>
      <xdr:row>80</xdr:row>
      <xdr:rowOff>57150</xdr:rowOff>
    </xdr:to>
    <xdr:graphicFrame>
      <xdr:nvGraphicFramePr>
        <xdr:cNvPr id="3" name="Chart 6"/>
        <xdr:cNvGraphicFramePr/>
      </xdr:nvGraphicFramePr>
      <xdr:xfrm>
        <a:off x="3514725" y="7820025"/>
        <a:ext cx="7705725" cy="644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2333625</xdr:colOff>
      <xdr:row>71</xdr:row>
      <xdr:rowOff>104775</xdr:rowOff>
    </xdr:from>
    <xdr:to>
      <xdr:col>2</xdr:col>
      <xdr:colOff>523875</xdr:colOff>
      <xdr:row>73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2773025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1638300</xdr:colOff>
      <xdr:row>46</xdr:row>
      <xdr:rowOff>133350</xdr:rowOff>
    </xdr:from>
    <xdr:to>
      <xdr:col>10</xdr:col>
      <xdr:colOff>1924050</xdr:colOff>
      <xdr:row>50</xdr:row>
      <xdr:rowOff>123825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9900" y="8591550"/>
          <a:ext cx="28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43</xdr:row>
      <xdr:rowOff>9525</xdr:rowOff>
    </xdr:from>
    <xdr:to>
      <xdr:col>10</xdr:col>
      <xdr:colOff>952500</xdr:colOff>
      <xdr:row>44</xdr:row>
      <xdr:rowOff>142875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0025" y="7962900"/>
          <a:ext cx="593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1428750</xdr:colOff>
      <xdr:row>51</xdr:row>
      <xdr:rowOff>142875</xdr:rowOff>
    </xdr:from>
    <xdr:to>
      <xdr:col>10</xdr:col>
      <xdr:colOff>2152650</xdr:colOff>
      <xdr:row>52</xdr:row>
      <xdr:rowOff>152400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0350" y="9410700"/>
          <a:ext cx="7239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16</xdr:col>
      <xdr:colOff>104775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00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ad%20ing\pendrive\gaslift\ejemplogasli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PR"/>
      <sheetName val="C. outflow"/>
      <sheetName val="Grad. Temp."/>
      <sheetName val="Grad. Gas"/>
      <sheetName val="Valv#1"/>
      <sheetName val="Valv s. deep "/>
      <sheetName val="calculo "/>
      <sheetName val="selección"/>
      <sheetName val="Test Rack Press."/>
      <sheetName val="regresiones"/>
    </sheetNames>
    <sheetDataSet>
      <sheetData sheetId="1">
        <row r="8">
          <cell r="D8" t="str">
            <v>Pwf(psi)</v>
          </cell>
        </row>
        <row r="9">
          <cell r="B9">
            <v>0</v>
          </cell>
          <cell r="D9">
            <v>2125</v>
          </cell>
        </row>
        <row r="10">
          <cell r="B10">
            <v>100</v>
          </cell>
          <cell r="D10">
            <v>2034.8403639263952</v>
          </cell>
        </row>
        <row r="11">
          <cell r="B11">
            <v>200</v>
          </cell>
          <cell r="D11">
            <v>1941</v>
          </cell>
        </row>
        <row r="12">
          <cell r="B12">
            <v>300</v>
          </cell>
          <cell r="D12">
            <v>1842.9875510925428</v>
          </cell>
        </row>
        <row r="13">
          <cell r="B13">
            <v>400</v>
          </cell>
          <cell r="D13">
            <v>1740.1915146954495</v>
          </cell>
        </row>
        <row r="14">
          <cell r="B14">
            <v>500</v>
          </cell>
          <cell r="D14">
            <v>1631.8345886671739</v>
          </cell>
        </row>
        <row r="15">
          <cell r="B15">
            <v>600</v>
          </cell>
          <cell r="D15">
            <v>1516.9029494653096</v>
          </cell>
        </row>
        <row r="16">
          <cell r="B16">
            <v>700</v>
          </cell>
          <cell r="D16">
            <v>1394.0312567667443</v>
          </cell>
        </row>
        <row r="17">
          <cell r="B17">
            <v>800</v>
          </cell>
          <cell r="D17">
            <v>1261.3039081764753</v>
          </cell>
        </row>
        <row r="18">
          <cell r="B18">
            <v>900</v>
          </cell>
          <cell r="D18">
            <v>1115.8831941939404</v>
          </cell>
        </row>
        <row r="19">
          <cell r="B19">
            <v>1000</v>
          </cell>
          <cell r="D19">
            <v>953.2342579231627</v>
          </cell>
        </row>
        <row r="20">
          <cell r="B20">
            <v>1100</v>
          </cell>
          <cell r="D20">
            <v>765.2342972006428</v>
          </cell>
        </row>
        <row r="21">
          <cell r="B21">
            <v>1200</v>
          </cell>
          <cell r="D21">
            <v>534.2024130242116</v>
          </cell>
        </row>
        <row r="22">
          <cell r="B22">
            <v>1300</v>
          </cell>
          <cell r="D22">
            <v>199.96805259529324</v>
          </cell>
        </row>
        <row r="23">
          <cell r="B23">
            <v>1334.571766675258</v>
          </cell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134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35.28125" style="0" customWidth="1"/>
    <col min="2" max="2" width="7.7109375" style="0" customWidth="1"/>
    <col min="3" max="3" width="8.8515625" style="0" bestFit="1" customWidth="1"/>
    <col min="4" max="4" width="9.7109375" style="0" customWidth="1"/>
    <col min="5" max="5" width="10.00390625" style="0" customWidth="1"/>
    <col min="7" max="7" width="17.57421875" style="0" customWidth="1"/>
    <col min="11" max="11" width="39.7109375" style="0" customWidth="1"/>
    <col min="12" max="12" width="11.421875" style="18" customWidth="1"/>
  </cols>
  <sheetData>
    <row r="1" spans="1:18" ht="13.5" thickBot="1">
      <c r="A1" s="18"/>
      <c r="B1" s="18"/>
      <c r="C1" s="69"/>
      <c r="D1" s="69"/>
      <c r="E1" s="69"/>
      <c r="F1" s="18"/>
      <c r="G1" s="18"/>
      <c r="H1" s="18"/>
      <c r="I1" s="18"/>
      <c r="J1" s="18"/>
      <c r="K1" s="18"/>
      <c r="L1" s="18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2" spans="1:11" ht="24.75" thickBot="1" thickTop="1">
      <c r="A2" s="26"/>
      <c r="B2" s="18"/>
      <c r="C2" s="18"/>
      <c r="D2" s="83" t="s">
        <v>86</v>
      </c>
      <c r="E2" s="84"/>
      <c r="F2" s="84"/>
      <c r="G2" s="84"/>
      <c r="H2" s="84"/>
      <c r="I2" s="84"/>
      <c r="J2" s="84"/>
      <c r="K2" s="85"/>
    </row>
    <row r="3" spans="1:11" ht="13.5" thickTop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N4" s="2"/>
      <c r="O4" s="2"/>
    </row>
    <row r="5" spans="1:15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N5" s="2"/>
      <c r="O5" s="2"/>
    </row>
    <row r="6" spans="1:15" ht="13.5" thickTop="1">
      <c r="A6" s="70" t="s">
        <v>0</v>
      </c>
      <c r="B6" s="46"/>
      <c r="C6" s="18"/>
      <c r="D6" s="18"/>
      <c r="E6" s="18"/>
      <c r="F6" s="18"/>
      <c r="G6" s="18"/>
      <c r="H6" s="18"/>
      <c r="I6" s="18"/>
      <c r="J6" s="18"/>
      <c r="K6" s="18"/>
      <c r="N6" s="2"/>
      <c r="O6" s="2"/>
    </row>
    <row r="7" spans="1:15" ht="12.75">
      <c r="A7" s="47" t="s">
        <v>1</v>
      </c>
      <c r="B7" s="86">
        <v>0.65</v>
      </c>
      <c r="C7" s="18"/>
      <c r="D7" s="18"/>
      <c r="E7" s="18"/>
      <c r="F7" s="18"/>
      <c r="G7" s="18"/>
      <c r="H7" s="18"/>
      <c r="I7" s="18"/>
      <c r="J7" s="18"/>
      <c r="K7" s="18"/>
      <c r="N7" s="2"/>
      <c r="O7" s="2"/>
    </row>
    <row r="8" spans="1:15" ht="12.75">
      <c r="A8" s="47" t="s">
        <v>2</v>
      </c>
      <c r="B8" s="86">
        <v>0.85</v>
      </c>
      <c r="C8" s="18"/>
      <c r="D8" s="18"/>
      <c r="E8" s="18"/>
      <c r="F8" s="18"/>
      <c r="G8" s="18"/>
      <c r="H8" s="18"/>
      <c r="I8" s="18"/>
      <c r="J8" s="18"/>
      <c r="K8" s="18"/>
      <c r="N8" s="2"/>
      <c r="O8" s="2"/>
    </row>
    <row r="9" spans="1:15" ht="12.75">
      <c r="A9" s="47" t="s">
        <v>3</v>
      </c>
      <c r="B9" s="86">
        <v>1.07</v>
      </c>
      <c r="C9" s="18"/>
      <c r="D9" s="18"/>
      <c r="E9" s="18"/>
      <c r="F9" s="18"/>
      <c r="G9" s="18"/>
      <c r="H9" s="18"/>
      <c r="I9" s="18"/>
      <c r="J9" s="18"/>
      <c r="K9" s="18"/>
      <c r="O9" s="3"/>
    </row>
    <row r="10" spans="1:11" ht="13.5" thickBot="1">
      <c r="A10" s="49"/>
      <c r="B10" s="87" t="s">
        <v>66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 thickBot="1" thickTop="1">
      <c r="A11" s="18"/>
      <c r="B11" s="88"/>
      <c r="C11" s="18"/>
      <c r="D11" s="18"/>
      <c r="E11" s="18"/>
      <c r="F11" s="18"/>
      <c r="G11" s="18"/>
      <c r="H11" s="18"/>
      <c r="I11" s="18"/>
      <c r="J11" s="18"/>
      <c r="K11" s="18"/>
    </row>
    <row r="12" spans="1:24" ht="13.5" thickTop="1">
      <c r="A12" s="70" t="s">
        <v>4</v>
      </c>
      <c r="B12" s="89"/>
      <c r="C12" s="18"/>
      <c r="D12" s="18"/>
      <c r="E12" s="18"/>
      <c r="F12" s="18"/>
      <c r="G12" s="18"/>
      <c r="H12" s="18"/>
      <c r="I12" s="18"/>
      <c r="J12" s="18"/>
      <c r="K12" s="18"/>
      <c r="L12" s="88"/>
      <c r="M12" s="1"/>
      <c r="N12" s="1"/>
      <c r="O12" s="1"/>
      <c r="P12" s="1"/>
      <c r="T12" s="1" t="s">
        <v>8</v>
      </c>
      <c r="U12" s="1" t="s">
        <v>9</v>
      </c>
      <c r="V12" s="1" t="s">
        <v>10</v>
      </c>
      <c r="W12" s="1" t="s">
        <v>11</v>
      </c>
      <c r="X12" s="1" t="s">
        <v>12</v>
      </c>
    </row>
    <row r="13" spans="1:24" ht="12.75">
      <c r="A13" s="47" t="s">
        <v>13</v>
      </c>
      <c r="B13" s="90">
        <v>150</v>
      </c>
      <c r="C13" s="18"/>
      <c r="D13" s="18"/>
      <c r="E13" s="18"/>
      <c r="F13" s="18"/>
      <c r="G13" s="18"/>
      <c r="H13" s="18"/>
      <c r="I13" s="18"/>
      <c r="J13" s="18"/>
      <c r="K13" s="18"/>
      <c r="N13" s="2"/>
      <c r="O13" s="2"/>
      <c r="T13">
        <v>0</v>
      </c>
      <c r="U13">
        <v>0</v>
      </c>
      <c r="V13">
        <v>60</v>
      </c>
      <c r="W13">
        <v>150</v>
      </c>
      <c r="X13" t="s">
        <v>7</v>
      </c>
    </row>
    <row r="14" spans="1:24" ht="12.75">
      <c r="A14" s="47" t="s">
        <v>14</v>
      </c>
      <c r="B14" s="90">
        <v>200</v>
      </c>
      <c r="C14" s="18"/>
      <c r="D14" s="18"/>
      <c r="E14" s="18"/>
      <c r="F14" s="18"/>
      <c r="G14" s="18"/>
      <c r="H14" s="18"/>
      <c r="I14" s="18"/>
      <c r="J14" s="18"/>
      <c r="K14" s="18"/>
      <c r="N14" s="2"/>
      <c r="O14" s="2"/>
      <c r="T14">
        <v>1</v>
      </c>
      <c r="U14">
        <v>200</v>
      </c>
      <c r="V14">
        <v>63.2</v>
      </c>
      <c r="W14">
        <v>175.45646422059505</v>
      </c>
      <c r="X14" t="s">
        <v>7</v>
      </c>
    </row>
    <row r="15" spans="1:24" ht="12.75">
      <c r="A15" s="47" t="s">
        <v>15</v>
      </c>
      <c r="B15" s="86">
        <v>500</v>
      </c>
      <c r="C15" s="18"/>
      <c r="D15" s="18"/>
      <c r="E15" s="18"/>
      <c r="F15" s="18"/>
      <c r="G15" s="18"/>
      <c r="H15" s="18"/>
      <c r="I15" s="18"/>
      <c r="J15" s="18"/>
      <c r="K15" s="18"/>
      <c r="N15" s="2"/>
      <c r="O15" s="2"/>
      <c r="T15">
        <v>2</v>
      </c>
      <c r="U15">
        <v>400</v>
      </c>
      <c r="V15">
        <v>66.4</v>
      </c>
      <c r="W15">
        <v>200.43991988667392</v>
      </c>
      <c r="X15" t="s">
        <v>7</v>
      </c>
    </row>
    <row r="16" spans="1:24" ht="12.75">
      <c r="A16" s="47" t="s">
        <v>16</v>
      </c>
      <c r="B16" s="86">
        <v>220</v>
      </c>
      <c r="C16" s="18"/>
      <c r="D16" s="18"/>
      <c r="E16" s="18"/>
      <c r="F16" s="18"/>
      <c r="G16" s="18"/>
      <c r="H16" s="18"/>
      <c r="I16" s="18"/>
      <c r="J16" s="18"/>
      <c r="K16" s="18"/>
      <c r="N16" s="2"/>
      <c r="O16" s="2"/>
      <c r="T16">
        <v>3</v>
      </c>
      <c r="U16">
        <v>600</v>
      </c>
      <c r="V16">
        <v>69.6</v>
      </c>
      <c r="W16">
        <v>225.00091418688675</v>
      </c>
      <c r="X16" t="s">
        <v>7</v>
      </c>
    </row>
    <row r="17" spans="1:24" ht="12.75">
      <c r="A17" s="47" t="s">
        <v>17</v>
      </c>
      <c r="B17" s="86">
        <v>60</v>
      </c>
      <c r="C17" s="18"/>
      <c r="D17" s="18"/>
      <c r="E17" s="18"/>
      <c r="F17" s="18"/>
      <c r="G17" s="18"/>
      <c r="H17" s="18"/>
      <c r="I17" s="18"/>
      <c r="J17" s="18"/>
      <c r="K17" s="18"/>
      <c r="N17" s="2"/>
      <c r="O17" s="2"/>
      <c r="T17">
        <v>4</v>
      </c>
      <c r="U17">
        <v>800</v>
      </c>
      <c r="V17">
        <v>72.8</v>
      </c>
      <c r="W17">
        <v>249.58366761755232</v>
      </c>
      <c r="X17" t="s">
        <v>7</v>
      </c>
    </row>
    <row r="18" spans="1:24" ht="12.75">
      <c r="A18" s="47" t="s">
        <v>18</v>
      </c>
      <c r="B18" s="86">
        <f>(B16-B17)/50</f>
        <v>3.2</v>
      </c>
      <c r="C18" s="18"/>
      <c r="D18" s="18"/>
      <c r="E18" s="18"/>
      <c r="F18" s="18"/>
      <c r="G18" s="18"/>
      <c r="H18" s="18"/>
      <c r="I18" s="18"/>
      <c r="J18" s="18"/>
      <c r="K18" s="18"/>
      <c r="N18" s="2"/>
      <c r="O18" s="2"/>
      <c r="T18">
        <v>5</v>
      </c>
      <c r="U18">
        <v>1000</v>
      </c>
      <c r="V18">
        <v>76</v>
      </c>
      <c r="W18">
        <v>274.1587265023242</v>
      </c>
      <c r="X18" t="s">
        <v>7</v>
      </c>
    </row>
    <row r="19" spans="1:24" ht="15.75">
      <c r="A19" s="47" t="s">
        <v>19</v>
      </c>
      <c r="B19" s="91">
        <v>150</v>
      </c>
      <c r="C19" s="71"/>
      <c r="D19" s="71"/>
      <c r="E19" s="18"/>
      <c r="F19" s="18"/>
      <c r="G19" s="18"/>
      <c r="H19" s="18"/>
      <c r="I19" s="18"/>
      <c r="J19" s="18"/>
      <c r="K19" s="18"/>
      <c r="N19" s="2"/>
      <c r="O19" s="2"/>
      <c r="T19">
        <v>6</v>
      </c>
      <c r="U19">
        <v>1200</v>
      </c>
      <c r="V19">
        <v>79.2</v>
      </c>
      <c r="W19">
        <v>298.787324477775</v>
      </c>
      <c r="X19" t="s">
        <v>7</v>
      </c>
    </row>
    <row r="20" spans="1:24" ht="15.75">
      <c r="A20" s="47" t="s">
        <v>20</v>
      </c>
      <c r="B20" s="92">
        <v>1954.005823946741</v>
      </c>
      <c r="C20" s="72"/>
      <c r="D20" s="72"/>
      <c r="E20" s="18"/>
      <c r="F20" s="18"/>
      <c r="G20" s="18"/>
      <c r="H20" s="18"/>
      <c r="I20" s="18"/>
      <c r="J20" s="18"/>
      <c r="K20" s="18"/>
      <c r="N20" s="2"/>
      <c r="O20" s="2"/>
      <c r="T20">
        <v>7</v>
      </c>
      <c r="U20">
        <v>1400</v>
      </c>
      <c r="V20">
        <v>82.4</v>
      </c>
      <c r="W20">
        <v>323.51600429189574</v>
      </c>
      <c r="X20" t="s">
        <v>7</v>
      </c>
    </row>
    <row r="21" spans="1:24" ht="12.75">
      <c r="A21" s="47" t="s">
        <v>21</v>
      </c>
      <c r="B21" s="86">
        <v>10000</v>
      </c>
      <c r="C21" s="18"/>
      <c r="D21" s="18"/>
      <c r="E21" s="18"/>
      <c r="F21" s="18"/>
      <c r="G21" s="18"/>
      <c r="H21" s="18"/>
      <c r="I21" s="18"/>
      <c r="J21" s="18"/>
      <c r="K21" s="18"/>
      <c r="N21" s="2"/>
      <c r="O21" s="2"/>
      <c r="T21">
        <v>8</v>
      </c>
      <c r="U21">
        <v>1600</v>
      </c>
      <c r="V21">
        <v>85.6</v>
      </c>
      <c r="W21">
        <v>348.38003100069477</v>
      </c>
      <c r="X21" t="s">
        <v>7</v>
      </c>
    </row>
    <row r="22" spans="1:24" ht="12.75">
      <c r="A22" s="47" t="s">
        <v>22</v>
      </c>
      <c r="B22" s="86">
        <v>2.5</v>
      </c>
      <c r="C22" s="18"/>
      <c r="D22" s="18"/>
      <c r="E22" s="18"/>
      <c r="F22" s="18"/>
      <c r="G22" s="18"/>
      <c r="H22" s="18"/>
      <c r="I22" s="18"/>
      <c r="J22" s="18"/>
      <c r="K22" s="18"/>
      <c r="N22" s="2"/>
      <c r="O22" s="2"/>
      <c r="T22">
        <v>9</v>
      </c>
      <c r="U22">
        <v>1800</v>
      </c>
      <c r="V22">
        <v>88.8</v>
      </c>
      <c r="W22">
        <v>373.4060319702377</v>
      </c>
      <c r="X22" t="s">
        <v>7</v>
      </c>
    </row>
    <row r="23" spans="1:24" ht="12.75">
      <c r="A23" s="47" t="s">
        <v>6</v>
      </c>
      <c r="B23" s="93">
        <f>0.00015/(B22/12)</f>
        <v>0.0007199999999999999</v>
      </c>
      <c r="C23" s="18"/>
      <c r="D23" s="18"/>
      <c r="E23" s="18"/>
      <c r="F23" s="18"/>
      <c r="G23" s="18"/>
      <c r="H23" s="18"/>
      <c r="I23" s="18"/>
      <c r="J23" s="18"/>
      <c r="K23" s="18"/>
      <c r="N23" s="2"/>
      <c r="O23" s="2"/>
      <c r="T23">
        <v>10</v>
      </c>
      <c r="U23">
        <v>2000</v>
      </c>
      <c r="V23">
        <v>92</v>
      </c>
      <c r="W23">
        <v>398.6140092194575</v>
      </c>
      <c r="X23" t="s">
        <v>7</v>
      </c>
    </row>
    <row r="24" spans="1:24" ht="12.75">
      <c r="A24" s="47"/>
      <c r="B24" s="86"/>
      <c r="C24" s="18"/>
      <c r="D24" s="18"/>
      <c r="E24" s="18"/>
      <c r="F24" s="18"/>
      <c r="G24" s="18"/>
      <c r="H24" s="18"/>
      <c r="I24" s="18"/>
      <c r="J24" s="18"/>
      <c r="K24" s="18"/>
      <c r="N24" s="2"/>
      <c r="O24" s="2"/>
      <c r="T24">
        <v>11</v>
      </c>
      <c r="U24">
        <v>2200</v>
      </c>
      <c r="V24">
        <v>95.2</v>
      </c>
      <c r="W24">
        <v>424.01886464224447</v>
      </c>
      <c r="X24" t="s">
        <v>7</v>
      </c>
    </row>
    <row r="25" spans="1:24" ht="12.75">
      <c r="A25" s="73" t="s">
        <v>23</v>
      </c>
      <c r="B25" s="94">
        <f>(B13+B14)/B13*B15</f>
        <v>1166.6666666666667</v>
      </c>
      <c r="C25" s="74"/>
      <c r="D25" s="74"/>
      <c r="E25" s="18"/>
      <c r="F25" s="18"/>
      <c r="G25" s="18"/>
      <c r="H25" s="18"/>
      <c r="I25" s="18"/>
      <c r="J25" s="18"/>
      <c r="K25" s="18"/>
      <c r="N25" s="2"/>
      <c r="O25" s="2"/>
      <c r="T25">
        <v>12</v>
      </c>
      <c r="U25">
        <v>2400</v>
      </c>
      <c r="V25">
        <v>98.4</v>
      </c>
      <c r="W25">
        <v>449.63155526458274</v>
      </c>
      <c r="X25" t="s">
        <v>7</v>
      </c>
    </row>
    <row r="26" spans="1:24" ht="12.75">
      <c r="A26" s="73" t="s">
        <v>5</v>
      </c>
      <c r="B26" s="95">
        <f>141.5/B8-131.5</f>
        <v>34.970588235294116</v>
      </c>
      <c r="C26" s="37"/>
      <c r="D26" s="37"/>
      <c r="E26" s="18"/>
      <c r="F26" s="18"/>
      <c r="G26" s="18"/>
      <c r="H26" s="18"/>
      <c r="I26" s="18"/>
      <c r="J26" s="18"/>
      <c r="K26" s="18"/>
      <c r="N26" s="2"/>
      <c r="O26" s="2"/>
      <c r="T26">
        <v>13</v>
      </c>
      <c r="U26">
        <v>2600</v>
      </c>
      <c r="V26">
        <v>101.6</v>
      </c>
      <c r="W26">
        <v>475.45997029080746</v>
      </c>
      <c r="X26" t="s">
        <v>7</v>
      </c>
    </row>
    <row r="27" spans="1:24" ht="12.75">
      <c r="A27" s="75" t="s">
        <v>24</v>
      </c>
      <c r="B27" s="96">
        <f>B21/50</f>
        <v>200</v>
      </c>
      <c r="C27" s="18"/>
      <c r="D27" s="18"/>
      <c r="E27" s="18"/>
      <c r="F27" s="18"/>
      <c r="G27" s="18"/>
      <c r="H27" s="18"/>
      <c r="I27" s="18"/>
      <c r="J27" s="18"/>
      <c r="K27" s="18"/>
      <c r="N27" s="2"/>
      <c r="O27" s="2"/>
      <c r="T27">
        <v>14</v>
      </c>
      <c r="U27">
        <v>2800</v>
      </c>
      <c r="V27">
        <v>104.8</v>
      </c>
      <c r="W27">
        <v>501.5095996552159</v>
      </c>
      <c r="X27" t="s">
        <v>7</v>
      </c>
    </row>
    <row r="28" spans="1:24" ht="13.5" thickBot="1">
      <c r="A28" s="49"/>
      <c r="B28" s="87"/>
      <c r="C28" s="18"/>
      <c r="D28" s="18"/>
      <c r="E28" s="18"/>
      <c r="F28" s="18"/>
      <c r="G28" s="18"/>
      <c r="H28" s="18"/>
      <c r="I28" s="18"/>
      <c r="J28" s="18"/>
      <c r="K28" s="18"/>
      <c r="N28" s="2"/>
      <c r="O28" s="2"/>
      <c r="T28">
        <v>15</v>
      </c>
      <c r="U28">
        <v>3000</v>
      </c>
      <c r="V28">
        <v>108</v>
      </c>
      <c r="W28">
        <v>527.7875447553866</v>
      </c>
      <c r="X28" t="s">
        <v>7</v>
      </c>
    </row>
    <row r="29" spans="1:24" ht="13.5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N29" s="2"/>
      <c r="O29" s="2"/>
      <c r="T29">
        <v>16</v>
      </c>
      <c r="U29">
        <v>3200</v>
      </c>
      <c r="V29">
        <v>111.2</v>
      </c>
      <c r="W29">
        <v>554.9596444939849</v>
      </c>
      <c r="X29" t="s">
        <v>7</v>
      </c>
    </row>
    <row r="30" spans="1:2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N30" s="2"/>
      <c r="O30" s="2"/>
      <c r="T30">
        <v>17</v>
      </c>
      <c r="U30">
        <v>3400</v>
      </c>
      <c r="V30">
        <v>114.4</v>
      </c>
      <c r="W30">
        <v>583.0334976388434</v>
      </c>
      <c r="X30" t="s">
        <v>7</v>
      </c>
    </row>
    <row r="31" spans="1:2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N31" s="2"/>
      <c r="O31" s="2"/>
      <c r="T31">
        <v>18</v>
      </c>
      <c r="U31">
        <v>3600</v>
      </c>
      <c r="V31">
        <v>117.6</v>
      </c>
      <c r="W31">
        <v>612.0091901808934</v>
      </c>
      <c r="X31" t="s">
        <v>7</v>
      </c>
    </row>
    <row r="32" spans="1:24" ht="12.75">
      <c r="A32" s="18"/>
      <c r="B32" s="18"/>
      <c r="C32" s="18"/>
      <c r="D32" s="18"/>
      <c r="E32" s="18"/>
      <c r="F32" s="18"/>
      <c r="G32" s="76"/>
      <c r="H32" s="77"/>
      <c r="I32" s="78"/>
      <c r="J32" s="18"/>
      <c r="K32" s="18"/>
      <c r="N32" s="2"/>
      <c r="O32" s="2"/>
      <c r="T32">
        <v>19</v>
      </c>
      <c r="U32">
        <v>3800</v>
      </c>
      <c r="V32">
        <v>120.8</v>
      </c>
      <c r="W32">
        <v>641.8852360563799</v>
      </c>
      <c r="X32" t="s">
        <v>7</v>
      </c>
    </row>
    <row r="33" spans="1:24" ht="12.75">
      <c r="A33" s="18"/>
      <c r="B33" s="18"/>
      <c r="C33" s="18"/>
      <c r="D33" s="18"/>
      <c r="E33" s="18"/>
      <c r="F33" s="18"/>
      <c r="G33" s="79"/>
      <c r="H33" s="78"/>
      <c r="I33" s="78"/>
      <c r="J33" s="18"/>
      <c r="K33" s="18"/>
      <c r="N33" s="2"/>
      <c r="O33" s="2"/>
      <c r="T33">
        <v>20</v>
      </c>
      <c r="U33">
        <v>4000</v>
      </c>
      <c r="V33">
        <v>124</v>
      </c>
      <c r="W33">
        <v>672.6586095108784</v>
      </c>
      <c r="X33" t="s">
        <v>7</v>
      </c>
    </row>
    <row r="34" spans="1:24" ht="12.75">
      <c r="A34" s="18"/>
      <c r="B34" s="18"/>
      <c r="C34" s="18"/>
      <c r="D34" s="18"/>
      <c r="E34" s="18"/>
      <c r="F34" s="18"/>
      <c r="G34" s="76"/>
      <c r="H34" s="78"/>
      <c r="I34" s="78"/>
      <c r="J34" s="18"/>
      <c r="K34" s="18"/>
      <c r="N34" s="2"/>
      <c r="O34" s="2"/>
      <c r="T34">
        <v>21</v>
      </c>
      <c r="U34">
        <v>4200</v>
      </c>
      <c r="V34">
        <v>127.2</v>
      </c>
      <c r="W34">
        <v>704.3247872889818</v>
      </c>
      <c r="X34" t="s">
        <v>7</v>
      </c>
    </row>
    <row r="35" spans="1:24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N35" s="2"/>
      <c r="O35" s="2"/>
      <c r="T35">
        <v>22</v>
      </c>
      <c r="U35">
        <v>4400</v>
      </c>
      <c r="V35">
        <v>130.4</v>
      </c>
      <c r="W35">
        <v>736.8777998980239</v>
      </c>
      <c r="X35" t="s">
        <v>7</v>
      </c>
    </row>
    <row r="36" spans="1:24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N36" s="2"/>
      <c r="O36" s="2"/>
      <c r="T36">
        <v>23</v>
      </c>
      <c r="U36">
        <v>4600</v>
      </c>
      <c r="V36">
        <v>133.6</v>
      </c>
      <c r="W36">
        <v>770.3102910875832</v>
      </c>
      <c r="X36" t="s">
        <v>7</v>
      </c>
    </row>
    <row r="37" spans="1:2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N37" s="2"/>
      <c r="O37" s="2"/>
      <c r="T37">
        <v>24</v>
      </c>
      <c r="U37">
        <v>4800</v>
      </c>
      <c r="V37">
        <v>136.8</v>
      </c>
      <c r="W37">
        <v>804.6135846030695</v>
      </c>
      <c r="X37" t="s">
        <v>7</v>
      </c>
    </row>
    <row r="38" spans="1:2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N38" s="2"/>
      <c r="O38" s="2"/>
      <c r="T38">
        <v>25</v>
      </c>
      <c r="U38">
        <v>5000</v>
      </c>
      <c r="V38">
        <v>140</v>
      </c>
      <c r="W38">
        <v>839.7777572121358</v>
      </c>
      <c r="X38" t="s">
        <v>7</v>
      </c>
    </row>
    <row r="39" spans="1:2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2"/>
      <c r="O39" s="2"/>
      <c r="T39">
        <v>26</v>
      </c>
      <c r="U39">
        <v>5200</v>
      </c>
      <c r="V39">
        <v>143.2</v>
      </c>
      <c r="W39">
        <v>875.7917169668749</v>
      </c>
      <c r="X39" t="s">
        <v>7</v>
      </c>
    </row>
    <row r="40" spans="1:24" ht="12.75">
      <c r="A40" s="69" t="str">
        <f>CONCATENATE("Caudal: ",INT(B13+B14),"bbld  "," RGL: ",INT(B15),"cf/bl","   PHT: ",INT(B19),"psi","   PBT: ",INT(B20),"psi")</f>
        <v>Caudal: 350bbld   RGL: 500cf/bl   PHT: 150psi   PBT: 1954psi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N40" s="2"/>
      <c r="O40" s="2"/>
      <c r="T40">
        <v>27</v>
      </c>
      <c r="U40">
        <v>5400</v>
      </c>
      <c r="V40">
        <v>146.4</v>
      </c>
      <c r="W40">
        <v>912.6432856518616</v>
      </c>
      <c r="X40" t="s">
        <v>7</v>
      </c>
    </row>
    <row r="41" spans="1:24" ht="45.75" customHeight="1">
      <c r="A41" s="18"/>
      <c r="B41" s="18"/>
      <c r="C41" s="18"/>
      <c r="D41" s="18"/>
      <c r="E41" s="18"/>
      <c r="G41" s="18"/>
      <c r="H41" s="18"/>
      <c r="I41" s="18"/>
      <c r="J41" s="18"/>
      <c r="K41" s="18"/>
      <c r="N41" s="2"/>
      <c r="O41" s="2"/>
      <c r="T41">
        <v>28</v>
      </c>
      <c r="U41">
        <v>5600</v>
      </c>
      <c r="V41">
        <v>149.6</v>
      </c>
      <c r="W41">
        <v>950.3192843765578</v>
      </c>
      <c r="X41" t="s">
        <v>7</v>
      </c>
    </row>
    <row r="42" spans="1:24" ht="32.25" customHeight="1">
      <c r="A42" s="80" t="s">
        <v>82</v>
      </c>
      <c r="B42" s="81"/>
      <c r="C42" s="81"/>
      <c r="D42" s="81"/>
      <c r="E42" s="81"/>
      <c r="F42" s="81"/>
      <c r="G42" s="81"/>
      <c r="H42" s="81"/>
      <c r="I42" s="81"/>
      <c r="J42" s="81"/>
      <c r="K42" s="82"/>
      <c r="N42" s="2"/>
      <c r="O42" s="2"/>
      <c r="T42">
        <v>29</v>
      </c>
      <c r="U42">
        <v>5800</v>
      </c>
      <c r="V42">
        <v>152.8</v>
      </c>
      <c r="W42">
        <v>988.805621298321</v>
      </c>
      <c r="X42" t="s">
        <v>7</v>
      </c>
    </row>
    <row r="43" spans="1:2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N43" s="2"/>
      <c r="O43" s="2"/>
      <c r="T43">
        <v>30</v>
      </c>
      <c r="U43">
        <v>6000</v>
      </c>
      <c r="V43">
        <v>156</v>
      </c>
      <c r="W43">
        <v>1028.0873805067597</v>
      </c>
      <c r="X43" t="s">
        <v>7</v>
      </c>
    </row>
    <row r="44" spans="1:24" ht="13.5" thickBo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N44" s="2"/>
      <c r="O44" s="2"/>
      <c r="T44">
        <v>31</v>
      </c>
      <c r="U44">
        <v>6200</v>
      </c>
      <c r="V44">
        <v>159.2</v>
      </c>
      <c r="W44">
        <v>1068.1489111587223</v>
      </c>
      <c r="X44" t="s">
        <v>7</v>
      </c>
    </row>
    <row r="45" spans="1:24" ht="13.5" thickTop="1">
      <c r="A45" s="44" t="s">
        <v>67</v>
      </c>
      <c r="B45" s="45"/>
      <c r="C45" s="46"/>
      <c r="D45" s="18"/>
      <c r="E45" s="18"/>
      <c r="F45" s="18"/>
      <c r="G45" s="18"/>
      <c r="H45" s="18"/>
      <c r="I45" s="18"/>
      <c r="J45" s="18"/>
      <c r="K45" s="18"/>
      <c r="N45" s="2"/>
      <c r="O45" s="2"/>
      <c r="T45">
        <v>32</v>
      </c>
      <c r="U45">
        <v>6400</v>
      </c>
      <c r="V45">
        <v>162.4</v>
      </c>
      <c r="W45">
        <v>1108.9739160228949</v>
      </c>
      <c r="X45" t="s">
        <v>7</v>
      </c>
    </row>
    <row r="46" spans="1:24" ht="12.75">
      <c r="A46" s="47" t="s">
        <v>32</v>
      </c>
      <c r="B46" s="21">
        <v>6000</v>
      </c>
      <c r="C46" s="52" t="s">
        <v>33</v>
      </c>
      <c r="D46" s="18"/>
      <c r="E46" s="18"/>
      <c r="F46" s="21"/>
      <c r="G46" s="21"/>
      <c r="H46" s="18"/>
      <c r="I46" s="18"/>
      <c r="J46" s="18"/>
      <c r="K46" s="18"/>
      <c r="N46" s="2"/>
      <c r="O46" s="2"/>
      <c r="T46">
        <v>33</v>
      </c>
      <c r="U46">
        <v>6600</v>
      </c>
      <c r="V46">
        <v>165.6</v>
      </c>
      <c r="W46">
        <v>1150.5455386709496</v>
      </c>
      <c r="X46" t="s">
        <v>7</v>
      </c>
    </row>
    <row r="47" spans="1:24" ht="12.75">
      <c r="A47" s="47" t="s">
        <v>68</v>
      </c>
      <c r="B47" s="21">
        <v>300</v>
      </c>
      <c r="C47" s="52" t="s">
        <v>35</v>
      </c>
      <c r="D47" s="18"/>
      <c r="E47" s="18"/>
      <c r="F47" s="21"/>
      <c r="G47" s="23"/>
      <c r="H47" s="18"/>
      <c r="I47" s="18"/>
      <c r="J47" s="18"/>
      <c r="K47" s="18"/>
      <c r="N47" s="2"/>
      <c r="O47" s="2"/>
      <c r="T47">
        <v>34</v>
      </c>
      <c r="U47">
        <v>6800</v>
      </c>
      <c r="V47">
        <v>168.8</v>
      </c>
      <c r="W47">
        <v>1192.846448635642</v>
      </c>
      <c r="X47" t="s">
        <v>7</v>
      </c>
    </row>
    <row r="48" spans="1:24" ht="12.75">
      <c r="A48" s="47" t="s">
        <v>69</v>
      </c>
      <c r="B48" s="21">
        <v>50</v>
      </c>
      <c r="C48" s="52" t="s">
        <v>70</v>
      </c>
      <c r="D48" s="18"/>
      <c r="E48" s="18"/>
      <c r="F48" s="23"/>
      <c r="G48" s="24"/>
      <c r="H48" s="18"/>
      <c r="I48" s="18"/>
      <c r="J48" s="18"/>
      <c r="K48" s="18"/>
      <c r="N48" s="2"/>
      <c r="O48" s="2"/>
      <c r="T48">
        <v>35</v>
      </c>
      <c r="U48">
        <v>7000</v>
      </c>
      <c r="V48">
        <v>172</v>
      </c>
      <c r="W48">
        <v>1235.8589239426308</v>
      </c>
      <c r="X48" t="s">
        <v>7</v>
      </c>
    </row>
    <row r="49" spans="1:24" ht="12.75">
      <c r="A49" s="47" t="s">
        <v>37</v>
      </c>
      <c r="B49" s="21">
        <v>2000</v>
      </c>
      <c r="C49" s="52" t="s">
        <v>33</v>
      </c>
      <c r="D49" s="18"/>
      <c r="E49" s="18"/>
      <c r="F49" s="21"/>
      <c r="G49" s="21"/>
      <c r="H49" s="18"/>
      <c r="I49" s="18"/>
      <c r="J49" s="18"/>
      <c r="K49" s="18"/>
      <c r="N49" s="2"/>
      <c r="O49" s="2"/>
      <c r="T49">
        <v>36</v>
      </c>
      <c r="U49">
        <v>7200</v>
      </c>
      <c r="V49">
        <v>175.2</v>
      </c>
      <c r="W49">
        <v>1279.5658229282915</v>
      </c>
      <c r="X49" t="s">
        <v>7</v>
      </c>
    </row>
    <row r="50" spans="1:24" ht="12.75">
      <c r="A50" s="47"/>
      <c r="B50" s="21"/>
      <c r="C50" s="52"/>
      <c r="D50" s="18"/>
      <c r="E50" s="18"/>
      <c r="F50" s="18"/>
      <c r="G50" s="18"/>
      <c r="H50" s="18"/>
      <c r="I50" s="18"/>
      <c r="J50" s="18"/>
      <c r="K50" s="18"/>
      <c r="N50" s="2"/>
      <c r="O50" s="2"/>
      <c r="T50">
        <v>37</v>
      </c>
      <c r="U50">
        <v>7400</v>
      </c>
      <c r="V50">
        <v>178.4</v>
      </c>
      <c r="W50">
        <v>1323.9479391344473</v>
      </c>
      <c r="X50" t="s">
        <v>7</v>
      </c>
    </row>
    <row r="51" spans="1:24" ht="12.75">
      <c r="A51" s="58" t="s">
        <v>73</v>
      </c>
      <c r="B51" s="21"/>
      <c r="C51" s="52"/>
      <c r="D51" s="18"/>
      <c r="E51" s="18"/>
      <c r="F51" s="18"/>
      <c r="G51" s="18"/>
      <c r="H51" s="18"/>
      <c r="I51" s="18"/>
      <c r="J51" s="18"/>
      <c r="K51" s="18"/>
      <c r="N51" s="2"/>
      <c r="O51" s="2"/>
      <c r="T51">
        <v>38</v>
      </c>
      <c r="U51">
        <v>7600</v>
      </c>
      <c r="V51">
        <v>181.6</v>
      </c>
      <c r="W51">
        <v>1368.9868185527134</v>
      </c>
      <c r="X51" t="s">
        <v>7</v>
      </c>
    </row>
    <row r="52" spans="1:24" ht="12.75">
      <c r="A52" s="59" t="s">
        <v>72</v>
      </c>
      <c r="B52" s="41">
        <f>(B53+B54)/(1-0.2*B49/B46-0.8*(B49/B46)^2)</f>
        <v>355.2631578947368</v>
      </c>
      <c r="C52" s="60" t="s">
        <v>35</v>
      </c>
      <c r="D52" s="18"/>
      <c r="E52" s="18"/>
      <c r="F52" s="18"/>
      <c r="G52" s="18"/>
      <c r="H52" s="18"/>
      <c r="I52" s="18"/>
      <c r="J52" s="18"/>
      <c r="K52" s="18"/>
      <c r="N52" s="2"/>
      <c r="O52" s="2"/>
      <c r="T52">
        <v>39</v>
      </c>
      <c r="U52">
        <v>7800</v>
      </c>
      <c r="V52">
        <v>184.8</v>
      </c>
      <c r="W52">
        <v>1414.6639208025977</v>
      </c>
      <c r="X52" t="s">
        <v>7</v>
      </c>
    </row>
    <row r="53" spans="1:24" ht="12.75">
      <c r="A53" s="59" t="s">
        <v>34</v>
      </c>
      <c r="B53" s="42">
        <f>B47*(1-B48/100)</f>
        <v>150</v>
      </c>
      <c r="C53" s="60" t="s">
        <v>35</v>
      </c>
      <c r="D53" s="18"/>
      <c r="E53" s="18"/>
      <c r="F53" s="18"/>
      <c r="G53" s="18"/>
      <c r="H53" s="18"/>
      <c r="I53" s="18"/>
      <c r="J53" s="18"/>
      <c r="K53" s="18"/>
      <c r="N53" s="2"/>
      <c r="O53" s="2"/>
      <c r="T53">
        <v>40</v>
      </c>
      <c r="U53">
        <v>8000</v>
      </c>
      <c r="V53">
        <v>188</v>
      </c>
      <c r="W53">
        <v>1460.9606742236647</v>
      </c>
      <c r="X53" t="s">
        <v>7</v>
      </c>
    </row>
    <row r="54" spans="1:24" ht="13.5" thickBot="1">
      <c r="A54" s="53" t="s">
        <v>36</v>
      </c>
      <c r="B54" s="61">
        <f>B47*B48/100</f>
        <v>150</v>
      </c>
      <c r="C54" s="62" t="s">
        <v>35</v>
      </c>
      <c r="D54" s="18"/>
      <c r="E54" s="18"/>
      <c r="F54" s="18"/>
      <c r="G54" s="18"/>
      <c r="H54" s="18"/>
      <c r="I54" s="18"/>
      <c r="J54" s="18"/>
      <c r="K54" s="18"/>
      <c r="N54" s="2"/>
      <c r="O54" s="2"/>
      <c r="T54">
        <v>41</v>
      </c>
      <c r="U54">
        <v>8200</v>
      </c>
      <c r="V54">
        <v>191.2</v>
      </c>
      <c r="W54">
        <v>1507.85853511186</v>
      </c>
      <c r="X54" t="s">
        <v>7</v>
      </c>
    </row>
    <row r="55" spans="1:24" ht="14.25" thickBot="1" thickTop="1">
      <c r="A55" s="20"/>
      <c r="B55" s="21"/>
      <c r="C55" s="50"/>
      <c r="D55" s="18"/>
      <c r="E55" s="18"/>
      <c r="F55" s="18"/>
      <c r="G55" s="18"/>
      <c r="H55" s="18"/>
      <c r="I55" s="18"/>
      <c r="J55" s="18"/>
      <c r="K55" s="18"/>
      <c r="N55" s="2"/>
      <c r="O55" s="2"/>
      <c r="T55">
        <v>42</v>
      </c>
      <c r="U55">
        <v>8400</v>
      </c>
      <c r="V55">
        <v>194.4</v>
      </c>
      <c r="W55">
        <v>1555.3390423804415</v>
      </c>
      <c r="X55" t="s">
        <v>7</v>
      </c>
    </row>
    <row r="56" spans="1:24" ht="13.5" thickTop="1">
      <c r="A56" s="44" t="s">
        <v>74</v>
      </c>
      <c r="B56" s="45"/>
      <c r="C56" s="46"/>
      <c r="D56" s="18"/>
      <c r="E56" s="18"/>
      <c r="F56" s="18"/>
      <c r="G56" s="18"/>
      <c r="H56" s="18"/>
      <c r="I56" s="18"/>
      <c r="J56" s="18"/>
      <c r="K56" s="18"/>
      <c r="N56" s="2"/>
      <c r="O56" s="2"/>
      <c r="T56">
        <v>43</v>
      </c>
      <c r="U56">
        <v>8600</v>
      </c>
      <c r="V56">
        <v>197.6</v>
      </c>
      <c r="W56">
        <v>1603.3838676300759</v>
      </c>
      <c r="X56" t="s">
        <v>7</v>
      </c>
    </row>
    <row r="57" spans="1:24" ht="12.75">
      <c r="A57" s="47" t="s">
        <v>21</v>
      </c>
      <c r="B57" s="21">
        <v>10000</v>
      </c>
      <c r="C57" s="48" t="s">
        <v>33</v>
      </c>
      <c r="D57" s="18"/>
      <c r="E57" s="18"/>
      <c r="F57" s="18"/>
      <c r="G57" s="18"/>
      <c r="H57" s="18"/>
      <c r="I57" s="18"/>
      <c r="J57" s="18"/>
      <c r="K57" s="18"/>
      <c r="N57" s="2"/>
      <c r="O57" s="2"/>
      <c r="T57">
        <v>44</v>
      </c>
      <c r="U57">
        <v>8800</v>
      </c>
      <c r="V57">
        <v>200.8</v>
      </c>
      <c r="W57">
        <v>1651.974860661136</v>
      </c>
      <c r="X57" t="s">
        <v>7</v>
      </c>
    </row>
    <row r="58" spans="1:24" ht="12.75">
      <c r="A58" s="47" t="s">
        <v>22</v>
      </c>
      <c r="B58" s="21">
        <v>2</v>
      </c>
      <c r="C58" s="48" t="s">
        <v>75</v>
      </c>
      <c r="D58" s="18"/>
      <c r="E58" s="18"/>
      <c r="F58" s="18"/>
      <c r="G58" s="18"/>
      <c r="H58" s="18"/>
      <c r="I58" s="18"/>
      <c r="J58" s="18"/>
      <c r="K58" s="18"/>
      <c r="N58" s="2"/>
      <c r="O58" s="2"/>
      <c r="T58">
        <v>45</v>
      </c>
      <c r="U58">
        <v>9000</v>
      </c>
      <c r="V58">
        <v>204</v>
      </c>
      <c r="W58">
        <v>1701.0940905034747</v>
      </c>
      <c r="X58" t="s">
        <v>7</v>
      </c>
    </row>
    <row r="59" spans="1:24" ht="12.75">
      <c r="A59" s="47" t="s">
        <v>6</v>
      </c>
      <c r="B59" s="43">
        <f>0.00015/(B58/12)</f>
        <v>0.0009</v>
      </c>
      <c r="C59" s="48" t="s">
        <v>76</v>
      </c>
      <c r="D59" s="18"/>
      <c r="E59" s="18"/>
      <c r="F59" s="18"/>
      <c r="G59" s="18"/>
      <c r="H59" s="18"/>
      <c r="I59" s="18"/>
      <c r="J59" s="18"/>
      <c r="K59" s="18"/>
      <c r="N59" s="2"/>
      <c r="O59" s="2"/>
      <c r="T59">
        <v>46</v>
      </c>
      <c r="U59">
        <v>9200</v>
      </c>
      <c r="V59">
        <v>207.2</v>
      </c>
      <c r="W59">
        <v>1750.7238820751593</v>
      </c>
      <c r="X59" t="s">
        <v>7</v>
      </c>
    </row>
    <row r="60" spans="1:24" ht="12.75">
      <c r="A60" s="47" t="s">
        <v>16</v>
      </c>
      <c r="B60" s="21">
        <v>220</v>
      </c>
      <c r="C60" s="48" t="s">
        <v>51</v>
      </c>
      <c r="D60" s="18"/>
      <c r="E60" s="18"/>
      <c r="F60" s="18"/>
      <c r="G60" s="18"/>
      <c r="H60" s="18"/>
      <c r="I60" s="18"/>
      <c r="J60" s="18"/>
      <c r="K60" s="18"/>
      <c r="N60" s="2"/>
      <c r="O60" s="2"/>
      <c r="T60">
        <v>47</v>
      </c>
      <c r="U60">
        <v>9400</v>
      </c>
      <c r="V60">
        <v>210.4</v>
      </c>
      <c r="W60">
        <v>1800.8468486121528</v>
      </c>
      <c r="X60" t="s">
        <v>7</v>
      </c>
    </row>
    <row r="61" spans="1:24" ht="13.5" thickBot="1">
      <c r="A61" s="49" t="s">
        <v>17</v>
      </c>
      <c r="B61" s="50">
        <v>60</v>
      </c>
      <c r="C61" s="51" t="s">
        <v>51</v>
      </c>
      <c r="D61" s="18"/>
      <c r="E61" s="18"/>
      <c r="F61" s="18"/>
      <c r="G61" s="18"/>
      <c r="H61" s="18"/>
      <c r="I61" s="18"/>
      <c r="J61" s="18"/>
      <c r="K61" s="18"/>
      <c r="N61" s="2"/>
      <c r="O61" s="2"/>
      <c r="T61">
        <v>48</v>
      </c>
      <c r="U61">
        <v>9600</v>
      </c>
      <c r="V61">
        <v>213.6</v>
      </c>
      <c r="W61">
        <v>1851.4459200360714</v>
      </c>
      <c r="X61" t="s">
        <v>7</v>
      </c>
    </row>
    <row r="62" spans="1:24" ht="14.25" thickBot="1" thickTop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N62" s="2"/>
      <c r="O62" s="2"/>
      <c r="T62">
        <v>49</v>
      </c>
      <c r="U62">
        <v>9800</v>
      </c>
      <c r="V62">
        <v>216.8</v>
      </c>
      <c r="W62">
        <v>1902.504367447344</v>
      </c>
      <c r="X62" t="s">
        <v>7</v>
      </c>
    </row>
    <row r="63" spans="1:23" ht="13.5" thickTop="1">
      <c r="A63" s="44" t="s">
        <v>0</v>
      </c>
      <c r="B63" s="45"/>
      <c r="C63" s="46"/>
      <c r="D63" s="18"/>
      <c r="E63" s="18"/>
      <c r="F63" s="18"/>
      <c r="G63" s="18"/>
      <c r="H63" s="18"/>
      <c r="I63" s="18"/>
      <c r="J63" s="18"/>
      <c r="K63" s="18"/>
      <c r="N63" s="2"/>
      <c r="O63" s="2"/>
      <c r="T63">
        <v>50</v>
      </c>
      <c r="U63">
        <v>10000</v>
      </c>
      <c r="V63">
        <v>220</v>
      </c>
      <c r="W63">
        <v>1954.005823946741</v>
      </c>
    </row>
    <row r="64" spans="1:11" ht="12.75">
      <c r="A64" s="47" t="s">
        <v>1</v>
      </c>
      <c r="B64" s="21">
        <v>0.65</v>
      </c>
      <c r="C64" s="48" t="s">
        <v>77</v>
      </c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47" t="s">
        <v>2</v>
      </c>
      <c r="B65" s="21">
        <v>0.85</v>
      </c>
      <c r="C65" s="48" t="s">
        <v>77</v>
      </c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47" t="s">
        <v>3</v>
      </c>
      <c r="B66" s="21">
        <v>1.07</v>
      </c>
      <c r="C66" s="48" t="s">
        <v>77</v>
      </c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47" t="s">
        <v>71</v>
      </c>
      <c r="B67" s="21">
        <v>2000</v>
      </c>
      <c r="C67" s="52" t="s">
        <v>45</v>
      </c>
      <c r="D67" s="18"/>
      <c r="E67" s="18"/>
      <c r="F67" s="18"/>
      <c r="G67" s="18"/>
      <c r="H67" s="18"/>
      <c r="I67" s="18"/>
      <c r="J67" s="18"/>
      <c r="K67" s="18"/>
    </row>
    <row r="68" spans="1:11" ht="13.5" thickBot="1">
      <c r="A68" s="53" t="s">
        <v>5</v>
      </c>
      <c r="B68" s="54">
        <f>141.5/B65-131.5</f>
        <v>34.970588235294116</v>
      </c>
      <c r="C68" s="55"/>
      <c r="D68" s="18"/>
      <c r="E68" s="18"/>
      <c r="F68" s="18"/>
      <c r="G68" s="18"/>
      <c r="H68" s="18"/>
      <c r="I68" s="18"/>
      <c r="J68" s="18"/>
      <c r="K68" s="18"/>
    </row>
    <row r="69" spans="1:11" ht="13.5" thickTop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3.5" thickBot="1">
      <c r="A70" s="18"/>
      <c r="B70" s="18"/>
      <c r="C70" s="18"/>
      <c r="D70" s="18"/>
      <c r="E70" s="18"/>
      <c r="F70" s="18"/>
      <c r="G70" s="23"/>
      <c r="H70" s="18"/>
      <c r="I70" s="18"/>
      <c r="J70" s="18"/>
      <c r="K70" s="18"/>
    </row>
    <row r="71" spans="1:11" ht="17.25" thickBot="1" thickTop="1">
      <c r="A71" s="56" t="s">
        <v>80</v>
      </c>
      <c r="B71" s="57">
        <v>250</v>
      </c>
      <c r="C71" s="64" t="s">
        <v>78</v>
      </c>
      <c r="D71" s="18"/>
      <c r="E71" s="18"/>
      <c r="F71" s="18"/>
      <c r="G71" s="27"/>
      <c r="H71" s="18"/>
      <c r="I71" s="18"/>
      <c r="J71" s="18"/>
      <c r="K71" s="18"/>
    </row>
    <row r="72" spans="1:11" ht="13.5" thickTop="1">
      <c r="A72" s="18"/>
      <c r="B72" s="18"/>
      <c r="C72" s="18"/>
      <c r="D72" s="18"/>
      <c r="E72" s="18"/>
      <c r="F72" s="18"/>
      <c r="G72" s="27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21"/>
      <c r="G73" s="27"/>
      <c r="H73" s="18"/>
      <c r="I73" s="18"/>
      <c r="J73" s="18"/>
      <c r="K73" s="18"/>
    </row>
    <row r="74" spans="1:11" ht="13.5" thickBot="1">
      <c r="A74" s="18"/>
      <c r="B74" s="18"/>
      <c r="C74" s="18"/>
      <c r="D74" s="18"/>
      <c r="E74" s="18"/>
      <c r="F74" s="21"/>
      <c r="G74" s="27"/>
      <c r="H74" s="18"/>
      <c r="I74" s="18"/>
      <c r="J74" s="18"/>
      <c r="K74" s="18"/>
    </row>
    <row r="75" spans="1:11" ht="17.25" thickBot="1" thickTop="1">
      <c r="A75" s="68" t="s">
        <v>85</v>
      </c>
      <c r="B75" s="67">
        <f>INT((600*(B67/1000)^0.5*I88/B71)^0.5)</f>
        <v>32</v>
      </c>
      <c r="C75" s="66" t="s">
        <v>84</v>
      </c>
      <c r="D75" s="18"/>
      <c r="E75" s="18"/>
      <c r="F75" s="21"/>
      <c r="G75" s="27"/>
      <c r="H75" s="18"/>
      <c r="I75" s="18"/>
      <c r="J75" s="18"/>
      <c r="K75" s="18"/>
    </row>
    <row r="76" spans="1:11" ht="13.5" thickTop="1">
      <c r="A76" s="18"/>
      <c r="B76" s="18"/>
      <c r="C76" s="18"/>
      <c r="D76" s="18"/>
      <c r="E76" s="18"/>
      <c r="F76" s="21"/>
      <c r="G76" s="27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21"/>
      <c r="G77" s="27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21"/>
      <c r="G78" s="27"/>
      <c r="H78" s="18"/>
      <c r="I78" s="18"/>
      <c r="J78" s="18"/>
      <c r="K78" s="18"/>
    </row>
    <row r="79" spans="1:11" ht="12.75">
      <c r="A79" s="18"/>
      <c r="B79" s="65"/>
      <c r="C79" s="18"/>
      <c r="D79" s="18"/>
      <c r="E79" s="18"/>
      <c r="F79" s="21"/>
      <c r="G79" s="27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21"/>
      <c r="G80" s="27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21"/>
      <c r="G81" s="27"/>
      <c r="H81" s="18"/>
      <c r="I81" s="18"/>
      <c r="J81" s="18"/>
      <c r="K81" s="18"/>
    </row>
    <row r="82" spans="1:11" ht="12.75">
      <c r="A82" s="21"/>
      <c r="B82" s="18"/>
      <c r="C82" s="63"/>
      <c r="D82" s="18"/>
      <c r="E82" s="18"/>
      <c r="F82" s="18"/>
      <c r="G82" s="18"/>
      <c r="H82" s="18"/>
      <c r="I82" s="18"/>
      <c r="J82" s="18"/>
      <c r="K82" s="18"/>
    </row>
    <row r="83" spans="1:11" ht="12.75">
      <c r="A83" s="21"/>
      <c r="B83" s="18"/>
      <c r="C83" s="18"/>
      <c r="D83" s="18"/>
      <c r="E83" s="18"/>
      <c r="F83" s="18"/>
      <c r="G83" s="18"/>
      <c r="I83" s="18"/>
      <c r="J83" s="18"/>
      <c r="K83" s="18"/>
    </row>
    <row r="84" spans="1:11" ht="12.75">
      <c r="A84" s="21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21"/>
      <c r="B85" s="28"/>
      <c r="C85" s="28"/>
      <c r="D85" s="28"/>
      <c r="E85" s="27"/>
      <c r="F85" s="21"/>
      <c r="G85" s="18"/>
      <c r="H85" s="18"/>
      <c r="I85" s="18"/>
      <c r="J85" s="18"/>
      <c r="K85" s="18"/>
    </row>
    <row r="86" spans="1:11" ht="12.75">
      <c r="A86" s="21"/>
      <c r="B86" s="29" t="s">
        <v>61</v>
      </c>
      <c r="C86" s="29" t="s">
        <v>64</v>
      </c>
      <c r="D86" s="29" t="s">
        <v>65</v>
      </c>
      <c r="E86" s="30" t="s">
        <v>63</v>
      </c>
      <c r="F86" s="29" t="s">
        <v>83</v>
      </c>
      <c r="G86" s="18"/>
      <c r="H86" s="18"/>
      <c r="I86" s="18"/>
      <c r="J86" s="18"/>
      <c r="K86" s="18"/>
    </row>
    <row r="87" spans="1:11" ht="12.75">
      <c r="A87" s="21"/>
      <c r="B87" s="31">
        <f>0</f>
        <v>0</v>
      </c>
      <c r="C87" s="32">
        <f>B87*($B$53/($B$53+$B$54))</f>
        <v>0</v>
      </c>
      <c r="D87" s="32">
        <f>B87-C87</f>
        <v>0</v>
      </c>
      <c r="E87" s="33">
        <f>(-0.2+SQRT(0.2^2+4*0.8*(1-B87/$B$52)))/(2*0.8)*$B$46</f>
        <v>6000</v>
      </c>
      <c r="F87" s="33"/>
      <c r="G87" s="18"/>
      <c r="H87" s="29" t="s">
        <v>63</v>
      </c>
      <c r="I87" s="29" t="s">
        <v>61</v>
      </c>
      <c r="J87" s="18"/>
      <c r="K87" s="18"/>
    </row>
    <row r="88" spans="1:11" ht="12.75">
      <c r="A88" s="21"/>
      <c r="B88" s="32">
        <f>B87+$B$52/10</f>
        <v>35.526315789473685</v>
      </c>
      <c r="C88" s="32">
        <f>B88*($B$53/($B$53+$B$54))</f>
        <v>17.763157894736842</v>
      </c>
      <c r="D88" s="32">
        <f>B88-C88</f>
        <v>17.763157894736842</v>
      </c>
      <c r="E88" s="33">
        <f>(-0.2+SQRT(0.2^2+4*0.8*(1-B88/$B$52)))/(2*0.8)*$B$46</f>
        <v>5658.002808988149</v>
      </c>
      <c r="F88" s="33">
        <v>2168.7046325395354</v>
      </c>
      <c r="G88" s="18"/>
      <c r="H88" s="34">
        <v>1744</v>
      </c>
      <c r="I88" s="35">
        <f>$B$52*(1-0.2*(H88/$B$46)-0.8*(H88/$B$46)^2)</f>
        <v>310.59839999999997</v>
      </c>
      <c r="J88" s="18"/>
      <c r="K88" s="18"/>
    </row>
    <row r="89" spans="1:11" ht="12.75">
      <c r="A89" s="21"/>
      <c r="B89" s="32">
        <f aca="true" t="shared" si="0" ref="B89:B97">B88+$B$52/10</f>
        <v>71.05263157894737</v>
      </c>
      <c r="C89" s="32">
        <f aca="true" t="shared" si="1" ref="C89:C97">B89*($B$53/($B$53+$B$54))</f>
        <v>35.526315789473685</v>
      </c>
      <c r="D89" s="32">
        <f aca="true" t="shared" si="2" ref="D89:D97">B89-C89</f>
        <v>35.526315789473685</v>
      </c>
      <c r="E89" s="33">
        <f aca="true" t="shared" si="3" ref="E89:E97">(-0.2+SQRT(0.2^2+4*0.8*(1-B89/$B$52)))/(2*0.8)*$B$46</f>
        <v>5296.693311223912</v>
      </c>
      <c r="F89" s="33">
        <v>1435.781371090604</v>
      </c>
      <c r="G89" s="18"/>
      <c r="H89" s="36">
        <v>0</v>
      </c>
      <c r="I89" s="36">
        <v>0</v>
      </c>
      <c r="J89" s="18"/>
      <c r="K89" s="18"/>
    </row>
    <row r="90" spans="1:11" ht="12.75">
      <c r="A90" s="21"/>
      <c r="B90" s="32">
        <f t="shared" si="0"/>
        <v>106.57894736842105</v>
      </c>
      <c r="C90" s="32">
        <f t="shared" si="1"/>
        <v>53.28947368421053</v>
      </c>
      <c r="D90" s="32">
        <f t="shared" si="2"/>
        <v>53.28947368421053</v>
      </c>
      <c r="E90" s="33">
        <f t="shared" si="3"/>
        <v>4912.375826453062</v>
      </c>
      <c r="F90" s="33">
        <v>1499.8427643587684</v>
      </c>
      <c r="G90" s="18"/>
      <c r="H90" s="18"/>
      <c r="I90" s="18"/>
      <c r="J90" s="37"/>
      <c r="K90" s="18"/>
    </row>
    <row r="91" spans="1:11" ht="12.75">
      <c r="A91" s="21"/>
      <c r="B91" s="32">
        <f t="shared" si="0"/>
        <v>142.10526315789474</v>
      </c>
      <c r="C91" s="32">
        <f t="shared" si="1"/>
        <v>71.05263157894737</v>
      </c>
      <c r="D91" s="32">
        <f t="shared" si="2"/>
        <v>71.05263157894737</v>
      </c>
      <c r="E91" s="33">
        <f t="shared" si="3"/>
        <v>4499.999999999999</v>
      </c>
      <c r="F91" s="33">
        <v>1552.627288438718</v>
      </c>
      <c r="G91" s="18"/>
      <c r="H91" s="38" t="s">
        <v>79</v>
      </c>
      <c r="I91" s="19"/>
      <c r="J91" s="37"/>
      <c r="K91" s="18"/>
    </row>
    <row r="92" spans="1:11" ht="12.75">
      <c r="A92" s="21"/>
      <c r="B92" s="32">
        <f t="shared" si="0"/>
        <v>177.63157894736844</v>
      </c>
      <c r="C92" s="32">
        <f t="shared" si="1"/>
        <v>88.81578947368422</v>
      </c>
      <c r="D92" s="32">
        <f t="shared" si="2"/>
        <v>88.81578947368422</v>
      </c>
      <c r="E92" s="33">
        <f t="shared" si="3"/>
        <v>4052.343178074636</v>
      </c>
      <c r="F92" s="33">
        <v>1598.4839836782016</v>
      </c>
      <c r="G92" s="18"/>
      <c r="H92" s="20">
        <f>H88</f>
        <v>1744</v>
      </c>
      <c r="I92" s="22">
        <v>0</v>
      </c>
      <c r="J92" s="18"/>
      <c r="K92" s="18"/>
    </row>
    <row r="93" spans="1:11" ht="12.75">
      <c r="A93" s="21"/>
      <c r="B93" s="32">
        <f t="shared" si="0"/>
        <v>213.15789473684214</v>
      </c>
      <c r="C93" s="32">
        <f t="shared" si="1"/>
        <v>106.57894736842107</v>
      </c>
      <c r="D93" s="32">
        <f t="shared" si="2"/>
        <v>106.57894736842107</v>
      </c>
      <c r="E93" s="33">
        <f t="shared" si="3"/>
        <v>3558.4219849035217</v>
      </c>
      <c r="F93" s="33">
        <v>1639.9681989046608</v>
      </c>
      <c r="G93" s="18"/>
      <c r="H93" s="20">
        <f>H92</f>
        <v>1744</v>
      </c>
      <c r="I93" s="39">
        <f>I88</f>
        <v>310.59839999999997</v>
      </c>
      <c r="J93" s="18"/>
      <c r="K93" s="18"/>
    </row>
    <row r="94" spans="1:11" ht="12.75">
      <c r="A94" s="21"/>
      <c r="B94" s="32">
        <f t="shared" si="0"/>
        <v>248.68421052631584</v>
      </c>
      <c r="C94" s="32">
        <f t="shared" si="1"/>
        <v>124.34210526315792</v>
      </c>
      <c r="D94" s="32">
        <f t="shared" si="2"/>
        <v>124.34210526315792</v>
      </c>
      <c r="E94" s="33">
        <f t="shared" si="3"/>
        <v>2999.9999999999995</v>
      </c>
      <c r="F94" s="33">
        <v>1678.4674515856323</v>
      </c>
      <c r="G94" s="18"/>
      <c r="H94" s="20">
        <v>0</v>
      </c>
      <c r="I94" s="39">
        <f>I93</f>
        <v>310.59839999999997</v>
      </c>
      <c r="J94" s="18"/>
      <c r="K94" s="18"/>
    </row>
    <row r="95" spans="1:11" ht="12.75">
      <c r="A95" s="21"/>
      <c r="B95" s="32">
        <f t="shared" si="0"/>
        <v>284.21052631578954</v>
      </c>
      <c r="C95" s="32">
        <f t="shared" si="1"/>
        <v>142.10526315789477</v>
      </c>
      <c r="D95" s="32">
        <f t="shared" si="2"/>
        <v>142.10526315789477</v>
      </c>
      <c r="E95" s="33">
        <f t="shared" si="3"/>
        <v>2342.3292192132435</v>
      </c>
      <c r="F95" s="33">
        <v>1714.7454088113375</v>
      </c>
      <c r="G95" s="18"/>
      <c r="H95" s="20">
        <f>B71</f>
        <v>250</v>
      </c>
      <c r="I95" s="39">
        <f>I94</f>
        <v>310.59839999999997</v>
      </c>
      <c r="J95" s="18"/>
      <c r="K95" s="18"/>
    </row>
    <row r="96" spans="1:11" ht="12.75">
      <c r="A96" s="21"/>
      <c r="B96" s="32">
        <f t="shared" si="0"/>
        <v>319.73684210526324</v>
      </c>
      <c r="C96" s="32">
        <f t="shared" si="1"/>
        <v>159.86842105263162</v>
      </c>
      <c r="D96" s="32">
        <f t="shared" si="2"/>
        <v>159.86842105263162</v>
      </c>
      <c r="E96" s="33">
        <f t="shared" si="3"/>
        <v>1499.9999999999973</v>
      </c>
      <c r="F96" s="33">
        <v>1749.3660594705018</v>
      </c>
      <c r="G96" s="18"/>
      <c r="H96" s="20">
        <f>H95</f>
        <v>250</v>
      </c>
      <c r="I96" s="22">
        <v>0</v>
      </c>
      <c r="J96" s="18"/>
      <c r="K96" s="18"/>
    </row>
    <row r="97" spans="1:11" ht="12.75">
      <c r="A97" s="21"/>
      <c r="B97" s="32">
        <f t="shared" si="0"/>
        <v>355.26315789473693</v>
      </c>
      <c r="C97" s="32">
        <f t="shared" si="1"/>
        <v>177.63157894736847</v>
      </c>
      <c r="D97" s="32">
        <f t="shared" si="2"/>
        <v>177.63157894736847</v>
      </c>
      <c r="E97" s="33">
        <f t="shared" si="3"/>
        <v>-6.557254739192331E-12</v>
      </c>
      <c r="F97" s="33"/>
      <c r="G97" s="18"/>
      <c r="H97" s="20">
        <f>B46</f>
        <v>6000</v>
      </c>
      <c r="I97" s="22">
        <v>0</v>
      </c>
      <c r="J97" s="18"/>
      <c r="K97" s="18"/>
    </row>
    <row r="98" spans="1:11" ht="12.75">
      <c r="A98" s="21"/>
      <c r="B98" s="18"/>
      <c r="C98" s="18"/>
      <c r="D98" s="28"/>
      <c r="E98" s="27"/>
      <c r="F98" s="21"/>
      <c r="G98" s="18"/>
      <c r="H98" s="20">
        <f>H97</f>
        <v>6000</v>
      </c>
      <c r="I98" s="39">
        <f>I95</f>
        <v>310.59839999999997</v>
      </c>
      <c r="J98" s="18"/>
      <c r="K98" s="18"/>
    </row>
    <row r="99" spans="1:11" ht="12.75">
      <c r="A99" s="21"/>
      <c r="B99" s="18"/>
      <c r="C99" s="18"/>
      <c r="D99" s="28"/>
      <c r="E99" s="27"/>
      <c r="F99" s="21"/>
      <c r="G99" s="18"/>
      <c r="H99" s="25">
        <f>H93</f>
        <v>1744</v>
      </c>
      <c r="I99" s="40">
        <f>I98</f>
        <v>310.59839999999997</v>
      </c>
      <c r="J99" s="18"/>
      <c r="K99" s="18"/>
    </row>
    <row r="100" spans="1:14" ht="12.75">
      <c r="A100" s="21"/>
      <c r="B100" s="28"/>
      <c r="C100" s="28"/>
      <c r="D100" s="28"/>
      <c r="E100" s="27"/>
      <c r="F100" s="21"/>
      <c r="G100" s="18"/>
      <c r="H100" s="18"/>
      <c r="I100" s="18"/>
      <c r="J100" s="18" t="s">
        <v>81</v>
      </c>
      <c r="K100" s="26" t="str">
        <f>CONCATENATE("Q=",INT(I88)," bbld ","  Pws=",INT(B46),"psi","  Pwf=",INT(H88),"psi","  PHT=",B71,"psi  ",N100)</f>
        <v>Q=310 bbld   Pws=6000psi  Pwf=1744psi  PHT=250psi  CH: 32/64"</v>
      </c>
      <c r="N100" s="18" t="str">
        <f>CONCATENATE("CH: ",ROUND(B75,0),"/64""")</f>
        <v>CH: 32/64"</v>
      </c>
    </row>
    <row r="101" spans="1:11" ht="12.75">
      <c r="A101" s="21"/>
      <c r="B101" s="28"/>
      <c r="C101" s="28"/>
      <c r="D101" s="28"/>
      <c r="E101" s="27"/>
      <c r="F101" s="21"/>
      <c r="G101" s="18"/>
      <c r="H101" s="18"/>
      <c r="I101" s="18"/>
      <c r="J101" s="18"/>
      <c r="K101" s="18"/>
    </row>
    <row r="102" spans="1:11" ht="12.75">
      <c r="A102" s="21"/>
      <c r="B102" s="28"/>
      <c r="C102" s="28"/>
      <c r="D102" s="28"/>
      <c r="E102" s="27"/>
      <c r="F102" s="21"/>
      <c r="G102" s="18"/>
      <c r="H102" s="18"/>
      <c r="I102" s="18"/>
      <c r="J102" s="18"/>
      <c r="K102" s="18"/>
    </row>
    <row r="103" spans="1:11" ht="12.75">
      <c r="A103" s="21"/>
      <c r="B103" s="28"/>
      <c r="C103" s="28"/>
      <c r="D103" s="28"/>
      <c r="E103" s="27"/>
      <c r="F103" s="21"/>
      <c r="G103" s="18"/>
      <c r="H103" s="18"/>
      <c r="I103" s="18"/>
      <c r="J103" s="18"/>
      <c r="K103" s="18"/>
    </row>
    <row r="104" spans="1:11" ht="12.75">
      <c r="A104" s="21"/>
      <c r="B104" s="28"/>
      <c r="C104" s="28"/>
      <c r="D104" s="28"/>
      <c r="E104" s="27"/>
      <c r="F104" s="21"/>
      <c r="G104" s="18"/>
      <c r="H104" s="18"/>
      <c r="I104" s="18"/>
      <c r="J104" s="18"/>
      <c r="K104" s="18"/>
    </row>
    <row r="105" spans="1:6" ht="12.75">
      <c r="A105" s="15"/>
      <c r="B105" s="16"/>
      <c r="C105" s="16"/>
      <c r="D105" s="16"/>
      <c r="E105" s="17"/>
      <c r="F105" s="15"/>
    </row>
    <row r="106" spans="1:6" ht="12.75">
      <c r="A106" s="15"/>
      <c r="B106" s="16"/>
      <c r="C106" s="16"/>
      <c r="D106" s="16"/>
      <c r="E106" s="17"/>
      <c r="F106" s="15"/>
    </row>
    <row r="107" spans="1:6" ht="12.75">
      <c r="A107" s="15"/>
      <c r="B107" s="16"/>
      <c r="C107" s="16"/>
      <c r="D107" s="16"/>
      <c r="E107" s="17"/>
      <c r="F107" s="15"/>
    </row>
    <row r="108" spans="1:6" ht="12.75">
      <c r="A108" s="15"/>
      <c r="B108" s="16"/>
      <c r="C108" s="16"/>
      <c r="D108" s="16"/>
      <c r="E108" s="17"/>
      <c r="F108" s="15"/>
    </row>
    <row r="109" spans="1:6" ht="12.75">
      <c r="A109" s="15"/>
      <c r="B109" s="16"/>
      <c r="C109" s="16"/>
      <c r="D109" s="16"/>
      <c r="E109" s="17"/>
      <c r="F109" s="15"/>
    </row>
    <row r="110" spans="1:6" ht="12.75">
      <c r="A110" s="15"/>
      <c r="B110" s="16"/>
      <c r="C110" s="16"/>
      <c r="D110" s="16"/>
      <c r="E110" s="17"/>
      <c r="F110" s="15"/>
    </row>
    <row r="111" spans="1:6" ht="12.75">
      <c r="A111" s="15"/>
      <c r="B111" s="16"/>
      <c r="C111" s="16"/>
      <c r="D111" s="16"/>
      <c r="E111" s="17"/>
      <c r="F111" s="15"/>
    </row>
    <row r="112" spans="1:6" ht="12.75">
      <c r="A112" s="15"/>
      <c r="B112" s="16"/>
      <c r="C112" s="16"/>
      <c r="D112" s="16"/>
      <c r="E112" s="17"/>
      <c r="F112" s="15"/>
    </row>
    <row r="113" spans="1:6" ht="12.75">
      <c r="A113" s="15"/>
      <c r="B113" s="16"/>
      <c r="C113" s="16"/>
      <c r="D113" s="16"/>
      <c r="E113" s="17"/>
      <c r="F113" s="15"/>
    </row>
    <row r="114" spans="1:6" ht="12.75">
      <c r="A114" s="15"/>
      <c r="B114" s="16"/>
      <c r="C114" s="16"/>
      <c r="D114" s="16"/>
      <c r="E114" s="17"/>
      <c r="F114" s="15"/>
    </row>
    <row r="115" spans="1:6" ht="12.75">
      <c r="A115" s="15"/>
      <c r="B115" s="16"/>
      <c r="C115" s="16"/>
      <c r="D115" s="16"/>
      <c r="E115" s="17"/>
      <c r="F115" s="15"/>
    </row>
    <row r="116" spans="1:6" ht="12.75">
      <c r="A116" s="15"/>
      <c r="B116" s="16"/>
      <c r="C116" s="16"/>
      <c r="D116" s="16"/>
      <c r="E116" s="17"/>
      <c r="F116" s="15"/>
    </row>
    <row r="117" spans="1:6" ht="12.75">
      <c r="A117" s="15"/>
      <c r="B117" s="16"/>
      <c r="C117" s="16"/>
      <c r="D117" s="16"/>
      <c r="E117" s="17"/>
      <c r="F117" s="15"/>
    </row>
    <row r="118" spans="1:6" ht="12.75">
      <c r="A118" s="15"/>
      <c r="B118" s="16"/>
      <c r="C118" s="16"/>
      <c r="D118" s="16"/>
      <c r="E118" s="17"/>
      <c r="F118" s="15"/>
    </row>
    <row r="119" spans="1:6" ht="12.75">
      <c r="A119" s="15"/>
      <c r="B119" s="16"/>
      <c r="C119" s="16"/>
      <c r="D119" s="16"/>
      <c r="E119" s="17"/>
      <c r="F119" s="15"/>
    </row>
    <row r="120" spans="1:6" ht="12.75">
      <c r="A120" s="15"/>
      <c r="B120" s="16"/>
      <c r="C120" s="16"/>
      <c r="D120" s="16"/>
      <c r="E120" s="17"/>
      <c r="F120" s="15"/>
    </row>
    <row r="121" spans="1:6" ht="12.75">
      <c r="A121" s="15"/>
      <c r="B121" s="16"/>
      <c r="C121" s="16"/>
      <c r="D121" s="16"/>
      <c r="E121" s="17"/>
      <c r="F121" s="15"/>
    </row>
    <row r="122" spans="1:6" ht="12.75">
      <c r="A122" s="15"/>
      <c r="B122" s="16"/>
      <c r="C122" s="16"/>
      <c r="D122" s="16"/>
      <c r="E122" s="17"/>
      <c r="F122" s="15"/>
    </row>
    <row r="123" spans="1:6" ht="12.75">
      <c r="A123" s="15"/>
      <c r="B123" s="16"/>
      <c r="C123" s="16"/>
      <c r="D123" s="16"/>
      <c r="E123" s="17"/>
      <c r="F123" s="15"/>
    </row>
    <row r="124" spans="1:6" ht="12.75">
      <c r="A124" s="15"/>
      <c r="B124" s="16"/>
      <c r="C124" s="16"/>
      <c r="D124" s="16"/>
      <c r="E124" s="17"/>
      <c r="F124" s="15"/>
    </row>
    <row r="125" spans="1:6" ht="12.75">
      <c r="A125" s="15"/>
      <c r="B125" s="16"/>
      <c r="C125" s="16"/>
      <c r="D125" s="16"/>
      <c r="E125" s="17"/>
      <c r="F125" s="15"/>
    </row>
    <row r="126" spans="1:6" ht="12.75">
      <c r="A126" s="15"/>
      <c r="B126" s="16"/>
      <c r="C126" s="16"/>
      <c r="D126" s="16"/>
      <c r="E126" s="17"/>
      <c r="F126" s="15"/>
    </row>
    <row r="127" spans="1:6" ht="12.75">
      <c r="A127" s="15"/>
      <c r="B127" s="16"/>
      <c r="C127" s="16"/>
      <c r="D127" s="16"/>
      <c r="E127" s="17"/>
      <c r="F127" s="15"/>
    </row>
    <row r="128" spans="1:6" ht="12.75">
      <c r="A128" s="15"/>
      <c r="B128" s="16"/>
      <c r="C128" s="16"/>
      <c r="D128" s="16"/>
      <c r="E128" s="17"/>
      <c r="F128" s="15"/>
    </row>
    <row r="129" spans="1:6" ht="12.75">
      <c r="A129" s="15"/>
      <c r="B129" s="16"/>
      <c r="C129" s="16"/>
      <c r="D129" s="16"/>
      <c r="E129" s="17"/>
      <c r="F129" s="15"/>
    </row>
    <row r="130" spans="1:6" ht="12.75">
      <c r="A130" s="15"/>
      <c r="B130" s="16"/>
      <c r="C130" s="16"/>
      <c r="D130" s="16"/>
      <c r="E130" s="17"/>
      <c r="F130" s="15"/>
    </row>
    <row r="131" spans="1:6" ht="12.75">
      <c r="A131" s="15"/>
      <c r="B131" s="16"/>
      <c r="C131" s="16"/>
      <c r="D131" s="16"/>
      <c r="E131" s="17"/>
      <c r="F131" s="15"/>
    </row>
    <row r="132" spans="1:6" ht="12.75">
      <c r="A132" s="15"/>
      <c r="B132" s="16"/>
      <c r="C132" s="16"/>
      <c r="D132" s="16"/>
      <c r="E132" s="17"/>
      <c r="F132" s="15"/>
    </row>
    <row r="133" spans="1:6" ht="12.75">
      <c r="A133" s="15"/>
      <c r="B133" s="16"/>
      <c r="C133" s="16"/>
      <c r="D133" s="16"/>
      <c r="E133" s="17"/>
      <c r="F133" s="15"/>
    </row>
    <row r="134" spans="1:6" ht="12.75">
      <c r="A134" s="15"/>
      <c r="B134" s="15"/>
      <c r="C134" s="15"/>
      <c r="D134" s="15"/>
      <c r="E134" s="15"/>
      <c r="F134" s="15"/>
    </row>
  </sheetData>
  <mergeCells count="2">
    <mergeCell ref="A42:K42"/>
    <mergeCell ref="D2:K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30"/>
  <sheetViews>
    <sheetView workbookViewId="0" topLeftCell="A1">
      <selection activeCell="I9" sqref="I9"/>
    </sheetView>
  </sheetViews>
  <sheetFormatPr defaultColWidth="11.421875" defaultRowHeight="12.75"/>
  <cols>
    <col min="1" max="1" width="45.7109375" style="0" customWidth="1"/>
  </cols>
  <sheetData>
    <row r="1" spans="1:10" s="1" customFormat="1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 t="s">
        <v>56</v>
      </c>
      <c r="G1" s="1">
        <v>7</v>
      </c>
      <c r="H1" s="1">
        <v>8</v>
      </c>
      <c r="I1" s="1">
        <v>9</v>
      </c>
      <c r="J1" s="1">
        <v>10</v>
      </c>
    </row>
    <row r="2" spans="5:10" ht="12.75">
      <c r="E2" s="7" t="s">
        <v>59</v>
      </c>
      <c r="F2" s="8" t="s">
        <v>60</v>
      </c>
      <c r="J2">
        <v>2</v>
      </c>
    </row>
    <row r="3" spans="5:10" ht="12.75">
      <c r="E3" s="1"/>
      <c r="J3">
        <v>3</v>
      </c>
    </row>
    <row r="4" spans="1:10" ht="12.75">
      <c r="A4" t="s">
        <v>25</v>
      </c>
      <c r="B4">
        <v>8100</v>
      </c>
      <c r="C4" t="s">
        <v>26</v>
      </c>
      <c r="E4" s="9" t="s">
        <v>57</v>
      </c>
      <c r="F4" t="s">
        <v>58</v>
      </c>
      <c r="J4">
        <v>4</v>
      </c>
    </row>
    <row r="5" spans="1:10" ht="12.75">
      <c r="A5" t="s">
        <v>27</v>
      </c>
      <c r="B5">
        <v>7</v>
      </c>
      <c r="C5" t="s">
        <v>28</v>
      </c>
      <c r="J5">
        <v>5</v>
      </c>
    </row>
    <row r="6" spans="1:10" ht="12.75">
      <c r="A6" t="s">
        <v>29</v>
      </c>
      <c r="B6" s="6">
        <f>Hoja1!B22</f>
        <v>2.5</v>
      </c>
      <c r="C6" t="s">
        <v>28</v>
      </c>
      <c r="E6" s="9" t="s">
        <v>57</v>
      </c>
      <c r="F6" s="2">
        <f>(Hoja2!B10+Hoja2!B11)/(1-0.2*Hoja2!B12/Hoja2!B9-0.8*(Hoja2!B12/Hoja2!B9)^2)</f>
        <v>1868.4004733453614</v>
      </c>
      <c r="G6" t="s">
        <v>35</v>
      </c>
      <c r="J6">
        <v>6</v>
      </c>
    </row>
    <row r="7" spans="1:10" ht="12.75">
      <c r="A7" t="s">
        <v>30</v>
      </c>
      <c r="B7">
        <f>Hoja1!B21</f>
        <v>10000</v>
      </c>
      <c r="C7" t="s">
        <v>26</v>
      </c>
      <c r="J7">
        <v>7</v>
      </c>
    </row>
    <row r="8" spans="1:10" ht="12.75">
      <c r="A8" t="s">
        <v>31</v>
      </c>
      <c r="B8" t="s">
        <v>66</v>
      </c>
      <c r="C8" t="s">
        <v>26</v>
      </c>
      <c r="E8" s="10" t="s">
        <v>61</v>
      </c>
      <c r="F8" s="10" t="s">
        <v>64</v>
      </c>
      <c r="G8" s="10" t="s">
        <v>65</v>
      </c>
      <c r="H8" s="10" t="s">
        <v>62</v>
      </c>
      <c r="I8" s="11" t="s">
        <v>63</v>
      </c>
      <c r="J8">
        <v>8</v>
      </c>
    </row>
    <row r="9" spans="1:10" ht="12.75">
      <c r="A9" t="s">
        <v>32</v>
      </c>
      <c r="B9">
        <v>2125</v>
      </c>
      <c r="C9" t="s">
        <v>33</v>
      </c>
      <c r="E9" s="11">
        <v>0</v>
      </c>
      <c r="F9" s="14">
        <f>E9*($B$10/($B$10+$B$11))</f>
        <v>0</v>
      </c>
      <c r="G9" s="14">
        <f>E9-F9</f>
        <v>0</v>
      </c>
      <c r="H9" s="12">
        <v>0</v>
      </c>
      <c r="I9" s="13">
        <f>(-0.2+SQRT(0.2^2+4*0.8*(1-H9)))/(2*0.8)*Hoja2!$B$9</f>
        <v>2125</v>
      </c>
      <c r="J9">
        <v>9</v>
      </c>
    </row>
    <row r="10" spans="1:10" ht="12.75">
      <c r="A10" t="s">
        <v>34</v>
      </c>
      <c r="B10">
        <v>100</v>
      </c>
      <c r="C10" t="s">
        <v>35</v>
      </c>
      <c r="E10" s="11">
        <v>100</v>
      </c>
      <c r="F10" s="14">
        <f aca="true" t="shared" si="0" ref="F10:F23">E10*($B$10/($B$10+$B$11))</f>
        <v>35.714285714285715</v>
      </c>
      <c r="G10" s="14">
        <f aca="true" t="shared" si="1" ref="G10:G23">E10-F10</f>
        <v>64.28571428571428</v>
      </c>
      <c r="H10" s="12">
        <f>E10/$F$6</f>
        <v>0.05352171626297574</v>
      </c>
      <c r="I10" s="13">
        <f>(-0.2+SQRT(0.2^2+4*0.8*(1-H10)))/(2*0.8)*Hoja2!$B$9</f>
        <v>2060.956803983045</v>
      </c>
      <c r="J10">
        <v>10</v>
      </c>
    </row>
    <row r="11" spans="1:10" ht="12.75">
      <c r="A11" t="s">
        <v>36</v>
      </c>
      <c r="B11">
        <v>180</v>
      </c>
      <c r="C11" t="s">
        <v>35</v>
      </c>
      <c r="E11" s="11">
        <v>200</v>
      </c>
      <c r="F11" s="14">
        <f t="shared" si="0"/>
        <v>71.42857142857143</v>
      </c>
      <c r="G11" s="14">
        <f t="shared" si="1"/>
        <v>128.57142857142856</v>
      </c>
      <c r="H11" s="12">
        <f aca="true" t="shared" si="2" ref="H11:H23">E11/$F$6</f>
        <v>0.10704343252595148</v>
      </c>
      <c r="I11" s="13">
        <f>(-0.2+SQRT(0.2^2+4*0.8*(1-H11)))/(2*0.8)*Hoja2!$B$9</f>
        <v>1995.1000807263147</v>
      </c>
      <c r="J11">
        <v>11</v>
      </c>
    </row>
    <row r="12" spans="1:10" ht="12.75">
      <c r="A12" t="s">
        <v>37</v>
      </c>
      <c r="B12">
        <v>1941</v>
      </c>
      <c r="C12" t="s">
        <v>33</v>
      </c>
      <c r="E12" s="11">
        <v>300</v>
      </c>
      <c r="F12" s="14">
        <f t="shared" si="0"/>
        <v>107.14285714285714</v>
      </c>
      <c r="G12" s="14">
        <f t="shared" si="1"/>
        <v>192.85714285714286</v>
      </c>
      <c r="H12" s="12">
        <f t="shared" si="2"/>
        <v>0.16056514878892722</v>
      </c>
      <c r="I12" s="13">
        <f>(-0.2+SQRT(0.2^2+4*0.8*(1-H12)))/(2*0.8)*Hoja2!$B$9</f>
        <v>1927.2664452441554</v>
      </c>
      <c r="J12">
        <v>12</v>
      </c>
    </row>
    <row r="13" spans="1:10" ht="12.75">
      <c r="A13" t="s">
        <v>38</v>
      </c>
      <c r="B13">
        <v>100</v>
      </c>
      <c r="C13" t="s">
        <v>33</v>
      </c>
      <c r="E13" s="11">
        <v>400</v>
      </c>
      <c r="F13" s="14">
        <f t="shared" si="0"/>
        <v>142.85714285714286</v>
      </c>
      <c r="G13" s="14">
        <f t="shared" si="1"/>
        <v>257.1428571428571</v>
      </c>
      <c r="H13" s="12">
        <f t="shared" si="2"/>
        <v>0.21408686505190297</v>
      </c>
      <c r="I13" s="13">
        <f>(-0.2+SQRT(0.2^2+4*0.8*(1-H13)))/(2*0.8)*Hoja2!$B$9</f>
        <v>1857.2663986883551</v>
      </c>
      <c r="J13">
        <v>13</v>
      </c>
    </row>
    <row r="14" spans="1:10" ht="12.75">
      <c r="A14" t="s">
        <v>39</v>
      </c>
      <c r="B14">
        <v>1.032</v>
      </c>
      <c r="E14" s="11">
        <v>500</v>
      </c>
      <c r="F14" s="14">
        <f t="shared" si="0"/>
        <v>178.57142857142858</v>
      </c>
      <c r="G14" s="14">
        <f t="shared" si="1"/>
        <v>321.42857142857144</v>
      </c>
      <c r="H14" s="12">
        <f t="shared" si="2"/>
        <v>0.2676085813148787</v>
      </c>
      <c r="I14" s="13">
        <f>(-0.2+SQRT(0.2^2+4*0.8*(1-H14)))/(2*0.8)*Hoja2!$B$9</f>
        <v>1784.8780823251648</v>
      </c>
      <c r="J14">
        <v>14</v>
      </c>
    </row>
    <row r="15" spans="1:10" ht="12.75">
      <c r="A15" t="s">
        <v>40</v>
      </c>
      <c r="B15">
        <v>35</v>
      </c>
      <c r="C15" t="s">
        <v>41</v>
      </c>
      <c r="E15" s="11">
        <v>600</v>
      </c>
      <c r="F15" s="14">
        <f t="shared" si="0"/>
        <v>214.28571428571428</v>
      </c>
      <c r="G15" s="14">
        <f t="shared" si="1"/>
        <v>385.7142857142857</v>
      </c>
      <c r="H15" s="12">
        <f t="shared" si="2"/>
        <v>0.32113029757785444</v>
      </c>
      <c r="I15" s="13">
        <f>(-0.2+SQRT(0.2^2+4*0.8*(1-H15)))/(2*0.8)*Hoja2!$B$9</f>
        <v>1709.8389684451352</v>
      </c>
      <c r="J15">
        <v>15</v>
      </c>
    </row>
    <row r="16" spans="1:10" ht="12.75">
      <c r="A16" t="s">
        <v>42</v>
      </c>
      <c r="B16" s="5">
        <f>141.5/(131.5+B15)</f>
        <v>0.8498498498498499</v>
      </c>
      <c r="E16" s="11">
        <v>700</v>
      </c>
      <c r="F16" s="14">
        <f t="shared" si="0"/>
        <v>250</v>
      </c>
      <c r="G16" s="14">
        <f t="shared" si="1"/>
        <v>450</v>
      </c>
      <c r="H16" s="12">
        <f t="shared" si="2"/>
        <v>0.3746520138408302</v>
      </c>
      <c r="I16" s="13">
        <f>(-0.2+SQRT(0.2^2+4*0.8*(1-H16)))/(2*0.8)*Hoja2!$B$9</f>
        <v>1631.8345886671739</v>
      </c>
      <c r="J16">
        <v>16</v>
      </c>
    </row>
    <row r="17" spans="1:10" ht="12.75">
      <c r="A17" t="s">
        <v>43</v>
      </c>
      <c r="B17" s="5">
        <f>(B10*B16+B11*B14)/(B10+B11)</f>
        <v>0.9669463749463749</v>
      </c>
      <c r="E17" s="11">
        <v>800</v>
      </c>
      <c r="F17" s="14">
        <f t="shared" si="0"/>
        <v>285.7142857142857</v>
      </c>
      <c r="G17" s="14">
        <f t="shared" si="1"/>
        <v>514.2857142857142</v>
      </c>
      <c r="H17" s="12">
        <f t="shared" si="2"/>
        <v>0.42817373010380594</v>
      </c>
      <c r="I17" s="13">
        <f>(-0.2+SQRT(0.2^2+4*0.8*(1-H17)))/(2*0.8)*Hoja2!$B$9</f>
        <v>1550.4828961958735</v>
      </c>
      <c r="J17">
        <v>17</v>
      </c>
    </row>
    <row r="18" spans="1:10" ht="12" customHeight="1">
      <c r="A18" t="s">
        <v>44</v>
      </c>
      <c r="B18">
        <v>700</v>
      </c>
      <c r="C18" t="s">
        <v>45</v>
      </c>
      <c r="E18" s="11">
        <v>900</v>
      </c>
      <c r="F18" s="14">
        <f t="shared" si="0"/>
        <v>321.42857142857144</v>
      </c>
      <c r="G18" s="14">
        <f t="shared" si="1"/>
        <v>578.5714285714286</v>
      </c>
      <c r="H18" s="12">
        <f t="shared" si="2"/>
        <v>0.48169544636678163</v>
      </c>
      <c r="I18" s="13">
        <f>(-0.2+SQRT(0.2^2+4*0.8*(1-H18)))/(2*0.8)*Hoja2!$B$9</f>
        <v>1465.3119978786062</v>
      </c>
      <c r="J18">
        <v>18</v>
      </c>
    </row>
    <row r="19" spans="1:10" ht="12.75">
      <c r="A19" t="s">
        <v>46</v>
      </c>
      <c r="B19" s="4">
        <f>(B18*B10)/(B10+B11)</f>
        <v>250</v>
      </c>
      <c r="C19" t="s">
        <v>45</v>
      </c>
      <c r="E19" s="11">
        <v>1000</v>
      </c>
      <c r="F19" s="14">
        <f t="shared" si="0"/>
        <v>357.14285714285717</v>
      </c>
      <c r="G19" s="14">
        <f t="shared" si="1"/>
        <v>642.8571428571429</v>
      </c>
      <c r="H19" s="12">
        <f t="shared" si="2"/>
        <v>0.5352171626297574</v>
      </c>
      <c r="I19" s="13">
        <f>(-0.2+SQRT(0.2^2+4*0.8*(1-H19)))/(2*0.8)*Hoja2!$B$9</f>
        <v>1375.7274577692026</v>
      </c>
      <c r="J19">
        <v>19</v>
      </c>
    </row>
    <row r="20" spans="1:10" ht="12.75">
      <c r="A20" t="s">
        <v>47</v>
      </c>
      <c r="B20">
        <v>1250</v>
      </c>
      <c r="C20" t="s">
        <v>33</v>
      </c>
      <c r="E20" s="11">
        <v>1100</v>
      </c>
      <c r="F20" s="14">
        <f t="shared" si="0"/>
        <v>392.8571428571429</v>
      </c>
      <c r="G20" s="14">
        <f t="shared" si="1"/>
        <v>707.1428571428571</v>
      </c>
      <c r="H20" s="12">
        <f t="shared" si="2"/>
        <v>0.5887388788927331</v>
      </c>
      <c r="I20" s="13">
        <f>(-0.2+SQRT(0.2^2+4*0.8*(1-H20)))/(2*0.8)*Hoja2!$B$9</f>
        <v>1280.9624985350822</v>
      </c>
      <c r="J20">
        <v>20</v>
      </c>
    </row>
    <row r="21" spans="1:10" ht="12.75">
      <c r="A21" t="s">
        <v>1</v>
      </c>
      <c r="B21">
        <v>0.65</v>
      </c>
      <c r="E21" s="11">
        <v>1200</v>
      </c>
      <c r="F21" s="14">
        <f t="shared" si="0"/>
        <v>428.57142857142856</v>
      </c>
      <c r="G21" s="14">
        <f t="shared" si="1"/>
        <v>771.4285714285714</v>
      </c>
      <c r="H21" s="12">
        <f t="shared" si="2"/>
        <v>0.6422605951557089</v>
      </c>
      <c r="I21" s="13">
        <f>(-0.2+SQRT(0.2^2+4*0.8*(1-H21)))/(2*0.8)*Hoja2!$B$9</f>
        <v>1179.9987029825577</v>
      </c>
      <c r="J21">
        <v>21</v>
      </c>
    </row>
    <row r="22" spans="1:10" ht="12.75">
      <c r="A22" t="s">
        <v>48</v>
      </c>
      <c r="B22">
        <v>650</v>
      </c>
      <c r="C22" t="s">
        <v>49</v>
      </c>
      <c r="E22" s="11">
        <v>1300</v>
      </c>
      <c r="F22" s="14">
        <f t="shared" si="0"/>
        <v>464.2857142857143</v>
      </c>
      <c r="G22" s="14">
        <f t="shared" si="1"/>
        <v>835.7142857142858</v>
      </c>
      <c r="H22" s="12">
        <f t="shared" si="2"/>
        <v>0.6957823114186846</v>
      </c>
      <c r="I22" s="13">
        <f>(-0.2+SQRT(0.2^2+4*0.8*(1-H22)))/(2*0.8)*Hoja2!$B$9</f>
        <v>1071.4325494813238</v>
      </c>
      <c r="J22">
        <v>22</v>
      </c>
    </row>
    <row r="23" spans="5:10" ht="12.75">
      <c r="E23" s="14">
        <f>F6</f>
        <v>1868.4004733453614</v>
      </c>
      <c r="F23" s="14">
        <f t="shared" si="0"/>
        <v>667.2858833376291</v>
      </c>
      <c r="G23" s="14">
        <f t="shared" si="1"/>
        <v>1201.1145900077322</v>
      </c>
      <c r="H23" s="12">
        <f t="shared" si="2"/>
        <v>1</v>
      </c>
      <c r="I23" s="13">
        <f>(-0.2+SQRT(0.2^2+4*0.8*(1-H23)))/(2*0.8)*Hoja2!$B$9</f>
        <v>0</v>
      </c>
      <c r="J23">
        <v>23</v>
      </c>
    </row>
    <row r="24" spans="1:10" ht="12.75">
      <c r="A24" t="s">
        <v>50</v>
      </c>
      <c r="B24">
        <v>178</v>
      </c>
      <c r="C24" t="s">
        <v>51</v>
      </c>
      <c r="J24">
        <v>24</v>
      </c>
    </row>
    <row r="25" spans="1:10" ht="12.75">
      <c r="A25" t="s">
        <v>52</v>
      </c>
      <c r="B25">
        <v>78</v>
      </c>
      <c r="C25" t="s">
        <v>51</v>
      </c>
      <c r="J25">
        <v>25</v>
      </c>
    </row>
    <row r="26" spans="1:10" ht="12.75">
      <c r="A26" t="s">
        <v>53</v>
      </c>
      <c r="B26">
        <v>86</v>
      </c>
      <c r="C26" t="s">
        <v>51</v>
      </c>
      <c r="J26">
        <v>26</v>
      </c>
    </row>
    <row r="27" spans="1:10" ht="12.75">
      <c r="A27" t="s">
        <v>54</v>
      </c>
      <c r="B27" s="4">
        <f>(B24-B25)/B7*100</f>
        <v>1</v>
      </c>
      <c r="C27" t="s">
        <v>55</v>
      </c>
      <c r="J27">
        <v>27</v>
      </c>
    </row>
    <row r="28" ht="12.75">
      <c r="J28">
        <v>28</v>
      </c>
    </row>
    <row r="30" ht="12.75">
      <c r="B30">
        <v>100</v>
      </c>
    </row>
  </sheetData>
  <printOptions/>
  <pageMargins left="0.75" right="0.75" top="1" bottom="1" header="0" footer="0"/>
  <pageSetup fitToHeight="1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B2"/>
  <sheetViews>
    <sheetView workbookViewId="0" topLeftCell="A1">
      <selection activeCell="D9" sqref="D9"/>
    </sheetView>
  </sheetViews>
  <sheetFormatPr defaultColWidth="11.421875" defaultRowHeight="12.75"/>
  <sheetData>
    <row r="2" ht="12.75">
      <c r="B2">
        <v>100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\bell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Osvaldo</cp:lastModifiedBy>
  <cp:lastPrinted>2007-10-25T16:14:25Z</cp:lastPrinted>
  <dcterms:created xsi:type="dcterms:W3CDTF">2007-10-01T00:46:53Z</dcterms:created>
  <dcterms:modified xsi:type="dcterms:W3CDTF">2008-03-17T20:02:52Z</dcterms:modified>
  <cp:category/>
  <cp:version/>
  <cp:contentType/>
  <cp:contentStatus/>
</cp:coreProperties>
</file>