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FINANZAS 2014-2021/CLASE 23 ABRIL 2021/"/>
    </mc:Choice>
  </mc:AlternateContent>
  <xr:revisionPtr revIDLastSave="0" documentId="13_ncr:1_{F6185A28-5ECA-DC47-878E-E3EDFAA5F1EA}" xr6:coauthVersionLast="36" xr6:coauthVersionMax="36" xr10:uidLastSave="{00000000-0000-0000-0000-000000000000}"/>
  <bookViews>
    <workbookView xWindow="80" yWindow="460" windowWidth="28200" windowHeight="15780" activeTab="1" xr2:uid="{00000000-000D-0000-FFFF-FFFF00000000}"/>
  </bookViews>
  <sheets>
    <sheet name="7-10" sheetId="2" r:id="rId1"/>
    <sheet name="7-11" sheetId="4" r:id="rId2"/>
  </sheets>
  <definedNames>
    <definedName name="_xlnm.Print_Area" localSheetId="0">'7-10'!$B$1:$U$66</definedName>
    <definedName name="_xlnm.Print_Area" localSheetId="1">'7-11'!$B$3:$M$70</definedName>
  </definedNames>
  <calcPr calcId="181029"/>
</workbook>
</file>

<file path=xl/calcChain.xml><?xml version="1.0" encoding="utf-8"?>
<calcChain xmlns="http://schemas.openxmlformats.org/spreadsheetml/2006/main">
  <c r="K21" i="4" l="1"/>
  <c r="K56" i="4"/>
  <c r="H58" i="4" l="1"/>
  <c r="G67" i="4"/>
  <c r="D67" i="4"/>
  <c r="C50" i="4"/>
  <c r="H54" i="4"/>
  <c r="C48" i="4" l="1"/>
  <c r="C47" i="4" l="1"/>
  <c r="I55" i="4"/>
  <c r="H55" i="4"/>
  <c r="I54" i="4"/>
  <c r="J24" i="4" l="1"/>
  <c r="J23" i="4"/>
  <c r="D34" i="4" s="1"/>
  <c r="J22" i="4"/>
  <c r="E33" i="4" s="1"/>
  <c r="J21" i="4"/>
  <c r="O59" i="2"/>
  <c r="E52" i="2"/>
  <c r="M49" i="2"/>
  <c r="M48" i="2"/>
  <c r="K46" i="2"/>
  <c r="O31" i="2"/>
  <c r="C46" i="4" l="1"/>
  <c r="H34" i="4"/>
  <c r="G34" i="4"/>
  <c r="E46" i="2"/>
  <c r="K32" i="2"/>
  <c r="G48" i="2" s="1"/>
  <c r="E32" i="2"/>
  <c r="G46" i="2" s="1"/>
  <c r="E47" i="2"/>
  <c r="I32" i="2"/>
  <c r="G47" i="2" s="1"/>
  <c r="O47" i="2" s="1"/>
  <c r="O34" i="2"/>
  <c r="E35" i="2"/>
  <c r="G52" i="2"/>
  <c r="H52" i="2"/>
  <c r="E49" i="2"/>
  <c r="E48" i="2"/>
  <c r="L64" i="2"/>
  <c r="H64" i="2"/>
  <c r="H58" i="2"/>
  <c r="H57" i="2"/>
  <c r="D49" i="2"/>
  <c r="D48" i="2"/>
  <c r="D47" i="2"/>
  <c r="D46" i="2"/>
  <c r="R44" i="2"/>
  <c r="P44" i="2"/>
  <c r="N44" i="2"/>
  <c r="L44" i="2"/>
  <c r="J44" i="2"/>
  <c r="O37" i="2"/>
  <c r="K38" i="2"/>
  <c r="O38" i="2"/>
  <c r="M38" i="2"/>
  <c r="L37" i="2"/>
  <c r="H37" i="2"/>
  <c r="O35" i="2"/>
  <c r="L34" i="2"/>
  <c r="J34" i="2"/>
  <c r="H34" i="2"/>
  <c r="F34" i="2"/>
  <c r="L31" i="2"/>
  <c r="J31" i="2"/>
  <c r="H31" i="2"/>
  <c r="F31" i="2"/>
  <c r="D31" i="2"/>
  <c r="K35" i="2"/>
  <c r="G53" i="2"/>
  <c r="H53" i="2"/>
  <c r="M35" i="2"/>
  <c r="G54" i="2"/>
  <c r="H54" i="2"/>
  <c r="M32" i="2"/>
  <c r="G49" i="2" s="1"/>
  <c r="H49" i="2" s="1"/>
  <c r="O32" i="2"/>
  <c r="M46" i="2" l="1"/>
  <c r="H46" i="2"/>
  <c r="E54" i="2"/>
  <c r="E53" i="2"/>
  <c r="Q48" i="2"/>
  <c r="H48" i="2"/>
  <c r="H47" i="2"/>
  <c r="S49" i="2"/>
  <c r="M47" i="2"/>
  <c r="F54" i="4"/>
  <c r="G33" i="4"/>
  <c r="H33" i="4"/>
  <c r="K52" i="2" l="1"/>
  <c r="O52" i="2" s="1"/>
  <c r="D52" i="2"/>
  <c r="D53" i="2"/>
  <c r="Q53" i="2"/>
  <c r="O53" i="2" s="1"/>
  <c r="D54" i="2"/>
  <c r="M59" i="2"/>
  <c r="S54" i="2"/>
  <c r="O54" i="2" s="1"/>
  <c r="E57" i="2"/>
  <c r="F55" i="4"/>
  <c r="I56" i="4"/>
  <c r="I58" i="4" s="1"/>
  <c r="E58" i="2" l="1"/>
  <c r="D58" i="2" s="1"/>
  <c r="S58" i="2"/>
  <c r="S59" i="2" s="1"/>
  <c r="M63" i="2" s="1"/>
  <c r="Q57" i="2"/>
  <c r="K57" i="2" s="1"/>
  <c r="D57" i="2"/>
  <c r="H56" i="4"/>
  <c r="M66" i="2" l="1"/>
  <c r="L63" i="2"/>
  <c r="Q59" i="2"/>
  <c r="K58" i="2"/>
  <c r="K59" i="2" s="1"/>
  <c r="K63" i="2" l="1"/>
  <c r="U59" i="2"/>
  <c r="H63" i="2" l="1"/>
  <c r="K66" i="2"/>
</calcChain>
</file>

<file path=xl/sharedStrings.xml><?xml version="1.0" encoding="utf-8"?>
<sst xmlns="http://schemas.openxmlformats.org/spreadsheetml/2006/main" count="178" uniqueCount="118">
  <si>
    <t>1)</t>
  </si>
  <si>
    <t>Cost Driver Information and Allocation Ratios</t>
  </si>
  <si>
    <t>Total</t>
  </si>
  <si>
    <t>x</t>
  </si>
  <si>
    <t>Subtotal</t>
  </si>
  <si>
    <t>2)</t>
  </si>
  <si>
    <t>General</t>
  </si>
  <si>
    <t>Ex 7-10</t>
  </si>
  <si>
    <t>Energia</t>
  </si>
  <si>
    <t>Costos indirectos</t>
  </si>
  <si>
    <t>$120 000</t>
  </si>
  <si>
    <t>$540 000</t>
  </si>
  <si>
    <t>$220 000</t>
  </si>
  <si>
    <t>$137 500</t>
  </si>
  <si>
    <t>$222 500</t>
  </si>
  <si>
    <t>Pies cuadrados</t>
  </si>
  <si>
    <t>3 000</t>
  </si>
  <si>
    <t>—</t>
  </si>
  <si>
    <t>9 600</t>
  </si>
  <si>
    <t>8 400</t>
  </si>
  <si>
    <t>Horas máquina</t>
  </si>
  <si>
    <t>1 403</t>
  </si>
  <si>
    <t>1 345</t>
  </si>
  <si>
    <t>8 000</t>
  </si>
  <si>
    <t>24 000</t>
  </si>
  <si>
    <t>Pagilla Company fabrica protectores solar y labial y cada producto se fabrica en departamentos</t>
  </si>
  <si>
    <t>separados. Tres departamentos de apoyo dan soporte a los departamentos de producción:</t>
  </si>
  <si>
    <t>energía, manufactura en general y compras. Los datos presupuestados acerca de los cinco departamentos</t>
  </si>
  <si>
    <t>son los siguientes:</t>
  </si>
  <si>
    <t>La empresa no divide los costos indirectos en componentes fijos y variables. Las bases para la</t>
  </si>
  <si>
    <t>distribución son: energía —horas máquina, fábrica en general- pies cuadrados y compras—</t>
  </si>
  <si>
    <t>órdenes de compra.</t>
  </si>
  <si>
    <t>Actividades:</t>
  </si>
  <si>
    <t>1. Distribuya los costos indirectos a los departamentos de producción utilizando el método</t>
  </si>
  <si>
    <t>2. Utilizando las horas máquina, calcule las tasas departamentales de costos indirectos.</t>
  </si>
  <si>
    <t>Redondee las tasas al centavo más cercano.</t>
  </si>
  <si>
    <t>Compras</t>
  </si>
  <si>
    <t>solar</t>
  </si>
  <si>
    <t>de</t>
  </si>
  <si>
    <t>labios</t>
  </si>
  <si>
    <t>120"</t>
  </si>
  <si>
    <t>ENERGIA</t>
  </si>
  <si>
    <t>MANUF GRAL</t>
  </si>
  <si>
    <t>COMPRAS</t>
  </si>
  <si>
    <t>PROTECTOR</t>
  </si>
  <si>
    <t>SOLAR</t>
  </si>
  <si>
    <t>LABIOS</t>
  </si>
  <si>
    <t>DEP DE APOYO</t>
  </si>
  <si>
    <t>DEP DE PRODUCCION</t>
  </si>
  <si>
    <t>COSTOS DIRECTOS</t>
  </si>
  <si>
    <t>ASIGNACION</t>
  </si>
  <si>
    <t>DOLARES</t>
  </si>
  <si>
    <t>DEPARTAMENTOS DE APOYO</t>
  </si>
  <si>
    <t>DEPARTAMENTOS DE PRODUCCION</t>
  </si>
  <si>
    <t>MANUF EN GRAL</t>
  </si>
  <si>
    <t>PROTECTOR SOLAR</t>
  </si>
  <si>
    <t>PROTECTOR LABIAL</t>
  </si>
  <si>
    <t>Manuf en Gral</t>
  </si>
  <si>
    <t>Protector Solar</t>
  </si>
  <si>
    <t>Protector Labial</t>
  </si>
  <si>
    <t>Tasas Departamentales CIF</t>
  </si>
  <si>
    <t>cif totales</t>
  </si>
  <si>
    <t>Horas Maquina</t>
  </si>
  <si>
    <t>Tasa CIF por Hora maquina</t>
  </si>
  <si>
    <r>
      <t>M</t>
    </r>
    <r>
      <rPr>
        <sz val="11"/>
        <rFont val="Helvetica"/>
        <family val="2"/>
      </rPr>
      <t>ÉTODO SECUENCIAL</t>
    </r>
  </si>
  <si>
    <t>Consulte los datos del ejercicio 7-9. La empresa ha decidido utilizar el método de distribución</t>
  </si>
  <si>
    <t>secuencial en lugar del método directo.</t>
  </si>
  <si>
    <t>Manufactura Gral</t>
  </si>
  <si>
    <t>Pies Cuadrados</t>
  </si>
  <si>
    <t>Ordenes de compra</t>
  </si>
  <si>
    <t>Informacion de los Generadores de costo y asignacion de tasas</t>
  </si>
  <si>
    <t>Tasa de asignacion de costos</t>
  </si>
  <si>
    <t xml:space="preserve">Órdenes de compra </t>
  </si>
  <si>
    <t>TASA</t>
  </si>
  <si>
    <r>
      <t>M</t>
    </r>
    <r>
      <rPr>
        <sz val="11"/>
        <rFont val="Helvetica"/>
        <family val="2"/>
      </rPr>
      <t>ÉTODO RECÍPROCO</t>
    </r>
  </si>
  <si>
    <t>Stubing Company tiene dos departamentos de producción y dos centros de apoyo. Los siguientes</t>
  </si>
  <si>
    <t>datos presupuestados pertenecen a estos cuatro departamentos:</t>
  </si>
  <si>
    <t>1. Distribuya los costos indirectos de los departamentos de apoyo a los departamentos de</t>
  </si>
  <si>
    <t>producción utilizando el método recíproco.</t>
  </si>
  <si>
    <t>2. Utilizando las horas de mano de obra directa, calcule las tasas departamentales de costos</t>
  </si>
  <si>
    <t>indirectos.</t>
  </si>
  <si>
    <t>Mantenimiento</t>
  </si>
  <si>
    <t>Personal</t>
  </si>
  <si>
    <t>Departamentos de  APOYO</t>
  </si>
  <si>
    <t>Departamentos de Produccion</t>
  </si>
  <si>
    <t>Pintura</t>
  </si>
  <si>
    <t xml:space="preserve">Costos indirectos </t>
  </si>
  <si>
    <t xml:space="preserve">Pies cuadrados </t>
  </si>
  <si>
    <t xml:space="preserve">Número de empleados </t>
  </si>
  <si>
    <t xml:space="preserve">Horas de M O DIRECTA </t>
  </si>
  <si>
    <t>Departamentos de apoyo</t>
  </si>
  <si>
    <t>Departamentos de producción</t>
  </si>
  <si>
    <t>Ensamble</t>
  </si>
  <si>
    <t xml:space="preserve">Proporción de la producción utilizada por </t>
  </si>
  <si>
    <t>Razones de distribución:</t>
  </si>
  <si>
    <t>P = Personal</t>
  </si>
  <si>
    <t>M = Mantenimiento</t>
  </si>
  <si>
    <t>M = Costos Directos Mantenimiento + 0,10 Personal</t>
  </si>
  <si>
    <t>P = Costos directos Personal + 0,20 Mantenimeinto</t>
  </si>
  <si>
    <t xml:space="preserve">M = </t>
  </si>
  <si>
    <t>´+ 0,10 Per</t>
  </si>
  <si>
    <t>´+ 0,10 ( $ 60.000 + 0,20 M )</t>
  </si>
  <si>
    <t>M =</t>
  </si>
  <si>
    <t>´+0,1* $ 60.000 + 0,02 M</t>
  </si>
  <si>
    <t>0,98 M =</t>
  </si>
  <si>
    <t>P =</t>
  </si>
  <si>
    <t xml:space="preserve">             Distribuido a </t>
  </si>
  <si>
    <t>Costo total</t>
  </si>
  <si>
    <t xml:space="preserve">Mantenimiento </t>
  </si>
  <si>
    <t>DISTRIBUCION A LOS DEPARTAMENTOS DE PRODUCCION</t>
  </si>
  <si>
    <t>CALCULO DE TASAS DEPARTAMENTALES DE COSTOS INDIRECTOS</t>
  </si>
  <si>
    <t>COSTOS INDIRECTOS TOTALES</t>
  </si>
  <si>
    <t xml:space="preserve">TASA DE </t>
  </si>
  <si>
    <r>
      <t>M</t>
    </r>
    <r>
      <rPr>
        <sz val="11"/>
        <rFont val="Helvetica"/>
        <family val="2"/>
      </rPr>
      <t>ÉTODO SECUENCIAL Y TASAS DE COSTOS INDIRECTOS</t>
    </r>
  </si>
  <si>
    <t>METODO SECUENCIAL</t>
  </si>
  <si>
    <t>Secuencial. Calcule las razones de distribución hasta cuatro dígitos significativos.</t>
  </si>
  <si>
    <t>total distribuido</t>
  </si>
  <si>
    <t>total a distribuir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</si>
</sst>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&quot;$&quot;#,##0"/>
    <numFmt numFmtId="170" formatCode="_ &quot;$&quot;\ * #,##0_ ;_ &quot;$&quot;\ * \-#,##0_ ;_ &quot;$&quot;\ * &quot;-&quot;_ ;_ @_ "/>
    <numFmt numFmtId="171" formatCode="_ * #,##0_ ;_ * \-#,##0_ ;_ * &quot;-&quot;_ ;_ @_ "/>
    <numFmt numFmtId="172" formatCode="_ * #,##0.00_ ;_ * \-#,##0.00_ ;_ * &quot;-&quot;??_ ;_ @_ "/>
    <numFmt numFmtId="173" formatCode="&quot;$&quot;#,##0.00"/>
    <numFmt numFmtId="174" formatCode="&quot;$&quot;#,##0.000000"/>
  </numFmts>
  <fonts count="21" x14ac:knownFonts="1">
    <font>
      <sz val="10"/>
      <name val="Arial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Helvetica"/>
      <family val="2"/>
    </font>
    <font>
      <sz val="15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i/>
      <sz val="10"/>
      <color rgb="FF231F20"/>
      <name val="Georgia"/>
      <family val="1"/>
    </font>
    <font>
      <sz val="10"/>
      <color rgb="FF231F20"/>
      <name val="Times New Roman"/>
      <family val="1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0" xfId="0" quotePrefix="1" applyFont="1"/>
    <xf numFmtId="0" fontId="3" fillId="0" borderId="0" xfId="0" applyFont="1"/>
    <xf numFmtId="0" fontId="4" fillId="0" borderId="0" xfId="0" applyFont="1" applyAlignment="1">
      <alignment horizontal="right"/>
    </xf>
    <xf numFmtId="166" fontId="4" fillId="2" borderId="1" xfId="1" applyNumberFormat="1" applyFont="1" applyFill="1" applyBorder="1" applyProtection="1">
      <protection locked="0"/>
    </xf>
    <xf numFmtId="0" fontId="7" fillId="0" borderId="0" xfId="0" applyFont="1"/>
    <xf numFmtId="0" fontId="8" fillId="0" borderId="0" xfId="0" applyFont="1"/>
    <xf numFmtId="0" fontId="10" fillId="0" borderId="0" xfId="0" applyFont="1"/>
    <xf numFmtId="167" fontId="4" fillId="2" borderId="1" xfId="2" applyNumberFormat="1" applyFont="1" applyFill="1" applyBorder="1" applyProtection="1">
      <protection locked="0"/>
    </xf>
    <xf numFmtId="167" fontId="4" fillId="2" borderId="2" xfId="2" applyNumberFormat="1" applyFont="1" applyFill="1" applyBorder="1" applyProtection="1">
      <protection locked="0"/>
    </xf>
    <xf numFmtId="10" fontId="4" fillId="2" borderId="1" xfId="3" applyNumberFormat="1" applyFont="1" applyFill="1" applyBorder="1" applyProtection="1">
      <protection locked="0"/>
    </xf>
    <xf numFmtId="10" fontId="4" fillId="2" borderId="2" xfId="3" applyNumberFormat="1" applyFont="1" applyFill="1" applyBorder="1" applyProtection="1">
      <protection locked="0"/>
    </xf>
    <xf numFmtId="168" fontId="4" fillId="2" borderId="1" xfId="3" applyNumberFormat="1" applyFont="1" applyFill="1" applyBorder="1" applyProtection="1">
      <protection locked="0"/>
    </xf>
    <xf numFmtId="168" fontId="4" fillId="2" borderId="2" xfId="3" applyNumberFormat="1" applyFont="1" applyFill="1" applyBorder="1" applyProtection="1">
      <protection locked="0"/>
    </xf>
    <xf numFmtId="167" fontId="4" fillId="2" borderId="3" xfId="2" applyNumberFormat="1" applyFont="1" applyFill="1" applyBorder="1" applyProtection="1">
      <protection locked="0"/>
    </xf>
    <xf numFmtId="0" fontId="5" fillId="3" borderId="0" xfId="0" applyFont="1" applyFill="1"/>
    <xf numFmtId="0" fontId="9" fillId="3" borderId="0" xfId="0" applyFont="1" applyFill="1"/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66" fontId="9" fillId="3" borderId="0" xfId="1" applyNumberFormat="1" applyFont="1" applyFill="1"/>
    <xf numFmtId="166" fontId="5" fillId="3" borderId="0" xfId="1" applyNumberFormat="1" applyFont="1" applyFill="1" applyAlignment="1">
      <alignment horizontal="right"/>
    </xf>
    <xf numFmtId="166" fontId="5" fillId="3" borderId="0" xfId="1" applyNumberFormat="1" applyFont="1" applyFill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Continuous"/>
    </xf>
    <xf numFmtId="0" fontId="9" fillId="3" borderId="0" xfId="0" applyFont="1" applyFill="1" applyBorder="1"/>
    <xf numFmtId="0" fontId="5" fillId="3" borderId="4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"/>
    </xf>
    <xf numFmtId="0" fontId="4" fillId="4" borderId="0" xfId="0" applyFont="1" applyFill="1"/>
    <xf numFmtId="0" fontId="6" fillId="4" borderId="0" xfId="0" applyFont="1" applyFill="1" applyAlignment="1">
      <alignment horizontal="right"/>
    </xf>
    <xf numFmtId="0" fontId="7" fillId="4" borderId="0" xfId="0" applyFont="1" applyFill="1"/>
    <xf numFmtId="166" fontId="7" fillId="4" borderId="0" xfId="1" applyNumberFormat="1" applyFont="1" applyFill="1"/>
    <xf numFmtId="166" fontId="4" fillId="4" borderId="0" xfId="1" applyNumberFormat="1" applyFont="1" applyFill="1"/>
    <xf numFmtId="166" fontId="7" fillId="4" borderId="0" xfId="1" applyNumberFormat="1" applyFont="1" applyFill="1" applyAlignment="1">
      <alignment horizontal="right"/>
    </xf>
    <xf numFmtId="9" fontId="4" fillId="4" borderId="0" xfId="3" applyFont="1" applyFill="1"/>
    <xf numFmtId="10" fontId="4" fillId="4" borderId="0" xfId="3" applyNumberFormat="1" applyFont="1" applyFill="1"/>
    <xf numFmtId="10" fontId="4" fillId="4" borderId="0" xfId="0" applyNumberFormat="1" applyFont="1" applyFill="1"/>
    <xf numFmtId="10" fontId="7" fillId="4" borderId="0" xfId="0" applyNumberFormat="1" applyFont="1" applyFill="1"/>
    <xf numFmtId="0" fontId="2" fillId="4" borderId="0" xfId="0" applyFont="1" applyFill="1" applyAlignment="1">
      <alignment horizontal="right"/>
    </xf>
    <xf numFmtId="10" fontId="7" fillId="4" borderId="0" xfId="0" applyNumberFormat="1" applyFont="1" applyFill="1" applyAlignment="1">
      <alignment horizontal="right"/>
    </xf>
    <xf numFmtId="168" fontId="4" fillId="4" borderId="0" xfId="3" applyNumberFormat="1" applyFont="1" applyFill="1"/>
    <xf numFmtId="0" fontId="4" fillId="4" borderId="3" xfId="0" applyFont="1" applyFill="1" applyBorder="1" applyAlignment="1">
      <alignment horizontal="centerContinuous"/>
    </xf>
    <xf numFmtId="0" fontId="4" fillId="4" borderId="0" xfId="0" applyFont="1" applyFill="1" applyAlignment="1">
      <alignment horizontal="centerContinuous"/>
    </xf>
    <xf numFmtId="164" fontId="4" fillId="4" borderId="0" xfId="2" applyFont="1" applyFill="1"/>
    <xf numFmtId="164" fontId="4" fillId="4" borderId="0" xfId="2" applyNumberFormat="1" applyFont="1" applyFill="1"/>
    <xf numFmtId="0" fontId="0" fillId="4" borderId="0" xfId="0" applyFill="1"/>
    <xf numFmtId="0" fontId="2" fillId="4" borderId="0" xfId="0" applyFont="1" applyFill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10" fillId="4" borderId="0" xfId="0" applyFont="1" applyFill="1"/>
    <xf numFmtId="166" fontId="4" fillId="4" borderId="0" xfId="1" applyNumberFormat="1" applyFont="1" applyFill="1" applyBorder="1"/>
    <xf numFmtId="166" fontId="7" fillId="4" borderId="0" xfId="1" applyNumberFormat="1" applyFont="1" applyFill="1" applyBorder="1"/>
    <xf numFmtId="167" fontId="4" fillId="4" borderId="0" xfId="2" applyNumberFormat="1" applyFont="1" applyFill="1"/>
    <xf numFmtId="0" fontId="4" fillId="4" borderId="0" xfId="0" applyFont="1" applyFill="1" applyBorder="1"/>
    <xf numFmtId="0" fontId="7" fillId="4" borderId="0" xfId="0" applyFont="1" applyFill="1" applyBorder="1"/>
    <xf numFmtId="167" fontId="4" fillId="4" borderId="0" xfId="2" applyNumberFormat="1" applyFont="1" applyFill="1" applyBorder="1"/>
    <xf numFmtId="166" fontId="2" fillId="4" borderId="0" xfId="1" applyNumberFormat="1" applyFont="1" applyFill="1" applyAlignment="1">
      <alignment horizontal="right"/>
    </xf>
    <xf numFmtId="167" fontId="4" fillId="4" borderId="5" xfId="2" applyNumberFormat="1" applyFont="1" applyFill="1" applyBorder="1"/>
    <xf numFmtId="167" fontId="4" fillId="4" borderId="6" xfId="2" applyNumberFormat="1" applyFont="1" applyFill="1" applyBorder="1"/>
    <xf numFmtId="0" fontId="4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wrapText="1"/>
    </xf>
    <xf numFmtId="6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6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7" xfId="0" applyFont="1" applyBorder="1"/>
    <xf numFmtId="0" fontId="11" fillId="0" borderId="14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4" fillId="5" borderId="0" xfId="0" applyFont="1" applyFill="1"/>
    <xf numFmtId="0" fontId="11" fillId="0" borderId="0" xfId="0" applyFont="1"/>
    <xf numFmtId="169" fontId="0" fillId="0" borderId="0" xfId="0" applyNumberFormat="1"/>
    <xf numFmtId="3" fontId="0" fillId="0" borderId="0" xfId="0" applyNumberFormat="1"/>
    <xf numFmtId="0" fontId="0" fillId="0" borderId="15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18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0" fontId="19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6" xfId="0" applyBorder="1"/>
    <xf numFmtId="0" fontId="11" fillId="0" borderId="3" xfId="0" applyFont="1" applyBorder="1" applyAlignment="1">
      <alignment horizontal="center"/>
    </xf>
    <xf numFmtId="0" fontId="11" fillId="0" borderId="0" xfId="0" applyFont="1" applyBorder="1"/>
    <xf numFmtId="3" fontId="0" fillId="0" borderId="15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0" fillId="0" borderId="0" xfId="0" applyFont="1" applyFill="1" applyBorder="1"/>
    <xf numFmtId="0" fontId="11" fillId="0" borderId="0" xfId="0" applyFont="1" applyFill="1" applyBorder="1"/>
    <xf numFmtId="164" fontId="0" fillId="0" borderId="0" xfId="2" applyFont="1"/>
    <xf numFmtId="0" fontId="20" fillId="0" borderId="0" xfId="0" applyFont="1"/>
    <xf numFmtId="173" fontId="20" fillId="0" borderId="0" xfId="0" applyNumberFormat="1" applyFont="1"/>
    <xf numFmtId="0" fontId="0" fillId="0" borderId="0" xfId="0" applyFill="1" applyBorder="1" applyAlignment="1">
      <alignment horizontal="right"/>
    </xf>
    <xf numFmtId="0" fontId="20" fillId="6" borderId="0" xfId="0" applyFont="1" applyFill="1"/>
    <xf numFmtId="0" fontId="0" fillId="6" borderId="0" xfId="0" applyFill="1"/>
    <xf numFmtId="169" fontId="0" fillId="0" borderId="0" xfId="0" applyNumberFormat="1" applyBorder="1"/>
    <xf numFmtId="169" fontId="0" fillId="0" borderId="0" xfId="0" applyNumberFormat="1" applyFont="1" applyBorder="1" applyAlignment="1">
      <alignment horizontal="right"/>
    </xf>
    <xf numFmtId="169" fontId="18" fillId="0" borderId="0" xfId="0" applyNumberFormat="1" applyFont="1" applyBorder="1" applyAlignment="1">
      <alignment horizontal="right"/>
    </xf>
    <xf numFmtId="169" fontId="18" fillId="0" borderId="0" xfId="0" applyNumberFormat="1" applyFont="1" applyBorder="1" applyAlignment="1">
      <alignment horizontal="center"/>
    </xf>
    <xf numFmtId="169" fontId="19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20" fillId="0" borderId="0" xfId="0" applyFont="1" applyFill="1" applyBorder="1"/>
    <xf numFmtId="169" fontId="20" fillId="0" borderId="0" xfId="0" applyNumberFormat="1" applyFont="1"/>
    <xf numFmtId="0" fontId="11" fillId="7" borderId="0" xfId="0" applyFont="1" applyFill="1"/>
    <xf numFmtId="0" fontId="0" fillId="7" borderId="0" xfId="0" applyFill="1"/>
    <xf numFmtId="0" fontId="0" fillId="7" borderId="0" xfId="0" applyFill="1" applyBorder="1"/>
    <xf numFmtId="0" fontId="0" fillId="7" borderId="3" xfId="0" applyFill="1" applyBorder="1"/>
    <xf numFmtId="0" fontId="0" fillId="7" borderId="15" xfId="0" applyFill="1" applyBorder="1"/>
    <xf numFmtId="0" fontId="0" fillId="7" borderId="3" xfId="0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72" fontId="0" fillId="7" borderId="3" xfId="0" applyNumberFormat="1" applyFill="1" applyBorder="1" applyAlignment="1">
      <alignment horizontal="left"/>
    </xf>
    <xf numFmtId="172" fontId="0" fillId="7" borderId="3" xfId="0" applyNumberFormat="1" applyFill="1" applyBorder="1" applyAlignment="1">
      <alignment horizontal="center"/>
    </xf>
    <xf numFmtId="174" fontId="20" fillId="7" borderId="0" xfId="0" applyNumberFormat="1" applyFont="1" applyFill="1"/>
    <xf numFmtId="174" fontId="0" fillId="7" borderId="0" xfId="0" applyNumberFormat="1" applyFill="1"/>
    <xf numFmtId="0" fontId="1" fillId="0" borderId="0" xfId="0" applyFont="1"/>
    <xf numFmtId="0" fontId="1" fillId="7" borderId="0" xfId="0" applyFont="1" applyFill="1"/>
    <xf numFmtId="173" fontId="0" fillId="0" borderId="0" xfId="0" applyNumberFormat="1"/>
    <xf numFmtId="169" fontId="20" fillId="8" borderId="0" xfId="0" applyNumberFormat="1" applyFont="1" applyFill="1"/>
    <xf numFmtId="169" fontId="0" fillId="8" borderId="0" xfId="0" applyNumberFormat="1" applyFill="1"/>
    <xf numFmtId="0" fontId="4" fillId="0" borderId="3" xfId="0" applyFont="1" applyFill="1" applyBorder="1" applyAlignment="1" applyProtection="1">
      <alignment horizontal="left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2"/>
  <sheetViews>
    <sheetView topLeftCell="A2" zoomScale="110" zoomScaleNormal="110" workbookViewId="0">
      <pane ySplit="3940" topLeftCell="A39" activePane="bottomLeft"/>
      <selection activeCell="E9" sqref="E9"/>
      <selection pane="bottomLeft" activeCell="U59" sqref="U59"/>
    </sheetView>
  </sheetViews>
  <sheetFormatPr baseColWidth="10" defaultRowHeight="13" x14ac:dyDescent="0.15"/>
  <cols>
    <col min="2" max="2" width="16.1640625" customWidth="1"/>
    <col min="3" max="3" width="14.5" customWidth="1"/>
    <col min="4" max="4" width="13.6640625" customWidth="1"/>
    <col min="8" max="8" width="3.6640625" customWidth="1"/>
    <col min="10" max="10" width="6" customWidth="1"/>
    <col min="12" max="12" width="4.6640625" customWidth="1"/>
    <col min="14" max="14" width="6.1640625" customWidth="1"/>
    <col min="16" max="16" width="4.5" customWidth="1"/>
    <col min="18" max="18" width="3.83203125" customWidth="1"/>
  </cols>
  <sheetData>
    <row r="1" spans="2:23" ht="19" x14ac:dyDescent="0.2">
      <c r="B1" s="65" t="s">
        <v>113</v>
      </c>
    </row>
    <row r="2" spans="2:23" x14ac:dyDescent="0.15">
      <c r="B2" s="66" t="s">
        <v>25</v>
      </c>
    </row>
    <row r="3" spans="2:23" x14ac:dyDescent="0.15">
      <c r="B3" s="66" t="s">
        <v>26</v>
      </c>
    </row>
    <row r="4" spans="2:23" x14ac:dyDescent="0.15">
      <c r="B4" s="66" t="s">
        <v>27</v>
      </c>
    </row>
    <row r="5" spans="2:23" ht="14" thickBot="1" x14ac:dyDescent="0.2">
      <c r="B5" s="66" t="s">
        <v>28</v>
      </c>
    </row>
    <row r="6" spans="2:23" x14ac:dyDescent="0.15">
      <c r="C6" s="70"/>
      <c r="D6" s="79" t="s">
        <v>47</v>
      </c>
      <c r="E6" s="71"/>
      <c r="F6" s="78" t="s">
        <v>48</v>
      </c>
      <c r="G6" s="71"/>
      <c r="L6" s="68"/>
    </row>
    <row r="7" spans="2:23" x14ac:dyDescent="0.15">
      <c r="C7" s="72"/>
      <c r="D7" s="73"/>
      <c r="E7" s="74"/>
      <c r="F7" s="80" t="s">
        <v>44</v>
      </c>
      <c r="G7" s="81" t="s">
        <v>44</v>
      </c>
      <c r="L7" s="68"/>
    </row>
    <row r="8" spans="2:23" ht="14" thickBot="1" x14ac:dyDescent="0.2">
      <c r="C8" s="75" t="s">
        <v>41</v>
      </c>
      <c r="D8" s="76" t="s">
        <v>42</v>
      </c>
      <c r="E8" s="77" t="s">
        <v>43</v>
      </c>
      <c r="F8" s="82" t="s">
        <v>45</v>
      </c>
      <c r="G8" s="77" t="s">
        <v>46</v>
      </c>
      <c r="I8" s="63"/>
    </row>
    <row r="9" spans="2:23" x14ac:dyDescent="0.15">
      <c r="B9" s="64" t="s">
        <v>9</v>
      </c>
      <c r="C9" s="64" t="s">
        <v>10</v>
      </c>
      <c r="D9" s="64" t="s">
        <v>11</v>
      </c>
      <c r="E9" s="64" t="s">
        <v>12</v>
      </c>
      <c r="F9" s="64" t="s">
        <v>13</v>
      </c>
      <c r="G9" s="64" t="s">
        <v>14</v>
      </c>
      <c r="S9" t="s">
        <v>37</v>
      </c>
      <c r="T9" t="s">
        <v>38</v>
      </c>
      <c r="U9" t="s">
        <v>39</v>
      </c>
    </row>
    <row r="10" spans="2:23" x14ac:dyDescent="0.15">
      <c r="B10" s="64" t="s">
        <v>15</v>
      </c>
      <c r="C10" s="64" t="s">
        <v>16</v>
      </c>
      <c r="D10" s="64" t="s">
        <v>17</v>
      </c>
      <c r="E10" s="64" t="s">
        <v>16</v>
      </c>
      <c r="F10" s="64" t="s">
        <v>18</v>
      </c>
      <c r="G10" s="64" t="s">
        <v>19</v>
      </c>
      <c r="N10" s="69"/>
      <c r="P10" s="69"/>
      <c r="R10" s="69"/>
      <c r="S10">
        <v>0</v>
      </c>
      <c r="T10" s="69">
        <v>137</v>
      </c>
      <c r="U10">
        <v>500</v>
      </c>
      <c r="V10" s="69">
        <v>222</v>
      </c>
      <c r="W10">
        <v>500</v>
      </c>
    </row>
    <row r="11" spans="2:23" x14ac:dyDescent="0.15">
      <c r="B11" s="64" t="s">
        <v>20</v>
      </c>
      <c r="C11" s="64" t="s">
        <v>17</v>
      </c>
      <c r="D11" s="64" t="s">
        <v>21</v>
      </c>
      <c r="E11" s="64" t="s">
        <v>22</v>
      </c>
      <c r="F11" s="64" t="s">
        <v>23</v>
      </c>
      <c r="G11" s="64" t="s">
        <v>24</v>
      </c>
      <c r="S11">
        <v>9</v>
      </c>
      <c r="T11">
        <v>600</v>
      </c>
      <c r="U11">
        <v>8</v>
      </c>
      <c r="V11">
        <v>400</v>
      </c>
    </row>
    <row r="12" spans="2:23" x14ac:dyDescent="0.15">
      <c r="B12" s="64" t="s">
        <v>72</v>
      </c>
      <c r="C12" s="64">
        <v>20</v>
      </c>
      <c r="D12" s="64">
        <v>40</v>
      </c>
      <c r="E12" s="64">
        <v>7</v>
      </c>
      <c r="F12" s="64">
        <v>60</v>
      </c>
      <c r="G12" s="64">
        <v>120</v>
      </c>
      <c r="S12">
        <v>8</v>
      </c>
      <c r="T12">
        <v>0</v>
      </c>
      <c r="U12">
        <v>24</v>
      </c>
      <c r="V12">
        <v>0</v>
      </c>
    </row>
    <row r="13" spans="2:23" x14ac:dyDescent="0.15">
      <c r="B13" s="66" t="s">
        <v>29</v>
      </c>
      <c r="S13" t="s">
        <v>40</v>
      </c>
    </row>
    <row r="14" spans="2:23" x14ac:dyDescent="0.15">
      <c r="B14" s="66" t="s">
        <v>30</v>
      </c>
    </row>
    <row r="15" spans="2:23" x14ac:dyDescent="0.15">
      <c r="B15" s="66" t="s">
        <v>31</v>
      </c>
    </row>
    <row r="16" spans="2:23" ht="16" x14ac:dyDescent="0.2">
      <c r="B16" s="67" t="s">
        <v>32</v>
      </c>
    </row>
    <row r="17" spans="1:26" x14ac:dyDescent="0.15">
      <c r="B17" s="66" t="s">
        <v>33</v>
      </c>
    </row>
    <row r="18" spans="1:26" x14ac:dyDescent="0.15">
      <c r="B18" s="66" t="s">
        <v>115</v>
      </c>
    </row>
    <row r="19" spans="1:26" x14ac:dyDescent="0.15">
      <c r="B19" s="66" t="s">
        <v>34</v>
      </c>
    </row>
    <row r="20" spans="1:26" x14ac:dyDescent="0.15">
      <c r="B20" s="66" t="s">
        <v>35</v>
      </c>
    </row>
    <row r="21" spans="1:26" ht="19" x14ac:dyDescent="0.2">
      <c r="B21" s="65" t="s">
        <v>64</v>
      </c>
    </row>
    <row r="22" spans="1:26" x14ac:dyDescent="0.15">
      <c r="B22" s="66" t="s">
        <v>65</v>
      </c>
    </row>
    <row r="23" spans="1:26" x14ac:dyDescent="0.15">
      <c r="A23" s="4" t="s">
        <v>7</v>
      </c>
      <c r="B23" s="66" t="s">
        <v>66</v>
      </c>
      <c r="C23" s="1"/>
      <c r="D23" s="1"/>
      <c r="E23" s="1"/>
      <c r="F23" s="1"/>
      <c r="G23" s="1"/>
      <c r="H23" s="1"/>
      <c r="I23" s="1"/>
      <c r="J23" s="7"/>
      <c r="K23" s="5"/>
      <c r="L23" s="134"/>
      <c r="M23" s="134"/>
      <c r="N23" s="134"/>
      <c r="O23" s="134"/>
      <c r="P23" s="7"/>
      <c r="Q23" s="1"/>
      <c r="R23" s="7"/>
      <c r="S23" s="1"/>
      <c r="T23" s="1"/>
      <c r="U23" s="1"/>
    </row>
    <row r="24" spans="1:26" x14ac:dyDescent="0.15">
      <c r="A24" s="1"/>
      <c r="B24" s="1"/>
      <c r="C24" s="1"/>
      <c r="D24" s="1"/>
      <c r="E24" s="1"/>
      <c r="F24" s="1"/>
      <c r="G24" s="1"/>
      <c r="H24" s="1"/>
      <c r="I24" s="1"/>
      <c r="J24" s="7"/>
      <c r="K24" s="1"/>
      <c r="L24" s="7"/>
      <c r="M24" s="1"/>
      <c r="N24" s="7"/>
      <c r="O24" s="1"/>
      <c r="P24" s="7"/>
      <c r="Q24" s="1"/>
      <c r="R24" s="7"/>
      <c r="S24" s="1"/>
      <c r="T24" s="1"/>
      <c r="U24" s="1"/>
    </row>
    <row r="25" spans="1:26" x14ac:dyDescent="0.15">
      <c r="A25" s="1"/>
      <c r="B25" s="2"/>
      <c r="C25" s="1"/>
      <c r="D25" s="1"/>
      <c r="E25" s="1"/>
      <c r="F25" s="1"/>
      <c r="G25" s="1"/>
      <c r="H25" s="1"/>
      <c r="I25" s="1"/>
      <c r="J25" s="7"/>
      <c r="K25" s="1"/>
      <c r="L25" s="7"/>
      <c r="M25" s="1"/>
      <c r="N25" s="7"/>
      <c r="O25" s="1"/>
      <c r="P25" s="7"/>
      <c r="Q25" s="1"/>
      <c r="R25" s="7"/>
      <c r="S25" s="1"/>
      <c r="T25" s="1"/>
      <c r="U25" s="1"/>
    </row>
    <row r="26" spans="1:26" x14ac:dyDescent="0.15">
      <c r="A26" s="1"/>
      <c r="B26" s="1"/>
      <c r="C26" s="1"/>
      <c r="D26" s="1"/>
      <c r="E26" s="3"/>
      <c r="F26" s="4"/>
      <c r="G26" s="4"/>
      <c r="H26" s="4"/>
      <c r="I26" s="4"/>
      <c r="J26" s="8"/>
      <c r="K26" s="4"/>
      <c r="L26" s="8"/>
      <c r="M26" s="4"/>
      <c r="N26" s="8"/>
      <c r="O26" s="4"/>
      <c r="P26" s="8"/>
      <c r="Q26" s="1"/>
      <c r="R26" s="7"/>
      <c r="S26" s="1"/>
      <c r="T26" s="1"/>
      <c r="U26" s="1"/>
    </row>
    <row r="27" spans="1:26" x14ac:dyDescent="0.15">
      <c r="A27" s="1" t="s">
        <v>0</v>
      </c>
      <c r="B27" s="17" t="s">
        <v>1</v>
      </c>
      <c r="C27" s="17"/>
      <c r="D27" s="17"/>
      <c r="E27" s="17"/>
      <c r="F27" s="17"/>
      <c r="G27" s="17"/>
      <c r="H27" s="17"/>
      <c r="I27" s="17"/>
      <c r="J27" s="18"/>
      <c r="K27" s="19"/>
      <c r="L27" s="20"/>
      <c r="M27" s="21"/>
      <c r="N27" s="22"/>
      <c r="O27" s="23"/>
      <c r="P27" s="8"/>
      <c r="Q27" s="1"/>
      <c r="R27" s="7"/>
      <c r="S27" s="1"/>
      <c r="T27" s="1"/>
      <c r="U27" s="1"/>
    </row>
    <row r="28" spans="1:26" x14ac:dyDescent="0.15">
      <c r="A28" s="1"/>
      <c r="B28" s="17" t="s">
        <v>70</v>
      </c>
      <c r="C28" s="17"/>
      <c r="D28" s="17"/>
      <c r="E28" s="17"/>
      <c r="F28" s="17"/>
      <c r="G28" s="17" t="s">
        <v>6</v>
      </c>
      <c r="H28" s="17"/>
      <c r="I28" s="17"/>
      <c r="J28" s="18"/>
      <c r="K28" s="19"/>
      <c r="L28" s="20"/>
      <c r="M28" s="21"/>
      <c r="N28" s="22"/>
      <c r="O28" s="23"/>
      <c r="P28" s="8"/>
      <c r="Q28" s="1"/>
      <c r="R28" s="7"/>
      <c r="S28" s="1"/>
      <c r="T28" s="1"/>
      <c r="U28" s="1"/>
    </row>
    <row r="29" spans="1:26" x14ac:dyDescent="0.15">
      <c r="A29" s="1"/>
      <c r="B29" s="17"/>
      <c r="C29" s="17"/>
      <c r="D29" s="17"/>
      <c r="E29" s="21" t="s">
        <v>41</v>
      </c>
      <c r="F29" s="30"/>
      <c r="G29" s="21" t="s">
        <v>54</v>
      </c>
      <c r="H29" s="30"/>
      <c r="I29" s="21" t="s">
        <v>43</v>
      </c>
      <c r="J29" s="20"/>
      <c r="K29" s="21" t="s">
        <v>55</v>
      </c>
      <c r="L29" s="20"/>
      <c r="M29" s="21" t="s">
        <v>56</v>
      </c>
      <c r="N29" s="22"/>
      <c r="O29" s="24" t="s">
        <v>2</v>
      </c>
      <c r="P29" s="8"/>
      <c r="Q29" s="1"/>
      <c r="R29" s="7"/>
      <c r="S29" s="1"/>
      <c r="T29" s="1"/>
      <c r="U29" s="1"/>
    </row>
    <row r="30" spans="1:26" x14ac:dyDescent="0.15">
      <c r="A30" s="1"/>
      <c r="B30" s="31" t="s">
        <v>67</v>
      </c>
      <c r="C30" s="31"/>
      <c r="D30" s="31"/>
      <c r="E30" s="31"/>
      <c r="F30" s="31"/>
      <c r="G30" s="31"/>
      <c r="H30" s="31"/>
      <c r="I30" s="31"/>
      <c r="J30" s="33"/>
      <c r="K30" s="31"/>
      <c r="L30" s="33"/>
      <c r="M30" s="31"/>
      <c r="N30" s="34"/>
      <c r="O30" s="35"/>
      <c r="P30" s="8"/>
      <c r="Q30" s="1"/>
      <c r="R30" s="7"/>
      <c r="S30" s="1"/>
      <c r="T30" s="1"/>
      <c r="U30" s="1"/>
    </row>
    <row r="31" spans="1:26" x14ac:dyDescent="0.15">
      <c r="A31" s="1"/>
      <c r="B31" s="31"/>
      <c r="C31" s="31" t="s">
        <v>68</v>
      </c>
      <c r="D31" s="32" t="str">
        <f>IF(E31&lt;&gt;0,IF(E31=V31,"","Wrong"),"")</f>
        <v/>
      </c>
      <c r="E31" s="6">
        <v>3000</v>
      </c>
      <c r="F31" s="32" t="str">
        <f>IF(G31&lt;&gt;0,IF(G31=W31,"","Wrong"),"")</f>
        <v/>
      </c>
      <c r="G31" s="6">
        <v>0</v>
      </c>
      <c r="H31" s="32" t="str">
        <f>IF(I31&lt;&gt;0,IF(I31=X31,"","Wrong"),"")</f>
        <v/>
      </c>
      <c r="I31" s="6">
        <v>3000</v>
      </c>
      <c r="J31" s="32" t="str">
        <f>IF(K31&lt;&gt;0,IF(K31=Y31,"","Wrong"),"")</f>
        <v/>
      </c>
      <c r="K31" s="6">
        <v>9600</v>
      </c>
      <c r="L31" s="32" t="str">
        <f>IF(M31&lt;&gt;0,IF(M31=Z31,"","Wrong"),"")</f>
        <v/>
      </c>
      <c r="M31" s="6">
        <v>8400</v>
      </c>
      <c r="N31" s="36"/>
      <c r="O31" s="35">
        <f>IF(AND(E31&gt;0,G31&gt;=0,K31&gt;0,M31&gt;0),E31+G31+I31+K31+M31,"")</f>
        <v>24000</v>
      </c>
      <c r="P31" s="8"/>
      <c r="Q31" s="1"/>
      <c r="R31" s="7"/>
      <c r="S31" s="1"/>
      <c r="T31" s="1"/>
      <c r="U31" s="1"/>
      <c r="V31">
        <v>3000</v>
      </c>
      <c r="X31">
        <v>3000</v>
      </c>
      <c r="Y31">
        <v>9600</v>
      </c>
      <c r="Z31">
        <v>8400</v>
      </c>
    </row>
    <row r="32" spans="1:26" x14ac:dyDescent="0.15">
      <c r="A32" s="1"/>
      <c r="B32" s="31"/>
      <c r="C32" s="31" t="s">
        <v>71</v>
      </c>
      <c r="D32" s="31"/>
      <c r="E32" s="38">
        <f>IF(AND($K31&gt;0,$M31&gt;0),E31/$O31,"")</f>
        <v>0.125</v>
      </c>
      <c r="F32" s="39"/>
      <c r="G32" s="38"/>
      <c r="H32" s="42"/>
      <c r="I32" s="38">
        <f>IF(AND($K31&gt;0,$M31&gt;0),I31/$O31,"")</f>
        <v>0.125</v>
      </c>
      <c r="J32" s="40"/>
      <c r="K32" s="38">
        <f>IF(AND($K31&gt;0,$M31&gt;0),K31/$O31,"")</f>
        <v>0.4</v>
      </c>
      <c r="L32" s="40"/>
      <c r="M32" s="38">
        <f>IF(AND($K31&gt;0,$M31&gt;0),M31/$O31,"")</f>
        <v>0.35</v>
      </c>
      <c r="N32" s="33"/>
      <c r="O32" s="37">
        <f>IF(AND($K31&gt;0,$M31&gt;0),O31/$O31,"")</f>
        <v>1</v>
      </c>
      <c r="P32" s="8"/>
      <c r="Q32" s="1"/>
      <c r="R32" s="7"/>
      <c r="S32" s="1"/>
      <c r="T32" s="1"/>
      <c r="U32" s="1"/>
    </row>
    <row r="33" spans="1:27" x14ac:dyDescent="0.15">
      <c r="A33" s="1"/>
      <c r="B33" s="31" t="s">
        <v>36</v>
      </c>
      <c r="C33" s="31"/>
      <c r="D33" s="31"/>
      <c r="E33" s="31"/>
      <c r="F33" s="31"/>
      <c r="G33" s="31"/>
      <c r="H33" s="41"/>
      <c r="I33" s="41"/>
      <c r="J33" s="32"/>
      <c r="K33" s="41"/>
      <c r="L33" s="32"/>
      <c r="M33" s="41"/>
      <c r="N33" s="34"/>
      <c r="O33" s="35"/>
      <c r="P33" s="8"/>
      <c r="Q33" s="1"/>
      <c r="R33" s="7"/>
      <c r="S33" s="1"/>
      <c r="T33" s="1"/>
      <c r="U33" s="1"/>
    </row>
    <row r="34" spans="1:27" x14ac:dyDescent="0.15">
      <c r="A34" s="1"/>
      <c r="B34" s="31"/>
      <c r="C34" s="31" t="s">
        <v>69</v>
      </c>
      <c r="D34" s="33"/>
      <c r="E34" s="6">
        <v>20</v>
      </c>
      <c r="F34" s="32" t="str">
        <f>IF(G34&lt;&gt;0,IF(G34=W34,"","Wrong"),"")</f>
        <v/>
      </c>
      <c r="G34" s="6">
        <v>0</v>
      </c>
      <c r="H34" s="32" t="str">
        <f>IF(I34&lt;&gt;0,IF(I34=X34,"","Wrong"),"")</f>
        <v/>
      </c>
      <c r="I34" s="6">
        <v>0</v>
      </c>
      <c r="J34" s="32" t="str">
        <f>IF(K34&lt;&gt;0,IF(K34=Y34,"","Wrong"),"")</f>
        <v/>
      </c>
      <c r="K34" s="6">
        <v>60</v>
      </c>
      <c r="L34" s="32" t="str">
        <f>IF(M34&lt;&gt;0,IF(M34=Z34,"","Wrong"),"")</f>
        <v/>
      </c>
      <c r="M34" s="6">
        <v>120</v>
      </c>
      <c r="N34" s="34"/>
      <c r="O34" s="35">
        <f>IF(AND(E34&gt;0,G34&gt;=0,K34&gt;0,M34&gt;0),E34+G34+I34+K34+M34,"")</f>
        <v>200</v>
      </c>
      <c r="P34" s="8"/>
      <c r="Q34" s="1"/>
      <c r="R34" s="7"/>
      <c r="S34" s="1"/>
      <c r="T34" s="1"/>
      <c r="U34" s="1"/>
      <c r="V34">
        <v>20</v>
      </c>
      <c r="W34">
        <v>0</v>
      </c>
      <c r="X34">
        <v>0</v>
      </c>
      <c r="Y34">
        <v>60</v>
      </c>
      <c r="Z34">
        <v>120</v>
      </c>
    </row>
    <row r="35" spans="1:27" x14ac:dyDescent="0.15">
      <c r="A35" s="1"/>
      <c r="B35" s="31"/>
      <c r="C35" s="31" t="s">
        <v>71</v>
      </c>
      <c r="D35" s="31"/>
      <c r="E35" s="38">
        <f>IF(AND($K34&gt;0,$M34&gt;0),E34/$O34,"")</f>
        <v>0.1</v>
      </c>
      <c r="F35" s="31"/>
      <c r="G35" s="38"/>
      <c r="H35" s="39"/>
      <c r="I35" s="38"/>
      <c r="J35" s="40"/>
      <c r="K35" s="38">
        <f>IF(AND($K34&gt;0,$M34&gt;0),K34/$O34,"")</f>
        <v>0.3</v>
      </c>
      <c r="L35" s="40"/>
      <c r="M35" s="38">
        <f>IF(AND($K34&gt;0,$M34&gt;0),M34/$O34,"")</f>
        <v>0.6</v>
      </c>
      <c r="N35" s="33"/>
      <c r="O35" s="37">
        <f>IF(AND($K34&gt;0,$M34&gt;0),O34/$O34,"")</f>
        <v>1</v>
      </c>
      <c r="P35" s="8"/>
      <c r="Q35" s="1"/>
      <c r="R35" s="7"/>
      <c r="S35" s="1"/>
      <c r="T35" s="1"/>
      <c r="U35" s="1"/>
    </row>
    <row r="36" spans="1:27" x14ac:dyDescent="0.15">
      <c r="A36" s="1"/>
      <c r="B36" s="31" t="s">
        <v>8</v>
      </c>
      <c r="C36" s="31"/>
      <c r="D36" s="31"/>
      <c r="E36" s="31"/>
      <c r="F36" s="31"/>
      <c r="G36" s="31"/>
      <c r="H36" s="41"/>
      <c r="I36" s="41"/>
      <c r="J36" s="32"/>
      <c r="K36" s="41"/>
      <c r="L36" s="32"/>
      <c r="M36" s="41"/>
      <c r="N36" s="34"/>
      <c r="O36" s="35"/>
      <c r="P36" s="8"/>
      <c r="Q36" s="1"/>
      <c r="R36" s="7"/>
      <c r="S36" s="1"/>
      <c r="T36" s="1"/>
      <c r="U36" s="1"/>
    </row>
    <row r="37" spans="1:27" x14ac:dyDescent="0.15">
      <c r="A37" s="1"/>
      <c r="B37" s="31"/>
      <c r="C37" s="31" t="s">
        <v>62</v>
      </c>
      <c r="D37" s="33"/>
      <c r="E37" s="31"/>
      <c r="F37" s="33"/>
      <c r="G37" s="31"/>
      <c r="H37" s="32" t="str">
        <f>IF(K37&lt;&gt;0,IF(K37=Y37,"","Wrong"),"")</f>
        <v/>
      </c>
      <c r="I37" s="41"/>
      <c r="J37" s="32"/>
      <c r="K37" s="6">
        <v>8000</v>
      </c>
      <c r="L37" s="32" t="str">
        <f>IF(M37&lt;&gt;0,IF(M37=Z37,"","Wrong"),"")</f>
        <v/>
      </c>
      <c r="M37" s="6">
        <v>24000</v>
      </c>
      <c r="N37" s="34"/>
      <c r="O37" s="35">
        <f>IF(AND(K37&gt;0,M37&gt;0),K37+M37,"")</f>
        <v>32000</v>
      </c>
      <c r="P37" s="8"/>
      <c r="Q37" s="1"/>
      <c r="R37" s="7"/>
      <c r="S37" s="1"/>
      <c r="T37" s="1"/>
      <c r="U37" s="1"/>
      <c r="Y37">
        <v>8000</v>
      </c>
      <c r="Z37">
        <v>24000</v>
      </c>
    </row>
    <row r="38" spans="1:27" x14ac:dyDescent="0.15">
      <c r="A38" s="1"/>
      <c r="B38" s="31"/>
      <c r="C38" s="31" t="s">
        <v>71</v>
      </c>
      <c r="D38" s="31"/>
      <c r="E38" s="31"/>
      <c r="F38" s="31"/>
      <c r="G38" s="31"/>
      <c r="H38" s="31"/>
      <c r="I38" s="31"/>
      <c r="J38" s="33"/>
      <c r="K38" s="43">
        <f>IF(AND($K37&gt;0,$M37&gt;0),K37/$O37,"")</f>
        <v>0.25</v>
      </c>
      <c r="L38" s="33"/>
      <c r="M38" s="43">
        <f>IF(AND($K37&gt;0,$M37&gt;0),M37/$O37,"")</f>
        <v>0.75</v>
      </c>
      <c r="N38" s="33"/>
      <c r="O38" s="37">
        <f>IF(AND($K37&gt;0,$M37&gt;0),O37/$O37,"")</f>
        <v>1</v>
      </c>
      <c r="P38" s="8"/>
      <c r="Q38" s="1"/>
      <c r="R38" s="7"/>
      <c r="S38" s="1"/>
      <c r="T38" s="1"/>
      <c r="U38" s="1"/>
    </row>
    <row r="39" spans="1:27" x14ac:dyDescent="0.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7"/>
      <c r="M39" s="1"/>
      <c r="N39" s="7"/>
      <c r="O39" s="1"/>
      <c r="P39" s="7"/>
      <c r="Q39" s="1"/>
      <c r="R39" s="7"/>
      <c r="S39" s="1"/>
      <c r="T39" s="1"/>
      <c r="U39" s="1"/>
    </row>
    <row r="40" spans="1:27" x14ac:dyDescent="0.15">
      <c r="A40" s="1"/>
      <c r="B40" s="2"/>
      <c r="C40" s="1"/>
      <c r="D40" s="1"/>
      <c r="E40" s="1"/>
      <c r="F40" s="1"/>
      <c r="G40" s="1"/>
      <c r="H40" s="1"/>
      <c r="I40" s="1"/>
      <c r="J40" s="7"/>
      <c r="K40" s="1"/>
      <c r="L40" s="7"/>
      <c r="M40" s="1"/>
      <c r="N40" s="7"/>
      <c r="O40" s="1"/>
      <c r="P40" s="7"/>
      <c r="Q40" s="1"/>
      <c r="R40" s="7"/>
      <c r="S40" s="1"/>
      <c r="T40" s="1"/>
      <c r="U40" s="1"/>
    </row>
    <row r="41" spans="1:27" x14ac:dyDescent="0.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7"/>
      <c r="M41" s="1"/>
      <c r="N41" s="7"/>
      <c r="O41" s="1"/>
      <c r="P41" s="7"/>
      <c r="Q41" s="1"/>
      <c r="R41" s="7"/>
      <c r="S41" s="1"/>
      <c r="T41" s="1"/>
      <c r="U41" s="1"/>
    </row>
    <row r="42" spans="1:27" x14ac:dyDescent="0.15">
      <c r="A42" s="1"/>
      <c r="B42" s="25" t="s">
        <v>50</v>
      </c>
      <c r="C42" s="25"/>
      <c r="D42" s="25"/>
      <c r="E42" s="25"/>
      <c r="F42" s="25"/>
      <c r="G42" s="26"/>
      <c r="H42" s="25"/>
      <c r="I42" s="25"/>
      <c r="J42" s="27"/>
      <c r="K42" s="28" t="s">
        <v>52</v>
      </c>
      <c r="L42" s="29"/>
      <c r="M42" s="28"/>
      <c r="N42" s="29"/>
      <c r="O42" s="28"/>
      <c r="P42" s="27"/>
      <c r="Q42" s="28" t="s">
        <v>53</v>
      </c>
      <c r="R42" s="29"/>
      <c r="S42" s="28"/>
      <c r="T42" s="25"/>
      <c r="U42" s="25"/>
    </row>
    <row r="43" spans="1:27" x14ac:dyDescent="0.15">
      <c r="A43" s="1"/>
      <c r="B43" s="25" t="s">
        <v>114</v>
      </c>
      <c r="C43" s="25"/>
      <c r="D43" s="25"/>
      <c r="E43" s="21" t="s">
        <v>51</v>
      </c>
      <c r="F43" s="21" t="s">
        <v>3</v>
      </c>
      <c r="G43" s="21" t="s">
        <v>73</v>
      </c>
      <c r="H43" s="19"/>
      <c r="I43" s="19"/>
      <c r="J43" s="20"/>
      <c r="K43" s="21" t="s">
        <v>41</v>
      </c>
      <c r="L43" s="30"/>
      <c r="M43" s="21" t="s">
        <v>54</v>
      </c>
      <c r="N43" s="30"/>
      <c r="O43" s="21" t="s">
        <v>43</v>
      </c>
      <c r="P43" s="20"/>
      <c r="Q43" s="21" t="s">
        <v>55</v>
      </c>
      <c r="R43" s="20"/>
      <c r="S43" s="21" t="s">
        <v>56</v>
      </c>
      <c r="T43" s="25"/>
      <c r="U43" s="24" t="s">
        <v>2</v>
      </c>
    </row>
    <row r="44" spans="1:27" x14ac:dyDescent="0.15">
      <c r="A44" s="1"/>
      <c r="B44" s="31" t="s">
        <v>49</v>
      </c>
      <c r="C44" s="31"/>
      <c r="D44" s="31"/>
      <c r="E44" s="31"/>
      <c r="F44" s="31"/>
      <c r="G44" s="31"/>
      <c r="H44" s="48"/>
      <c r="I44" s="41"/>
      <c r="J44" s="32" t="str">
        <f>IF(K44&lt;&gt;0,IF(K44=V44,"","Wrong"),"")</f>
        <v/>
      </c>
      <c r="K44" s="10">
        <v>120000</v>
      </c>
      <c r="L44" s="32" t="str">
        <f>IF(M44&lt;&gt;0,IF(M44=W44,"","Wrong"),"")</f>
        <v/>
      </c>
      <c r="M44" s="10">
        <v>540000</v>
      </c>
      <c r="N44" s="32" t="str">
        <f>IF(O44&lt;&gt;0,IF(O44=Y44,"","Wrong"),"")</f>
        <v/>
      </c>
      <c r="O44" s="10">
        <v>220000</v>
      </c>
      <c r="P44" s="32" t="str">
        <f>IF(Q44&lt;&gt;0,IF(Q44=Z44,"","Wrong"),"")</f>
        <v/>
      </c>
      <c r="Q44" s="10">
        <v>137500</v>
      </c>
      <c r="R44" s="32" t="str">
        <f>IF(S44&lt;&gt;0,IF(S44=AA44,"","Wrong"),"")</f>
        <v/>
      </c>
      <c r="S44" s="10">
        <v>222500</v>
      </c>
      <c r="T44" s="31"/>
      <c r="U44" s="31"/>
      <c r="V44">
        <v>120000</v>
      </c>
      <c r="W44">
        <v>540000</v>
      </c>
      <c r="Y44">
        <v>220000</v>
      </c>
      <c r="Z44">
        <v>137500</v>
      </c>
      <c r="AA44">
        <v>222500</v>
      </c>
    </row>
    <row r="45" spans="1:27" x14ac:dyDescent="0.15">
      <c r="A45" s="1"/>
      <c r="B45" s="31" t="s">
        <v>57</v>
      </c>
      <c r="C45" s="31"/>
      <c r="D45" s="31"/>
      <c r="E45" s="31"/>
      <c r="F45" s="31"/>
      <c r="G45" s="41"/>
      <c r="H45" s="49"/>
      <c r="I45" s="49"/>
      <c r="J45" s="50"/>
      <c r="K45" s="31"/>
      <c r="L45" s="33"/>
      <c r="M45" s="31"/>
      <c r="N45" s="33"/>
      <c r="O45" s="31"/>
      <c r="P45" s="33"/>
      <c r="Q45" s="41"/>
      <c r="R45" s="51"/>
      <c r="S45" s="41"/>
      <c r="T45" s="35"/>
      <c r="U45" s="35"/>
    </row>
    <row r="46" spans="1:27" x14ac:dyDescent="0.15">
      <c r="A46" s="1"/>
      <c r="B46" s="31"/>
      <c r="C46" s="31" t="s">
        <v>8</v>
      </c>
      <c r="D46" s="41" t="str">
        <f>IF(E46&lt;&gt;0,IF(E46=V46,"","Wrong"),"")</f>
        <v/>
      </c>
      <c r="E46" s="10">
        <f>M44</f>
        <v>540000</v>
      </c>
      <c r="F46" s="62" t="s">
        <v>3</v>
      </c>
      <c r="G46" s="12">
        <f>E32</f>
        <v>0.125</v>
      </c>
      <c r="H46" s="49" t="str">
        <f>IF(G46&lt;&gt;0,IF(G46=W46,"","Wrong"),"")</f>
        <v/>
      </c>
      <c r="I46" s="49"/>
      <c r="J46" s="52"/>
      <c r="K46" s="35">
        <f>IF(AND(E46&gt;0,G46&gt;0),E46*G46,"")</f>
        <v>67500</v>
      </c>
      <c r="L46" s="33"/>
      <c r="M46" s="35">
        <f>IF(AND(E46&gt;0,G46&gt;0),-K46,"")</f>
        <v>-67500</v>
      </c>
      <c r="N46" s="34"/>
      <c r="O46" s="35"/>
      <c r="P46" s="33"/>
      <c r="Q46" s="41"/>
      <c r="R46" s="51"/>
      <c r="S46" s="41"/>
      <c r="T46" s="35"/>
      <c r="U46" s="35"/>
      <c r="V46">
        <v>540000</v>
      </c>
      <c r="W46">
        <v>0.125</v>
      </c>
    </row>
    <row r="47" spans="1:27" x14ac:dyDescent="0.15">
      <c r="A47" s="1"/>
      <c r="B47" s="31"/>
      <c r="C47" s="31" t="s">
        <v>36</v>
      </c>
      <c r="D47" s="41" t="str">
        <f>IF(E47&lt;&gt;0,IF(E47=V47,"","Wrong"),"")</f>
        <v/>
      </c>
      <c r="E47" s="11">
        <f>M44</f>
        <v>540000</v>
      </c>
      <c r="F47" s="62" t="s">
        <v>3</v>
      </c>
      <c r="G47" s="13">
        <f>I32</f>
        <v>0.125</v>
      </c>
      <c r="H47" s="49" t="str">
        <f>IF(G47&lt;&gt;0,IF(G47=W47,"","Wrong"),"")</f>
        <v/>
      </c>
      <c r="I47" s="49"/>
      <c r="J47" s="50"/>
      <c r="K47" s="48"/>
      <c r="L47" s="33"/>
      <c r="M47" s="35">
        <f>IF(AND(E47&gt;0,G47&gt;0),-O47,"")</f>
        <v>-67500</v>
      </c>
      <c r="N47" s="34"/>
      <c r="O47" s="35">
        <f>IF(AND(E47&gt;0,G47&gt;0),E47*G47,"")</f>
        <v>67500</v>
      </c>
      <c r="P47" s="33"/>
      <c r="Q47" s="41"/>
      <c r="R47" s="51"/>
      <c r="S47" s="41"/>
      <c r="T47" s="35"/>
      <c r="U47" s="35"/>
      <c r="V47">
        <v>540000</v>
      </c>
      <c r="W47">
        <v>0.125</v>
      </c>
    </row>
    <row r="48" spans="1:27" x14ac:dyDescent="0.15">
      <c r="A48" s="1"/>
      <c r="B48" s="31"/>
      <c r="C48" s="31" t="s">
        <v>58</v>
      </c>
      <c r="D48" s="41" t="str">
        <f>IF(E48&lt;&gt;0,IF(E48=V48,"","Wrong"),"")</f>
        <v/>
      </c>
      <c r="E48" s="11">
        <f>M44</f>
        <v>540000</v>
      </c>
      <c r="F48" s="62" t="s">
        <v>3</v>
      </c>
      <c r="G48" s="13">
        <f>K32</f>
        <v>0.4</v>
      </c>
      <c r="H48" s="49" t="str">
        <f>IF(G48&lt;&gt;0,IF(G48=W48,"","Wrong"),"")</f>
        <v/>
      </c>
      <c r="I48" s="49"/>
      <c r="J48" s="50"/>
      <c r="K48" s="48"/>
      <c r="L48" s="33"/>
      <c r="M48" s="35">
        <f>IF(AND(E48&gt;0,G48&gt;0),-Q48,"")</f>
        <v>-216000</v>
      </c>
      <c r="N48" s="34"/>
      <c r="O48" s="35"/>
      <c r="P48" s="34"/>
      <c r="Q48" s="35">
        <f>IF(AND(E48&gt;0,G48&gt;0),E48*G48,"")</f>
        <v>216000</v>
      </c>
      <c r="R48" s="34"/>
      <c r="S48" s="35"/>
      <c r="T48" s="31"/>
      <c r="U48" s="31"/>
      <c r="V48">
        <v>540000</v>
      </c>
      <c r="W48">
        <v>0.4</v>
      </c>
    </row>
    <row r="49" spans="1:23" x14ac:dyDescent="0.15">
      <c r="A49" s="1"/>
      <c r="B49" s="31"/>
      <c r="C49" s="31" t="s">
        <v>59</v>
      </c>
      <c r="D49" s="41" t="str">
        <f>IF(E49&lt;&gt;0,IF(E49=V49,"","Wrong"),"")</f>
        <v/>
      </c>
      <c r="E49" s="11">
        <f>M44</f>
        <v>540000</v>
      </c>
      <c r="F49" s="62" t="s">
        <v>3</v>
      </c>
      <c r="G49" s="13">
        <f>M32</f>
        <v>0.35</v>
      </c>
      <c r="H49" s="49" t="str">
        <f>IF(G49&lt;&gt;0,IF(G49=W49,"","Wrong"),"")</f>
        <v/>
      </c>
      <c r="I49" s="49"/>
      <c r="J49" s="50"/>
      <c r="K49" s="48"/>
      <c r="L49" s="33"/>
      <c r="M49" s="35">
        <f>IF(AND(E49&gt;0,G49&gt;0),-S49,"")</f>
        <v>-189000</v>
      </c>
      <c r="N49" s="33"/>
      <c r="O49" s="35"/>
      <c r="P49" s="34"/>
      <c r="Q49" s="53"/>
      <c r="R49" s="54"/>
      <c r="S49" s="53">
        <f>IF(AND(E49&gt;0,G49&gt;0),E49*G49,"")</f>
        <v>189000</v>
      </c>
      <c r="T49" s="31"/>
      <c r="U49" s="31"/>
      <c r="V49">
        <v>540000</v>
      </c>
      <c r="W49">
        <v>0.35</v>
      </c>
    </row>
    <row r="50" spans="1:23" x14ac:dyDescent="0.15">
      <c r="A50" s="1"/>
      <c r="B50" s="31" t="s">
        <v>4</v>
      </c>
      <c r="C50" s="31"/>
      <c r="D50" s="41"/>
      <c r="E50" s="41"/>
      <c r="F50" s="41"/>
      <c r="G50" s="41"/>
      <c r="H50" s="41"/>
      <c r="I50" s="41"/>
      <c r="J50" s="32"/>
      <c r="K50" s="31"/>
      <c r="L50" s="33"/>
      <c r="M50" s="55"/>
      <c r="N50" s="33"/>
      <c r="O50" s="31"/>
      <c r="P50" s="33"/>
      <c r="Q50" s="56"/>
      <c r="R50" s="57"/>
      <c r="S50" s="58"/>
      <c r="T50" s="31"/>
      <c r="U50" s="31"/>
    </row>
    <row r="51" spans="1:23" x14ac:dyDescent="0.15">
      <c r="A51" s="1"/>
      <c r="B51" s="31" t="s">
        <v>36</v>
      </c>
      <c r="C51" s="31"/>
      <c r="D51" s="31"/>
      <c r="E51" s="31"/>
      <c r="F51" s="31"/>
      <c r="G51" s="41"/>
      <c r="H51" s="49"/>
      <c r="I51" s="49"/>
      <c r="J51" s="50"/>
      <c r="K51" s="31"/>
      <c r="L51" s="33"/>
      <c r="M51" s="35"/>
      <c r="N51" s="34"/>
      <c r="O51" s="35"/>
      <c r="P51" s="34"/>
      <c r="Q51" s="59"/>
      <c r="R51" s="36"/>
      <c r="S51" s="59"/>
      <c r="T51" s="35"/>
      <c r="U51" s="35"/>
    </row>
    <row r="52" spans="1:23" x14ac:dyDescent="0.15">
      <c r="A52" s="1"/>
      <c r="B52" s="31"/>
      <c r="C52" s="31" t="s">
        <v>8</v>
      </c>
      <c r="D52" s="41" t="str">
        <f>IF(E52&lt;&gt;0,IF(E52=V52,"","Wrong"),"")</f>
        <v/>
      </c>
      <c r="E52" s="10">
        <f>O44+O47</f>
        <v>287500</v>
      </c>
      <c r="F52" s="62" t="s">
        <v>3</v>
      </c>
      <c r="G52" s="12">
        <f>E35</f>
        <v>0.1</v>
      </c>
      <c r="H52" s="49" t="str">
        <f>IF(G52&lt;&gt;0,IF(G52=W52,"","Wrong"),"")</f>
        <v/>
      </c>
      <c r="I52" s="49"/>
      <c r="J52" s="50"/>
      <c r="K52" s="35">
        <f>IF(AND(E52&gt;0,G52&gt;0),E52*G52,"")</f>
        <v>28750</v>
      </c>
      <c r="L52" s="33"/>
      <c r="M52" s="48"/>
      <c r="N52" s="34"/>
      <c r="O52" s="35">
        <f>IF(AND(E52&gt;0,G52&gt;0),-K52,"")</f>
        <v>-28750</v>
      </c>
      <c r="P52" s="34"/>
      <c r="Q52" s="59"/>
      <c r="R52" s="36"/>
      <c r="S52" s="59"/>
      <c r="T52" s="35"/>
      <c r="U52" s="35"/>
      <c r="V52">
        <v>287500</v>
      </c>
      <c r="W52">
        <v>0.1</v>
      </c>
    </row>
    <row r="53" spans="1:23" x14ac:dyDescent="0.15">
      <c r="A53" s="1"/>
      <c r="B53" s="31"/>
      <c r="C53" s="31" t="s">
        <v>58</v>
      </c>
      <c r="D53" s="41" t="str">
        <f>IF(E53&lt;&gt;0,IF(E53=V53,"","Wrong"),"")</f>
        <v/>
      </c>
      <c r="E53" s="11">
        <f>O44+O47</f>
        <v>287500</v>
      </c>
      <c r="F53" s="62" t="s">
        <v>3</v>
      </c>
      <c r="G53" s="13">
        <f>K35</f>
        <v>0.3</v>
      </c>
      <c r="H53" s="49" t="str">
        <f>IF(G53&lt;&gt;0,IF(G53=W53,"","Wrong"),"")</f>
        <v/>
      </c>
      <c r="I53" s="49"/>
      <c r="J53" s="50"/>
      <c r="K53" s="35"/>
      <c r="L53" s="33"/>
      <c r="M53" s="48"/>
      <c r="N53" s="34"/>
      <c r="O53" s="35">
        <f>IF(AND(E53&gt;0,G53&gt;0),-Q53,"")</f>
        <v>-86250</v>
      </c>
      <c r="P53" s="34"/>
      <c r="Q53" s="35">
        <f>IF(AND(E53&gt;0,G53&gt;0),E53*G53,"")</f>
        <v>86250</v>
      </c>
      <c r="R53" s="34"/>
      <c r="S53" s="35"/>
      <c r="T53" s="31"/>
      <c r="U53" s="31"/>
      <c r="V53">
        <v>287500</v>
      </c>
      <c r="W53">
        <v>0.3</v>
      </c>
    </row>
    <row r="54" spans="1:23" x14ac:dyDescent="0.15">
      <c r="A54" s="1"/>
      <c r="B54" s="31"/>
      <c r="C54" s="31" t="s">
        <v>59</v>
      </c>
      <c r="D54" s="41" t="str">
        <f>IF(E54&lt;&gt;0,IF(E54=V54,"","Wrong"),"")</f>
        <v/>
      </c>
      <c r="E54" s="11">
        <f>O44+O47</f>
        <v>287500</v>
      </c>
      <c r="F54" s="62" t="s">
        <v>3</v>
      </c>
      <c r="G54" s="13">
        <f>M35</f>
        <v>0.6</v>
      </c>
      <c r="H54" s="49" t="str">
        <f>IF(G54&lt;&gt;0,IF(G54=W54,"","Wrong"),"")</f>
        <v/>
      </c>
      <c r="I54" s="49"/>
      <c r="J54" s="50"/>
      <c r="K54" s="35"/>
      <c r="L54" s="33"/>
      <c r="M54" s="48"/>
      <c r="N54" s="34"/>
      <c r="O54" s="53">
        <f>IF(AND(E54&gt;0,G54&gt;0),-S54,"")</f>
        <v>-172500</v>
      </c>
      <c r="P54" s="34"/>
      <c r="Q54" s="53"/>
      <c r="R54" s="54"/>
      <c r="S54" s="53">
        <f>IF(AND(E54&gt;0,G54&gt;0),E54*G54,"")</f>
        <v>172500</v>
      </c>
      <c r="T54" s="31"/>
      <c r="U54" s="31"/>
      <c r="V54">
        <v>287500</v>
      </c>
      <c r="W54">
        <v>0.6</v>
      </c>
    </row>
    <row r="55" spans="1:23" x14ac:dyDescent="0.15">
      <c r="A55" s="1"/>
      <c r="B55" s="31" t="s">
        <v>4</v>
      </c>
      <c r="C55" s="31"/>
      <c r="D55" s="31"/>
      <c r="E55" s="31"/>
      <c r="F55" s="31"/>
      <c r="G55" s="31"/>
      <c r="H55" s="49"/>
      <c r="I55" s="49"/>
      <c r="J55" s="50"/>
      <c r="K55" s="31"/>
      <c r="L55" s="33"/>
      <c r="M55" s="53"/>
      <c r="N55" s="34"/>
      <c r="O55" s="53"/>
      <c r="P55" s="34"/>
      <c r="Q55" s="53"/>
      <c r="R55" s="54"/>
      <c r="S55" s="53"/>
      <c r="T55" s="31"/>
      <c r="U55" s="31"/>
    </row>
    <row r="56" spans="1:23" x14ac:dyDescent="0.15">
      <c r="A56" s="1"/>
      <c r="B56" s="31" t="s">
        <v>8</v>
      </c>
      <c r="C56" s="31"/>
      <c r="D56" s="31"/>
      <c r="E56" s="31"/>
      <c r="F56" s="31"/>
      <c r="G56" s="41"/>
      <c r="H56" s="49"/>
      <c r="I56" s="49"/>
      <c r="J56" s="50"/>
      <c r="K56" s="31"/>
      <c r="L56" s="33"/>
      <c r="M56" s="31"/>
      <c r="N56" s="33"/>
      <c r="O56" s="31"/>
      <c r="P56" s="33"/>
      <c r="Q56" s="59"/>
      <c r="R56" s="36"/>
      <c r="S56" s="59"/>
      <c r="T56" s="35"/>
      <c r="U56" s="35"/>
    </row>
    <row r="57" spans="1:23" x14ac:dyDescent="0.15">
      <c r="A57" s="1"/>
      <c r="B57" s="31"/>
      <c r="C57" s="83" t="s">
        <v>58</v>
      </c>
      <c r="D57" s="41" t="str">
        <f>IF(E57&lt;&gt;0,IF(E57=V57,"","Wrong"),"")</f>
        <v/>
      </c>
      <c r="E57" s="10">
        <f>K44+K46+K52</f>
        <v>216250</v>
      </c>
      <c r="F57" s="62" t="s">
        <v>3</v>
      </c>
      <c r="G57" s="14">
        <v>0.25</v>
      </c>
      <c r="H57" s="49" t="str">
        <f>IF(G57&lt;&gt;0,IF(G57=W57,"","Wrong"),"")</f>
        <v/>
      </c>
      <c r="I57" s="49"/>
      <c r="J57" s="50"/>
      <c r="K57" s="35">
        <f>IF(AND(E57&gt;0,G57&gt;0),-Q57,"")</f>
        <v>-54062.5</v>
      </c>
      <c r="L57" s="33"/>
      <c r="M57" s="31"/>
      <c r="N57" s="33"/>
      <c r="O57" s="48"/>
      <c r="P57" s="33"/>
      <c r="Q57" s="35">
        <f>IF(AND(E57&gt;0,G57&gt;0),E57*G57,"")</f>
        <v>54062.5</v>
      </c>
      <c r="R57" s="34"/>
      <c r="S57" s="35"/>
      <c r="T57" s="31"/>
      <c r="U57" s="31"/>
      <c r="V57">
        <v>216250</v>
      </c>
      <c r="W57">
        <v>0.25</v>
      </c>
    </row>
    <row r="58" spans="1:23" x14ac:dyDescent="0.15">
      <c r="A58" s="1"/>
      <c r="B58" s="31"/>
      <c r="C58" s="83" t="s">
        <v>59</v>
      </c>
      <c r="D58" s="41" t="str">
        <f>IF(E58&lt;&gt;0,IF(E58=V58,"","Wrong"),"")</f>
        <v/>
      </c>
      <c r="E58" s="11">
        <f>K44+K46+K52</f>
        <v>216250</v>
      </c>
      <c r="F58" s="62" t="s">
        <v>3</v>
      </c>
      <c r="G58" s="15">
        <v>0.75</v>
      </c>
      <c r="H58" s="49" t="str">
        <f>IF(G58&lt;&gt;0,IF(G58=W58,"","Wrong"),"")</f>
        <v/>
      </c>
      <c r="I58" s="49"/>
      <c r="J58" s="50"/>
      <c r="K58" s="35">
        <f>IF(AND(E58&gt;0,G58&gt;0),-S58,"")</f>
        <v>-162188</v>
      </c>
      <c r="L58" s="33"/>
      <c r="M58" s="31"/>
      <c r="N58" s="33"/>
      <c r="O58" s="48"/>
      <c r="P58" s="33"/>
      <c r="Q58" s="53"/>
      <c r="R58" s="54"/>
      <c r="S58" s="53">
        <f>IF(AND(E58&gt;0,G58&gt;0),ROUNDUP(E58*G58,0),"")</f>
        <v>162188</v>
      </c>
      <c r="T58" s="31"/>
      <c r="U58" s="31"/>
      <c r="V58">
        <v>216250</v>
      </c>
      <c r="W58">
        <v>0.75</v>
      </c>
    </row>
    <row r="59" spans="1:23" ht="14" thickBot="1" x14ac:dyDescent="0.2">
      <c r="A59" s="1"/>
      <c r="B59" s="31" t="s">
        <v>2</v>
      </c>
      <c r="C59" s="31"/>
      <c r="D59" s="31"/>
      <c r="E59" s="31"/>
      <c r="F59" s="31"/>
      <c r="G59" s="31"/>
      <c r="H59" s="31"/>
      <c r="I59" s="31"/>
      <c r="J59" s="33"/>
      <c r="K59" s="60">
        <f>IF(AND(G49&gt;0,E49&gt;0),SUM(K44:K58),"")</f>
        <v>-0.5</v>
      </c>
      <c r="L59" s="33"/>
      <c r="M59" s="60">
        <f>IF(AND(E54&gt;0,G54&gt;0),SUM(M50:M58),"")</f>
        <v>0</v>
      </c>
      <c r="N59" s="33"/>
      <c r="O59" s="60">
        <f>IF(AND(E58&gt;0,G58&gt;0),ROUND(SUM(O55:O58),0),"")</f>
        <v>0</v>
      </c>
      <c r="P59" s="33"/>
      <c r="Q59" s="60">
        <f>IF(AND(E57&gt;0,G57&gt;0,Q44&gt;0),SUM(Q44:Q58),"")</f>
        <v>493812.5</v>
      </c>
      <c r="R59" s="33"/>
      <c r="S59" s="60">
        <f>IF(AND(S44&gt;0,G58&gt;0,E58&gt;0),SUM(S44:S58),"")</f>
        <v>746188</v>
      </c>
      <c r="T59" s="31"/>
      <c r="U59" s="61">
        <f>IF(AND(S44&gt;0,G58&gt;0,E58&gt;0),Q59+S59,"")</f>
        <v>1240000.5</v>
      </c>
    </row>
    <row r="60" spans="1:23" ht="14" thickTop="1" x14ac:dyDescent="0.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7"/>
      <c r="M60" s="1"/>
      <c r="N60" s="7"/>
      <c r="O60" s="1"/>
      <c r="P60" s="7"/>
      <c r="Q60" s="1"/>
      <c r="R60" s="7"/>
      <c r="S60" s="1"/>
      <c r="T60" s="1"/>
      <c r="U60" s="1"/>
    </row>
    <row r="61" spans="1:23" x14ac:dyDescent="0.15">
      <c r="A61" s="1" t="s">
        <v>5</v>
      </c>
      <c r="B61" s="25" t="s">
        <v>60</v>
      </c>
      <c r="C61" s="25"/>
      <c r="D61" s="25"/>
      <c r="E61" s="21"/>
      <c r="F61" s="21"/>
      <c r="G61" s="21"/>
      <c r="H61" s="19"/>
      <c r="I61" s="19"/>
      <c r="J61" s="20"/>
      <c r="K61" s="21" t="s">
        <v>58</v>
      </c>
      <c r="L61" s="20"/>
      <c r="M61" s="21" t="s">
        <v>59</v>
      </c>
      <c r="N61" s="7"/>
      <c r="O61" s="1"/>
      <c r="P61" s="7"/>
      <c r="Q61" s="1"/>
      <c r="R61" s="7"/>
      <c r="S61" s="1"/>
      <c r="T61" s="1"/>
      <c r="U61" s="1"/>
    </row>
    <row r="62" spans="1:23" x14ac:dyDescent="0.15">
      <c r="A62" s="1"/>
      <c r="B62" s="31"/>
      <c r="C62" s="31"/>
      <c r="D62" s="31"/>
      <c r="E62" s="31"/>
      <c r="F62" s="31"/>
      <c r="G62" s="31"/>
      <c r="H62" s="31"/>
      <c r="I62" s="31"/>
      <c r="J62" s="33"/>
      <c r="K62" s="31"/>
      <c r="L62" s="33"/>
      <c r="M62" s="31"/>
      <c r="N62" s="7"/>
      <c r="O62" s="1"/>
      <c r="P62" s="7"/>
      <c r="Q62" s="1"/>
      <c r="R62" s="7"/>
      <c r="S62" s="1"/>
      <c r="T62" s="1"/>
      <c r="U62" s="1"/>
    </row>
    <row r="63" spans="1:23" x14ac:dyDescent="0.15">
      <c r="A63" s="1"/>
      <c r="B63" s="31"/>
      <c r="C63" s="44" t="s">
        <v>61</v>
      </c>
      <c r="D63" s="31"/>
      <c r="E63" s="31"/>
      <c r="F63" s="31"/>
      <c r="G63" s="31"/>
      <c r="H63" s="41" t="str">
        <f>IF(K63&lt;&gt;0,IF(K63=V63,"","Wrong"),"")</f>
        <v/>
      </c>
      <c r="I63" s="41"/>
      <c r="J63" s="32"/>
      <c r="K63" s="16">
        <f>ROUNDUP(Q59,0)</f>
        <v>493813</v>
      </c>
      <c r="L63" s="32" t="str">
        <f>IF(M63&lt;&gt;0,IF(M63=W63,"","Wrong"),"")</f>
        <v/>
      </c>
      <c r="M63" s="16">
        <f>S59</f>
        <v>746188</v>
      </c>
      <c r="N63" s="7"/>
      <c r="O63" s="1"/>
      <c r="P63" s="7"/>
      <c r="Q63" s="1"/>
      <c r="R63" s="7"/>
      <c r="S63" s="1"/>
      <c r="T63" s="1"/>
      <c r="U63" s="1"/>
      <c r="V63">
        <v>493813</v>
      </c>
      <c r="W63">
        <v>746188</v>
      </c>
    </row>
    <row r="64" spans="1:23" x14ac:dyDescent="0.15">
      <c r="A64" s="1"/>
      <c r="B64" s="31"/>
      <c r="C64" s="45" t="s">
        <v>62</v>
      </c>
      <c r="D64" s="31"/>
      <c r="E64" s="31"/>
      <c r="F64" s="31"/>
      <c r="G64" s="31"/>
      <c r="H64" s="41" t="str">
        <f>IF(K64&lt;&gt;0,IF(K64=V64,"","Wrong"),"")</f>
        <v/>
      </c>
      <c r="I64" s="41"/>
      <c r="J64" s="32"/>
      <c r="K64" s="6">
        <v>8000</v>
      </c>
      <c r="L64" s="32" t="str">
        <f>IF(M64&lt;&gt;0,IF(M64=W64,"","Wrong"),"")</f>
        <v/>
      </c>
      <c r="M64" s="6">
        <v>24000</v>
      </c>
      <c r="N64" s="7"/>
      <c r="O64" s="1"/>
      <c r="P64" s="7"/>
      <c r="Q64" s="1"/>
      <c r="R64" s="7"/>
      <c r="S64" s="1"/>
      <c r="T64" s="1"/>
      <c r="U64" s="1"/>
      <c r="V64">
        <v>8000</v>
      </c>
      <c r="W64">
        <v>24000</v>
      </c>
    </row>
    <row r="65" spans="1:21" x14ac:dyDescent="0.15">
      <c r="A65" s="1"/>
      <c r="B65" s="31"/>
      <c r="C65" s="31"/>
      <c r="D65" s="31"/>
      <c r="E65" s="31"/>
      <c r="F65" s="31"/>
      <c r="G65" s="31"/>
      <c r="H65" s="31"/>
      <c r="I65" s="31"/>
      <c r="J65" s="33"/>
      <c r="K65" s="31"/>
      <c r="L65" s="33"/>
      <c r="M65" s="31"/>
      <c r="N65" s="7"/>
      <c r="O65" s="1"/>
      <c r="P65" s="7"/>
      <c r="Q65" s="1"/>
      <c r="R65" s="7"/>
      <c r="S65" s="1"/>
      <c r="T65" s="1"/>
      <c r="U65" s="1"/>
    </row>
    <row r="66" spans="1:21" x14ac:dyDescent="0.15">
      <c r="A66" s="1"/>
      <c r="B66" s="31"/>
      <c r="C66" s="31" t="s">
        <v>63</v>
      </c>
      <c r="D66" s="31"/>
      <c r="E66" s="31"/>
      <c r="F66" s="31"/>
      <c r="G66" s="31"/>
      <c r="H66" s="31"/>
      <c r="I66" s="31"/>
      <c r="J66" s="33"/>
      <c r="K66" s="46">
        <f>IF(AND(K63&gt;0,K64&gt;0),K63/K64,"")</f>
        <v>61.726624999999999</v>
      </c>
      <c r="L66" s="33"/>
      <c r="M66" s="47">
        <f>IF(AND(M63&gt;0,M64&gt;0),M63/M64,"")</f>
        <v>31.091166666666666</v>
      </c>
      <c r="N66" s="7"/>
      <c r="O66" s="1"/>
      <c r="P66" s="7"/>
      <c r="Q66" s="1"/>
      <c r="R66" s="7"/>
      <c r="S66" s="1"/>
      <c r="T66" s="1"/>
      <c r="U66" s="1"/>
    </row>
    <row r="67" spans="1:21" x14ac:dyDescent="0.15">
      <c r="A67" s="1"/>
      <c r="B67" s="1"/>
      <c r="C67" s="1"/>
      <c r="D67" s="1"/>
      <c r="E67" s="1"/>
      <c r="F67" s="1"/>
      <c r="G67" s="1"/>
      <c r="H67" s="1"/>
      <c r="I67" s="1"/>
      <c r="J67" s="7"/>
      <c r="K67" s="1"/>
      <c r="L67" s="7"/>
      <c r="M67" s="1"/>
      <c r="N67" s="7"/>
      <c r="O67" s="1"/>
      <c r="P67" s="7"/>
      <c r="Q67" s="1"/>
      <c r="R67" s="7"/>
      <c r="S67" s="1"/>
      <c r="T67" s="1"/>
      <c r="U67" s="1"/>
    </row>
    <row r="68" spans="1:21" x14ac:dyDescent="0.15">
      <c r="A68" s="1"/>
      <c r="B68" s="1"/>
      <c r="C68" s="1"/>
      <c r="D68" s="1"/>
      <c r="E68" s="1"/>
      <c r="F68" s="1"/>
      <c r="G68" s="1"/>
      <c r="H68" s="1"/>
      <c r="I68" s="1"/>
      <c r="J68" s="7"/>
      <c r="K68" s="1"/>
      <c r="L68" s="7"/>
      <c r="M68" s="1"/>
      <c r="N68" s="7"/>
      <c r="O68" s="1"/>
      <c r="P68" s="7"/>
      <c r="Q68" s="1"/>
      <c r="R68" s="7"/>
      <c r="S68" s="1"/>
      <c r="T68" s="1"/>
      <c r="U68" s="1"/>
    </row>
    <row r="69" spans="1:21" x14ac:dyDescent="0.15">
      <c r="J69" s="9"/>
      <c r="L69" s="9"/>
      <c r="N69" s="9"/>
      <c r="P69" s="9"/>
      <c r="R69" s="9"/>
    </row>
    <row r="70" spans="1:21" x14ac:dyDescent="0.15">
      <c r="J70" s="9"/>
      <c r="L70" s="9"/>
      <c r="N70" s="9"/>
      <c r="P70" s="9"/>
      <c r="R70" s="9"/>
    </row>
    <row r="71" spans="1:21" x14ac:dyDescent="0.15">
      <c r="J71" s="9"/>
      <c r="L71" s="9"/>
      <c r="N71" s="9"/>
      <c r="P71" s="9"/>
      <c r="R71" s="9"/>
    </row>
    <row r="72" spans="1:21" x14ac:dyDescent="0.15">
      <c r="J72" s="9"/>
      <c r="L72" s="9"/>
      <c r="N72" s="9"/>
      <c r="P72" s="9"/>
      <c r="R72" s="9"/>
    </row>
  </sheetData>
  <mergeCells count="1">
    <mergeCell ref="L23:O23"/>
  </mergeCells>
  <pageMargins left="0.7" right="0.7" top="0.75" bottom="0.75" header="0.3" footer="0.3"/>
  <pageSetup scale="44" fitToHeight="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K67"/>
  <sheetViews>
    <sheetView tabSelected="1" topLeftCell="A18" zoomScale="120" zoomScaleNormal="120" workbookViewId="0">
      <pane ySplit="3860" topLeftCell="A43"/>
      <selection activeCell="K21" sqref="K21"/>
      <selection pane="bottomLeft" activeCell="K55" sqref="K55"/>
    </sheetView>
  </sheetViews>
  <sheetFormatPr baseColWidth="10" defaultRowHeight="13" x14ac:dyDescent="0.15"/>
  <cols>
    <col min="3" max="3" width="12.1640625" bestFit="1" customWidth="1"/>
    <col min="4" max="4" width="12" customWidth="1"/>
  </cols>
  <sheetData>
    <row r="3" spans="2:8" ht="19" x14ac:dyDescent="0.2">
      <c r="B3" s="65" t="s">
        <v>74</v>
      </c>
    </row>
    <row r="4" spans="2:8" x14ac:dyDescent="0.15">
      <c r="B4" s="66" t="s">
        <v>75</v>
      </c>
    </row>
    <row r="5" spans="2:8" x14ac:dyDescent="0.15">
      <c r="B5" s="66" t="s">
        <v>76</v>
      </c>
    </row>
    <row r="6" spans="2:8" x14ac:dyDescent="0.15">
      <c r="D6" s="84" t="s">
        <v>83</v>
      </c>
      <c r="G6" s="84" t="s">
        <v>84</v>
      </c>
    </row>
    <row r="7" spans="2:8" x14ac:dyDescent="0.15">
      <c r="D7" s="84" t="s">
        <v>81</v>
      </c>
      <c r="E7" s="84" t="s">
        <v>82</v>
      </c>
      <c r="G7" s="129" t="s">
        <v>92</v>
      </c>
      <c r="H7" s="84" t="s">
        <v>85</v>
      </c>
    </row>
    <row r="8" spans="2:8" x14ac:dyDescent="0.15">
      <c r="B8" s="66" t="s">
        <v>86</v>
      </c>
      <c r="D8" s="85">
        <v>200000</v>
      </c>
      <c r="E8" s="85">
        <v>60000</v>
      </c>
      <c r="F8" s="85"/>
      <c r="G8" s="85">
        <v>43000</v>
      </c>
      <c r="H8" s="85">
        <v>74000</v>
      </c>
    </row>
    <row r="9" spans="2:8" x14ac:dyDescent="0.15">
      <c r="B9" s="66" t="s">
        <v>87</v>
      </c>
      <c r="D9" s="86"/>
      <c r="E9" s="86">
        <v>2700</v>
      </c>
      <c r="F9" s="86"/>
      <c r="G9" s="86">
        <v>5400</v>
      </c>
      <c r="H9" s="86">
        <v>5400</v>
      </c>
    </row>
    <row r="10" spans="2:8" x14ac:dyDescent="0.15">
      <c r="B10" s="66" t="s">
        <v>88</v>
      </c>
      <c r="D10" s="86">
        <v>30</v>
      </c>
      <c r="E10" s="86"/>
      <c r="F10" s="86"/>
      <c r="G10" s="86">
        <v>72</v>
      </c>
      <c r="H10" s="86">
        <v>198</v>
      </c>
    </row>
    <row r="11" spans="2:8" x14ac:dyDescent="0.15">
      <c r="B11" s="66" t="s">
        <v>89</v>
      </c>
      <c r="D11" s="86"/>
      <c r="E11" s="86"/>
      <c r="F11" s="86"/>
      <c r="G11" s="86">
        <v>25000</v>
      </c>
      <c r="H11" s="86">
        <v>40000</v>
      </c>
    </row>
    <row r="12" spans="2:8" ht="16" x14ac:dyDescent="0.2">
      <c r="B12" s="67" t="s">
        <v>32</v>
      </c>
    </row>
    <row r="13" spans="2:8" x14ac:dyDescent="0.15">
      <c r="B13" s="66" t="s">
        <v>77</v>
      </c>
    </row>
    <row r="14" spans="2:8" x14ac:dyDescent="0.15">
      <c r="B14" s="66" t="s">
        <v>78</v>
      </c>
    </row>
    <row r="15" spans="2:8" x14ac:dyDescent="0.15">
      <c r="B15" s="66" t="s">
        <v>79</v>
      </c>
    </row>
    <row r="16" spans="2:8" x14ac:dyDescent="0.15">
      <c r="B16" s="66" t="s">
        <v>80</v>
      </c>
    </row>
    <row r="18" spans="2:11" x14ac:dyDescent="0.15">
      <c r="B18" s="73"/>
      <c r="C18" s="73"/>
      <c r="D18" s="73"/>
      <c r="E18" s="73"/>
      <c r="F18" s="73"/>
      <c r="G18" s="73"/>
      <c r="H18" s="73"/>
      <c r="I18" s="73"/>
      <c r="J18" s="87"/>
    </row>
    <row r="19" spans="2:11" x14ac:dyDescent="0.15">
      <c r="B19" s="120"/>
      <c r="C19" s="120"/>
      <c r="D19" s="121" t="s">
        <v>90</v>
      </c>
      <c r="E19" s="121"/>
      <c r="F19" s="120"/>
      <c r="G19" s="121" t="s">
        <v>91</v>
      </c>
      <c r="H19" s="121"/>
      <c r="I19" s="119"/>
      <c r="J19" s="122"/>
    </row>
    <row r="20" spans="2:11" x14ac:dyDescent="0.15">
      <c r="B20" s="121"/>
      <c r="C20" s="121"/>
      <c r="D20" s="123" t="s">
        <v>81</v>
      </c>
      <c r="E20" s="118" t="s">
        <v>82</v>
      </c>
      <c r="F20" s="123"/>
      <c r="G20" s="124" t="s">
        <v>85</v>
      </c>
      <c r="H20" s="123" t="s">
        <v>92</v>
      </c>
      <c r="I20" s="119"/>
      <c r="J20" s="122"/>
      <c r="K20" s="105" t="s">
        <v>117</v>
      </c>
    </row>
    <row r="21" spans="2:11" x14ac:dyDescent="0.15">
      <c r="B21" s="66" t="s">
        <v>86</v>
      </c>
      <c r="D21" s="133">
        <v>200000</v>
      </c>
      <c r="E21" s="133">
        <v>60000</v>
      </c>
      <c r="F21" s="85"/>
      <c r="G21" s="85">
        <v>43000</v>
      </c>
      <c r="H21" s="85">
        <v>74000</v>
      </c>
      <c r="I21" s="90"/>
      <c r="J21" s="98">
        <f>SUM(D21:H21)</f>
        <v>377000</v>
      </c>
      <c r="K21" s="132">
        <f>SUM(D21:E21)</f>
        <v>260000</v>
      </c>
    </row>
    <row r="22" spans="2:11" x14ac:dyDescent="0.15">
      <c r="B22" s="66" t="s">
        <v>87</v>
      </c>
      <c r="D22" s="86"/>
      <c r="E22" s="86">
        <v>2700</v>
      </c>
      <c r="F22" s="86"/>
      <c r="G22" s="86">
        <v>5400</v>
      </c>
      <c r="H22" s="86">
        <v>5400</v>
      </c>
      <c r="I22" s="90"/>
      <c r="J22" s="98">
        <f>SUM(D22:H22)</f>
        <v>13500</v>
      </c>
    </row>
    <row r="23" spans="2:11" ht="16" x14ac:dyDescent="0.3">
      <c r="B23" s="66" t="s">
        <v>88</v>
      </c>
      <c r="D23" s="86">
        <v>30</v>
      </c>
      <c r="E23" s="86"/>
      <c r="F23" s="86"/>
      <c r="G23" s="86">
        <v>72</v>
      </c>
      <c r="H23" s="86">
        <v>198</v>
      </c>
      <c r="I23" s="91"/>
      <c r="J23" s="98">
        <f>SUM(D23:H23)</f>
        <v>300</v>
      </c>
    </row>
    <row r="24" spans="2:11" ht="16" x14ac:dyDescent="0.3">
      <c r="B24" s="66" t="s">
        <v>89</v>
      </c>
      <c r="D24" s="86"/>
      <c r="E24" s="86"/>
      <c r="F24" s="86"/>
      <c r="G24" s="86">
        <v>25000</v>
      </c>
      <c r="H24" s="86">
        <v>40000</v>
      </c>
      <c r="I24" s="93"/>
      <c r="J24" s="98">
        <f>SUM(D24:H24)</f>
        <v>65000</v>
      </c>
    </row>
    <row r="25" spans="2:11" x14ac:dyDescent="0.15">
      <c r="I25" s="92"/>
      <c r="J25" s="87"/>
    </row>
    <row r="26" spans="2:11" x14ac:dyDescent="0.15">
      <c r="B26" s="73"/>
      <c r="C26" s="73"/>
      <c r="D26" s="73"/>
      <c r="E26" s="94"/>
      <c r="F26" s="94"/>
      <c r="G26" s="94"/>
      <c r="H26" s="94"/>
      <c r="I26" s="94"/>
      <c r="J26" s="87"/>
    </row>
    <row r="27" spans="2:11" x14ac:dyDescent="0.15">
      <c r="B27" s="73"/>
      <c r="C27" s="73"/>
      <c r="D27" s="73"/>
      <c r="E27" s="92"/>
      <c r="F27" s="92"/>
      <c r="G27" s="92"/>
      <c r="H27" s="92"/>
      <c r="I27" s="92"/>
      <c r="J27" s="87"/>
    </row>
    <row r="28" spans="2:11" x14ac:dyDescent="0.15">
      <c r="B28" s="73"/>
      <c r="C28" s="73"/>
      <c r="D28" s="73"/>
      <c r="E28" s="92"/>
      <c r="F28" s="92"/>
      <c r="G28" s="92"/>
      <c r="H28" s="92"/>
      <c r="I28" s="92"/>
      <c r="J28" s="87"/>
    </row>
    <row r="29" spans="2:11" x14ac:dyDescent="0.15">
      <c r="B29" s="73"/>
      <c r="C29" s="73"/>
      <c r="D29" s="73"/>
      <c r="E29" s="94"/>
      <c r="F29" s="94"/>
      <c r="G29" s="94"/>
      <c r="H29" s="94"/>
      <c r="I29" s="94"/>
      <c r="J29" s="73"/>
    </row>
    <row r="30" spans="2:11" x14ac:dyDescent="0.15">
      <c r="B30" s="120"/>
      <c r="C30" s="120"/>
      <c r="D30" s="120"/>
      <c r="E30" s="125" t="s">
        <v>93</v>
      </c>
      <c r="F30" s="126"/>
      <c r="G30" s="126"/>
      <c r="H30" s="126"/>
      <c r="I30" s="126"/>
      <c r="J30" s="120"/>
    </row>
    <row r="31" spans="2:11" x14ac:dyDescent="0.15">
      <c r="B31" s="121"/>
      <c r="C31" s="121"/>
      <c r="D31" s="123" t="s">
        <v>81</v>
      </c>
      <c r="E31" s="118" t="s">
        <v>82</v>
      </c>
      <c r="F31" s="123"/>
      <c r="G31" s="124" t="s">
        <v>85</v>
      </c>
      <c r="H31" s="123" t="s">
        <v>92</v>
      </c>
      <c r="I31" s="123"/>
      <c r="J31" s="120"/>
    </row>
    <row r="32" spans="2:11" x14ac:dyDescent="0.15">
      <c r="B32" s="73" t="s">
        <v>94</v>
      </c>
      <c r="C32" s="73"/>
      <c r="D32" s="73"/>
      <c r="E32" s="94"/>
      <c r="F32" s="94"/>
      <c r="G32" s="94"/>
      <c r="H32" s="94"/>
      <c r="I32" s="94"/>
      <c r="J32" s="87"/>
    </row>
    <row r="33" spans="2:10" x14ac:dyDescent="0.15">
      <c r="B33" s="97" t="s">
        <v>81</v>
      </c>
      <c r="C33" s="73"/>
      <c r="D33" s="99"/>
      <c r="E33" s="100">
        <f>+E22/J22</f>
        <v>0.2</v>
      </c>
      <c r="F33" s="101"/>
      <c r="G33" s="100">
        <f>+G22/J22</f>
        <v>0.4</v>
      </c>
      <c r="H33" s="100">
        <f>+H22/J22</f>
        <v>0.4</v>
      </c>
      <c r="I33" s="94"/>
      <c r="J33" s="87"/>
    </row>
    <row r="34" spans="2:10" x14ac:dyDescent="0.15">
      <c r="B34" s="97" t="s">
        <v>82</v>
      </c>
      <c r="C34" s="73"/>
      <c r="D34" s="99">
        <f>+D23/J23</f>
        <v>0.1</v>
      </c>
      <c r="E34" s="100"/>
      <c r="F34" s="100"/>
      <c r="G34" s="100">
        <f>+G23/J23</f>
        <v>0.24</v>
      </c>
      <c r="H34" s="100">
        <f>+H23/J23</f>
        <v>0.66</v>
      </c>
      <c r="I34" s="94"/>
      <c r="J34" s="87"/>
    </row>
    <row r="35" spans="2:10" x14ac:dyDescent="0.15">
      <c r="B35" s="88"/>
      <c r="C35" s="88"/>
      <c r="D35" s="88"/>
      <c r="E35" s="88"/>
      <c r="F35" s="88"/>
      <c r="G35" s="88"/>
      <c r="H35" s="88"/>
      <c r="I35" s="88"/>
      <c r="J35" s="95"/>
    </row>
    <row r="36" spans="2:10" x14ac:dyDescent="0.15">
      <c r="B36" s="103" t="s">
        <v>96</v>
      </c>
    </row>
    <row r="37" spans="2:10" x14ac:dyDescent="0.15">
      <c r="B37" s="102" t="s">
        <v>95</v>
      </c>
    </row>
    <row r="39" spans="2:10" x14ac:dyDescent="0.15">
      <c r="B39" s="84" t="s">
        <v>97</v>
      </c>
    </row>
    <row r="40" spans="2:10" x14ac:dyDescent="0.15">
      <c r="B40" s="84" t="s">
        <v>98</v>
      </c>
    </row>
    <row r="42" spans="2:10" x14ac:dyDescent="0.15">
      <c r="B42" s="84" t="s">
        <v>99</v>
      </c>
      <c r="C42" s="104">
        <v>200000</v>
      </c>
      <c r="D42" s="84" t="s">
        <v>100</v>
      </c>
    </row>
    <row r="43" spans="2:10" x14ac:dyDescent="0.15">
      <c r="B43" s="84" t="s">
        <v>99</v>
      </c>
      <c r="C43" s="104">
        <v>200000</v>
      </c>
      <c r="D43" s="84" t="s">
        <v>101</v>
      </c>
    </row>
    <row r="45" spans="2:10" x14ac:dyDescent="0.15">
      <c r="B45" s="84" t="s">
        <v>102</v>
      </c>
      <c r="C45" s="104">
        <v>200000</v>
      </c>
      <c r="D45" s="84" t="s">
        <v>103</v>
      </c>
    </row>
    <row r="46" spans="2:10" x14ac:dyDescent="0.15">
      <c r="B46" s="84" t="s">
        <v>104</v>
      </c>
      <c r="C46" s="85">
        <f>+C45+E21*0.1</f>
        <v>206000</v>
      </c>
    </row>
    <row r="47" spans="2:10" x14ac:dyDescent="0.15">
      <c r="B47" s="105" t="s">
        <v>102</v>
      </c>
      <c r="C47" s="106">
        <f>+C46/0.98</f>
        <v>210204.08163265308</v>
      </c>
    </row>
    <row r="48" spans="2:10" x14ac:dyDescent="0.15">
      <c r="B48" s="105" t="s">
        <v>105</v>
      </c>
      <c r="C48" s="106">
        <f>+E21+0.2*C47</f>
        <v>102040.81632653062</v>
      </c>
    </row>
    <row r="50" spans="3:11" x14ac:dyDescent="0.15">
      <c r="C50" s="131">
        <f>SUM(C47:C48)</f>
        <v>312244.89795918367</v>
      </c>
      <c r="E50" s="108" t="s">
        <v>109</v>
      </c>
      <c r="F50" s="109"/>
      <c r="G50" s="109"/>
      <c r="H50" s="109"/>
      <c r="I50" s="109"/>
      <c r="J50" s="109"/>
    </row>
    <row r="52" spans="3:11" x14ac:dyDescent="0.15">
      <c r="D52" s="73"/>
      <c r="E52" s="73"/>
      <c r="F52" s="73"/>
      <c r="G52" s="73"/>
      <c r="H52" s="88" t="s">
        <v>106</v>
      </c>
      <c r="I52" s="88"/>
    </row>
    <row r="53" spans="3:11" x14ac:dyDescent="0.15">
      <c r="D53" s="88"/>
      <c r="E53" s="88"/>
      <c r="F53" s="88" t="s">
        <v>107</v>
      </c>
      <c r="G53" s="88"/>
      <c r="H53" s="96" t="s">
        <v>85</v>
      </c>
      <c r="I53" s="89" t="s">
        <v>92</v>
      </c>
    </row>
    <row r="54" spans="3:11" x14ac:dyDescent="0.15">
      <c r="D54" s="73" t="s">
        <v>108</v>
      </c>
      <c r="E54" s="73"/>
      <c r="F54" s="115">
        <f>+C47</f>
        <v>210204.08163265308</v>
      </c>
      <c r="G54" s="115"/>
      <c r="H54" s="115">
        <f>+F54*G33</f>
        <v>84081.632653061242</v>
      </c>
      <c r="I54" s="115">
        <f>+C47*H33</f>
        <v>84081.632653061242</v>
      </c>
    </row>
    <row r="55" spans="3:11" ht="16" x14ac:dyDescent="0.3">
      <c r="D55" s="84" t="s">
        <v>82</v>
      </c>
      <c r="E55" s="73"/>
      <c r="F55" s="111">
        <f>+C48</f>
        <v>102040.81632653062</v>
      </c>
      <c r="G55" s="110"/>
      <c r="H55" s="112">
        <f>+F55*G34</f>
        <v>24489.795918367348</v>
      </c>
      <c r="I55" s="112">
        <f>+C48*H34</f>
        <v>67346.938775510207</v>
      </c>
      <c r="K55" s="105" t="s">
        <v>116</v>
      </c>
    </row>
    <row r="56" spans="3:11" ht="16" x14ac:dyDescent="0.3">
      <c r="D56" s="107" t="s">
        <v>2</v>
      </c>
      <c r="E56" s="107"/>
      <c r="F56" s="113"/>
      <c r="G56" s="110"/>
      <c r="H56" s="114">
        <f>SUM(H54:H55)</f>
        <v>108571.42857142859</v>
      </c>
      <c r="I56" s="114">
        <f>SUM(I54:I55)</f>
        <v>151428.57142857145</v>
      </c>
      <c r="K56" s="132">
        <f>SUM(H56:J56)</f>
        <v>260000.00000000006</v>
      </c>
    </row>
    <row r="57" spans="3:11" x14ac:dyDescent="0.15">
      <c r="D57" s="88"/>
      <c r="E57" s="88"/>
      <c r="F57" s="88"/>
      <c r="G57" s="88"/>
      <c r="H57" s="88"/>
      <c r="I57" s="88"/>
    </row>
    <row r="58" spans="3:11" x14ac:dyDescent="0.15">
      <c r="D58" s="116" t="s">
        <v>111</v>
      </c>
      <c r="E58" s="105"/>
      <c r="F58" s="105"/>
      <c r="G58" s="105"/>
      <c r="H58" s="117">
        <f>+H56+G21</f>
        <v>151571.42857142858</v>
      </c>
      <c r="I58" s="117">
        <f>+I56+H21</f>
        <v>225428.57142857145</v>
      </c>
      <c r="K58" s="85"/>
    </row>
    <row r="60" spans="3:11" x14ac:dyDescent="0.15">
      <c r="E60" s="108" t="s">
        <v>110</v>
      </c>
      <c r="F60" s="108"/>
      <c r="G60" s="108"/>
      <c r="H60" s="108"/>
      <c r="I60" s="108"/>
      <c r="J60" s="108"/>
    </row>
    <row r="62" spans="3:11" x14ac:dyDescent="0.15">
      <c r="D62" s="73"/>
      <c r="E62" s="73"/>
      <c r="F62" s="73"/>
      <c r="G62" s="73"/>
      <c r="H62" s="88"/>
      <c r="I62" s="88"/>
    </row>
    <row r="63" spans="3:11" x14ac:dyDescent="0.15">
      <c r="D63" s="88"/>
      <c r="E63" s="88"/>
      <c r="F63" s="88"/>
      <c r="G63" s="88"/>
      <c r="H63" s="96"/>
      <c r="I63" s="89"/>
    </row>
    <row r="64" spans="3:11" x14ac:dyDescent="0.15">
      <c r="D64" s="118" t="s">
        <v>112</v>
      </c>
      <c r="E64" s="119"/>
      <c r="F64" s="119"/>
      <c r="G64" s="118" t="s">
        <v>112</v>
      </c>
    </row>
    <row r="65" spans="4:7" x14ac:dyDescent="0.15">
      <c r="D65" s="120" t="s">
        <v>85</v>
      </c>
      <c r="E65" s="119"/>
      <c r="F65" s="119"/>
      <c r="G65" s="130" t="s">
        <v>92</v>
      </c>
    </row>
    <row r="66" spans="4:7" x14ac:dyDescent="0.15">
      <c r="D66" s="119"/>
      <c r="E66" s="119"/>
      <c r="F66" s="119"/>
      <c r="G66" s="119"/>
    </row>
    <row r="67" spans="4:7" x14ac:dyDescent="0.15">
      <c r="D67" s="127">
        <f>+H58/G24</f>
        <v>6.0628571428571432</v>
      </c>
      <c r="E67" s="128"/>
      <c r="F67" s="128"/>
      <c r="G67" s="127">
        <f>+I58/H24</f>
        <v>5.6357142857142861</v>
      </c>
    </row>
  </sheetData>
  <pageMargins left="0.7" right="0.7" top="0.75" bottom="0.75" header="0.3" footer="0.3"/>
  <pageSetup scale="64" fitToHeight="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7-10</vt:lpstr>
      <vt:lpstr>7-11</vt:lpstr>
      <vt:lpstr>'7-10'!Área_de_impresión</vt:lpstr>
      <vt:lpstr>'7-11'!Área_de_impresión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Hussey</dc:creator>
  <cp:lastModifiedBy>Usuario de Microsoft Office</cp:lastModifiedBy>
  <cp:lastPrinted>2019-03-27T21:07:12Z</cp:lastPrinted>
  <dcterms:created xsi:type="dcterms:W3CDTF">1999-03-20T17:49:47Z</dcterms:created>
  <dcterms:modified xsi:type="dcterms:W3CDTF">2021-04-22T14:48:08Z</dcterms:modified>
</cp:coreProperties>
</file>