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31fa741c4fe47bd/3-Engineering/3-UNCuyo/Cátedras/2018-2025 - Análisis Estructural I/Bibliografía/"/>
    </mc:Choice>
  </mc:AlternateContent>
  <xr:revisionPtr revIDLastSave="1281" documentId="8_{791F7FC3-95A1-4EF5-ACA6-9D78CF13F276}" xr6:coauthVersionLast="47" xr6:coauthVersionMax="47" xr10:uidLastSave="{5FA13282-8581-4392-A62D-14AD71E3C07B}"/>
  <bookViews>
    <workbookView xWindow="28680" yWindow="-120" windowWidth="29040" windowHeight="15720" xr2:uid="{D5596B7F-5555-4F9E-9B3D-69BC680518A1}"/>
  </bookViews>
  <sheets>
    <sheet name="TORSIÓN" sheetId="1" r:id="rId1"/>
  </sheets>
  <definedNames>
    <definedName name="_xlnm.Print_Area" localSheetId="0">TORSIÓN!$A$1:$AF$57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5" i="1"/>
  <c r="E33" i="1"/>
  <c r="B54" i="1"/>
  <c r="C54" i="1"/>
  <c r="S22" i="1" s="1"/>
  <c r="B55" i="1"/>
  <c r="C55" i="1"/>
  <c r="S23" i="1" s="1"/>
  <c r="G34" i="1"/>
  <c r="J34" i="1" s="1"/>
  <c r="N34" i="1" s="1"/>
  <c r="H34" i="1"/>
  <c r="K34" i="1" s="1"/>
  <c r="O34" i="1" s="1"/>
  <c r="I34" i="1"/>
  <c r="P34" i="1" s="1"/>
  <c r="G35" i="1"/>
  <c r="J35" i="1" s="1"/>
  <c r="N35" i="1" s="1"/>
  <c r="H35" i="1"/>
  <c r="K35" i="1" s="1"/>
  <c r="O35" i="1" s="1"/>
  <c r="I35" i="1"/>
  <c r="P35" i="1" s="1"/>
  <c r="G22" i="1"/>
  <c r="J22" i="1" s="1"/>
  <c r="N22" i="1" s="1"/>
  <c r="H22" i="1"/>
  <c r="K22" i="1" s="1"/>
  <c r="O22" i="1" s="1"/>
  <c r="I22" i="1"/>
  <c r="L22" i="1" s="1"/>
  <c r="G23" i="1"/>
  <c r="J23" i="1" s="1"/>
  <c r="N23" i="1" s="1"/>
  <c r="H23" i="1"/>
  <c r="K23" i="1" s="1"/>
  <c r="O23" i="1" s="1"/>
  <c r="I23" i="1"/>
  <c r="P23" i="1" s="1"/>
  <c r="N10" i="1"/>
  <c r="O10" i="1" s="1"/>
  <c r="N11" i="1"/>
  <c r="O11" i="1" s="1"/>
  <c r="N7" i="1"/>
  <c r="P7" i="1" s="1"/>
  <c r="N8" i="1"/>
  <c r="O8" i="1" s="1"/>
  <c r="N9" i="1"/>
  <c r="O9" i="1" s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F33" i="1"/>
  <c r="E28" i="1"/>
  <c r="F28" i="1"/>
  <c r="D28" i="1"/>
  <c r="C4" i="1"/>
  <c r="G8" i="1" s="1"/>
  <c r="C3" i="1"/>
  <c r="G7" i="1" s="1"/>
  <c r="N5" i="1"/>
  <c r="N6" i="1"/>
  <c r="I20" i="1"/>
  <c r="H19" i="1"/>
  <c r="K19" i="1" s="1"/>
  <c r="O19" i="1" s="1"/>
  <c r="G18" i="1"/>
  <c r="J18" i="1" s="1"/>
  <c r="N18" i="1" s="1"/>
  <c r="H17" i="1"/>
  <c r="K17" i="1" s="1"/>
  <c r="I16" i="1"/>
  <c r="F42" i="1"/>
  <c r="G42" i="1"/>
  <c r="H41" i="1"/>
  <c r="I41" i="1"/>
  <c r="G19" i="1"/>
  <c r="J19" i="1" s="1"/>
  <c r="N19" i="1" s="1"/>
  <c r="I21" i="1"/>
  <c r="P21" i="1" s="1"/>
  <c r="I19" i="1"/>
  <c r="M19" i="1" s="1"/>
  <c r="G21" i="1"/>
  <c r="J21" i="1" s="1"/>
  <c r="N21" i="1" s="1"/>
  <c r="G20" i="1"/>
  <c r="J20" i="1" s="1"/>
  <c r="N20" i="1" s="1"/>
  <c r="H20" i="1"/>
  <c r="K20" i="1" s="1"/>
  <c r="O20" i="1" s="1"/>
  <c r="H21" i="1"/>
  <c r="K21" i="1" s="1"/>
  <c r="O21" i="1" s="1"/>
  <c r="P6" i="1" l="1"/>
  <c r="O5" i="1"/>
  <c r="P11" i="1"/>
  <c r="O7" i="1"/>
  <c r="M35" i="1"/>
  <c r="L35" i="1"/>
  <c r="P5" i="1"/>
  <c r="O6" i="1"/>
  <c r="P8" i="1"/>
  <c r="P10" i="1"/>
  <c r="P9" i="1"/>
  <c r="E54" i="1"/>
  <c r="G54" i="1" s="1"/>
  <c r="L23" i="1"/>
  <c r="R22" i="1"/>
  <c r="M23" i="1"/>
  <c r="H32" i="1"/>
  <c r="D54" i="1"/>
  <c r="F54" i="1" s="1"/>
  <c r="D55" i="1"/>
  <c r="F55" i="1" s="1"/>
  <c r="M34" i="1"/>
  <c r="P22" i="1"/>
  <c r="L34" i="1"/>
  <c r="R23" i="1"/>
  <c r="M22" i="1"/>
  <c r="E55" i="1"/>
  <c r="G55" i="1" s="1"/>
  <c r="G32" i="1"/>
  <c r="G33" i="1"/>
  <c r="G30" i="1"/>
  <c r="G28" i="1"/>
  <c r="I30" i="1"/>
  <c r="I32" i="1"/>
  <c r="I29" i="1"/>
  <c r="H28" i="1"/>
  <c r="I31" i="1"/>
  <c r="I28" i="1"/>
  <c r="I33" i="1"/>
  <c r="H30" i="1"/>
  <c r="G31" i="1"/>
  <c r="H33" i="1"/>
  <c r="H29" i="1"/>
  <c r="H31" i="1"/>
  <c r="G29" i="1"/>
  <c r="N12" i="1"/>
  <c r="G10" i="1" s="1"/>
  <c r="H16" i="1"/>
  <c r="K16" i="1" s="1"/>
  <c r="O16" i="1" s="1"/>
  <c r="H18" i="1"/>
  <c r="K18" i="1" s="1"/>
  <c r="O18" i="1" s="1"/>
  <c r="I18" i="1"/>
  <c r="L20" i="1"/>
  <c r="M20" i="1"/>
  <c r="P20" i="1"/>
  <c r="S4" i="1"/>
  <c r="I17" i="1"/>
  <c r="G17" i="1"/>
  <c r="J17" i="1" s="1"/>
  <c r="N17" i="1" s="1"/>
  <c r="G16" i="1"/>
  <c r="J16" i="1" s="1"/>
  <c r="N16" i="1" s="1"/>
  <c r="M16" i="1"/>
  <c r="P16" i="1"/>
  <c r="L16" i="1"/>
  <c r="O17" i="1"/>
  <c r="M21" i="1"/>
  <c r="L19" i="1"/>
  <c r="P19" i="1"/>
  <c r="L21" i="1"/>
  <c r="I54" i="1" l="1"/>
  <c r="H54" i="1"/>
  <c r="I55" i="1"/>
  <c r="AB17" i="1"/>
  <c r="AB23" i="1"/>
  <c r="U22" i="1"/>
  <c r="W23" i="1"/>
  <c r="Z23" i="1"/>
  <c r="AA22" i="1"/>
  <c r="AB22" i="1"/>
  <c r="V22" i="1"/>
  <c r="T22" i="1"/>
  <c r="X22" i="1" s="1"/>
  <c r="W22" i="1"/>
  <c r="Y23" i="1"/>
  <c r="AC23" i="1" s="1"/>
  <c r="U23" i="1"/>
  <c r="V23" i="1"/>
  <c r="Y22" i="1"/>
  <c r="AC22" i="1" s="1"/>
  <c r="AA23" i="1"/>
  <c r="Z22" i="1"/>
  <c r="T23" i="1"/>
  <c r="X23" i="1" s="1"/>
  <c r="H55" i="1"/>
  <c r="G11" i="1"/>
  <c r="E42" i="1" s="1"/>
  <c r="I42" i="1" s="1"/>
  <c r="G36" i="1"/>
  <c r="L38" i="1" s="1"/>
  <c r="I36" i="1"/>
  <c r="H36" i="1"/>
  <c r="M39" i="1" s="1"/>
  <c r="K24" i="1"/>
  <c r="O24" i="1"/>
  <c r="J24" i="1"/>
  <c r="G24" i="1"/>
  <c r="N24" i="1"/>
  <c r="Z17" i="1"/>
  <c r="H24" i="1"/>
  <c r="W19" i="1"/>
  <c r="Z18" i="1"/>
  <c r="Y21" i="1"/>
  <c r="AC21" i="1" s="1"/>
  <c r="Z20" i="1"/>
  <c r="J42" i="1"/>
  <c r="P39" i="1" s="1"/>
  <c r="U17" i="1"/>
  <c r="AB18" i="1"/>
  <c r="AB20" i="1"/>
  <c r="Z21" i="1"/>
  <c r="T18" i="1"/>
  <c r="X18" i="1" s="1"/>
  <c r="V19" i="1"/>
  <c r="M18" i="1"/>
  <c r="L18" i="1"/>
  <c r="P18" i="1"/>
  <c r="T21" i="1"/>
  <c r="X21" i="1" s="1"/>
  <c r="U18" i="1"/>
  <c r="U20" i="1"/>
  <c r="Y18" i="1"/>
  <c r="AC18" i="1" s="1"/>
  <c r="Z16" i="1"/>
  <c r="V16" i="1"/>
  <c r="U16" i="1"/>
  <c r="W18" i="1"/>
  <c r="W20" i="1"/>
  <c r="T19" i="1"/>
  <c r="X19" i="1" s="1"/>
  <c r="T17" i="1"/>
  <c r="X17" i="1" s="1"/>
  <c r="T20" i="1"/>
  <c r="X20" i="1" s="1"/>
  <c r="W21" i="1"/>
  <c r="V18" i="1"/>
  <c r="Y19" i="1"/>
  <c r="AC19" i="1" s="1"/>
  <c r="AA16" i="1"/>
  <c r="AB21" i="1"/>
  <c r="AA20" i="1"/>
  <c r="U19" i="1"/>
  <c r="AA18" i="1"/>
  <c r="T16" i="1"/>
  <c r="X16" i="1" s="1"/>
  <c r="Y20" i="1"/>
  <c r="AC20" i="1" s="1"/>
  <c r="V20" i="1"/>
  <c r="W16" i="1"/>
  <c r="U21" i="1"/>
  <c r="V21" i="1"/>
  <c r="AB19" i="1"/>
  <c r="AA19" i="1"/>
  <c r="W17" i="1"/>
  <c r="Z19" i="1"/>
  <c r="Y16" i="1"/>
  <c r="AC16" i="1" s="1"/>
  <c r="AA21" i="1"/>
  <c r="Y17" i="1"/>
  <c r="AC17" i="1" s="1"/>
  <c r="AA17" i="1"/>
  <c r="AB16" i="1"/>
  <c r="V17" i="1"/>
  <c r="P17" i="1"/>
  <c r="L17" i="1"/>
  <c r="M17" i="1"/>
  <c r="I24" i="1"/>
  <c r="O12" i="1"/>
  <c r="C5" i="1" s="1"/>
  <c r="M24" i="1" l="1"/>
  <c r="C8" i="1"/>
  <c r="C29" i="1" s="1"/>
  <c r="C7" i="1"/>
  <c r="G5" i="1" s="1"/>
  <c r="J54" i="1"/>
  <c r="J55" i="1"/>
  <c r="C41" i="1"/>
  <c r="G41" i="1" s="1"/>
  <c r="P12" i="1"/>
  <c r="C6" i="1" s="1"/>
  <c r="AD19" i="1"/>
  <c r="D42" i="1"/>
  <c r="H42" i="1" s="1"/>
  <c r="B41" i="1"/>
  <c r="F41" i="1" s="1"/>
  <c r="L39" i="1"/>
  <c r="M38" i="1"/>
  <c r="AE19" i="1"/>
  <c r="P24" i="1"/>
  <c r="L24" i="1"/>
  <c r="C28" i="1" l="1"/>
  <c r="M28" i="1" s="1"/>
  <c r="C33" i="1"/>
  <c r="M33" i="1" s="1"/>
  <c r="B32" i="1"/>
  <c r="K32" i="1" s="1"/>
  <c r="O32" i="1" s="1"/>
  <c r="B31" i="1"/>
  <c r="L31" i="1" s="1"/>
  <c r="C30" i="1"/>
  <c r="M30" i="1" s="1"/>
  <c r="G6" i="1"/>
  <c r="D40" i="1" s="1"/>
  <c r="H40" i="1" s="1"/>
  <c r="B33" i="1"/>
  <c r="B28" i="1"/>
  <c r="C39" i="1"/>
  <c r="G39" i="1" s="1"/>
  <c r="B39" i="1"/>
  <c r="F39" i="1" s="1"/>
  <c r="E39" i="1"/>
  <c r="I39" i="1" s="1"/>
  <c r="D39" i="1"/>
  <c r="H39" i="1" s="1"/>
  <c r="B30" i="1"/>
  <c r="L30" i="1" s="1"/>
  <c r="B29" i="1"/>
  <c r="K29" i="1" s="1"/>
  <c r="O29" i="1" s="1"/>
  <c r="C32" i="1"/>
  <c r="M32" i="1" s="1"/>
  <c r="J41" i="1"/>
  <c r="P38" i="1" s="1"/>
  <c r="C31" i="1"/>
  <c r="J31" i="1" s="1"/>
  <c r="N31" i="1" s="1"/>
  <c r="M29" i="1"/>
  <c r="J29" i="1"/>
  <c r="N29" i="1" s="1"/>
  <c r="B40" i="1" l="1"/>
  <c r="F40" i="1" s="1"/>
  <c r="F43" i="1" s="1"/>
  <c r="C40" i="1"/>
  <c r="G40" i="1" s="1"/>
  <c r="G43" i="1" s="1"/>
  <c r="J30" i="1"/>
  <c r="N30" i="1" s="1"/>
  <c r="P33" i="1"/>
  <c r="J33" i="1"/>
  <c r="N33" i="1" s="1"/>
  <c r="P28" i="1"/>
  <c r="J28" i="1"/>
  <c r="N28" i="1" s="1"/>
  <c r="J39" i="1"/>
  <c r="AD16" i="1" s="1"/>
  <c r="L29" i="1"/>
  <c r="K30" i="1"/>
  <c r="O30" i="1" s="1"/>
  <c r="P29" i="1"/>
  <c r="E40" i="1"/>
  <c r="I40" i="1" s="1"/>
  <c r="I43" i="1" s="1"/>
  <c r="P30" i="1"/>
  <c r="L33" i="1"/>
  <c r="K33" i="1"/>
  <c r="O33" i="1" s="1"/>
  <c r="K31" i="1"/>
  <c r="O31" i="1" s="1"/>
  <c r="L32" i="1"/>
  <c r="L28" i="1"/>
  <c r="K28" i="1"/>
  <c r="O28" i="1" s="1"/>
  <c r="P32" i="1"/>
  <c r="S3" i="1" a="1"/>
  <c r="S3" i="1" s="1"/>
  <c r="P31" i="1"/>
  <c r="M31" i="1"/>
  <c r="M36" i="1" s="1"/>
  <c r="D43" i="1"/>
  <c r="J40" i="1"/>
  <c r="AE16" i="1" s="1"/>
  <c r="J32" i="1"/>
  <c r="N32" i="1" s="1"/>
  <c r="H43" i="1"/>
  <c r="B43" i="1" l="1"/>
  <c r="C43" i="1"/>
  <c r="E43" i="1"/>
  <c r="L36" i="1"/>
  <c r="K36" i="1"/>
  <c r="M40" i="1" s="1"/>
  <c r="O36" i="1"/>
  <c r="J43" i="1"/>
  <c r="P40" i="1" s="1"/>
  <c r="P36" i="1"/>
  <c r="AE17" i="1"/>
  <c r="AD17" i="1"/>
  <c r="N36" i="1"/>
  <c r="J36" i="1"/>
  <c r="N40" i="1" l="1"/>
  <c r="N39" i="1"/>
  <c r="L40" i="1"/>
  <c r="N38" i="1"/>
  <c r="L41" i="1" l="1" a="1"/>
  <c r="L41" i="1" s="1"/>
  <c r="P41" i="1" a="1"/>
  <c r="P43" i="1" s="1"/>
  <c r="P41" i="1" l="1"/>
  <c r="B52" i="1" s="1"/>
  <c r="P42" i="1"/>
  <c r="C52" i="1" s="1"/>
  <c r="S20" i="1" s="1"/>
  <c r="C53" i="1" l="1"/>
  <c r="S21" i="1" s="1"/>
  <c r="B49" i="1"/>
  <c r="R17" i="1" s="1"/>
  <c r="C50" i="1"/>
  <c r="S18" i="1" s="1"/>
  <c r="C49" i="1"/>
  <c r="S17" i="1" s="1"/>
  <c r="C48" i="1"/>
  <c r="S16" i="1" s="1"/>
  <c r="C51" i="1"/>
  <c r="S19" i="1" s="1"/>
  <c r="B53" i="1"/>
  <c r="R21" i="1" s="1"/>
  <c r="B48" i="1"/>
  <c r="B50" i="1"/>
  <c r="R18" i="1" s="1"/>
  <c r="B51" i="1"/>
  <c r="D52" i="1"/>
  <c r="F52" i="1" s="1"/>
  <c r="E52" i="1"/>
  <c r="G52" i="1" s="1"/>
  <c r="R20" i="1"/>
  <c r="E48" i="1" l="1"/>
  <c r="G48" i="1" s="1"/>
  <c r="D51" i="1"/>
  <c r="F51" i="1" s="1"/>
  <c r="E53" i="1"/>
  <c r="G53" i="1" s="1"/>
  <c r="R19" i="1"/>
  <c r="D50" i="1"/>
  <c r="F50" i="1" s="1"/>
  <c r="E49" i="1"/>
  <c r="G49" i="1" s="1"/>
  <c r="E51" i="1"/>
  <c r="G51" i="1" s="1"/>
  <c r="E50" i="1"/>
  <c r="G50" i="1" s="1"/>
  <c r="D49" i="1"/>
  <c r="F49" i="1" s="1"/>
  <c r="D53" i="1"/>
  <c r="F53" i="1" s="1"/>
  <c r="R16" i="1"/>
  <c r="D48" i="1"/>
  <c r="F48" i="1" s="1"/>
  <c r="H52" i="1"/>
  <c r="I52" i="1"/>
  <c r="I50" i="1" l="1"/>
  <c r="H48" i="1"/>
  <c r="H49" i="1"/>
  <c r="J52" i="1"/>
  <c r="I51" i="1"/>
  <c r="I53" i="1"/>
  <c r="H51" i="1"/>
  <c r="I49" i="1"/>
  <c r="H50" i="1"/>
  <c r="J50" i="1" s="1"/>
  <c r="H53" i="1"/>
  <c r="I48" i="1"/>
  <c r="J48" i="1" l="1"/>
  <c r="J49" i="1"/>
  <c r="J51" i="1"/>
  <c r="J53" i="1"/>
  <c r="H56" i="1"/>
  <c r="I56" i="1"/>
  <c r="J5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<sst xmlns="http://schemas.openxmlformats.org/spreadsheetml/2006/main" count="154" uniqueCount="84">
  <si>
    <t>x</t>
  </si>
  <si>
    <t>y</t>
  </si>
  <si>
    <t>[m]</t>
  </si>
  <si>
    <t>[kN/m]</t>
  </si>
  <si>
    <t>[º]</t>
  </si>
  <si>
    <t>[kN]</t>
  </si>
  <si>
    <t>[kN.m]</t>
  </si>
  <si>
    <t>m</t>
  </si>
  <si>
    <t>kN</t>
  </si>
  <si>
    <t>%</t>
  </si>
  <si>
    <t>Pmax =</t>
  </si>
  <si>
    <t>Kmax =</t>
  </si>
  <si>
    <t xml:space="preserve">C = </t>
  </si>
  <si>
    <t>a</t>
  </si>
  <si>
    <t>Fx+ Ea+</t>
  </si>
  <si>
    <t>Fx+ Ea-</t>
  </si>
  <si>
    <t>Fy+ Ea-</t>
  </si>
  <si>
    <t>Fx- Ea+</t>
  </si>
  <si>
    <t>Fx- Ea-</t>
  </si>
  <si>
    <t>Fy- Ea+</t>
  </si>
  <si>
    <t>Fy- Ea-</t>
  </si>
  <si>
    <t>Fy+ Ea+</t>
  </si>
  <si>
    <t>S =</t>
  </si>
  <si>
    <r>
      <t>k</t>
    </r>
    <r>
      <rPr>
        <b/>
        <vertAlign val="subscript"/>
        <sz val="10"/>
        <rFont val="Calibri"/>
        <family val="2"/>
      </rPr>
      <t>1</t>
    </r>
  </si>
  <si>
    <r>
      <t>k</t>
    </r>
    <r>
      <rPr>
        <b/>
        <vertAlign val="subscript"/>
        <sz val="10"/>
        <rFont val="Calibri"/>
        <family val="2"/>
      </rPr>
      <t>2</t>
    </r>
  </si>
  <si>
    <r>
      <t>k</t>
    </r>
    <r>
      <rPr>
        <b/>
        <vertAlign val="subscript"/>
        <sz val="10"/>
        <rFont val="Calibri"/>
        <family val="2"/>
      </rPr>
      <t>x</t>
    </r>
  </si>
  <si>
    <r>
      <t>k</t>
    </r>
    <r>
      <rPr>
        <b/>
        <vertAlign val="subscript"/>
        <sz val="10"/>
        <rFont val="Calibri"/>
        <family val="2"/>
      </rPr>
      <t>y</t>
    </r>
  </si>
  <si>
    <r>
      <t>k</t>
    </r>
    <r>
      <rPr>
        <b/>
        <vertAlign val="subscript"/>
        <sz val="10"/>
        <rFont val="Calibri"/>
        <family val="2"/>
      </rPr>
      <t>xy</t>
    </r>
  </si>
  <si>
    <r>
      <t>k</t>
    </r>
    <r>
      <rPr>
        <b/>
        <vertAlign val="subscript"/>
        <sz val="10"/>
        <rFont val="Calibri"/>
        <family val="2"/>
      </rPr>
      <t>x</t>
    </r>
    <r>
      <rPr>
        <b/>
        <sz val="10"/>
        <rFont val="Calibri"/>
        <family val="2"/>
      </rPr>
      <t>.y</t>
    </r>
  </si>
  <si>
    <r>
      <t>k</t>
    </r>
    <r>
      <rPr>
        <b/>
        <vertAlign val="subscript"/>
        <sz val="10"/>
        <rFont val="Calibri"/>
        <family val="2"/>
      </rPr>
      <t>y</t>
    </r>
    <r>
      <rPr>
        <b/>
        <sz val="10"/>
        <rFont val="Calibri"/>
        <family val="2"/>
      </rPr>
      <t>.x</t>
    </r>
  </si>
  <si>
    <r>
      <t>k</t>
    </r>
    <r>
      <rPr>
        <b/>
        <vertAlign val="subscript"/>
        <sz val="10"/>
        <rFont val="Calibri"/>
        <family val="2"/>
      </rPr>
      <t>xy</t>
    </r>
    <r>
      <rPr>
        <b/>
        <sz val="10"/>
        <rFont val="Calibri"/>
        <family val="2"/>
      </rPr>
      <t>.x</t>
    </r>
  </si>
  <si>
    <r>
      <t>k</t>
    </r>
    <r>
      <rPr>
        <b/>
        <vertAlign val="subscript"/>
        <sz val="10"/>
        <rFont val="Calibri"/>
        <family val="2"/>
      </rPr>
      <t>xy</t>
    </r>
    <r>
      <rPr>
        <b/>
        <sz val="10"/>
        <rFont val="Calibri"/>
        <family val="2"/>
      </rPr>
      <t>.y</t>
    </r>
  </si>
  <si>
    <r>
      <t>k</t>
    </r>
    <r>
      <rPr>
        <b/>
        <vertAlign val="subscript"/>
        <sz val="10"/>
        <rFont val="Calibri"/>
        <family val="2"/>
      </rPr>
      <t>x</t>
    </r>
    <r>
      <rPr>
        <b/>
        <sz val="10"/>
        <rFont val="Calibri"/>
        <family val="2"/>
      </rPr>
      <t>.y</t>
    </r>
    <r>
      <rPr>
        <b/>
        <vertAlign val="superscript"/>
        <sz val="10"/>
        <rFont val="Calibri"/>
        <family val="2"/>
      </rPr>
      <t>2</t>
    </r>
  </si>
  <si>
    <r>
      <t>k</t>
    </r>
    <r>
      <rPr>
        <b/>
        <vertAlign val="subscript"/>
        <sz val="10"/>
        <rFont val="Calibri"/>
        <family val="2"/>
      </rPr>
      <t>y</t>
    </r>
    <r>
      <rPr>
        <b/>
        <sz val="10"/>
        <rFont val="Calibri"/>
        <family val="2"/>
      </rPr>
      <t>.x</t>
    </r>
    <r>
      <rPr>
        <b/>
        <vertAlign val="superscript"/>
        <sz val="10"/>
        <rFont val="Calibri"/>
        <family val="2"/>
      </rPr>
      <t>2</t>
    </r>
  </si>
  <si>
    <r>
      <t>k</t>
    </r>
    <r>
      <rPr>
        <b/>
        <vertAlign val="subscript"/>
        <sz val="10"/>
        <rFont val="Calibri"/>
        <family val="2"/>
      </rPr>
      <t>xy</t>
    </r>
    <r>
      <rPr>
        <b/>
        <sz val="10"/>
        <rFont val="Calibri"/>
        <family val="2"/>
      </rPr>
      <t>.x.y</t>
    </r>
  </si>
  <si>
    <r>
      <t>L</t>
    </r>
    <r>
      <rPr>
        <b/>
        <vertAlign val="subscript"/>
        <sz val="10"/>
        <rFont val="Calibri"/>
        <family val="2"/>
      </rPr>
      <t>x</t>
    </r>
  </si>
  <si>
    <r>
      <t>L</t>
    </r>
    <r>
      <rPr>
        <b/>
        <vertAlign val="subscript"/>
        <sz val="10"/>
        <rFont val="Calibri"/>
        <family val="2"/>
      </rPr>
      <t>y</t>
    </r>
  </si>
  <si>
    <r>
      <t>[m</t>
    </r>
    <r>
      <rPr>
        <b/>
        <vertAlign val="superscript"/>
        <sz val="10"/>
        <rFont val="Calibri"/>
        <family val="2"/>
      </rPr>
      <t>2</t>
    </r>
    <r>
      <rPr>
        <b/>
        <sz val="10"/>
        <rFont val="Calibri"/>
        <family val="2"/>
      </rPr>
      <t>]</t>
    </r>
  </si>
  <si>
    <t>A</t>
  </si>
  <si>
    <t>COMBINACIONES</t>
  </si>
  <si>
    <t>L =</t>
  </si>
  <si>
    <t>n =</t>
  </si>
  <si>
    <t>D =</t>
  </si>
  <si>
    <t xml:space="preserve">W = </t>
  </si>
  <si>
    <t>DESPLAZAMIENTOS Y ESFUERZOS EN ELEMENTOS</t>
  </si>
  <si>
    <t>DISTRUBICIÓN DE RIGIDECES</t>
  </si>
  <si>
    <t>[kNm]</t>
  </si>
  <si>
    <t>A.x</t>
  </si>
  <si>
    <t>A.y</t>
  </si>
  <si>
    <r>
      <t>[m</t>
    </r>
    <r>
      <rPr>
        <b/>
        <vertAlign val="superscript"/>
        <sz val="10"/>
        <rFont val="Calibri"/>
        <family val="2"/>
      </rPr>
      <t>3</t>
    </r>
    <r>
      <rPr>
        <b/>
        <sz val="10"/>
        <rFont val="Calibri"/>
        <family val="2"/>
      </rPr>
      <t>]</t>
    </r>
  </si>
  <si>
    <t>DATOS BÁSICOS</t>
  </si>
  <si>
    <t>REDUCCIÓN AL CENTRO DE RIGIDEZ</t>
  </si>
  <si>
    <t>K=</t>
  </si>
  <si>
    <t>F=</t>
  </si>
  <si>
    <t>U=</t>
  </si>
  <si>
    <t>P=</t>
  </si>
  <si>
    <t>Escala de Fuerza=</t>
  </si>
  <si>
    <t>Escala de Desplazamientos =</t>
  </si>
  <si>
    <t>Escala de Elementos =</t>
  </si>
  <si>
    <r>
      <rPr>
        <b/>
        <sz val="10"/>
        <rFont val="Symbol"/>
        <family val="1"/>
        <charset val="2"/>
      </rPr>
      <t>S</t>
    </r>
    <r>
      <rPr>
        <b/>
        <sz val="10"/>
        <rFont val="Calibri"/>
        <family val="2"/>
      </rPr>
      <t xml:space="preserve"> =</t>
    </r>
  </si>
  <si>
    <r>
      <t>u</t>
    </r>
    <r>
      <rPr>
        <b/>
        <vertAlign val="subscript"/>
        <sz val="10"/>
        <rFont val="Calibri"/>
        <family val="2"/>
      </rPr>
      <t>x</t>
    </r>
  </si>
  <si>
    <r>
      <t>u</t>
    </r>
    <r>
      <rPr>
        <b/>
        <vertAlign val="subscript"/>
        <sz val="10"/>
        <rFont val="Calibri"/>
        <family val="2"/>
      </rPr>
      <t>y</t>
    </r>
  </si>
  <si>
    <r>
      <t>u</t>
    </r>
    <r>
      <rPr>
        <b/>
        <vertAlign val="subscript"/>
        <sz val="10"/>
        <rFont val="Calibri"/>
        <family val="2"/>
      </rPr>
      <t>1</t>
    </r>
  </si>
  <si>
    <r>
      <t>u</t>
    </r>
    <r>
      <rPr>
        <b/>
        <vertAlign val="subscript"/>
        <sz val="10"/>
        <rFont val="Calibri"/>
        <family val="2"/>
      </rPr>
      <t>2</t>
    </r>
  </si>
  <si>
    <r>
      <t>p</t>
    </r>
    <r>
      <rPr>
        <b/>
        <vertAlign val="subscript"/>
        <sz val="10"/>
        <rFont val="Calibri"/>
        <family val="2"/>
      </rPr>
      <t>1</t>
    </r>
  </si>
  <si>
    <r>
      <t>p</t>
    </r>
    <r>
      <rPr>
        <b/>
        <vertAlign val="subscript"/>
        <sz val="10"/>
        <rFont val="Calibri"/>
        <family val="2"/>
      </rPr>
      <t>2</t>
    </r>
  </si>
  <si>
    <r>
      <t>p</t>
    </r>
    <r>
      <rPr>
        <b/>
        <vertAlign val="subscript"/>
        <sz val="10"/>
        <rFont val="Calibri"/>
        <family val="2"/>
      </rPr>
      <t>x</t>
    </r>
  </si>
  <si>
    <r>
      <t>p</t>
    </r>
    <r>
      <rPr>
        <b/>
        <vertAlign val="subscript"/>
        <sz val="10"/>
        <rFont val="Calibri"/>
        <family val="2"/>
      </rPr>
      <t>y</t>
    </r>
  </si>
  <si>
    <r>
      <t>M</t>
    </r>
    <r>
      <rPr>
        <b/>
        <vertAlign val="subscript"/>
        <sz val="10"/>
        <rFont val="Calibri"/>
        <family val="2"/>
      </rPr>
      <t>z</t>
    </r>
  </si>
  <si>
    <r>
      <t>X</t>
    </r>
    <r>
      <rPr>
        <b/>
        <vertAlign val="subscript"/>
        <sz val="10"/>
        <rFont val="Calibri"/>
        <family val="2"/>
      </rPr>
      <t>cm</t>
    </r>
    <r>
      <rPr>
        <b/>
        <sz val="10"/>
        <rFont val="Calibri"/>
        <family val="2"/>
      </rPr>
      <t xml:space="preserve"> =</t>
    </r>
  </si>
  <si>
    <r>
      <t>Y</t>
    </r>
    <r>
      <rPr>
        <b/>
        <vertAlign val="subscript"/>
        <sz val="10"/>
        <rFont val="Calibri"/>
        <family val="2"/>
      </rPr>
      <t>cm</t>
    </r>
    <r>
      <rPr>
        <b/>
        <sz val="10"/>
        <rFont val="Calibri"/>
        <family val="2"/>
      </rPr>
      <t xml:space="preserve"> =</t>
    </r>
  </si>
  <si>
    <r>
      <t>X</t>
    </r>
    <r>
      <rPr>
        <b/>
        <vertAlign val="subscript"/>
        <sz val="10"/>
        <rFont val="Calibri"/>
        <family val="2"/>
      </rPr>
      <t>cr</t>
    </r>
    <r>
      <rPr>
        <b/>
        <sz val="10"/>
        <rFont val="Calibri"/>
        <family val="2"/>
      </rPr>
      <t xml:space="preserve"> =</t>
    </r>
  </si>
  <si>
    <r>
      <t>Y</t>
    </r>
    <r>
      <rPr>
        <b/>
        <vertAlign val="subscript"/>
        <sz val="10"/>
        <rFont val="Calibri"/>
        <family val="2"/>
      </rPr>
      <t>cr</t>
    </r>
    <r>
      <rPr>
        <b/>
        <sz val="10"/>
        <rFont val="Calibri"/>
        <family val="2"/>
      </rPr>
      <t xml:space="preserve"> =</t>
    </r>
  </si>
  <si>
    <r>
      <t>L</t>
    </r>
    <r>
      <rPr>
        <b/>
        <vertAlign val="subscript"/>
        <sz val="10"/>
        <rFont val="Calibri"/>
        <family val="2"/>
      </rPr>
      <t>x</t>
    </r>
    <r>
      <rPr>
        <b/>
        <sz val="10"/>
        <rFont val="Calibri"/>
        <family val="2"/>
      </rPr>
      <t xml:space="preserve"> =</t>
    </r>
  </si>
  <si>
    <r>
      <t>L</t>
    </r>
    <r>
      <rPr>
        <b/>
        <vertAlign val="subscript"/>
        <sz val="10"/>
        <rFont val="Calibri"/>
        <family val="2"/>
      </rPr>
      <t>y</t>
    </r>
    <r>
      <rPr>
        <b/>
        <sz val="10"/>
        <rFont val="Calibri"/>
        <family val="2"/>
      </rPr>
      <t xml:space="preserve"> =</t>
    </r>
  </si>
  <si>
    <r>
      <t>%L</t>
    </r>
    <r>
      <rPr>
        <b/>
        <vertAlign val="subscript"/>
        <sz val="10"/>
        <rFont val="Calibri"/>
        <family val="2"/>
      </rPr>
      <t>y</t>
    </r>
    <r>
      <rPr>
        <b/>
        <sz val="10"/>
        <rFont val="Calibri"/>
        <family val="2"/>
      </rPr>
      <t xml:space="preserve"> = </t>
    </r>
  </si>
  <si>
    <r>
      <t>%L</t>
    </r>
    <r>
      <rPr>
        <b/>
        <vertAlign val="subscript"/>
        <sz val="10"/>
        <rFont val="Calibri"/>
        <family val="2"/>
      </rPr>
      <t>x</t>
    </r>
    <r>
      <rPr>
        <b/>
        <sz val="10"/>
        <rFont val="Calibri"/>
        <family val="2"/>
      </rPr>
      <t xml:space="preserve"> = </t>
    </r>
  </si>
  <si>
    <r>
      <t>F</t>
    </r>
    <r>
      <rPr>
        <b/>
        <vertAlign val="subscript"/>
        <sz val="10"/>
        <rFont val="Calibri"/>
        <family val="2"/>
      </rPr>
      <t>s</t>
    </r>
    <r>
      <rPr>
        <b/>
        <sz val="10"/>
        <rFont val="Calibri"/>
        <family val="2"/>
      </rPr>
      <t xml:space="preserve"> =</t>
    </r>
  </si>
  <si>
    <r>
      <t>E</t>
    </r>
    <r>
      <rPr>
        <b/>
        <vertAlign val="subscript"/>
        <sz val="10"/>
        <rFont val="Calibri"/>
        <family val="2"/>
      </rPr>
      <t>ex</t>
    </r>
    <r>
      <rPr>
        <b/>
        <sz val="10"/>
        <rFont val="Calibri"/>
        <family val="2"/>
      </rPr>
      <t xml:space="preserve"> =</t>
    </r>
  </si>
  <si>
    <r>
      <t>E</t>
    </r>
    <r>
      <rPr>
        <b/>
        <vertAlign val="subscript"/>
        <sz val="10"/>
        <rFont val="Calibri"/>
        <family val="2"/>
      </rPr>
      <t>ey</t>
    </r>
    <r>
      <rPr>
        <b/>
        <sz val="10"/>
        <rFont val="Calibri"/>
        <family val="2"/>
      </rPr>
      <t xml:space="preserve"> =</t>
    </r>
  </si>
  <si>
    <r>
      <t>E</t>
    </r>
    <r>
      <rPr>
        <b/>
        <vertAlign val="subscript"/>
        <sz val="10"/>
        <rFont val="Calibri"/>
        <family val="2"/>
      </rPr>
      <t>ax</t>
    </r>
    <r>
      <rPr>
        <b/>
        <sz val="10"/>
        <rFont val="Calibri"/>
        <family val="2"/>
      </rPr>
      <t xml:space="preserve"> =</t>
    </r>
  </si>
  <si>
    <r>
      <t>E</t>
    </r>
    <r>
      <rPr>
        <b/>
        <vertAlign val="subscript"/>
        <sz val="10"/>
        <rFont val="Calibri"/>
        <family val="2"/>
      </rPr>
      <t>ay</t>
    </r>
    <r>
      <rPr>
        <b/>
        <sz val="10"/>
        <rFont val="Calibri"/>
        <family val="2"/>
      </rPr>
      <t xml:space="preserve"> =</t>
    </r>
  </si>
  <si>
    <r>
      <t>kN/m</t>
    </r>
    <r>
      <rPr>
        <vertAlign val="superscript"/>
        <sz val="10"/>
        <rFont val="Calibri"/>
        <family val="2"/>
      </rPr>
      <t>2</t>
    </r>
  </si>
  <si>
    <t>DISTRUBICIÓN DE MASAS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</si>
</sst>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8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name val="Symbol"/>
      <family val="1"/>
      <charset val="2"/>
    </font>
    <font>
      <b/>
      <sz val="10"/>
      <name val="Calibri"/>
      <family val="1"/>
      <charset val="2"/>
    </font>
    <font>
      <vertAlign val="superscript"/>
      <sz val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1" fontId="1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1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2" fontId="2" fillId="4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164" fontId="2" fillId="5" borderId="0" xfId="0" applyNumberFormat="1" applyFont="1" applyFill="1" applyAlignment="1">
      <alignment horizontal="right" vertical="center"/>
    </xf>
    <xf numFmtId="165" fontId="2" fillId="4" borderId="0" xfId="0" applyNumberFormat="1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1" fontId="2" fillId="3" borderId="0" xfId="0" applyNumberFormat="1" applyFont="1" applyFill="1" applyAlignment="1">
      <alignment horizontal="right" vertical="center"/>
    </xf>
    <xf numFmtId="164" fontId="2" fillId="3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1" fontId="2" fillId="0" borderId="2" xfId="0" applyNumberFormat="1" applyFont="1" applyBorder="1" applyAlignment="1">
      <alignment horizontal="right" vertical="center"/>
    </xf>
    <xf numFmtId="0" fontId="1" fillId="4" borderId="1" xfId="0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right" vertical="center"/>
    </xf>
    <xf numFmtId="1" fontId="2" fillId="3" borderId="6" xfId="0" applyNumberFormat="1" applyFont="1" applyFill="1" applyBorder="1" applyAlignment="1">
      <alignment horizontal="right" vertical="center"/>
    </xf>
    <xf numFmtId="1" fontId="2" fillId="3" borderId="7" xfId="0" applyNumberFormat="1" applyFont="1" applyFill="1" applyBorder="1" applyAlignment="1">
      <alignment horizontal="right" vertical="center"/>
    </xf>
    <xf numFmtId="1" fontId="2" fillId="3" borderId="8" xfId="0" applyNumberFormat="1" applyFont="1" applyFill="1" applyBorder="1" applyAlignment="1">
      <alignment horizontal="right" vertical="center"/>
    </xf>
    <xf numFmtId="1" fontId="2" fillId="3" borderId="9" xfId="0" applyNumberFormat="1" applyFont="1" applyFill="1" applyBorder="1" applyAlignment="1">
      <alignment horizontal="right" vertical="center"/>
    </xf>
    <xf numFmtId="1" fontId="2" fillId="3" borderId="10" xfId="0" applyNumberFormat="1" applyFont="1" applyFill="1" applyBorder="1" applyAlignment="1">
      <alignment horizontal="right" vertical="center"/>
    </xf>
    <xf numFmtId="1" fontId="2" fillId="3" borderId="11" xfId="0" applyNumberFormat="1" applyFont="1" applyFill="1" applyBorder="1" applyAlignment="1">
      <alignment horizontal="right" vertical="center"/>
    </xf>
    <xf numFmtId="1" fontId="2" fillId="3" borderId="12" xfId="0" applyNumberFormat="1" applyFont="1" applyFill="1" applyBorder="1" applyAlignment="1">
      <alignment horizontal="right" vertical="center"/>
    </xf>
    <xf numFmtId="164" fontId="2" fillId="3" borderId="5" xfId="0" applyNumberFormat="1" applyFont="1" applyFill="1" applyBorder="1" applyAlignment="1">
      <alignment horizontal="right" vertical="center"/>
    </xf>
    <xf numFmtId="164" fontId="2" fillId="3" borderId="6" xfId="0" applyNumberFormat="1" applyFont="1" applyFill="1" applyBorder="1" applyAlignment="1">
      <alignment horizontal="right" vertical="center"/>
    </xf>
    <xf numFmtId="164" fontId="2" fillId="3" borderId="7" xfId="0" applyNumberFormat="1" applyFont="1" applyFill="1" applyBorder="1" applyAlignment="1">
      <alignment horizontal="right" vertical="center"/>
    </xf>
    <xf numFmtId="164" fontId="2" fillId="3" borderId="8" xfId="0" applyNumberFormat="1" applyFont="1" applyFill="1" applyBorder="1" applyAlignment="1">
      <alignment horizontal="right" vertical="center"/>
    </xf>
    <xf numFmtId="164" fontId="2" fillId="3" borderId="9" xfId="0" applyNumberFormat="1" applyFont="1" applyFill="1" applyBorder="1" applyAlignment="1">
      <alignment horizontal="right" vertical="center"/>
    </xf>
    <xf numFmtId="164" fontId="2" fillId="3" borderId="10" xfId="0" applyNumberFormat="1" applyFont="1" applyFill="1" applyBorder="1" applyAlignment="1">
      <alignment horizontal="right" vertical="center"/>
    </xf>
    <xf numFmtId="164" fontId="2" fillId="3" borderId="11" xfId="0" applyNumberFormat="1" applyFont="1" applyFill="1" applyBorder="1" applyAlignment="1">
      <alignment horizontal="right" vertical="center"/>
    </xf>
    <xf numFmtId="164" fontId="2" fillId="3" borderId="12" xfId="0" applyNumberFormat="1" applyFont="1" applyFill="1" applyBorder="1" applyAlignment="1">
      <alignment horizontal="right" vertical="center"/>
    </xf>
    <xf numFmtId="2" fontId="2" fillId="3" borderId="2" xfId="0" applyNumberFormat="1" applyFont="1" applyFill="1" applyBorder="1" applyAlignment="1">
      <alignment horizontal="right" vertical="center"/>
    </xf>
    <xf numFmtId="2" fontId="2" fillId="3" borderId="13" xfId="0" applyNumberFormat="1" applyFont="1" applyFill="1" applyBorder="1" applyAlignment="1">
      <alignment horizontal="right" vertical="center"/>
    </xf>
    <xf numFmtId="2" fontId="2" fillId="3" borderId="14" xfId="0" applyNumberFormat="1" applyFont="1" applyFill="1" applyBorder="1" applyAlignment="1">
      <alignment horizontal="right" vertical="center"/>
    </xf>
    <xf numFmtId="1" fontId="2" fillId="3" borderId="2" xfId="0" applyNumberFormat="1" applyFont="1" applyFill="1" applyBorder="1" applyAlignment="1">
      <alignment horizontal="right" vertical="center"/>
    </xf>
    <xf numFmtId="1" fontId="2" fillId="3" borderId="13" xfId="0" applyNumberFormat="1" applyFont="1" applyFill="1" applyBorder="1" applyAlignment="1">
      <alignment horizontal="right" vertical="center"/>
    </xf>
    <xf numFmtId="1" fontId="2" fillId="3" borderId="14" xfId="0" applyNumberFormat="1" applyFont="1" applyFill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7" xfId="0" applyNumberFormat="1" applyFont="1" applyBorder="1" applyAlignment="1">
      <alignment horizontal="right" vertical="center"/>
    </xf>
    <xf numFmtId="1" fontId="2" fillId="0" borderId="14" xfId="0" applyNumberFormat="1" applyFont="1" applyBorder="1" applyAlignment="1">
      <alignment horizontal="right" vertical="center"/>
    </xf>
    <xf numFmtId="1" fontId="2" fillId="0" borderId="12" xfId="0" applyNumberFormat="1" applyFont="1" applyBorder="1" applyAlignment="1">
      <alignment horizontal="right" vertical="center"/>
    </xf>
    <xf numFmtId="2" fontId="2" fillId="0" borderId="12" xfId="0" applyNumberFormat="1" applyFont="1" applyBorder="1" applyAlignment="1">
      <alignment horizontal="right" vertical="center"/>
    </xf>
    <xf numFmtId="2" fontId="2" fillId="0" borderId="14" xfId="0" applyNumberFormat="1" applyFont="1" applyBorder="1" applyAlignment="1">
      <alignment horizontal="right" vertical="center"/>
    </xf>
    <xf numFmtId="1" fontId="2" fillId="0" borderId="0" xfId="0" applyNumberFormat="1" applyFont="1" applyAlignment="1">
      <alignment horizontal="right" vertical="center"/>
    </xf>
    <xf numFmtId="2" fontId="2" fillId="0" borderId="6" xfId="0" applyNumberFormat="1" applyFont="1" applyBorder="1" applyAlignment="1">
      <alignment horizontal="right" vertical="center"/>
    </xf>
    <xf numFmtId="2" fontId="2" fillId="0" borderId="11" xfId="0" applyNumberFormat="1" applyFont="1" applyBorder="1" applyAlignment="1">
      <alignment horizontal="right" vertical="center"/>
    </xf>
    <xf numFmtId="1" fontId="2" fillId="0" borderId="5" xfId="0" applyNumberFormat="1" applyFont="1" applyBorder="1" applyAlignment="1">
      <alignment horizontal="right" vertical="center"/>
    </xf>
    <xf numFmtId="1" fontId="2" fillId="0" borderId="6" xfId="0" applyNumberFormat="1" applyFont="1" applyBorder="1" applyAlignment="1">
      <alignment horizontal="right" vertical="center"/>
    </xf>
    <xf numFmtId="1" fontId="2" fillId="0" borderId="7" xfId="0" applyNumberFormat="1" applyFont="1" applyBorder="1" applyAlignment="1">
      <alignment horizontal="right" vertical="center"/>
    </xf>
    <xf numFmtId="1" fontId="2" fillId="0" borderId="8" xfId="0" applyNumberFormat="1" applyFont="1" applyBorder="1" applyAlignment="1">
      <alignment horizontal="right" vertical="center"/>
    </xf>
    <xf numFmtId="1" fontId="2" fillId="0" borderId="9" xfId="0" applyNumberFormat="1" applyFont="1" applyBorder="1" applyAlignment="1">
      <alignment horizontal="right" vertical="center"/>
    </xf>
    <xf numFmtId="1" fontId="2" fillId="0" borderId="11" xfId="0" applyNumberFormat="1" applyFont="1" applyBorder="1" applyAlignment="1">
      <alignment horizontal="right" vertical="center"/>
    </xf>
    <xf numFmtId="1" fontId="2" fillId="0" borderId="13" xfId="0" applyNumberFormat="1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right" vertical="center"/>
    </xf>
    <xf numFmtId="1" fontId="2" fillId="0" borderId="18" xfId="0" applyNumberFormat="1" applyFont="1" applyBorder="1" applyAlignment="1">
      <alignment horizontal="right" vertical="center"/>
    </xf>
    <xf numFmtId="1" fontId="2" fillId="0" borderId="20" xfId="0" applyNumberFormat="1" applyFont="1" applyBorder="1" applyAlignment="1">
      <alignment horizontal="right" vertical="center"/>
    </xf>
    <xf numFmtId="1" fontId="2" fillId="0" borderId="21" xfId="0" applyNumberFormat="1" applyFont="1" applyBorder="1" applyAlignment="1">
      <alignment horizontal="right" vertical="center"/>
    </xf>
    <xf numFmtId="1" fontId="2" fillId="0" borderId="23" xfId="0" applyNumberFormat="1" applyFont="1" applyBorder="1" applyAlignment="1">
      <alignment horizontal="right" vertical="center"/>
    </xf>
    <xf numFmtId="1" fontId="2" fillId="0" borderId="24" xfId="0" applyNumberFormat="1" applyFont="1" applyBorder="1" applyAlignment="1">
      <alignment horizontal="right" vertical="center"/>
    </xf>
    <xf numFmtId="2" fontId="2" fillId="4" borderId="16" xfId="0" applyNumberFormat="1" applyFont="1" applyFill="1" applyBorder="1" applyAlignment="1">
      <alignment horizontal="right" vertical="center"/>
    </xf>
    <xf numFmtId="2" fontId="2" fillId="4" borderId="17" xfId="0" applyNumberFormat="1" applyFont="1" applyFill="1" applyBorder="1" applyAlignment="1">
      <alignment horizontal="right" vertical="center"/>
    </xf>
    <xf numFmtId="1" fontId="2" fillId="4" borderId="17" xfId="0" applyNumberFormat="1" applyFont="1" applyFill="1" applyBorder="1" applyAlignment="1">
      <alignment horizontal="right" vertical="center"/>
    </xf>
    <xf numFmtId="2" fontId="2" fillId="4" borderId="19" xfId="0" applyNumberFormat="1" applyFont="1" applyFill="1" applyBorder="1" applyAlignment="1">
      <alignment horizontal="right" vertical="center"/>
    </xf>
    <xf numFmtId="2" fontId="2" fillId="4" borderId="20" xfId="0" applyNumberFormat="1" applyFont="1" applyFill="1" applyBorder="1" applyAlignment="1">
      <alignment horizontal="right" vertical="center"/>
    </xf>
    <xf numFmtId="1" fontId="2" fillId="4" borderId="20" xfId="0" applyNumberFormat="1" applyFont="1" applyFill="1" applyBorder="1" applyAlignment="1">
      <alignment horizontal="right" vertical="center"/>
    </xf>
    <xf numFmtId="0" fontId="2" fillId="4" borderId="20" xfId="0" applyFont="1" applyFill="1" applyBorder="1" applyAlignment="1">
      <alignment horizontal="right" vertical="center"/>
    </xf>
    <xf numFmtId="2" fontId="2" fillId="4" borderId="22" xfId="0" applyNumberFormat="1" applyFont="1" applyFill="1" applyBorder="1" applyAlignment="1">
      <alignment horizontal="right" vertical="center"/>
    </xf>
    <xf numFmtId="2" fontId="2" fillId="4" borderId="23" xfId="0" applyNumberFormat="1" applyFont="1" applyFill="1" applyBorder="1" applyAlignment="1">
      <alignment horizontal="right" vertical="center"/>
    </xf>
    <xf numFmtId="1" fontId="2" fillId="4" borderId="23" xfId="0" applyNumberFormat="1" applyFont="1" applyFill="1" applyBorder="1" applyAlignment="1">
      <alignment horizontal="right" vertical="center"/>
    </xf>
    <xf numFmtId="0" fontId="2" fillId="4" borderId="23" xfId="0" applyFont="1" applyFill="1" applyBorder="1" applyAlignment="1">
      <alignment horizontal="right" vertical="center"/>
    </xf>
    <xf numFmtId="165" fontId="2" fillId="0" borderId="17" xfId="0" applyNumberFormat="1" applyFont="1" applyBorder="1" applyAlignment="1">
      <alignment horizontal="right" vertical="center"/>
    </xf>
    <xf numFmtId="165" fontId="2" fillId="0" borderId="20" xfId="0" applyNumberFormat="1" applyFont="1" applyBorder="1" applyAlignment="1">
      <alignment horizontal="right" vertical="center"/>
    </xf>
    <xf numFmtId="165" fontId="2" fillId="0" borderId="23" xfId="0" applyNumberFormat="1" applyFont="1" applyBorder="1" applyAlignment="1">
      <alignment horizontal="right" vertical="center"/>
    </xf>
    <xf numFmtId="1" fontId="1" fillId="0" borderId="25" xfId="0" applyNumberFormat="1" applyFont="1" applyBorder="1" applyAlignment="1">
      <alignment horizontal="right" vertical="center"/>
    </xf>
    <xf numFmtId="1" fontId="1" fillId="0" borderId="26" xfId="0" applyNumberFormat="1" applyFont="1" applyBorder="1" applyAlignment="1">
      <alignment horizontal="right" vertical="center"/>
    </xf>
    <xf numFmtId="1" fontId="1" fillId="0" borderId="27" xfId="0" applyNumberFormat="1" applyFont="1" applyBorder="1" applyAlignment="1">
      <alignment horizontal="right" vertical="center"/>
    </xf>
    <xf numFmtId="1" fontId="1" fillId="6" borderId="25" xfId="0" applyNumberFormat="1" applyFont="1" applyFill="1" applyBorder="1" applyAlignment="1">
      <alignment horizontal="right" vertical="center"/>
    </xf>
    <xf numFmtId="1" fontId="1" fillId="6" borderId="26" xfId="0" applyNumberFormat="1" applyFont="1" applyFill="1" applyBorder="1" applyAlignment="1">
      <alignment horizontal="right" vertical="center"/>
    </xf>
    <xf numFmtId="1" fontId="1" fillId="6" borderId="27" xfId="0" applyNumberFormat="1" applyFont="1" applyFill="1" applyBorder="1" applyAlignment="1">
      <alignment horizontal="right" vertical="center"/>
    </xf>
    <xf numFmtId="1" fontId="2" fillId="6" borderId="16" xfId="0" applyNumberFormat="1" applyFont="1" applyFill="1" applyBorder="1" applyAlignment="1">
      <alignment horizontal="right" vertical="center"/>
    </xf>
    <xf numFmtId="1" fontId="2" fillId="6" borderId="17" xfId="0" applyNumberFormat="1" applyFont="1" applyFill="1" applyBorder="1" applyAlignment="1">
      <alignment horizontal="right" vertical="center"/>
    </xf>
    <xf numFmtId="1" fontId="2" fillId="6" borderId="18" xfId="0" applyNumberFormat="1" applyFont="1" applyFill="1" applyBorder="1" applyAlignment="1">
      <alignment horizontal="right" vertical="center"/>
    </xf>
    <xf numFmtId="1" fontId="2" fillId="6" borderId="19" xfId="0" applyNumberFormat="1" applyFont="1" applyFill="1" applyBorder="1" applyAlignment="1">
      <alignment horizontal="right" vertical="center"/>
    </xf>
    <xf numFmtId="1" fontId="2" fillId="6" borderId="20" xfId="0" applyNumberFormat="1" applyFont="1" applyFill="1" applyBorder="1" applyAlignment="1">
      <alignment horizontal="right" vertical="center"/>
    </xf>
    <xf numFmtId="1" fontId="2" fillId="6" borderId="21" xfId="0" applyNumberFormat="1" applyFont="1" applyFill="1" applyBorder="1" applyAlignment="1">
      <alignment horizontal="right" vertical="center"/>
    </xf>
    <xf numFmtId="1" fontId="2" fillId="6" borderId="22" xfId="0" applyNumberFormat="1" applyFont="1" applyFill="1" applyBorder="1" applyAlignment="1">
      <alignment horizontal="right" vertical="center"/>
    </xf>
    <xf numFmtId="1" fontId="2" fillId="6" borderId="23" xfId="0" applyNumberFormat="1" applyFont="1" applyFill="1" applyBorder="1" applyAlignment="1">
      <alignment horizontal="right" vertical="center"/>
    </xf>
    <xf numFmtId="1" fontId="2" fillId="6" borderId="24" xfId="0" applyNumberFormat="1" applyFont="1" applyFill="1" applyBorder="1" applyAlignment="1">
      <alignment horizontal="right" vertical="center"/>
    </xf>
    <xf numFmtId="2" fontId="2" fillId="3" borderId="16" xfId="0" applyNumberFormat="1" applyFont="1" applyFill="1" applyBorder="1" applyAlignment="1">
      <alignment horizontal="right" vertical="center"/>
    </xf>
    <xf numFmtId="2" fontId="2" fillId="3" borderId="17" xfId="0" applyNumberFormat="1" applyFont="1" applyFill="1" applyBorder="1" applyAlignment="1">
      <alignment horizontal="right" vertical="center"/>
    </xf>
    <xf numFmtId="1" fontId="2" fillId="3" borderId="17" xfId="0" applyNumberFormat="1" applyFont="1" applyFill="1" applyBorder="1" applyAlignment="1">
      <alignment horizontal="right" vertical="center"/>
    </xf>
    <xf numFmtId="1" fontId="2" fillId="3" borderId="18" xfId="0" applyNumberFormat="1" applyFont="1" applyFill="1" applyBorder="1" applyAlignment="1">
      <alignment horizontal="right" vertical="center"/>
    </xf>
    <xf numFmtId="2" fontId="2" fillId="3" borderId="19" xfId="0" applyNumberFormat="1" applyFont="1" applyFill="1" applyBorder="1" applyAlignment="1">
      <alignment horizontal="right" vertical="center"/>
    </xf>
    <xf numFmtId="2" fontId="2" fillId="3" borderId="20" xfId="0" applyNumberFormat="1" applyFont="1" applyFill="1" applyBorder="1" applyAlignment="1">
      <alignment horizontal="right" vertical="center"/>
    </xf>
    <xf numFmtId="1" fontId="2" fillId="3" borderId="20" xfId="0" applyNumberFormat="1" applyFont="1" applyFill="1" applyBorder="1" applyAlignment="1">
      <alignment horizontal="right" vertical="center"/>
    </xf>
    <xf numFmtId="1" fontId="2" fillId="3" borderId="21" xfId="0" applyNumberFormat="1" applyFont="1" applyFill="1" applyBorder="1" applyAlignment="1">
      <alignment horizontal="right" vertical="center"/>
    </xf>
    <xf numFmtId="2" fontId="2" fillId="3" borderId="22" xfId="0" applyNumberFormat="1" applyFont="1" applyFill="1" applyBorder="1" applyAlignment="1">
      <alignment horizontal="right" vertical="center"/>
    </xf>
    <xf numFmtId="2" fontId="2" fillId="3" borderId="23" xfId="0" applyNumberFormat="1" applyFont="1" applyFill="1" applyBorder="1" applyAlignment="1">
      <alignment horizontal="right" vertical="center"/>
    </xf>
    <xf numFmtId="1" fontId="2" fillId="3" borderId="23" xfId="0" applyNumberFormat="1" applyFont="1" applyFill="1" applyBorder="1" applyAlignment="1">
      <alignment horizontal="right" vertical="center"/>
    </xf>
    <xf numFmtId="1" fontId="2" fillId="3" borderId="24" xfId="0" applyNumberFormat="1" applyFont="1" applyFill="1" applyBorder="1" applyAlignment="1">
      <alignment horizontal="right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" fontId="1" fillId="0" borderId="29" xfId="0" applyNumberFormat="1" applyFont="1" applyBorder="1" applyAlignment="1">
      <alignment horizontal="center" vertical="center"/>
    </xf>
    <xf numFmtId="1" fontId="1" fillId="0" borderId="30" xfId="0" applyNumberFormat="1" applyFont="1" applyBorder="1" applyAlignment="1">
      <alignment horizontal="center" vertical="center"/>
    </xf>
    <xf numFmtId="1" fontId="1" fillId="0" borderId="28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right" vertical="center"/>
    </xf>
    <xf numFmtId="0" fontId="5" fillId="0" borderId="29" xfId="0" applyFont="1" applyBorder="1" applyAlignment="1">
      <alignment horizontal="center" vertical="center"/>
    </xf>
    <xf numFmtId="2" fontId="2" fillId="3" borderId="0" xfId="0" applyNumberFormat="1" applyFont="1" applyFill="1" applyAlignment="1">
      <alignment horizontal="right" vertical="center"/>
    </xf>
    <xf numFmtId="165" fontId="1" fillId="0" borderId="25" xfId="0" applyNumberFormat="1" applyFont="1" applyBorder="1" applyAlignment="1">
      <alignment horizontal="right" vertical="center"/>
    </xf>
    <xf numFmtId="2" fontId="2" fillId="3" borderId="10" xfId="0" applyNumberFormat="1" applyFont="1" applyFill="1" applyBorder="1" applyAlignment="1">
      <alignment horizontal="right" vertical="center"/>
    </xf>
    <xf numFmtId="2" fontId="2" fillId="3" borderId="11" xfId="0" applyNumberFormat="1" applyFont="1" applyFill="1" applyBorder="1" applyAlignment="1">
      <alignment horizontal="right" vertical="center"/>
    </xf>
    <xf numFmtId="2" fontId="2" fillId="3" borderId="6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2" fontId="2" fillId="0" borderId="16" xfId="0" applyNumberFormat="1" applyFont="1" applyFill="1" applyBorder="1" applyAlignment="1">
      <alignment horizontal="right" vertical="center"/>
    </xf>
    <xf numFmtId="2" fontId="2" fillId="0" borderId="17" xfId="0" applyNumberFormat="1" applyFont="1" applyFill="1" applyBorder="1" applyAlignment="1">
      <alignment horizontal="right" vertical="center"/>
    </xf>
    <xf numFmtId="1" fontId="2" fillId="0" borderId="17" xfId="0" applyNumberFormat="1" applyFont="1" applyFill="1" applyBorder="1" applyAlignment="1">
      <alignment horizontal="right" vertical="center"/>
    </xf>
    <xf numFmtId="1" fontId="2" fillId="0" borderId="18" xfId="0" applyNumberFormat="1" applyFont="1" applyFill="1" applyBorder="1" applyAlignment="1">
      <alignment horizontal="right" vertical="center"/>
    </xf>
    <xf numFmtId="2" fontId="2" fillId="0" borderId="19" xfId="0" applyNumberFormat="1" applyFont="1" applyFill="1" applyBorder="1" applyAlignment="1">
      <alignment horizontal="right" vertical="center"/>
    </xf>
    <xf numFmtId="2" fontId="2" fillId="0" borderId="20" xfId="0" applyNumberFormat="1" applyFont="1" applyFill="1" applyBorder="1" applyAlignment="1">
      <alignment horizontal="right" vertical="center"/>
    </xf>
    <xf numFmtId="1" fontId="2" fillId="0" borderId="20" xfId="0" applyNumberFormat="1" applyFont="1" applyFill="1" applyBorder="1" applyAlignment="1">
      <alignment horizontal="right" vertical="center"/>
    </xf>
    <xf numFmtId="1" fontId="2" fillId="0" borderId="21" xfId="0" applyNumberFormat="1" applyFont="1" applyFill="1" applyBorder="1" applyAlignment="1">
      <alignment horizontal="right" vertical="center"/>
    </xf>
    <xf numFmtId="2" fontId="2" fillId="0" borderId="22" xfId="0" applyNumberFormat="1" applyFont="1" applyFill="1" applyBorder="1" applyAlignment="1">
      <alignment horizontal="right" vertical="center"/>
    </xf>
    <xf numFmtId="2" fontId="2" fillId="0" borderId="23" xfId="0" applyNumberFormat="1" applyFont="1" applyFill="1" applyBorder="1" applyAlignment="1">
      <alignment horizontal="right" vertical="center"/>
    </xf>
    <xf numFmtId="1" fontId="2" fillId="0" borderId="23" xfId="0" applyNumberFormat="1" applyFont="1" applyFill="1" applyBorder="1" applyAlignment="1">
      <alignment horizontal="right" vertical="center"/>
    </xf>
    <xf numFmtId="1" fontId="2" fillId="0" borderId="24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CEu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TORSIÓN!$B$16:$B$23</c:f>
              <c:numCache>
                <c:formatCode>0.00</c:formatCode>
                <c:ptCount val="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</c:numCache>
            </c:numRef>
          </c:xVal>
          <c:yVal>
            <c:numRef>
              <c:f>TORSIÓN!$C$16:$C$23</c:f>
              <c:numCache>
                <c:formatCode>0.00</c:formatCode>
                <c:ptCount val="8"/>
                <c:pt idx="0">
                  <c:v>5</c:v>
                </c:pt>
                <c:pt idx="1">
                  <c:v>1.5</c:v>
                </c:pt>
                <c:pt idx="2">
                  <c:v>7</c:v>
                </c:pt>
                <c:pt idx="3">
                  <c:v>0</c:v>
                </c:pt>
                <c:pt idx="4">
                  <c:v>5</c:v>
                </c:pt>
                <c:pt idx="5">
                  <c:v>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3F-4F06-93A7-AA135100D7F4}"/>
            </c:ext>
          </c:extLst>
        </c:ser>
        <c:ser>
          <c:idx val="5"/>
          <c:order val="1"/>
          <c:tx>
            <c:v>CEd</c:v>
          </c:tx>
          <c:spPr>
            <a:ln>
              <a:noFill/>
            </a:ln>
          </c:spPr>
          <c:marker>
            <c:symbol val="diamond"/>
            <c:size val="5"/>
            <c:spPr>
              <a:solidFill>
                <a:schemeClr val="accent1"/>
              </a:solidFill>
              <a:ln>
                <a:noFill/>
              </a:ln>
            </c:spPr>
          </c:marker>
          <c:xVal>
            <c:numRef>
              <c:f>TORSIÓN!$R$16:$R$23</c:f>
              <c:numCache>
                <c:formatCode>0.00</c:formatCode>
                <c:ptCount val="8"/>
                <c:pt idx="0">
                  <c:v>0.263341186312608</c:v>
                </c:pt>
                <c:pt idx="1">
                  <c:v>2.3157587300302245</c:v>
                </c:pt>
                <c:pt idx="2">
                  <c:v>4.2333883041882556</c:v>
                </c:pt>
                <c:pt idx="3">
                  <c:v>5.3382233916234885</c:v>
                </c:pt>
                <c:pt idx="4">
                  <c:v>6.2633411863126076</c:v>
                </c:pt>
                <c:pt idx="5">
                  <c:v>8.2858058479058716</c:v>
                </c:pt>
                <c:pt idx="6">
                  <c:v>#N/A</c:v>
                </c:pt>
                <c:pt idx="7">
                  <c:v>#N/A</c:v>
                </c:pt>
              </c:numCache>
            </c:numRef>
          </c:xVal>
          <c:yVal>
            <c:numRef>
              <c:f>TORSIÓN!$S$16:$S$23</c:f>
              <c:numCache>
                <c:formatCode>0.00</c:formatCode>
                <c:ptCount val="8"/>
                <c:pt idx="0">
                  <c:v>4.9417582847582038</c:v>
                </c:pt>
                <c:pt idx="1">
                  <c:v>1.4717111668825562</c:v>
                </c:pt>
                <c:pt idx="2">
                  <c:v>7.0016640490069086</c:v>
                </c:pt>
                <c:pt idx="3">
                  <c:v>1.6640490069084614E-2</c:v>
                </c:pt>
                <c:pt idx="4">
                  <c:v>5.0316169311312606</c:v>
                </c:pt>
                <c:pt idx="5">
                  <c:v>3.5615698132556131</c:v>
                </c:pt>
                <c:pt idx="6">
                  <c:v>#N/A</c:v>
                </c:pt>
                <c:pt idx="7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FD3F-4F06-93A7-AA135100D7F4}"/>
            </c:ext>
          </c:extLst>
        </c:ser>
        <c:ser>
          <c:idx val="1"/>
          <c:order val="2"/>
          <c:tx>
            <c:v>CR</c:v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chemeClr val="accent6"/>
              </a:solidFill>
              <a:ln>
                <a:solidFill>
                  <a:schemeClr val="accent6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TORSIÓN!$AD$19</c:f>
              <c:numCache>
                <c:formatCode>0.00</c:formatCode>
                <c:ptCount val="1"/>
                <c:pt idx="0">
                  <c:v>3.8888888888888888</c:v>
                </c:pt>
              </c:numCache>
            </c:numRef>
          </c:xVal>
          <c:yVal>
            <c:numRef>
              <c:f>TORSIÓN!$AE$19</c:f>
              <c:numCache>
                <c:formatCode>0.00</c:formatCode>
                <c:ptCount val="1"/>
                <c:pt idx="0">
                  <c:v>4.666666666666667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1D-4450-88CE-7CA586CDDE69}"/>
            </c:ext>
          </c:extLst>
        </c:ser>
        <c:ser>
          <c:idx val="6"/>
          <c:order val="3"/>
          <c:tx>
            <c:v>CM</c:v>
          </c:tx>
          <c:marker>
            <c:spPr>
              <a:ln>
                <a:noFill/>
              </a:ln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spPr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85-4E6E-8A52-8ED3938FA82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TORSIÓN!$C$5</c:f>
              <c:numCache>
                <c:formatCode>0.00</c:formatCode>
                <c:ptCount val="1"/>
                <c:pt idx="0">
                  <c:v>4.3600000000000003</c:v>
                </c:pt>
              </c:numCache>
            </c:numRef>
          </c:xVal>
          <c:yVal>
            <c:numRef>
              <c:f>TORSIÓN!$C$6</c:f>
              <c:numCache>
                <c:formatCode>0.00</c:formatCode>
                <c:ptCount val="1"/>
                <c:pt idx="0">
                  <c:v>3.74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D3F-4F06-93A7-AA135100D7F4}"/>
            </c:ext>
          </c:extLst>
        </c:ser>
        <c:ser>
          <c:idx val="7"/>
          <c:order val="4"/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TORSIÓN!$AD$16</c:f>
              <c:numCache>
                <c:formatCode>0.00</c:formatCode>
                <c:ptCount val="1"/>
                <c:pt idx="0">
                  <c:v>4.3600000000000003</c:v>
                </c:pt>
              </c:numCache>
            </c:numRef>
          </c:xVal>
          <c:yVal>
            <c:numRef>
              <c:f>TORSIÓN!$AE$16</c:f>
              <c:numCache>
                <c:formatCode>0.00</c:formatCode>
                <c:ptCount val="1"/>
                <c:pt idx="0">
                  <c:v>3.39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1-FD3F-4F06-93A7-AA135100D7F4}"/>
            </c:ext>
          </c:extLst>
        </c:ser>
        <c:ser>
          <c:idx val="3"/>
          <c:order val="5"/>
          <c:tx>
            <c:v>E1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TORSIÓN!$T$16:$X$16</c:f>
              <c:numCache>
                <c:formatCode>0.00</c:formatCode>
                <c:ptCount val="5"/>
                <c:pt idx="0">
                  <c:v>4.90059381963448E-17</c:v>
                </c:pt>
                <c:pt idx="1">
                  <c:v>4.90059381963448E-17</c:v>
                </c:pt>
                <c:pt idx="2">
                  <c:v>-4.90059381963448E-17</c:v>
                </c:pt>
                <c:pt idx="3">
                  <c:v>-4.90059381963448E-17</c:v>
                </c:pt>
                <c:pt idx="4">
                  <c:v>4.90059381963448E-17</c:v>
                </c:pt>
              </c:numCache>
            </c:numRef>
          </c:xVal>
          <c:yVal>
            <c:numRef>
              <c:f>TORSIÓN!$Y$16:$AC$16</c:f>
              <c:numCache>
                <c:formatCode>0.00</c:formatCode>
                <c:ptCount val="5"/>
                <c:pt idx="0">
                  <c:v>5.8</c:v>
                </c:pt>
                <c:pt idx="1">
                  <c:v>5.8</c:v>
                </c:pt>
                <c:pt idx="2">
                  <c:v>4.2</c:v>
                </c:pt>
                <c:pt idx="3">
                  <c:v>4.2</c:v>
                </c:pt>
                <c:pt idx="4">
                  <c:v>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FD3F-4F06-93A7-AA135100D7F4}"/>
            </c:ext>
          </c:extLst>
        </c:ser>
        <c:ser>
          <c:idx val="8"/>
          <c:order val="6"/>
          <c:tx>
            <c:v>E2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TORSIÓN!$T$17:$X$17</c:f>
              <c:numCache>
                <c:formatCode>0.00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xVal>
          <c:yVal>
            <c:numRef>
              <c:f>TORSIÓN!$Y$17:$AC$17</c:f>
              <c:numCache>
                <c:formatCode>0.00</c:formatCode>
                <c:ptCount val="5"/>
                <c:pt idx="0">
                  <c:v>2.7</c:v>
                </c:pt>
                <c:pt idx="1">
                  <c:v>2.7</c:v>
                </c:pt>
                <c:pt idx="2">
                  <c:v>0.30000000000000004</c:v>
                </c:pt>
                <c:pt idx="3">
                  <c:v>0.30000000000000004</c:v>
                </c:pt>
                <c:pt idx="4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FD3F-4F06-93A7-AA135100D7F4}"/>
            </c:ext>
          </c:extLst>
        </c:ser>
        <c:ser>
          <c:idx val="9"/>
          <c:order val="7"/>
          <c:tx>
            <c:v>E3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TORSIÓN!$T$18:$X$18</c:f>
              <c:numCache>
                <c:formatCode>0.00</c:formatCode>
                <c:ptCount val="5"/>
                <c:pt idx="0">
                  <c:v>6</c:v>
                </c:pt>
                <c:pt idx="1">
                  <c:v>6</c:v>
                </c:pt>
                <c:pt idx="2">
                  <c:v>2</c:v>
                </c:pt>
                <c:pt idx="3">
                  <c:v>2</c:v>
                </c:pt>
                <c:pt idx="4">
                  <c:v>6</c:v>
                </c:pt>
              </c:numCache>
            </c:numRef>
          </c:xVal>
          <c:yVal>
            <c:numRef>
              <c:f>TORSIÓN!$Y$18:$AC$18</c:f>
              <c:numCache>
                <c:formatCode>0.00</c:formatCode>
                <c:ptCount val="5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FD3F-4F06-93A7-AA135100D7F4}"/>
            </c:ext>
          </c:extLst>
        </c:ser>
        <c:ser>
          <c:idx val="10"/>
          <c:order val="8"/>
          <c:tx>
            <c:v>E4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TORSIÓN!$T$19:$X$19</c:f>
              <c:numCache>
                <c:formatCode>0.00</c:formatCode>
                <c:ptCount val="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4</c:v>
                </c:pt>
                <c:pt idx="4">
                  <c:v>6</c:v>
                </c:pt>
              </c:numCache>
            </c:numRef>
          </c:xVal>
          <c:yVal>
            <c:numRef>
              <c:f>TORSIÓN!$Y$19:$AC$19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A-FD3F-4F06-93A7-AA135100D7F4}"/>
            </c:ext>
          </c:extLst>
        </c:ser>
        <c:ser>
          <c:idx val="11"/>
          <c:order val="9"/>
          <c:tx>
            <c:v>E5</c:v>
          </c:tx>
          <c:spPr>
            <a:ln w="19050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TORSIÓN!$T$20:$X$20</c:f>
              <c:numCache>
                <c:formatCode>0.00</c:formatCode>
                <c:ptCount val="5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</c:numCache>
            </c:numRef>
          </c:xVal>
          <c:yVal>
            <c:numRef>
              <c:f>TORSIÓN!$Y$20:$AC$20</c:f>
              <c:numCache>
                <c:formatCode>0.00</c:formatCode>
                <c:ptCount val="5"/>
                <c:pt idx="0">
                  <c:v>5.6</c:v>
                </c:pt>
                <c:pt idx="1">
                  <c:v>5.6</c:v>
                </c:pt>
                <c:pt idx="2">
                  <c:v>4.4000000000000004</c:v>
                </c:pt>
                <c:pt idx="3">
                  <c:v>4.4000000000000004</c:v>
                </c:pt>
                <c:pt idx="4">
                  <c:v>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B-FD3F-4F06-93A7-AA135100D7F4}"/>
            </c:ext>
          </c:extLst>
        </c:ser>
        <c:ser>
          <c:idx val="12"/>
          <c:order val="10"/>
          <c:tx>
            <c:v>E6</c:v>
          </c:tx>
          <c:spPr>
            <a:ln w="19050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TORSIÓN!$T$21:$X$21</c:f>
              <c:numCache>
                <c:formatCode>0.00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xVal>
          <c:yVal>
            <c:numRef>
              <c:f>TORSIÓN!$Y$21:$AC$21</c:f>
              <c:numCache>
                <c:formatCode>0.00</c:formatCode>
                <c:ptCount val="5"/>
                <c:pt idx="0">
                  <c:v>4.5</c:v>
                </c:pt>
                <c:pt idx="1">
                  <c:v>4.5</c:v>
                </c:pt>
                <c:pt idx="2">
                  <c:v>2.5</c:v>
                </c:pt>
                <c:pt idx="3">
                  <c:v>2.5</c:v>
                </c:pt>
                <c:pt idx="4">
                  <c:v>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C-FD3F-4F06-93A7-AA135100D7F4}"/>
            </c:ext>
          </c:extLst>
        </c:ser>
        <c:ser>
          <c:idx val="13"/>
          <c:order val="11"/>
          <c:tx>
            <c:v>E7</c:v>
          </c:tx>
          <c:spPr>
            <a:ln w="19050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TORSIÓN!$T$22:$X$22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TORSIÓN!$Y$22:$AC$22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D-FD3F-4F06-93A7-AA135100D7F4}"/>
            </c:ext>
          </c:extLst>
        </c:ser>
        <c:ser>
          <c:idx val="16"/>
          <c:order val="12"/>
          <c:tx>
            <c:v>E8</c:v>
          </c:tx>
          <c:spPr>
            <a:ln w="19050">
              <a:noFill/>
            </a:ln>
          </c:spPr>
          <c:marker>
            <c:symbol val="none"/>
          </c:marker>
          <c:xVal>
            <c:numRef>
              <c:f>TORSIÓN!$T$23:$X$23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TORSIÓN!$Y$23:$AC$23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0-FD3F-4F06-93A7-AA135100D7F4}"/>
            </c:ext>
          </c:extLst>
        </c:ser>
        <c:ser>
          <c:idx val="2"/>
          <c:order val="13"/>
          <c:tx>
            <c:v>FS</c:v>
          </c:tx>
          <c:spPr>
            <a:ln w="19050">
              <a:solidFill>
                <a:srgbClr val="FF0000"/>
              </a:solidFill>
              <a:headEnd type="none"/>
              <a:tailEnd type="triangle"/>
            </a:ln>
          </c:spPr>
          <c:marker>
            <c:symbol val="none"/>
          </c:marker>
          <c:xVal>
            <c:numRef>
              <c:f>TORSIÓN!$AD$16:$AD$17</c:f>
              <c:numCache>
                <c:formatCode>0.00</c:formatCode>
                <c:ptCount val="2"/>
                <c:pt idx="0">
                  <c:v>4.3600000000000003</c:v>
                </c:pt>
                <c:pt idx="1">
                  <c:v>5.36</c:v>
                </c:pt>
              </c:numCache>
            </c:numRef>
          </c:xVal>
          <c:yVal>
            <c:numRef>
              <c:f>TORSIÓN!$AE$16:$AE$17</c:f>
              <c:numCache>
                <c:formatCode>0.00</c:formatCode>
                <c:ptCount val="2"/>
                <c:pt idx="0">
                  <c:v>3.39</c:v>
                </c:pt>
                <c:pt idx="1">
                  <c:v>3.39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11D-4450-88CE-7CA586CDD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627471"/>
        <c:axId val="193626031"/>
      </c:scatterChart>
      <c:valAx>
        <c:axId val="193627471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93626031"/>
        <c:crosses val="max"/>
        <c:crossBetween val="midCat"/>
        <c:majorUnit val="1"/>
      </c:valAx>
      <c:valAx>
        <c:axId val="193626031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93627471"/>
        <c:crosses val="max"/>
        <c:crossBetween val="midCat"/>
        <c:majorUnit val="1"/>
      </c:valAx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9050">
      <a:solidFill>
        <a:schemeClr val="tx1"/>
      </a:solidFill>
    </a:ln>
  </c:spPr>
  <c:txPr>
    <a:bodyPr/>
    <a:lstStyle/>
    <a:p>
      <a:pPr>
        <a:defRPr sz="1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121360</xdr:colOff>
      <xdr:row>2</xdr:row>
      <xdr:rowOff>0</xdr:rowOff>
    </xdr:from>
    <xdr:to>
      <xdr:col>31</xdr:col>
      <xdr:colOff>0</xdr:colOff>
      <xdr:row>36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87990BC-7F30-7217-B808-870C2AEE1E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F21D9-112B-4428-A037-EF254438D10F}">
  <sheetPr>
    <pageSetUpPr fitToPage="1"/>
  </sheetPr>
  <dimension ref="B2:AE57"/>
  <sheetViews>
    <sheetView tabSelected="1" zoomScaleNormal="100" workbookViewId="0">
      <selection activeCell="F19" sqref="F19"/>
    </sheetView>
  </sheetViews>
  <sheetFormatPr baseColWidth="10" defaultColWidth="8.77734375" defaultRowHeight="12" customHeight="1"/>
  <cols>
    <col min="1" max="1" width="1.77734375" style="3" customWidth="1"/>
    <col min="2" max="9" width="6.6640625" style="3" customWidth="1"/>
    <col min="10" max="16" width="6.6640625" style="6" customWidth="1"/>
    <col min="17" max="17" width="1.77734375" style="3" customWidth="1"/>
    <col min="18" max="31" width="6.6640625" style="3" customWidth="1"/>
    <col min="32" max="32" width="1.77734375" style="3" customWidth="1"/>
    <col min="33" max="16384" width="8.77734375" style="3"/>
  </cols>
  <sheetData>
    <row r="2" spans="2:31" ht="12" customHeight="1">
      <c r="B2" s="4" t="s">
        <v>50</v>
      </c>
      <c r="C2" s="4"/>
      <c r="J2" s="4" t="s">
        <v>83</v>
      </c>
      <c r="K2" s="3"/>
      <c r="L2" s="3"/>
      <c r="M2" s="3"/>
      <c r="N2" s="3"/>
      <c r="O2" s="3"/>
      <c r="P2" s="3"/>
    </row>
    <row r="3" spans="2:31" ht="12" customHeight="1">
      <c r="B3" s="4" t="s">
        <v>73</v>
      </c>
      <c r="C3" s="13">
        <f>+J6</f>
        <v>8</v>
      </c>
      <c r="D3" s="2" t="s">
        <v>7</v>
      </c>
      <c r="F3" s="4" t="s">
        <v>76</v>
      </c>
      <c r="G3" s="14">
        <v>5</v>
      </c>
      <c r="H3" s="5" t="s">
        <v>9</v>
      </c>
      <c r="J3" s="113" t="s">
        <v>35</v>
      </c>
      <c r="K3" s="114" t="s">
        <v>36</v>
      </c>
      <c r="L3" s="114" t="s">
        <v>0</v>
      </c>
      <c r="M3" s="114" t="s">
        <v>1</v>
      </c>
      <c r="N3" s="114" t="s">
        <v>38</v>
      </c>
      <c r="O3" s="114" t="s">
        <v>47</v>
      </c>
      <c r="P3" s="115" t="s">
        <v>48</v>
      </c>
      <c r="R3" s="7" t="s">
        <v>10</v>
      </c>
      <c r="S3" s="8" cm="1">
        <f t="array" ref="S3">MAX(ABS(J41:J42))</f>
        <v>201.25</v>
      </c>
    </row>
    <row r="4" spans="2:31" ht="12" customHeight="1">
      <c r="B4" s="4" t="s">
        <v>74</v>
      </c>
      <c r="C4" s="13">
        <f>+K5+K6</f>
        <v>7</v>
      </c>
      <c r="D4" s="2" t="s">
        <v>7</v>
      </c>
      <c r="F4" s="4" t="s">
        <v>75</v>
      </c>
      <c r="G4" s="14">
        <v>5</v>
      </c>
      <c r="H4" s="5" t="s">
        <v>9</v>
      </c>
      <c r="J4" s="116" t="s">
        <v>2</v>
      </c>
      <c r="K4" s="117" t="s">
        <v>2</v>
      </c>
      <c r="L4" s="117" t="s">
        <v>2</v>
      </c>
      <c r="M4" s="117" t="s">
        <v>2</v>
      </c>
      <c r="N4" s="117" t="s">
        <v>37</v>
      </c>
      <c r="O4" s="117" t="s">
        <v>49</v>
      </c>
      <c r="P4" s="118" t="s">
        <v>49</v>
      </c>
      <c r="R4" s="7" t="s">
        <v>11</v>
      </c>
      <c r="S4" s="8">
        <f>MAX(D16:E23)</f>
        <v>50</v>
      </c>
    </row>
    <row r="5" spans="2:31" ht="12" customHeight="1">
      <c r="B5" s="1" t="s">
        <v>69</v>
      </c>
      <c r="C5" s="124">
        <f>O12/N12</f>
        <v>4.3600000000000003</v>
      </c>
      <c r="D5" s="2" t="s">
        <v>7</v>
      </c>
      <c r="F5" s="4" t="s">
        <v>78</v>
      </c>
      <c r="G5" s="124">
        <f>+C5-C7</f>
        <v>0.47111111111111148</v>
      </c>
      <c r="H5" s="2" t="s">
        <v>7</v>
      </c>
      <c r="J5" s="72">
        <v>6</v>
      </c>
      <c r="K5" s="73">
        <v>3</v>
      </c>
      <c r="L5" s="73">
        <f>2+3</f>
        <v>5</v>
      </c>
      <c r="M5" s="73">
        <v>1.5</v>
      </c>
      <c r="N5" s="83">
        <f>J5*K5</f>
        <v>18</v>
      </c>
      <c r="O5" s="66">
        <f t="shared" ref="O5:O11" si="0">+N5*L5</f>
        <v>90</v>
      </c>
      <c r="P5" s="67">
        <f t="shared" ref="P5:P11" si="1">+N5*M5</f>
        <v>27</v>
      </c>
      <c r="R5" s="7"/>
      <c r="S5" s="8"/>
    </row>
    <row r="6" spans="2:31" ht="12" customHeight="1">
      <c r="B6" s="1" t="s">
        <v>70</v>
      </c>
      <c r="C6" s="124">
        <f>+P12/N12</f>
        <v>3.74</v>
      </c>
      <c r="D6" s="2" t="s">
        <v>7</v>
      </c>
      <c r="F6" s="4" t="s">
        <v>79</v>
      </c>
      <c r="G6" s="124">
        <f>+C6-C8</f>
        <v>-0.92666666666666675</v>
      </c>
      <c r="H6" s="2" t="s">
        <v>7</v>
      </c>
      <c r="J6" s="75">
        <v>8</v>
      </c>
      <c r="K6" s="76">
        <v>4</v>
      </c>
      <c r="L6" s="76">
        <v>4</v>
      </c>
      <c r="M6" s="76">
        <f>3+2</f>
        <v>5</v>
      </c>
      <c r="N6" s="84">
        <f>+J6*K6</f>
        <v>32</v>
      </c>
      <c r="O6" s="68">
        <f t="shared" si="0"/>
        <v>128</v>
      </c>
      <c r="P6" s="69">
        <f t="shared" si="1"/>
        <v>160</v>
      </c>
      <c r="R6" s="7"/>
      <c r="S6" s="8"/>
    </row>
    <row r="7" spans="2:31" ht="12" customHeight="1">
      <c r="B7" s="1" t="s">
        <v>71</v>
      </c>
      <c r="C7" s="124">
        <f>+K24/H24</f>
        <v>3.8888888888888888</v>
      </c>
      <c r="D7" s="2" t="s">
        <v>7</v>
      </c>
      <c r="F7" s="4" t="s">
        <v>80</v>
      </c>
      <c r="G7" s="124">
        <f>C3*G3/100</f>
        <v>0.4</v>
      </c>
      <c r="H7" s="2" t="s">
        <v>7</v>
      </c>
      <c r="J7" s="75"/>
      <c r="K7" s="76"/>
      <c r="L7" s="76"/>
      <c r="M7" s="76"/>
      <c r="N7" s="84">
        <f t="shared" ref="N7:N11" si="2">+J7*K7</f>
        <v>0</v>
      </c>
      <c r="O7" s="68">
        <f t="shared" si="0"/>
        <v>0</v>
      </c>
      <c r="P7" s="69">
        <f t="shared" si="1"/>
        <v>0</v>
      </c>
    </row>
    <row r="8" spans="2:31" ht="12" customHeight="1">
      <c r="B8" s="1" t="s">
        <v>72</v>
      </c>
      <c r="C8" s="124">
        <f>+J24/G24</f>
        <v>4.666666666666667</v>
      </c>
      <c r="D8" s="2" t="s">
        <v>7</v>
      </c>
      <c r="F8" s="4" t="s">
        <v>81</v>
      </c>
      <c r="G8" s="124">
        <f>C4*G4/100</f>
        <v>0.35</v>
      </c>
      <c r="H8" s="2" t="s">
        <v>7</v>
      </c>
      <c r="J8" s="75"/>
      <c r="K8" s="76"/>
      <c r="L8" s="76"/>
      <c r="M8" s="76"/>
      <c r="N8" s="84">
        <f t="shared" si="2"/>
        <v>0</v>
      </c>
      <c r="O8" s="68">
        <f t="shared" si="0"/>
        <v>0</v>
      </c>
      <c r="P8" s="69">
        <f t="shared" si="1"/>
        <v>0</v>
      </c>
    </row>
    <row r="9" spans="2:31" ht="12" customHeight="1">
      <c r="B9" s="4" t="s">
        <v>42</v>
      </c>
      <c r="C9" s="16">
        <v>10</v>
      </c>
      <c r="D9" s="5" t="s">
        <v>82</v>
      </c>
      <c r="F9" s="1" t="s">
        <v>12</v>
      </c>
      <c r="G9" s="13">
        <v>0.35</v>
      </c>
      <c r="H9" s="2"/>
      <c r="J9" s="75"/>
      <c r="K9" s="76"/>
      <c r="L9" s="76"/>
      <c r="M9" s="76"/>
      <c r="N9" s="84">
        <f t="shared" si="2"/>
        <v>0</v>
      </c>
      <c r="O9" s="68">
        <f t="shared" si="0"/>
        <v>0</v>
      </c>
      <c r="P9" s="69">
        <f t="shared" si="1"/>
        <v>0</v>
      </c>
    </row>
    <row r="10" spans="2:31" ht="12" customHeight="1">
      <c r="B10" s="4" t="s">
        <v>40</v>
      </c>
      <c r="C10" s="16">
        <v>6</v>
      </c>
      <c r="D10" s="5" t="s">
        <v>82</v>
      </c>
      <c r="F10" s="1" t="s">
        <v>43</v>
      </c>
      <c r="G10" s="18">
        <f>N12*(C9+C11*C10)</f>
        <v>575</v>
      </c>
      <c r="H10" s="2" t="s">
        <v>8</v>
      </c>
      <c r="J10" s="75"/>
      <c r="K10" s="76"/>
      <c r="L10" s="76"/>
      <c r="M10" s="76"/>
      <c r="N10" s="84">
        <f t="shared" si="2"/>
        <v>0</v>
      </c>
      <c r="O10" s="68">
        <f t="shared" si="0"/>
        <v>0</v>
      </c>
      <c r="P10" s="69">
        <f t="shared" si="1"/>
        <v>0</v>
      </c>
    </row>
    <row r="11" spans="2:31" ht="12" customHeight="1">
      <c r="B11" s="4" t="s">
        <v>41</v>
      </c>
      <c r="C11" s="14">
        <v>0.25</v>
      </c>
      <c r="D11" s="5"/>
      <c r="F11" s="1" t="s">
        <v>77</v>
      </c>
      <c r="G11" s="18">
        <f>+G9*G10</f>
        <v>201.25</v>
      </c>
      <c r="H11" s="2" t="s">
        <v>8</v>
      </c>
      <c r="J11" s="79"/>
      <c r="K11" s="80"/>
      <c r="L11" s="80"/>
      <c r="M11" s="80"/>
      <c r="N11" s="85">
        <f t="shared" si="2"/>
        <v>0</v>
      </c>
      <c r="O11" s="70">
        <f t="shared" si="0"/>
        <v>0</v>
      </c>
      <c r="P11" s="71">
        <f t="shared" si="1"/>
        <v>0</v>
      </c>
    </row>
    <row r="12" spans="2:31" ht="12" customHeight="1">
      <c r="J12" s="3"/>
      <c r="K12" s="3"/>
      <c r="L12" s="3"/>
      <c r="M12" s="10" t="s">
        <v>22</v>
      </c>
      <c r="N12" s="125">
        <f>SUM(N5:N11)</f>
        <v>50</v>
      </c>
      <c r="O12" s="87">
        <f>SUM(O5:O11)</f>
        <v>218</v>
      </c>
      <c r="P12" s="88">
        <f>SUM(P5:P11)</f>
        <v>187</v>
      </c>
    </row>
    <row r="13" spans="2:31" ht="12" customHeight="1">
      <c r="B13" s="4" t="s">
        <v>45</v>
      </c>
    </row>
    <row r="14" spans="2:31" ht="12" customHeight="1">
      <c r="B14" s="113" t="s">
        <v>0</v>
      </c>
      <c r="C14" s="114" t="s">
        <v>1</v>
      </c>
      <c r="D14" s="114" t="s">
        <v>23</v>
      </c>
      <c r="E14" s="114" t="s">
        <v>24</v>
      </c>
      <c r="F14" s="123" t="s">
        <v>13</v>
      </c>
      <c r="G14" s="114" t="s">
        <v>25</v>
      </c>
      <c r="H14" s="114" t="s">
        <v>26</v>
      </c>
      <c r="I14" s="114" t="s">
        <v>27</v>
      </c>
      <c r="J14" s="119" t="s">
        <v>28</v>
      </c>
      <c r="K14" s="119" t="s">
        <v>29</v>
      </c>
      <c r="L14" s="119" t="s">
        <v>30</v>
      </c>
      <c r="M14" s="119" t="s">
        <v>31</v>
      </c>
      <c r="N14" s="119" t="s">
        <v>32</v>
      </c>
      <c r="O14" s="119" t="s">
        <v>33</v>
      </c>
      <c r="P14" s="120" t="s">
        <v>34</v>
      </c>
    </row>
    <row r="15" spans="2:31" ht="12" customHeight="1">
      <c r="B15" s="116" t="s">
        <v>2</v>
      </c>
      <c r="C15" s="117" t="s">
        <v>2</v>
      </c>
      <c r="D15" s="117" t="s">
        <v>3</v>
      </c>
      <c r="E15" s="117" t="s">
        <v>3</v>
      </c>
      <c r="F15" s="117" t="s">
        <v>4</v>
      </c>
      <c r="G15" s="117" t="s">
        <v>3</v>
      </c>
      <c r="H15" s="117" t="s">
        <v>3</v>
      </c>
      <c r="I15" s="117" t="s">
        <v>3</v>
      </c>
      <c r="J15" s="117" t="s">
        <v>5</v>
      </c>
      <c r="K15" s="117" t="s">
        <v>5</v>
      </c>
      <c r="L15" s="117" t="s">
        <v>5</v>
      </c>
      <c r="M15" s="117" t="s">
        <v>5</v>
      </c>
      <c r="N15" s="117" t="s">
        <v>6</v>
      </c>
      <c r="O15" s="117" t="s">
        <v>6</v>
      </c>
      <c r="P15" s="118" t="s">
        <v>6</v>
      </c>
    </row>
    <row r="16" spans="2:31" ht="12" customHeight="1">
      <c r="B16" s="72">
        <v>0</v>
      </c>
      <c r="C16" s="73">
        <v>5</v>
      </c>
      <c r="D16" s="74">
        <v>20</v>
      </c>
      <c r="E16" s="74">
        <v>0</v>
      </c>
      <c r="F16" s="74">
        <v>90</v>
      </c>
      <c r="G16" s="66">
        <f>D16*(COS(RADIANS(F16)))^2+E16*(SIN(RADIANS(F16)))^2</f>
        <v>7.5049436828248946E-32</v>
      </c>
      <c r="H16" s="66">
        <f>D16*(SIN(RADIANS(F16)))^2+E16*(COS(RADIANS(F16)))^2</f>
        <v>20</v>
      </c>
      <c r="I16" s="66">
        <f>(D16-E16)*(SIN(RADIANS(F16)))*(COS(RADIANS(F16)))</f>
        <v>1.22514845490862E-15</v>
      </c>
      <c r="J16" s="66">
        <f>+G16*C16</f>
        <v>3.7524718414124473E-31</v>
      </c>
      <c r="K16" s="66">
        <f t="shared" ref="K16:K23" si="3">+H16*B16</f>
        <v>0</v>
      </c>
      <c r="L16" s="66">
        <f>+I16*B16</f>
        <v>0</v>
      </c>
      <c r="M16" s="66">
        <f>+I16*C16</f>
        <v>6.1257422745431001E-15</v>
      </c>
      <c r="N16" s="66">
        <f>+J16*C16</f>
        <v>1.8762359207062236E-30</v>
      </c>
      <c r="O16" s="66">
        <f t="shared" ref="O16:O23" si="4">+K16*B16</f>
        <v>0</v>
      </c>
      <c r="P16" s="67">
        <f>+I16*B16*C16</f>
        <v>0</v>
      </c>
      <c r="R16" s="9">
        <f t="shared" ref="R16:S23" si="5">IFERROR(+B16+B48*$W$40,NA())</f>
        <v>0.263341186312608</v>
      </c>
      <c r="S16" s="9">
        <f t="shared" si="5"/>
        <v>4.9417582847582038</v>
      </c>
      <c r="T16" s="9">
        <f t="shared" ref="T16:T23" si="6">+B16+(+D16*COS(RADIANS(F16))-E16*SIN(RADIANS(F16)))/$S$4*$W$39</f>
        <v>4.90059381963448E-17</v>
      </c>
      <c r="U16" s="9">
        <f t="shared" ref="U16:U23" si="7">+B16+(+D16*COS(RADIANS(F16))+E16*SIN(RADIANS(F16)))/$S$4*$W$39</f>
        <v>4.90059381963448E-17</v>
      </c>
      <c r="V16" s="9">
        <f t="shared" ref="V16:V23" si="8">+B16+(-D16*COS(RADIANS(F16))+E16*SIN(RADIANS(F16)))/$S$4*$W$39</f>
        <v>-4.90059381963448E-17</v>
      </c>
      <c r="W16" s="9">
        <f t="shared" ref="W16:W23" si="9">+B16+(-D16*COS(RADIANS(F16))-E16*SIN(RADIANS(F16)))/$S$4*$W$39</f>
        <v>-4.90059381963448E-17</v>
      </c>
      <c r="X16" s="9">
        <f>+T16</f>
        <v>4.90059381963448E-17</v>
      </c>
      <c r="Y16" s="9">
        <f t="shared" ref="Y16:Y23" si="10">+C16+(+D16*SIN(RADIANS(F16))+E16*COS(RADIANS(F16)))/$S$4*$W$39</f>
        <v>5.8</v>
      </c>
      <c r="Z16" s="9">
        <f t="shared" ref="Z16:Z23" si="11">+C16+(+D16*SIN(RADIANS(F16))-E16*COS(RADIANS(F16)))/$S$4*$W$39</f>
        <v>5.8</v>
      </c>
      <c r="AA16" s="9">
        <f t="shared" ref="AA16:AA23" si="12">+C16+(-D16*SIN(RADIANS(F16))-E16*COS(RADIANS(F16)))/$S$4*$W$39</f>
        <v>4.2</v>
      </c>
      <c r="AB16" s="9">
        <f t="shared" ref="AB16:AB23" si="13">+C16+(-D16*SIN(RADIANS(F16))+E16*COS(RADIANS(F16)))/$S$4*$W$39</f>
        <v>4.2</v>
      </c>
      <c r="AC16" s="9">
        <f>+Y16</f>
        <v>5.8</v>
      </c>
      <c r="AD16" s="9">
        <f>+J39+C7</f>
        <v>4.3600000000000003</v>
      </c>
      <c r="AE16" s="9">
        <f>+J40+C8</f>
        <v>3.39</v>
      </c>
    </row>
    <row r="17" spans="2:31" ht="12" customHeight="1">
      <c r="B17" s="75">
        <v>2</v>
      </c>
      <c r="C17" s="76">
        <v>1.5</v>
      </c>
      <c r="D17" s="77">
        <v>30</v>
      </c>
      <c r="E17" s="77">
        <v>0</v>
      </c>
      <c r="F17" s="78">
        <v>90</v>
      </c>
      <c r="G17" s="68">
        <f t="shared" ref="G17:G19" si="14">D17*(COS(RADIANS(F17)))^2+E17*(SIN(RADIANS(F17)))^2</f>
        <v>1.1257415524237342E-31</v>
      </c>
      <c r="H17" s="68">
        <f t="shared" ref="H17:H19" si="15">D17*(SIN(RADIANS(F17)))^2+E17*(COS(RADIANS(F17)))^2</f>
        <v>30</v>
      </c>
      <c r="I17" s="68">
        <f t="shared" ref="I17:I19" si="16">(D17-E17)*(SIN(RADIANS(F17)))*(COS(RADIANS(F17)))</f>
        <v>1.83772268236293E-15</v>
      </c>
      <c r="J17" s="68">
        <f t="shared" ref="J17:J19" si="17">+G17*C17</f>
        <v>1.6886123286356013E-31</v>
      </c>
      <c r="K17" s="68">
        <f t="shared" si="3"/>
        <v>60</v>
      </c>
      <c r="L17" s="68">
        <f t="shared" ref="L17:L19" si="18">+I17*B17</f>
        <v>3.67544536472586E-15</v>
      </c>
      <c r="M17" s="68">
        <f t="shared" ref="M17:M19" si="19">+I17*C17</f>
        <v>2.756584023544395E-15</v>
      </c>
      <c r="N17" s="68">
        <f t="shared" ref="N17:N19" si="20">+J17*C17</f>
        <v>2.5329184929534019E-31</v>
      </c>
      <c r="O17" s="68">
        <f t="shared" si="4"/>
        <v>120</v>
      </c>
      <c r="P17" s="69">
        <f t="shared" ref="P17:P19" si="21">+I17*B17*C17</f>
        <v>5.51316804708879E-15</v>
      </c>
      <c r="R17" s="9">
        <f t="shared" si="5"/>
        <v>2.3157587300302245</v>
      </c>
      <c r="S17" s="9">
        <f t="shared" si="5"/>
        <v>1.4717111668825562</v>
      </c>
      <c r="T17" s="9">
        <f t="shared" si="6"/>
        <v>2</v>
      </c>
      <c r="U17" s="9">
        <f t="shared" si="7"/>
        <v>2</v>
      </c>
      <c r="V17" s="9">
        <f t="shared" si="8"/>
        <v>2</v>
      </c>
      <c r="W17" s="9">
        <f t="shared" si="9"/>
        <v>2</v>
      </c>
      <c r="X17" s="9">
        <f t="shared" ref="X17:X23" si="22">+T17</f>
        <v>2</v>
      </c>
      <c r="Y17" s="9">
        <f t="shared" si="10"/>
        <v>2.7</v>
      </c>
      <c r="Z17" s="9">
        <f t="shared" si="11"/>
        <v>2.7</v>
      </c>
      <c r="AA17" s="9">
        <f t="shared" si="12"/>
        <v>0.30000000000000004</v>
      </c>
      <c r="AB17" s="9">
        <f t="shared" si="13"/>
        <v>0.30000000000000004</v>
      </c>
      <c r="AC17" s="9">
        <f t="shared" ref="AC17:AC23" si="23">+Y17</f>
        <v>2.7</v>
      </c>
      <c r="AD17" s="9">
        <f>+AD16+J41/S3*W38</f>
        <v>5.36</v>
      </c>
      <c r="AE17" s="9">
        <f>+AE16+J42/S3*W38</f>
        <v>3.39</v>
      </c>
    </row>
    <row r="18" spans="2:31" ht="12" customHeight="1">
      <c r="B18" s="75">
        <v>4</v>
      </c>
      <c r="C18" s="76">
        <v>7</v>
      </c>
      <c r="D18" s="77">
        <v>50</v>
      </c>
      <c r="E18" s="77">
        <v>0</v>
      </c>
      <c r="F18" s="78">
        <v>0</v>
      </c>
      <c r="G18" s="68">
        <f t="shared" si="14"/>
        <v>50</v>
      </c>
      <c r="H18" s="68">
        <f t="shared" si="15"/>
        <v>0</v>
      </c>
      <c r="I18" s="68">
        <f t="shared" si="16"/>
        <v>0</v>
      </c>
      <c r="J18" s="68">
        <f t="shared" si="17"/>
        <v>350</v>
      </c>
      <c r="K18" s="68">
        <f t="shared" si="3"/>
        <v>0</v>
      </c>
      <c r="L18" s="68">
        <f t="shared" si="18"/>
        <v>0</v>
      </c>
      <c r="M18" s="68">
        <f t="shared" si="19"/>
        <v>0</v>
      </c>
      <c r="N18" s="68">
        <f t="shared" si="20"/>
        <v>2450</v>
      </c>
      <c r="O18" s="68">
        <f t="shared" si="4"/>
        <v>0</v>
      </c>
      <c r="P18" s="69">
        <f t="shared" si="21"/>
        <v>0</v>
      </c>
      <c r="R18" s="9">
        <f t="shared" si="5"/>
        <v>4.2333883041882556</v>
      </c>
      <c r="S18" s="9">
        <f t="shared" si="5"/>
        <v>7.0016640490069086</v>
      </c>
      <c r="T18" s="9">
        <f t="shared" si="6"/>
        <v>6</v>
      </c>
      <c r="U18" s="9">
        <f t="shared" si="7"/>
        <v>6</v>
      </c>
      <c r="V18" s="9">
        <f t="shared" si="8"/>
        <v>2</v>
      </c>
      <c r="W18" s="9">
        <f t="shared" si="9"/>
        <v>2</v>
      </c>
      <c r="X18" s="9">
        <f t="shared" si="22"/>
        <v>6</v>
      </c>
      <c r="Y18" s="9">
        <f t="shared" si="10"/>
        <v>7</v>
      </c>
      <c r="Z18" s="9">
        <f t="shared" si="11"/>
        <v>7</v>
      </c>
      <c r="AA18" s="9">
        <f t="shared" si="12"/>
        <v>7</v>
      </c>
      <c r="AB18" s="9">
        <f t="shared" si="13"/>
        <v>7</v>
      </c>
      <c r="AC18" s="9">
        <f t="shared" si="23"/>
        <v>7</v>
      </c>
      <c r="AD18" s="7"/>
      <c r="AE18" s="7"/>
    </row>
    <row r="19" spans="2:31" ht="12" customHeight="1">
      <c r="B19" s="75">
        <v>5</v>
      </c>
      <c r="C19" s="76">
        <v>0</v>
      </c>
      <c r="D19" s="77">
        <v>25</v>
      </c>
      <c r="E19" s="77">
        <v>0</v>
      </c>
      <c r="F19" s="78">
        <v>0</v>
      </c>
      <c r="G19" s="68">
        <f t="shared" si="14"/>
        <v>25</v>
      </c>
      <c r="H19" s="68">
        <f t="shared" si="15"/>
        <v>0</v>
      </c>
      <c r="I19" s="68">
        <f t="shared" si="16"/>
        <v>0</v>
      </c>
      <c r="J19" s="68">
        <f t="shared" si="17"/>
        <v>0</v>
      </c>
      <c r="K19" s="68">
        <f t="shared" si="3"/>
        <v>0</v>
      </c>
      <c r="L19" s="68">
        <f t="shared" si="18"/>
        <v>0</v>
      </c>
      <c r="M19" s="68">
        <f t="shared" si="19"/>
        <v>0</v>
      </c>
      <c r="N19" s="68">
        <f t="shared" si="20"/>
        <v>0</v>
      </c>
      <c r="O19" s="68">
        <f t="shared" si="4"/>
        <v>0</v>
      </c>
      <c r="P19" s="69">
        <f t="shared" si="21"/>
        <v>0</v>
      </c>
      <c r="R19" s="9">
        <f t="shared" si="5"/>
        <v>5.3382233916234885</v>
      </c>
      <c r="S19" s="9">
        <f t="shared" si="5"/>
        <v>1.6640490069084614E-2</v>
      </c>
      <c r="T19" s="9">
        <f t="shared" si="6"/>
        <v>6</v>
      </c>
      <c r="U19" s="9">
        <f t="shared" si="7"/>
        <v>6</v>
      </c>
      <c r="V19" s="9">
        <f t="shared" si="8"/>
        <v>4</v>
      </c>
      <c r="W19" s="9">
        <f t="shared" si="9"/>
        <v>4</v>
      </c>
      <c r="X19" s="9">
        <f t="shared" si="22"/>
        <v>6</v>
      </c>
      <c r="Y19" s="9">
        <f t="shared" si="10"/>
        <v>0</v>
      </c>
      <c r="Z19" s="9">
        <f t="shared" si="11"/>
        <v>0</v>
      </c>
      <c r="AA19" s="9">
        <f t="shared" si="12"/>
        <v>0</v>
      </c>
      <c r="AB19" s="9">
        <f t="shared" si="13"/>
        <v>0</v>
      </c>
      <c r="AC19" s="9">
        <f t="shared" si="23"/>
        <v>0</v>
      </c>
      <c r="AD19" s="9">
        <f>+K24/H24</f>
        <v>3.8888888888888888</v>
      </c>
      <c r="AE19" s="9">
        <f>+J24/G24</f>
        <v>4.666666666666667</v>
      </c>
    </row>
    <row r="20" spans="2:31" ht="12" customHeight="1">
      <c r="B20" s="75">
        <v>6</v>
      </c>
      <c r="C20" s="76">
        <v>5</v>
      </c>
      <c r="D20" s="77">
        <v>15</v>
      </c>
      <c r="E20" s="77">
        <v>0</v>
      </c>
      <c r="F20" s="78">
        <v>90</v>
      </c>
      <c r="G20" s="68">
        <f t="shared" ref="G20:G23" si="24">D20*(COS(RADIANS(F20)))^2+E20*(SIN(RADIANS(F20)))^2</f>
        <v>5.6287077621186709E-32</v>
      </c>
      <c r="H20" s="68">
        <f t="shared" ref="H20:H23" si="25">D20*(SIN(RADIANS(F20)))^2+E20*(COS(RADIANS(F20)))^2</f>
        <v>15</v>
      </c>
      <c r="I20" s="68">
        <f t="shared" ref="I20:I23" si="26">(D20-E20)*(SIN(RADIANS(F20)))*(COS(RADIANS(F20)))</f>
        <v>9.1886134118146501E-16</v>
      </c>
      <c r="J20" s="68">
        <f t="shared" ref="J20:J23" si="27">+G20*C20</f>
        <v>2.8143538810593355E-31</v>
      </c>
      <c r="K20" s="68">
        <f t="shared" si="3"/>
        <v>90</v>
      </c>
      <c r="L20" s="68">
        <f t="shared" ref="L20:L23" si="28">+I20*B20</f>
        <v>5.51316804708879E-15</v>
      </c>
      <c r="M20" s="68">
        <f t="shared" ref="M20:M23" si="29">+I20*C20</f>
        <v>4.594306705907325E-15</v>
      </c>
      <c r="N20" s="68">
        <f t="shared" ref="N20:N23" si="30">+J20*C20</f>
        <v>1.4071769405296677E-30</v>
      </c>
      <c r="O20" s="68">
        <f t="shared" si="4"/>
        <v>540</v>
      </c>
      <c r="P20" s="69">
        <f t="shared" ref="P20:P23" si="31">+I20*B20*C20</f>
        <v>2.756584023544395E-14</v>
      </c>
      <c r="R20" s="9">
        <f t="shared" si="5"/>
        <v>6.2633411863126076</v>
      </c>
      <c r="S20" s="9">
        <f t="shared" si="5"/>
        <v>5.0316169311312606</v>
      </c>
      <c r="T20" s="9">
        <f t="shared" si="6"/>
        <v>6</v>
      </c>
      <c r="U20" s="9">
        <f t="shared" si="7"/>
        <v>6</v>
      </c>
      <c r="V20" s="9">
        <f t="shared" si="8"/>
        <v>6</v>
      </c>
      <c r="W20" s="9">
        <f t="shared" si="9"/>
        <v>6</v>
      </c>
      <c r="X20" s="9">
        <f t="shared" si="22"/>
        <v>6</v>
      </c>
      <c r="Y20" s="9">
        <f t="shared" si="10"/>
        <v>5.6</v>
      </c>
      <c r="Z20" s="9">
        <f t="shared" si="11"/>
        <v>5.6</v>
      </c>
      <c r="AA20" s="9">
        <f t="shared" si="12"/>
        <v>4.4000000000000004</v>
      </c>
      <c r="AB20" s="9">
        <f t="shared" si="13"/>
        <v>4.4000000000000004</v>
      </c>
      <c r="AC20" s="9">
        <f t="shared" si="23"/>
        <v>5.6</v>
      </c>
      <c r="AD20" s="7"/>
      <c r="AE20" s="7"/>
    </row>
    <row r="21" spans="2:31" ht="12" customHeight="1">
      <c r="B21" s="75">
        <v>8</v>
      </c>
      <c r="C21" s="76">
        <v>3.5</v>
      </c>
      <c r="D21" s="77">
        <v>25</v>
      </c>
      <c r="E21" s="77">
        <v>0</v>
      </c>
      <c r="F21" s="78">
        <v>90</v>
      </c>
      <c r="G21" s="68">
        <f t="shared" si="24"/>
        <v>9.3811796035311182E-32</v>
      </c>
      <c r="H21" s="68">
        <f t="shared" si="25"/>
        <v>25</v>
      </c>
      <c r="I21" s="68">
        <f t="shared" si="26"/>
        <v>1.531435568635775E-15</v>
      </c>
      <c r="J21" s="68">
        <f t="shared" si="27"/>
        <v>3.2834128612358914E-31</v>
      </c>
      <c r="K21" s="68">
        <f t="shared" si="3"/>
        <v>200</v>
      </c>
      <c r="L21" s="68">
        <f t="shared" si="28"/>
        <v>1.22514845490862E-14</v>
      </c>
      <c r="M21" s="68">
        <f t="shared" si="29"/>
        <v>5.3600244902252125E-15</v>
      </c>
      <c r="N21" s="68">
        <f t="shared" si="30"/>
        <v>1.149194501432562E-30</v>
      </c>
      <c r="O21" s="68">
        <f t="shared" si="4"/>
        <v>1600</v>
      </c>
      <c r="P21" s="69">
        <f t="shared" si="31"/>
        <v>4.28801959218017E-14</v>
      </c>
      <c r="R21" s="9">
        <f t="shared" si="5"/>
        <v>8.2858058479058716</v>
      </c>
      <c r="S21" s="9">
        <f t="shared" si="5"/>
        <v>3.5615698132556131</v>
      </c>
      <c r="T21" s="9">
        <f t="shared" si="6"/>
        <v>8</v>
      </c>
      <c r="U21" s="9">
        <f t="shared" si="7"/>
        <v>8</v>
      </c>
      <c r="V21" s="9">
        <f t="shared" si="8"/>
        <v>8</v>
      </c>
      <c r="W21" s="9">
        <f t="shared" si="9"/>
        <v>8</v>
      </c>
      <c r="X21" s="9">
        <f t="shared" si="22"/>
        <v>8</v>
      </c>
      <c r="Y21" s="9">
        <f t="shared" si="10"/>
        <v>4.5</v>
      </c>
      <c r="Z21" s="9">
        <f t="shared" si="11"/>
        <v>4.5</v>
      </c>
      <c r="AA21" s="9">
        <f t="shared" si="12"/>
        <v>2.5</v>
      </c>
      <c r="AB21" s="9">
        <f t="shared" si="13"/>
        <v>2.5</v>
      </c>
      <c r="AC21" s="9">
        <f t="shared" si="23"/>
        <v>4.5</v>
      </c>
      <c r="AD21" s="7"/>
      <c r="AE21" s="7"/>
    </row>
    <row r="22" spans="2:31" ht="12" customHeight="1">
      <c r="B22" s="75"/>
      <c r="C22" s="76"/>
      <c r="D22" s="77"/>
      <c r="E22" s="77"/>
      <c r="F22" s="78"/>
      <c r="G22" s="68">
        <f t="shared" si="24"/>
        <v>0</v>
      </c>
      <c r="H22" s="68">
        <f t="shared" si="25"/>
        <v>0</v>
      </c>
      <c r="I22" s="68">
        <f t="shared" si="26"/>
        <v>0</v>
      </c>
      <c r="J22" s="68">
        <f t="shared" si="27"/>
        <v>0</v>
      </c>
      <c r="K22" s="68">
        <f t="shared" si="3"/>
        <v>0</v>
      </c>
      <c r="L22" s="68">
        <f t="shared" si="28"/>
        <v>0</v>
      </c>
      <c r="M22" s="68">
        <f t="shared" si="29"/>
        <v>0</v>
      </c>
      <c r="N22" s="68">
        <f t="shared" si="30"/>
        <v>0</v>
      </c>
      <c r="O22" s="68">
        <f t="shared" si="4"/>
        <v>0</v>
      </c>
      <c r="P22" s="69">
        <f t="shared" si="31"/>
        <v>0</v>
      </c>
      <c r="R22" s="9" t="e">
        <f t="shared" si="5"/>
        <v>#N/A</v>
      </c>
      <c r="S22" s="9" t="e">
        <f t="shared" si="5"/>
        <v>#N/A</v>
      </c>
      <c r="T22" s="9">
        <f t="shared" si="6"/>
        <v>0</v>
      </c>
      <c r="U22" s="9">
        <f t="shared" si="7"/>
        <v>0</v>
      </c>
      <c r="V22" s="9">
        <f t="shared" si="8"/>
        <v>0</v>
      </c>
      <c r="W22" s="9">
        <f t="shared" si="9"/>
        <v>0</v>
      </c>
      <c r="X22" s="9">
        <f t="shared" si="22"/>
        <v>0</v>
      </c>
      <c r="Y22" s="9">
        <f t="shared" si="10"/>
        <v>0</v>
      </c>
      <c r="Z22" s="9">
        <f t="shared" si="11"/>
        <v>0</v>
      </c>
      <c r="AA22" s="9">
        <f t="shared" si="12"/>
        <v>0</v>
      </c>
      <c r="AB22" s="9">
        <f t="shared" si="13"/>
        <v>0</v>
      </c>
      <c r="AC22" s="9">
        <f t="shared" si="23"/>
        <v>0</v>
      </c>
      <c r="AD22" s="7"/>
      <c r="AE22" s="7"/>
    </row>
    <row r="23" spans="2:31" ht="12" customHeight="1">
      <c r="B23" s="79"/>
      <c r="C23" s="80"/>
      <c r="D23" s="81"/>
      <c r="E23" s="81"/>
      <c r="F23" s="82"/>
      <c r="G23" s="70">
        <f t="shared" si="24"/>
        <v>0</v>
      </c>
      <c r="H23" s="70">
        <f t="shared" si="25"/>
        <v>0</v>
      </c>
      <c r="I23" s="70">
        <f t="shared" si="26"/>
        <v>0</v>
      </c>
      <c r="J23" s="70">
        <f t="shared" si="27"/>
        <v>0</v>
      </c>
      <c r="K23" s="70">
        <f t="shared" si="3"/>
        <v>0</v>
      </c>
      <c r="L23" s="70">
        <f t="shared" si="28"/>
        <v>0</v>
      </c>
      <c r="M23" s="70">
        <f t="shared" si="29"/>
        <v>0</v>
      </c>
      <c r="N23" s="70">
        <f t="shared" si="30"/>
        <v>0</v>
      </c>
      <c r="O23" s="70">
        <f t="shared" si="4"/>
        <v>0</v>
      </c>
      <c r="P23" s="71">
        <f t="shared" si="31"/>
        <v>0</v>
      </c>
      <c r="R23" s="9" t="e">
        <f t="shared" si="5"/>
        <v>#N/A</v>
      </c>
      <c r="S23" s="9" t="e">
        <f t="shared" si="5"/>
        <v>#N/A</v>
      </c>
      <c r="T23" s="9">
        <f t="shared" si="6"/>
        <v>0</v>
      </c>
      <c r="U23" s="9">
        <f t="shared" si="7"/>
        <v>0</v>
      </c>
      <c r="V23" s="9">
        <f t="shared" si="8"/>
        <v>0</v>
      </c>
      <c r="W23" s="9">
        <f t="shared" si="9"/>
        <v>0</v>
      </c>
      <c r="X23" s="9">
        <f t="shared" si="22"/>
        <v>0</v>
      </c>
      <c r="Y23" s="9">
        <f t="shared" si="10"/>
        <v>0</v>
      </c>
      <c r="Z23" s="9">
        <f t="shared" si="11"/>
        <v>0</v>
      </c>
      <c r="AA23" s="9">
        <f t="shared" si="12"/>
        <v>0</v>
      </c>
      <c r="AB23" s="9">
        <f t="shared" si="13"/>
        <v>0</v>
      </c>
      <c r="AC23" s="9">
        <f t="shared" si="23"/>
        <v>0</v>
      </c>
      <c r="AD23" s="7"/>
      <c r="AE23" s="7"/>
    </row>
    <row r="24" spans="2:31" ht="12" customHeight="1">
      <c r="B24" s="10"/>
      <c r="C24" s="10"/>
      <c r="D24" s="10"/>
      <c r="E24" s="10"/>
      <c r="F24" s="122" t="s">
        <v>59</v>
      </c>
      <c r="G24" s="86">
        <f t="shared" ref="G24:P24" si="32">SUM(G16:G23)</f>
        <v>75</v>
      </c>
      <c r="H24" s="87">
        <f t="shared" si="32"/>
        <v>90</v>
      </c>
      <c r="I24" s="87">
        <f t="shared" si="32"/>
        <v>5.51316804708879E-15</v>
      </c>
      <c r="J24" s="87">
        <f t="shared" si="32"/>
        <v>350</v>
      </c>
      <c r="K24" s="87">
        <f t="shared" si="32"/>
        <v>350</v>
      </c>
      <c r="L24" s="87">
        <f t="shared" si="32"/>
        <v>2.144009796090085E-14</v>
      </c>
      <c r="M24" s="87">
        <f t="shared" si="32"/>
        <v>1.8836657494220033E-14</v>
      </c>
      <c r="N24" s="87">
        <f t="shared" si="32"/>
        <v>2450</v>
      </c>
      <c r="O24" s="87">
        <f t="shared" si="32"/>
        <v>2260</v>
      </c>
      <c r="P24" s="88">
        <f t="shared" si="32"/>
        <v>7.5959204204334441E-14</v>
      </c>
    </row>
    <row r="25" spans="2:31" ht="12" customHeight="1">
      <c r="B25" s="4" t="s">
        <v>51</v>
      </c>
    </row>
    <row r="26" spans="2:31" ht="12" customHeight="1">
      <c r="B26" s="113" t="s">
        <v>0</v>
      </c>
      <c r="C26" s="114" t="s">
        <v>1</v>
      </c>
      <c r="D26" s="114" t="s">
        <v>23</v>
      </c>
      <c r="E26" s="114" t="s">
        <v>24</v>
      </c>
      <c r="F26" s="123" t="s">
        <v>13</v>
      </c>
      <c r="G26" s="114" t="s">
        <v>25</v>
      </c>
      <c r="H26" s="114" t="s">
        <v>26</v>
      </c>
      <c r="I26" s="114" t="s">
        <v>27</v>
      </c>
      <c r="J26" s="119" t="s">
        <v>28</v>
      </c>
      <c r="K26" s="119" t="s">
        <v>29</v>
      </c>
      <c r="L26" s="119" t="s">
        <v>30</v>
      </c>
      <c r="M26" s="119" t="s">
        <v>31</v>
      </c>
      <c r="N26" s="119" t="s">
        <v>32</v>
      </c>
      <c r="O26" s="119" t="s">
        <v>33</v>
      </c>
      <c r="P26" s="120" t="s">
        <v>34</v>
      </c>
    </row>
    <row r="27" spans="2:31" ht="12" customHeight="1">
      <c r="B27" s="116" t="s">
        <v>2</v>
      </c>
      <c r="C27" s="117" t="s">
        <v>2</v>
      </c>
      <c r="D27" s="117" t="s">
        <v>3</v>
      </c>
      <c r="E27" s="117" t="s">
        <v>3</v>
      </c>
      <c r="F27" s="117" t="s">
        <v>4</v>
      </c>
      <c r="G27" s="117" t="s">
        <v>3</v>
      </c>
      <c r="H27" s="117" t="s">
        <v>3</v>
      </c>
      <c r="I27" s="117" t="s">
        <v>3</v>
      </c>
      <c r="J27" s="117" t="s">
        <v>5</v>
      </c>
      <c r="K27" s="117" t="s">
        <v>5</v>
      </c>
      <c r="L27" s="117" t="s">
        <v>5</v>
      </c>
      <c r="M27" s="117" t="s">
        <v>46</v>
      </c>
      <c r="N27" s="117" t="s">
        <v>6</v>
      </c>
      <c r="O27" s="117" t="s">
        <v>6</v>
      </c>
      <c r="P27" s="118" t="s">
        <v>6</v>
      </c>
    </row>
    <row r="28" spans="2:31" ht="12" customHeight="1">
      <c r="B28" s="130">
        <f t="shared" ref="B28:B33" si="33">+B16-$C$7</f>
        <v>-3.8888888888888888</v>
      </c>
      <c r="C28" s="131">
        <f t="shared" ref="C28:C33" si="34">+C16-$C$8</f>
        <v>0.33333333333333304</v>
      </c>
      <c r="D28" s="132">
        <f t="shared" ref="D28:F33" si="35">+D16</f>
        <v>20</v>
      </c>
      <c r="E28" s="132">
        <f t="shared" si="35"/>
        <v>0</v>
      </c>
      <c r="F28" s="132">
        <f t="shared" si="35"/>
        <v>90</v>
      </c>
      <c r="G28" s="132">
        <f>D28*(COS(RADIANS(F28)))^2+E28*(SIN(RADIANS(F28)))^2</f>
        <v>7.5049436828248946E-32</v>
      </c>
      <c r="H28" s="132">
        <f>D28*(SIN(RADIANS(F28)))^2+E28*(COS(RADIANS(F28)))^2</f>
        <v>20</v>
      </c>
      <c r="I28" s="132">
        <f>(D28-E28)*(SIN(RADIANS(F28)))*(COS(RADIANS(F28)))</f>
        <v>1.22514845490862E-15</v>
      </c>
      <c r="J28" s="132">
        <f>+G28*C28</f>
        <v>2.5016478942749625E-32</v>
      </c>
      <c r="K28" s="132">
        <f t="shared" ref="K28:K35" si="36">+H28*B28</f>
        <v>-77.777777777777771</v>
      </c>
      <c r="L28" s="132">
        <f>+I28*B28</f>
        <v>-4.7644662135335224E-15</v>
      </c>
      <c r="M28" s="132">
        <f>+I28*C28</f>
        <v>4.0838281830287298E-16</v>
      </c>
      <c r="N28" s="132">
        <f>+J28*C28</f>
        <v>8.3388263142498677E-33</v>
      </c>
      <c r="O28" s="132">
        <f t="shared" ref="O28:O35" si="37">+K28*B28</f>
        <v>302.46913580246911</v>
      </c>
      <c r="P28" s="133">
        <f>+I28*B28*C28</f>
        <v>-1.5881554045111727E-15</v>
      </c>
    </row>
    <row r="29" spans="2:31" ht="12" customHeight="1">
      <c r="B29" s="134">
        <f t="shared" si="33"/>
        <v>-1.8888888888888888</v>
      </c>
      <c r="C29" s="135">
        <f t="shared" si="34"/>
        <v>-3.166666666666667</v>
      </c>
      <c r="D29" s="136">
        <f t="shared" si="35"/>
        <v>30</v>
      </c>
      <c r="E29" s="136">
        <f t="shared" si="35"/>
        <v>0</v>
      </c>
      <c r="F29" s="136">
        <f t="shared" si="35"/>
        <v>90</v>
      </c>
      <c r="G29" s="136">
        <f t="shared" ref="G29:G35" si="38">D29*(COS(RADIANS(F29)))^2+E29*(SIN(RADIANS(F29)))^2</f>
        <v>1.1257415524237342E-31</v>
      </c>
      <c r="H29" s="136">
        <f t="shared" ref="H29:H35" si="39">D29*(SIN(RADIANS(F29)))^2+E29*(COS(RADIANS(F29)))^2</f>
        <v>30</v>
      </c>
      <c r="I29" s="136">
        <f t="shared" ref="I29:I35" si="40">(D29-E29)*(SIN(RADIANS(F29)))*(COS(RADIANS(F29)))</f>
        <v>1.83772268236293E-15</v>
      </c>
      <c r="J29" s="136">
        <f t="shared" ref="J29:J35" si="41">+G29*C29</f>
        <v>-3.5648482493418254E-31</v>
      </c>
      <c r="K29" s="136">
        <f t="shared" si="36"/>
        <v>-56.666666666666664</v>
      </c>
      <c r="L29" s="136">
        <f t="shared" ref="L29:L35" si="42">+I29*B29</f>
        <v>-3.4712539555744231E-15</v>
      </c>
      <c r="M29" s="136">
        <f t="shared" ref="M29:M35" si="43">+I29*C29</f>
        <v>-5.8194551608159458E-15</v>
      </c>
      <c r="N29" s="136">
        <f t="shared" ref="N29:N35" si="44">+J29*C29</f>
        <v>1.1288686122915782E-30</v>
      </c>
      <c r="O29" s="136">
        <f t="shared" si="37"/>
        <v>107.03703703703702</v>
      </c>
      <c r="P29" s="137">
        <f t="shared" ref="P29:P35" si="45">+I29*B29*C29</f>
        <v>1.099230419265234E-14</v>
      </c>
    </row>
    <row r="30" spans="2:31" ht="12" customHeight="1">
      <c r="B30" s="134">
        <f t="shared" si="33"/>
        <v>0.11111111111111116</v>
      </c>
      <c r="C30" s="135">
        <f t="shared" si="34"/>
        <v>2.333333333333333</v>
      </c>
      <c r="D30" s="136">
        <f t="shared" si="35"/>
        <v>50</v>
      </c>
      <c r="E30" s="136">
        <f t="shared" si="35"/>
        <v>0</v>
      </c>
      <c r="F30" s="136">
        <f t="shared" si="35"/>
        <v>0</v>
      </c>
      <c r="G30" s="136">
        <f t="shared" si="38"/>
        <v>50</v>
      </c>
      <c r="H30" s="136">
        <f t="shared" si="39"/>
        <v>0</v>
      </c>
      <c r="I30" s="136">
        <f t="shared" si="40"/>
        <v>0</v>
      </c>
      <c r="J30" s="136">
        <f t="shared" si="41"/>
        <v>116.66666666666666</v>
      </c>
      <c r="K30" s="136">
        <f t="shared" si="36"/>
        <v>0</v>
      </c>
      <c r="L30" s="136">
        <f t="shared" si="42"/>
        <v>0</v>
      </c>
      <c r="M30" s="136">
        <f t="shared" si="43"/>
        <v>0</v>
      </c>
      <c r="N30" s="136">
        <f t="shared" si="44"/>
        <v>272.22222222222217</v>
      </c>
      <c r="O30" s="136">
        <f t="shared" si="37"/>
        <v>0</v>
      </c>
      <c r="P30" s="137">
        <f t="shared" si="45"/>
        <v>0</v>
      </c>
    </row>
    <row r="31" spans="2:31" ht="12" customHeight="1">
      <c r="B31" s="134">
        <f t="shared" si="33"/>
        <v>1.1111111111111112</v>
      </c>
      <c r="C31" s="135">
        <f t="shared" si="34"/>
        <v>-4.666666666666667</v>
      </c>
      <c r="D31" s="136">
        <f t="shared" si="35"/>
        <v>25</v>
      </c>
      <c r="E31" s="136">
        <f t="shared" si="35"/>
        <v>0</v>
      </c>
      <c r="F31" s="136">
        <f t="shared" si="35"/>
        <v>0</v>
      </c>
      <c r="G31" s="136">
        <f t="shared" si="38"/>
        <v>25</v>
      </c>
      <c r="H31" s="136">
        <f t="shared" si="39"/>
        <v>0</v>
      </c>
      <c r="I31" s="136">
        <f t="shared" si="40"/>
        <v>0</v>
      </c>
      <c r="J31" s="136">
        <f t="shared" si="41"/>
        <v>-116.66666666666667</v>
      </c>
      <c r="K31" s="136">
        <f t="shared" si="36"/>
        <v>0</v>
      </c>
      <c r="L31" s="136">
        <f t="shared" si="42"/>
        <v>0</v>
      </c>
      <c r="M31" s="136">
        <f t="shared" si="43"/>
        <v>0</v>
      </c>
      <c r="N31" s="136">
        <f t="shared" si="44"/>
        <v>544.44444444444446</v>
      </c>
      <c r="O31" s="136">
        <f t="shared" si="37"/>
        <v>0</v>
      </c>
      <c r="P31" s="137">
        <f t="shared" si="45"/>
        <v>0</v>
      </c>
    </row>
    <row r="32" spans="2:31" ht="12" customHeight="1">
      <c r="B32" s="134">
        <f t="shared" si="33"/>
        <v>2.1111111111111112</v>
      </c>
      <c r="C32" s="135">
        <f t="shared" si="34"/>
        <v>0.33333333333333304</v>
      </c>
      <c r="D32" s="136">
        <f t="shared" si="35"/>
        <v>15</v>
      </c>
      <c r="E32" s="136">
        <f t="shared" si="35"/>
        <v>0</v>
      </c>
      <c r="F32" s="136">
        <f t="shared" si="35"/>
        <v>90</v>
      </c>
      <c r="G32" s="136">
        <f t="shared" si="38"/>
        <v>5.6287077621186709E-32</v>
      </c>
      <c r="H32" s="136">
        <f t="shared" si="39"/>
        <v>15</v>
      </c>
      <c r="I32" s="136">
        <f t="shared" si="40"/>
        <v>9.1886134118146501E-16</v>
      </c>
      <c r="J32" s="136">
        <f t="shared" si="41"/>
        <v>1.876235920706222E-32</v>
      </c>
      <c r="K32" s="136">
        <f t="shared" si="36"/>
        <v>31.666666666666668</v>
      </c>
      <c r="L32" s="136">
        <f t="shared" si="42"/>
        <v>1.9398183869386485E-15</v>
      </c>
      <c r="M32" s="136">
        <f t="shared" si="43"/>
        <v>3.0628711372715471E-16</v>
      </c>
      <c r="N32" s="136">
        <f t="shared" si="44"/>
        <v>6.2541197356874008E-33</v>
      </c>
      <c r="O32" s="136">
        <f t="shared" si="37"/>
        <v>66.851851851851862</v>
      </c>
      <c r="P32" s="137">
        <f t="shared" si="45"/>
        <v>6.4660612897954893E-16</v>
      </c>
    </row>
    <row r="33" spans="2:23" ht="12" customHeight="1">
      <c r="B33" s="134">
        <f t="shared" si="33"/>
        <v>4.1111111111111107</v>
      </c>
      <c r="C33" s="135">
        <f t="shared" si="34"/>
        <v>-1.166666666666667</v>
      </c>
      <c r="D33" s="136">
        <f t="shared" si="35"/>
        <v>25</v>
      </c>
      <c r="E33" s="136">
        <f t="shared" si="35"/>
        <v>0</v>
      </c>
      <c r="F33" s="136">
        <f t="shared" si="35"/>
        <v>90</v>
      </c>
      <c r="G33" s="136">
        <f t="shared" si="38"/>
        <v>9.3811796035311182E-32</v>
      </c>
      <c r="H33" s="136">
        <f t="shared" si="39"/>
        <v>25</v>
      </c>
      <c r="I33" s="136">
        <f t="shared" si="40"/>
        <v>1.531435568635775E-15</v>
      </c>
      <c r="J33" s="136">
        <f t="shared" si="41"/>
        <v>-1.0944709537452975E-31</v>
      </c>
      <c r="K33" s="136">
        <f t="shared" si="36"/>
        <v>102.77777777777777</v>
      </c>
      <c r="L33" s="136">
        <f t="shared" si="42"/>
        <v>6.2959017821692966E-15</v>
      </c>
      <c r="M33" s="136">
        <f t="shared" si="43"/>
        <v>-1.7866748300750714E-15</v>
      </c>
      <c r="N33" s="136">
        <f t="shared" si="44"/>
        <v>1.2768827793695141E-31</v>
      </c>
      <c r="O33" s="136">
        <f t="shared" si="37"/>
        <v>422.53086419753078</v>
      </c>
      <c r="P33" s="137">
        <f t="shared" si="45"/>
        <v>-7.3452187458641814E-15</v>
      </c>
    </row>
    <row r="34" spans="2:23" ht="12" customHeight="1">
      <c r="B34" s="134"/>
      <c r="C34" s="135"/>
      <c r="D34" s="136"/>
      <c r="E34" s="136"/>
      <c r="F34" s="136"/>
      <c r="G34" s="136">
        <f t="shared" si="38"/>
        <v>0</v>
      </c>
      <c r="H34" s="136">
        <f t="shared" si="39"/>
        <v>0</v>
      </c>
      <c r="I34" s="136">
        <f t="shared" si="40"/>
        <v>0</v>
      </c>
      <c r="J34" s="136">
        <f t="shared" si="41"/>
        <v>0</v>
      </c>
      <c r="K34" s="136">
        <f t="shared" si="36"/>
        <v>0</v>
      </c>
      <c r="L34" s="136">
        <f t="shared" si="42"/>
        <v>0</v>
      </c>
      <c r="M34" s="136">
        <f t="shared" si="43"/>
        <v>0</v>
      </c>
      <c r="N34" s="136">
        <f t="shared" si="44"/>
        <v>0</v>
      </c>
      <c r="O34" s="136">
        <f t="shared" si="37"/>
        <v>0</v>
      </c>
      <c r="P34" s="137">
        <f t="shared" si="45"/>
        <v>0</v>
      </c>
    </row>
    <row r="35" spans="2:23" ht="12" customHeight="1">
      <c r="B35" s="138"/>
      <c r="C35" s="139"/>
      <c r="D35" s="140"/>
      <c r="E35" s="140"/>
      <c r="F35" s="140"/>
      <c r="G35" s="140">
        <f t="shared" si="38"/>
        <v>0</v>
      </c>
      <c r="H35" s="140">
        <f t="shared" si="39"/>
        <v>0</v>
      </c>
      <c r="I35" s="140">
        <f t="shared" si="40"/>
        <v>0</v>
      </c>
      <c r="J35" s="140">
        <f t="shared" si="41"/>
        <v>0</v>
      </c>
      <c r="K35" s="140">
        <f t="shared" si="36"/>
        <v>0</v>
      </c>
      <c r="L35" s="140">
        <f t="shared" si="42"/>
        <v>0</v>
      </c>
      <c r="M35" s="140">
        <f t="shared" si="43"/>
        <v>0</v>
      </c>
      <c r="N35" s="140">
        <f t="shared" si="44"/>
        <v>0</v>
      </c>
      <c r="O35" s="140">
        <f t="shared" si="37"/>
        <v>0</v>
      </c>
      <c r="P35" s="141">
        <f t="shared" si="45"/>
        <v>0</v>
      </c>
    </row>
    <row r="36" spans="2:23" ht="12" customHeight="1">
      <c r="B36" s="10"/>
      <c r="C36" s="10"/>
      <c r="D36" s="10"/>
      <c r="E36" s="10"/>
      <c r="F36" s="122" t="s">
        <v>59</v>
      </c>
      <c r="G36" s="86">
        <f t="shared" ref="G36:P36" si="46">SUM(G28:G35)</f>
        <v>75</v>
      </c>
      <c r="H36" s="87">
        <f t="shared" si="46"/>
        <v>90</v>
      </c>
      <c r="I36" s="87">
        <f t="shared" si="46"/>
        <v>5.51316804708879E-15</v>
      </c>
      <c r="J36" s="87">
        <f t="shared" si="46"/>
        <v>-1.4210854715202004E-14</v>
      </c>
      <c r="K36" s="87">
        <f t="shared" si="46"/>
        <v>1.4210854715202004E-14</v>
      </c>
      <c r="L36" s="87">
        <f t="shared" si="46"/>
        <v>0</v>
      </c>
      <c r="M36" s="87">
        <f t="shared" si="46"/>
        <v>-6.8914600588609891E-15</v>
      </c>
      <c r="N36" s="87">
        <f t="shared" si="46"/>
        <v>816.66666666666663</v>
      </c>
      <c r="O36" s="87">
        <f t="shared" si="46"/>
        <v>898.88888888888869</v>
      </c>
      <c r="P36" s="88">
        <f t="shared" si="46"/>
        <v>2.7055361712565364E-15</v>
      </c>
    </row>
    <row r="37" spans="2:23" ht="12" customHeight="1">
      <c r="B37" s="17" t="s">
        <v>39</v>
      </c>
      <c r="C37" s="17"/>
      <c r="D37" s="17"/>
      <c r="E37" s="17"/>
      <c r="F37" s="17"/>
      <c r="G37" s="17"/>
      <c r="H37" s="17"/>
      <c r="I37" s="17"/>
      <c r="J37" s="11"/>
      <c r="K37" s="11"/>
    </row>
    <row r="38" spans="2:23" ht="12" customHeight="1">
      <c r="B38" s="62" t="s">
        <v>14</v>
      </c>
      <c r="C38" s="63" t="s">
        <v>15</v>
      </c>
      <c r="D38" s="64" t="s">
        <v>21</v>
      </c>
      <c r="E38" s="64" t="s">
        <v>16</v>
      </c>
      <c r="F38" s="63" t="s">
        <v>17</v>
      </c>
      <c r="G38" s="63" t="s">
        <v>18</v>
      </c>
      <c r="H38" s="64" t="s">
        <v>19</v>
      </c>
      <c r="I38" s="65" t="s">
        <v>20</v>
      </c>
      <c r="J38" s="22" t="s">
        <v>15</v>
      </c>
      <c r="L38" s="23">
        <f>G36</f>
        <v>75</v>
      </c>
      <c r="M38" s="24">
        <f>+I36</f>
        <v>5.51316804708879E-15</v>
      </c>
      <c r="N38" s="25">
        <f>-J36+L36</f>
        <v>1.4210854715202004E-14</v>
      </c>
      <c r="O38" s="3"/>
      <c r="P38" s="42">
        <f>+J41</f>
        <v>201.25</v>
      </c>
      <c r="S38" s="4" t="s">
        <v>56</v>
      </c>
      <c r="T38" s="6"/>
      <c r="U38" s="6"/>
      <c r="V38" s="6"/>
      <c r="W38" s="15">
        <v>1</v>
      </c>
    </row>
    <row r="39" spans="2:23" ht="12" customHeight="1">
      <c r="B39" s="46">
        <f>+G5</f>
        <v>0.47111111111111148</v>
      </c>
      <c r="C39" s="53">
        <f>+G5</f>
        <v>0.47111111111111148</v>
      </c>
      <c r="D39" s="128">
        <f>+G5+G7</f>
        <v>0.8711111111111115</v>
      </c>
      <c r="E39" s="128">
        <f>+G5-G7</f>
        <v>7.1111111111111458E-2</v>
      </c>
      <c r="F39" s="53">
        <f>+B39</f>
        <v>0.47111111111111148</v>
      </c>
      <c r="G39" s="53">
        <f t="shared" ref="G39:I40" si="47">+C39</f>
        <v>0.47111111111111148</v>
      </c>
      <c r="H39" s="53">
        <f t="shared" si="47"/>
        <v>0.8711111111111115</v>
      </c>
      <c r="I39" s="47">
        <f t="shared" si="47"/>
        <v>7.1111111111111458E-2</v>
      </c>
      <c r="J39" s="45">
        <f>_xlfn.XLOOKUP($J$38,$B$38:$I$38,B39:I39)</f>
        <v>0.47111111111111148</v>
      </c>
      <c r="K39" s="10" t="s">
        <v>52</v>
      </c>
      <c r="L39" s="26">
        <f>+I36</f>
        <v>5.51316804708879E-15</v>
      </c>
      <c r="M39" s="18">
        <f>+H36</f>
        <v>90</v>
      </c>
      <c r="N39" s="27">
        <f>+K36-M36</f>
        <v>2.1102314774062991E-14</v>
      </c>
      <c r="O39" s="20" t="s">
        <v>55</v>
      </c>
      <c r="P39" s="43">
        <f>+J42</f>
        <v>0</v>
      </c>
      <c r="S39" s="4" t="s">
        <v>58</v>
      </c>
      <c r="T39" s="6"/>
      <c r="U39" s="6"/>
      <c r="V39" s="6"/>
      <c r="W39" s="15">
        <v>2</v>
      </c>
    </row>
    <row r="40" spans="2:23" ht="12" customHeight="1">
      <c r="B40" s="126">
        <f>+G6+G8</f>
        <v>-0.57666666666666677</v>
      </c>
      <c r="C40" s="127">
        <f>+G6-G8</f>
        <v>-1.2766666666666668</v>
      </c>
      <c r="D40" s="54">
        <f>+G6</f>
        <v>-0.92666666666666675</v>
      </c>
      <c r="E40" s="54">
        <f>+G6</f>
        <v>-0.92666666666666675</v>
      </c>
      <c r="F40" s="54">
        <f>+B40</f>
        <v>-0.57666666666666677</v>
      </c>
      <c r="G40" s="54">
        <f t="shared" si="47"/>
        <v>-1.2766666666666668</v>
      </c>
      <c r="H40" s="54">
        <f t="shared" si="47"/>
        <v>-0.92666666666666675</v>
      </c>
      <c r="I40" s="50">
        <f t="shared" si="47"/>
        <v>-0.92666666666666675</v>
      </c>
      <c r="J40" s="51">
        <f>_xlfn.XLOOKUP($J$38,$B$38:$I$38,B40:I40)</f>
        <v>-1.2766666666666668</v>
      </c>
      <c r="K40" s="10"/>
      <c r="L40" s="28">
        <f>-J36+L36</f>
        <v>1.4210854715202004E-14</v>
      </c>
      <c r="M40" s="29">
        <f>+K36-M36</f>
        <v>2.1102314774062991E-14</v>
      </c>
      <c r="N40" s="30">
        <f>+N36+O36-2*P36</f>
        <v>1715.5555555555552</v>
      </c>
      <c r="O40" s="20"/>
      <c r="P40" s="44">
        <f>+J43</f>
        <v>256.92916666666667</v>
      </c>
      <c r="S40" s="4" t="s">
        <v>57</v>
      </c>
      <c r="T40" s="6"/>
      <c r="U40" s="6"/>
      <c r="V40" s="6"/>
      <c r="W40" s="15">
        <v>0.1</v>
      </c>
    </row>
    <row r="41" spans="2:23" ht="12" customHeight="1">
      <c r="B41" s="55">
        <f>+G11</f>
        <v>201.25</v>
      </c>
      <c r="C41" s="56">
        <f>+G11</f>
        <v>201.25</v>
      </c>
      <c r="D41" s="56">
        <v>0</v>
      </c>
      <c r="E41" s="56">
        <v>0</v>
      </c>
      <c r="F41" s="56">
        <f>-B41</f>
        <v>-201.25</v>
      </c>
      <c r="G41" s="56">
        <f t="shared" ref="G41:I41" si="48">-C41</f>
        <v>-201.25</v>
      </c>
      <c r="H41" s="56">
        <f t="shared" si="48"/>
        <v>0</v>
      </c>
      <c r="I41" s="57">
        <f t="shared" si="48"/>
        <v>0</v>
      </c>
      <c r="J41" s="21">
        <f>_xlfn.XLOOKUP($J$38,$B$38:$I$38,B41:I41)</f>
        <v>201.25</v>
      </c>
      <c r="K41" s="10"/>
      <c r="L41" s="31" cm="1">
        <f t="array" ref="L41:N43">MINVERSE(L38:N40)</f>
        <v>1.3333333333333334E-2</v>
      </c>
      <c r="M41" s="32">
        <v>-8.1676563660574666E-19</v>
      </c>
      <c r="N41" s="33">
        <v>-1.1044705737203633E-19</v>
      </c>
      <c r="O41" s="20"/>
      <c r="P41" s="39">
        <f t="array" ref="P41:P43">MMULT(MINVERSE(L38:N40),P38:P40)</f>
        <v>2.6833333333333336</v>
      </c>
    </row>
    <row r="42" spans="2:23" ht="12" customHeight="1">
      <c r="B42" s="58">
        <v>0</v>
      </c>
      <c r="C42" s="52">
        <v>0</v>
      </c>
      <c r="D42" s="52">
        <f>+G11</f>
        <v>201.25</v>
      </c>
      <c r="E42" s="52">
        <f>+G11</f>
        <v>201.25</v>
      </c>
      <c r="F42" s="52">
        <f t="shared" ref="F42" si="49">-B42</f>
        <v>0</v>
      </c>
      <c r="G42" s="52">
        <f t="shared" ref="G42" si="50">-C42</f>
        <v>0</v>
      </c>
      <c r="H42" s="52">
        <f t="shared" ref="H42" si="51">-D42</f>
        <v>-201.25</v>
      </c>
      <c r="I42" s="59">
        <f t="shared" ref="I42" si="52">-E42</f>
        <v>-201.25</v>
      </c>
      <c r="J42" s="61">
        <f>_xlfn.XLOOKUP($J$38,$B$38:$I$38,B42:I42)</f>
        <v>0</v>
      </c>
      <c r="K42" s="10" t="s">
        <v>53</v>
      </c>
      <c r="L42" s="34">
        <v>-8.1676563660574666E-19</v>
      </c>
      <c r="M42" s="19">
        <v>1.1111111111111112E-2</v>
      </c>
      <c r="N42" s="35">
        <v>-1.366730231480764E-19</v>
      </c>
      <c r="O42" s="20" t="s">
        <v>54</v>
      </c>
      <c r="P42" s="40">
        <v>-1.9948937031015583E-16</v>
      </c>
    </row>
    <row r="43" spans="2:23" ht="12" customHeight="1">
      <c r="B43" s="28">
        <f>-B41*B40+B42*B39</f>
        <v>116.05416666666669</v>
      </c>
      <c r="C43" s="29">
        <f t="shared" ref="C43:I43" si="53">-C41*C40+C42*C39</f>
        <v>256.92916666666667</v>
      </c>
      <c r="D43" s="29">
        <f t="shared" si="53"/>
        <v>175.31111111111119</v>
      </c>
      <c r="E43" s="29">
        <f t="shared" si="53"/>
        <v>14.311111111111181</v>
      </c>
      <c r="F43" s="60">
        <f t="shared" si="53"/>
        <v>-116.05416666666669</v>
      </c>
      <c r="G43" s="60">
        <f t="shared" si="53"/>
        <v>-256.92916666666667</v>
      </c>
      <c r="H43" s="60">
        <f t="shared" si="53"/>
        <v>-175.31111111111119</v>
      </c>
      <c r="I43" s="49">
        <f t="shared" si="53"/>
        <v>-14.311111111111181</v>
      </c>
      <c r="J43" s="48">
        <f>_xlfn.XLOOKUP($J$38,$B$38:$I$38,B43:I43)</f>
        <v>256.92916666666667</v>
      </c>
      <c r="L43" s="36">
        <v>-1.1044705737203631E-19</v>
      </c>
      <c r="M43" s="37">
        <v>-1.3667302314807638E-19</v>
      </c>
      <c r="N43" s="38">
        <v>5.8290155440414524E-4</v>
      </c>
      <c r="O43" s="3"/>
      <c r="P43" s="41">
        <v>0.14976441062176168</v>
      </c>
    </row>
    <row r="45" spans="2:23" ht="12" customHeight="1">
      <c r="B45" s="129" t="s">
        <v>44</v>
      </c>
      <c r="C45" s="129"/>
      <c r="D45" s="129"/>
      <c r="E45" s="129"/>
      <c r="F45" s="129"/>
      <c r="G45" s="129"/>
      <c r="H45" s="129"/>
      <c r="I45" s="129"/>
      <c r="J45" s="129"/>
    </row>
    <row r="46" spans="2:23" ht="12" customHeight="1">
      <c r="B46" s="121" t="s">
        <v>60</v>
      </c>
      <c r="C46" s="119" t="s">
        <v>61</v>
      </c>
      <c r="D46" s="119" t="s">
        <v>62</v>
      </c>
      <c r="E46" s="119" t="s">
        <v>63</v>
      </c>
      <c r="F46" s="119" t="s">
        <v>64</v>
      </c>
      <c r="G46" s="120" t="s">
        <v>65</v>
      </c>
      <c r="H46" s="121" t="s">
        <v>66</v>
      </c>
      <c r="I46" s="119" t="s">
        <v>67</v>
      </c>
      <c r="J46" s="120" t="s">
        <v>68</v>
      </c>
    </row>
    <row r="47" spans="2:23" ht="12" customHeight="1">
      <c r="B47" s="116" t="s">
        <v>2</v>
      </c>
      <c r="C47" s="117" t="s">
        <v>2</v>
      </c>
      <c r="D47" s="117" t="s">
        <v>2</v>
      </c>
      <c r="E47" s="117" t="s">
        <v>2</v>
      </c>
      <c r="F47" s="117" t="s">
        <v>5</v>
      </c>
      <c r="G47" s="118" t="s">
        <v>5</v>
      </c>
      <c r="H47" s="116" t="s">
        <v>5</v>
      </c>
      <c r="I47" s="117" t="s">
        <v>5</v>
      </c>
      <c r="J47" s="118" t="s">
        <v>6</v>
      </c>
    </row>
    <row r="48" spans="2:23" ht="12" customHeight="1">
      <c r="B48" s="101">
        <f t="shared" ref="B48:B55" si="54">IF(C28="","",$P$41-$P$43*C28)</f>
        <v>2.6334118631260797</v>
      </c>
      <c r="C48" s="102">
        <f t="shared" ref="C48:C55" si="55">IF(B28="","",$P$42+$P$43*B28)</f>
        <v>-0.58241715241796232</v>
      </c>
      <c r="D48" s="102">
        <f t="shared" ref="D48:D55" si="56">IFERROR(+B48*COS(RADIANS(F28))+C48*SIN(RADIANS(F28)),"")</f>
        <v>-0.58241715241796221</v>
      </c>
      <c r="E48" s="102">
        <f t="shared" ref="E48:E55" si="57">IFERROR(-B48*SIN(RADIANS(F28))+C48*COS(RADIANS(F28)),"")</f>
        <v>-2.6334118631260797</v>
      </c>
      <c r="F48" s="103">
        <f t="shared" ref="F48:G55" si="58">IFERROR(+D48*D16,"")</f>
        <v>-11.648343048359244</v>
      </c>
      <c r="G48" s="104">
        <f t="shared" si="58"/>
        <v>0</v>
      </c>
      <c r="H48" s="92">
        <f t="shared" ref="H48:H55" si="59">IFERROR(+F48*COS(RADIANS(F16))-G48*SIN(RADIANS(F16)),0)</f>
        <v>-7.135474743971447E-16</v>
      </c>
      <c r="I48" s="93">
        <f t="shared" ref="I48:I55" si="60">IFERROR(G48*COS(RADIANS(F16))+F48*SIN(RADIANS(F16)),0)</f>
        <v>-11.648343048359244</v>
      </c>
      <c r="J48" s="94">
        <f>IFERROR(-H48*C28+I48*B28,0)</f>
        <v>45.299111854730391</v>
      </c>
    </row>
    <row r="49" spans="2:22" ht="12" customHeight="1">
      <c r="B49" s="105">
        <f t="shared" si="54"/>
        <v>3.1575873003022457</v>
      </c>
      <c r="C49" s="106">
        <f t="shared" si="55"/>
        <v>-0.28288833117443896</v>
      </c>
      <c r="D49" s="106">
        <f t="shared" si="56"/>
        <v>-0.28288833117443879</v>
      </c>
      <c r="E49" s="106">
        <f t="shared" si="57"/>
        <v>-3.1575873003022457</v>
      </c>
      <c r="F49" s="107">
        <f t="shared" si="58"/>
        <v>-8.4866499352331637</v>
      </c>
      <c r="G49" s="108">
        <f t="shared" si="58"/>
        <v>0</v>
      </c>
      <c r="H49" s="95">
        <f t="shared" si="59"/>
        <v>-5.1987030277506253E-16</v>
      </c>
      <c r="I49" s="96">
        <f t="shared" si="60"/>
        <v>-8.4866499352331637</v>
      </c>
      <c r="J49" s="97">
        <f t="shared" ref="J49:J55" si="61">IFERROR(-H49*C29+I49*B29,0)</f>
        <v>16.03033876655153</v>
      </c>
    </row>
    <row r="50" spans="2:22" ht="12" customHeight="1">
      <c r="B50" s="105">
        <f t="shared" si="54"/>
        <v>2.3338830418825562</v>
      </c>
      <c r="C50" s="106">
        <f t="shared" si="55"/>
        <v>1.664049006908444E-2</v>
      </c>
      <c r="D50" s="106">
        <f t="shared" si="56"/>
        <v>2.3338830418825562</v>
      </c>
      <c r="E50" s="106">
        <f t="shared" si="57"/>
        <v>1.664049006908444E-2</v>
      </c>
      <c r="F50" s="107">
        <f t="shared" si="58"/>
        <v>116.69415209412782</v>
      </c>
      <c r="G50" s="108">
        <f t="shared" si="58"/>
        <v>0</v>
      </c>
      <c r="H50" s="95">
        <f t="shared" si="59"/>
        <v>116.69415209412782</v>
      </c>
      <c r="I50" s="96">
        <f t="shared" si="60"/>
        <v>0</v>
      </c>
      <c r="J50" s="97">
        <f t="shared" si="61"/>
        <v>-272.28635488629823</v>
      </c>
      <c r="L50" s="3"/>
    </row>
    <row r="51" spans="2:22" ht="12" customHeight="1">
      <c r="B51" s="105">
        <f t="shared" si="54"/>
        <v>3.3822339162348882</v>
      </c>
      <c r="C51" s="106">
        <f t="shared" si="55"/>
        <v>0.16640490069084612</v>
      </c>
      <c r="D51" s="106">
        <f t="shared" si="56"/>
        <v>3.3822339162348882</v>
      </c>
      <c r="E51" s="106">
        <f t="shared" si="57"/>
        <v>0.16640490069084612</v>
      </c>
      <c r="F51" s="107">
        <f t="shared" si="58"/>
        <v>84.555847905872213</v>
      </c>
      <c r="G51" s="108">
        <f t="shared" si="58"/>
        <v>0</v>
      </c>
      <c r="H51" s="95">
        <f t="shared" si="59"/>
        <v>84.555847905872213</v>
      </c>
      <c r="I51" s="96">
        <f t="shared" si="60"/>
        <v>0</v>
      </c>
      <c r="J51" s="97">
        <f t="shared" si="61"/>
        <v>394.59395689407035</v>
      </c>
      <c r="L51" s="3"/>
    </row>
    <row r="52" spans="2:22" ht="12" customHeight="1">
      <c r="B52" s="105">
        <f t="shared" si="54"/>
        <v>2.6334118631260797</v>
      </c>
      <c r="C52" s="106">
        <f t="shared" si="55"/>
        <v>0.31616931131260778</v>
      </c>
      <c r="D52" s="106">
        <f t="shared" si="56"/>
        <v>0.31616931131260795</v>
      </c>
      <c r="E52" s="106">
        <f t="shared" si="57"/>
        <v>-2.6334118631260797</v>
      </c>
      <c r="F52" s="107">
        <f t="shared" si="58"/>
        <v>4.7425396696891191</v>
      </c>
      <c r="G52" s="108">
        <f t="shared" si="58"/>
        <v>0</v>
      </c>
      <c r="H52" s="95">
        <f t="shared" si="59"/>
        <v>2.9051575743312304E-16</v>
      </c>
      <c r="I52" s="96">
        <f t="shared" si="60"/>
        <v>4.7425396696891191</v>
      </c>
      <c r="J52" s="97">
        <f t="shared" si="61"/>
        <v>10.012028191565918</v>
      </c>
      <c r="L52" s="3"/>
    </row>
    <row r="53" spans="2:22" ht="12" customHeight="1">
      <c r="B53" s="105">
        <f t="shared" si="54"/>
        <v>2.8580584790587222</v>
      </c>
      <c r="C53" s="106">
        <f t="shared" si="55"/>
        <v>0.61569813255613104</v>
      </c>
      <c r="D53" s="106">
        <f t="shared" si="56"/>
        <v>0.61569813255613126</v>
      </c>
      <c r="E53" s="106">
        <f t="shared" si="57"/>
        <v>-2.8580584790587222</v>
      </c>
      <c r="F53" s="107">
        <f t="shared" si="58"/>
        <v>15.392453313903282</v>
      </c>
      <c r="G53" s="108">
        <f t="shared" si="58"/>
        <v>0</v>
      </c>
      <c r="H53" s="95">
        <f t="shared" si="59"/>
        <v>9.4290201973908369E-16</v>
      </c>
      <c r="I53" s="96">
        <f t="shared" si="60"/>
        <v>15.392453313903282</v>
      </c>
      <c r="J53" s="97">
        <f t="shared" si="61"/>
        <v>63.280085846046816</v>
      </c>
    </row>
    <row r="54" spans="2:22" ht="12" customHeight="1">
      <c r="B54" s="105" t="str">
        <f t="shared" si="54"/>
        <v/>
      </c>
      <c r="C54" s="106" t="str">
        <f t="shared" si="55"/>
        <v/>
      </c>
      <c r="D54" s="106" t="str">
        <f t="shared" si="56"/>
        <v/>
      </c>
      <c r="E54" s="106" t="str">
        <f t="shared" si="57"/>
        <v/>
      </c>
      <c r="F54" s="107" t="str">
        <f t="shared" si="58"/>
        <v/>
      </c>
      <c r="G54" s="108" t="str">
        <f t="shared" si="58"/>
        <v/>
      </c>
      <c r="H54" s="95">
        <f t="shared" si="59"/>
        <v>0</v>
      </c>
      <c r="I54" s="96">
        <f t="shared" si="60"/>
        <v>0</v>
      </c>
      <c r="J54" s="97">
        <f t="shared" si="61"/>
        <v>0</v>
      </c>
    </row>
    <row r="55" spans="2:22" ht="12" customHeight="1">
      <c r="B55" s="109" t="str">
        <f t="shared" si="54"/>
        <v/>
      </c>
      <c r="C55" s="110" t="str">
        <f t="shared" si="55"/>
        <v/>
      </c>
      <c r="D55" s="110" t="str">
        <f t="shared" si="56"/>
        <v/>
      </c>
      <c r="E55" s="110" t="str">
        <f t="shared" si="57"/>
        <v/>
      </c>
      <c r="F55" s="111" t="str">
        <f t="shared" si="58"/>
        <v/>
      </c>
      <c r="G55" s="112" t="str">
        <f t="shared" si="58"/>
        <v/>
      </c>
      <c r="H55" s="98">
        <f t="shared" si="59"/>
        <v>0</v>
      </c>
      <c r="I55" s="99">
        <f t="shared" si="60"/>
        <v>0</v>
      </c>
      <c r="J55" s="100">
        <f t="shared" si="61"/>
        <v>0</v>
      </c>
    </row>
    <row r="56" spans="2:22" ht="12" customHeight="1">
      <c r="D56" s="12"/>
      <c r="E56" s="12"/>
      <c r="F56" s="12"/>
      <c r="G56" s="122" t="s">
        <v>59</v>
      </c>
      <c r="H56" s="89">
        <f>SUM(H48:H55)</f>
        <v>201.25000000000003</v>
      </c>
      <c r="I56" s="90">
        <f>SUM(I48:I55)</f>
        <v>-7.1054273576010019E-15</v>
      </c>
      <c r="J56" s="91">
        <f>SUM(J48:J55)</f>
        <v>256.92916666666679</v>
      </c>
      <c r="K56" s="3"/>
      <c r="L56" s="3"/>
      <c r="M56" s="3"/>
      <c r="N56" s="3"/>
      <c r="O56" s="12"/>
      <c r="P56" s="12"/>
      <c r="Q56" s="12"/>
      <c r="R56" s="12"/>
      <c r="S56" s="12"/>
      <c r="T56" s="12"/>
      <c r="U56" s="12"/>
      <c r="V56" s="12"/>
    </row>
    <row r="57" spans="2:22" ht="12" customHeight="1">
      <c r="K57" s="3"/>
      <c r="L57" s="3"/>
      <c r="M57" s="3"/>
      <c r="N57" s="3"/>
      <c r="O57" s="12"/>
      <c r="P57" s="12"/>
      <c r="Q57" s="12"/>
      <c r="R57" s="12"/>
      <c r="S57" s="12"/>
      <c r="T57" s="12"/>
      <c r="U57" s="12"/>
      <c r="V57" s="12"/>
    </row>
  </sheetData>
  <mergeCells count="1">
    <mergeCell ref="B45:J45"/>
  </mergeCells>
  <dataValidations count="1">
    <dataValidation type="list" allowBlank="1" showInputMessage="1" showErrorMessage="1" sqref="J38" xr:uid="{E39E0280-2C1E-43A7-8584-B32EA10F56B6}">
      <formula1>$B$38:$I$38</formula1>
    </dataValidation>
  </dataValidations>
  <printOptions horizontalCentered="1" verticalCentered="1"/>
  <pageMargins left="0.25" right="0.25" top="0.75" bottom="0.75" header="0.3" footer="0.3"/>
  <pageSetup paperSize="9"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TORSIÓN</vt:lpstr>
      <vt:lpstr>TORSIÓN!Área_de_impresión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Schnetzer</dc:creator>
  <cp:lastModifiedBy>Tomás Schnetzer Drago</cp:lastModifiedBy>
  <cp:lastPrinted>2024-06-10T12:13:58Z</cp:lastPrinted>
  <dcterms:created xsi:type="dcterms:W3CDTF">2023-06-09T21:32:13Z</dcterms:created>
  <dcterms:modified xsi:type="dcterms:W3CDTF">2025-05-18T01:23:05Z</dcterms:modified>
</cp:coreProperties>
</file>