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pcializacion 2019\PROBLEMAS Y COSTOS\"/>
    </mc:Choice>
  </mc:AlternateContent>
  <bookViews>
    <workbookView xWindow="195" yWindow="45" windowWidth="15870" windowHeight="5835"/>
  </bookViews>
  <sheets>
    <sheet name="950L" sheetId="1" r:id="rId1"/>
    <sheet name="D8 T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A53" i="1" l="1"/>
  <c r="A52" i="1"/>
  <c r="I57" i="2" l="1"/>
  <c r="I54" i="2"/>
  <c r="I52" i="2"/>
  <c r="I51" i="2"/>
  <c r="I50" i="2"/>
  <c r="I49" i="2"/>
  <c r="I48" i="2"/>
  <c r="D44" i="2"/>
  <c r="I27" i="2" s="1"/>
  <c r="I32" i="2" s="1"/>
  <c r="C37" i="2"/>
  <c r="C36" i="2"/>
  <c r="C29" i="2"/>
  <c r="C27" i="2"/>
  <c r="L25" i="2"/>
  <c r="L26" i="2" s="1"/>
  <c r="D44" i="1"/>
  <c r="L26" i="1"/>
  <c r="L25" i="1"/>
  <c r="I57" i="1"/>
  <c r="I54" i="1"/>
  <c r="I52" i="1"/>
  <c r="I51" i="1"/>
  <c r="I50" i="1"/>
  <c r="I49" i="1"/>
  <c r="I53" i="1" s="1"/>
  <c r="I48" i="1"/>
  <c r="I53" i="2" l="1"/>
  <c r="I55" i="2" s="1"/>
  <c r="I59" i="2" s="1"/>
  <c r="F66" i="2" s="1"/>
  <c r="I36" i="2"/>
  <c r="I30" i="2"/>
  <c r="I38" i="2"/>
  <c r="I34" i="2"/>
  <c r="I27" i="1"/>
  <c r="I34" i="1" s="1"/>
  <c r="I55" i="1"/>
  <c r="I59" i="1" s="1"/>
  <c r="F66" i="1" s="1"/>
  <c r="C37" i="1"/>
  <c r="C36" i="1"/>
  <c r="C29" i="1"/>
  <c r="C27" i="1"/>
  <c r="I38" i="1" s="1"/>
  <c r="I30" i="1" l="1"/>
  <c r="I36" i="1"/>
  <c r="I41" i="2"/>
  <c r="F64" i="2" s="1"/>
  <c r="F68" i="2" s="1"/>
  <c r="I32" i="1"/>
  <c r="I41" i="1" l="1"/>
  <c r="F64" i="1" s="1"/>
  <c r="F68" i="1" s="1"/>
</calcChain>
</file>

<file path=xl/comments1.xml><?xml version="1.0" encoding="utf-8"?>
<comments xmlns="http://schemas.openxmlformats.org/spreadsheetml/2006/main">
  <authors>
    <author>7</author>
    <author>Full name</author>
  </authors>
  <commentList>
    <comment ref="A35" authorId="0" shapeId="0">
      <text>
        <r>
          <rPr>
            <b/>
            <sz val="9"/>
            <color indexed="81"/>
            <rFont val="Tahoma"/>
            <family val="2"/>
          </rPr>
          <t>7:</t>
        </r>
        <r>
          <rPr>
            <sz val="9"/>
            <color indexed="81"/>
            <rFont val="Tahoma"/>
            <family val="2"/>
          </rPr>
          <t xml:space="preserve">
trab. Duro  80 a 100%
trab med  70 a 90%
trab. Bajo 50 a 70%</t>
        </r>
      </text>
    </comment>
    <comment ref="C44" authorId="1" shapeId="0">
      <text>
        <r>
          <rPr>
            <b/>
            <sz val="9"/>
            <color indexed="81"/>
            <rFont val="Tahoma"/>
            <charset val="1"/>
          </rPr>
          <t>Full name:</t>
        </r>
        <r>
          <rPr>
            <sz val="9"/>
            <color indexed="81"/>
            <rFont val="Tahoma"/>
            <charset val="1"/>
          </rPr>
          <t xml:space="preserve">
cubiertas c/u</t>
        </r>
      </text>
    </comment>
    <comment ref="D44" authorId="1" shapeId="0">
      <text>
        <r>
          <rPr>
            <b/>
            <sz val="9"/>
            <color indexed="81"/>
            <rFont val="Tahoma"/>
            <family val="2"/>
          </rPr>
          <t>Full name:</t>
        </r>
        <r>
          <rPr>
            <sz val="9"/>
            <color indexed="81"/>
            <rFont val="Tahoma"/>
            <family val="2"/>
          </rPr>
          <t xml:space="preserve">
total cubiertas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Full name:</t>
        </r>
        <r>
          <rPr>
            <sz val="9"/>
            <color indexed="81"/>
            <rFont val="Tahoma"/>
            <family val="2"/>
          </rPr>
          <t xml:space="preserve">
con cargas sociales</t>
        </r>
      </text>
    </comment>
  </commentList>
</comments>
</file>

<file path=xl/comments2.xml><?xml version="1.0" encoding="utf-8"?>
<comments xmlns="http://schemas.openxmlformats.org/spreadsheetml/2006/main">
  <authors>
    <author>7</author>
    <author>Full name</author>
  </authors>
  <commentList>
    <comment ref="A35" authorId="0" shapeId="0">
      <text>
        <r>
          <rPr>
            <b/>
            <sz val="9"/>
            <color indexed="81"/>
            <rFont val="Tahoma"/>
            <family val="2"/>
          </rPr>
          <t>7:</t>
        </r>
        <r>
          <rPr>
            <sz val="9"/>
            <color indexed="81"/>
            <rFont val="Tahoma"/>
            <family val="2"/>
          </rPr>
          <t xml:space="preserve">
trab. Duro  80 a 100%
trab med  70 a 90%
trab. Bajo 50 a 70%</t>
        </r>
      </text>
    </comment>
    <comment ref="C44" authorId="1" shapeId="0">
      <text>
        <r>
          <rPr>
            <b/>
            <sz val="9"/>
            <color indexed="81"/>
            <rFont val="Tahoma"/>
            <charset val="1"/>
          </rPr>
          <t>Full name:</t>
        </r>
        <r>
          <rPr>
            <sz val="9"/>
            <color indexed="81"/>
            <rFont val="Tahoma"/>
            <charset val="1"/>
          </rPr>
          <t xml:space="preserve">
25% tren rodante</t>
        </r>
      </text>
    </comment>
    <comment ref="D44" authorId="1" shapeId="0">
      <text>
        <r>
          <rPr>
            <b/>
            <sz val="9"/>
            <color indexed="81"/>
            <rFont val="Tahoma"/>
            <family val="2"/>
          </rPr>
          <t>Full name:</t>
        </r>
        <r>
          <rPr>
            <sz val="9"/>
            <color indexed="81"/>
            <rFont val="Tahoma"/>
            <family val="2"/>
          </rPr>
          <t xml:space="preserve">
total  tren rodante completo.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Full name:</t>
        </r>
        <r>
          <rPr>
            <sz val="9"/>
            <color indexed="81"/>
            <rFont val="Tahoma"/>
            <family val="2"/>
          </rPr>
          <t xml:space="preserve">
con cargas sociales</t>
        </r>
      </text>
    </comment>
  </commentList>
</comments>
</file>

<file path=xl/sharedStrings.xml><?xml version="1.0" encoding="utf-8"?>
<sst xmlns="http://schemas.openxmlformats.org/spreadsheetml/2006/main" count="132" uniqueCount="57">
  <si>
    <t>CALCULO   COSTO HORARIO  MAQUINAS</t>
  </si>
  <si>
    <t xml:space="preserve">VALOR  ADQUISICIÓN </t>
  </si>
  <si>
    <t>VIDA UTIL (años)</t>
  </si>
  <si>
    <t>VIDA UTIL (HORAS)</t>
  </si>
  <si>
    <t xml:space="preserve">INVERSION MEDIA ANUAL </t>
  </si>
  <si>
    <t>IMA =</t>
  </si>
  <si>
    <t>VALOR DE VENTA  USADA</t>
  </si>
  <si>
    <t>% VALOR RESIDUAL</t>
  </si>
  <si>
    <t xml:space="preserve">DEPRECIACION </t>
  </si>
  <si>
    <t>Depreciacion=</t>
  </si>
  <si>
    <t>U$S  +  IVA</t>
  </si>
  <si>
    <t>U$S+ IVA  / HS</t>
  </si>
  <si>
    <t>% DE INTERES ANUAL</t>
  </si>
  <si>
    <t>INTERES</t>
  </si>
  <si>
    <t>Interes =</t>
  </si>
  <si>
    <t>Horas de uso por año</t>
  </si>
  <si>
    <t>%  Seguros (x año)</t>
  </si>
  <si>
    <t>%  Impuestos (x año)</t>
  </si>
  <si>
    <t>% Almacenaje (x año)</t>
  </si>
  <si>
    <t>SEG. IMP. Y ALMACENAJE</t>
  </si>
  <si>
    <t>S-I-A =</t>
  </si>
  <si>
    <t xml:space="preserve">%  Gastos mantenimiento </t>
  </si>
  <si>
    <t>%  Gastos mant.  25% MO</t>
  </si>
  <si>
    <t xml:space="preserve">%  Gastos mant. 75%  RTOS </t>
  </si>
  <si>
    <t>Costo MO mant.</t>
  </si>
  <si>
    <t>Mant. Mano Obra</t>
  </si>
  <si>
    <t>Costo Repuest mant.</t>
  </si>
  <si>
    <t>Mant. Repuestos</t>
  </si>
  <si>
    <t>llenar</t>
  </si>
  <si>
    <t>automat.</t>
  </si>
  <si>
    <t>automatico</t>
  </si>
  <si>
    <t>Consumo horario combustible</t>
  </si>
  <si>
    <t>Precio Lubricantes</t>
  </si>
  <si>
    <t>Precio combustible</t>
  </si>
  <si>
    <t>Precio Refrigerante</t>
  </si>
  <si>
    <t>Precio tren rodante/cubiertas</t>
  </si>
  <si>
    <t>hs uso tren rod./neumaticos</t>
  </si>
  <si>
    <t>TOTAL COSTO POSESION</t>
  </si>
  <si>
    <t>COSTO  DE  POSESION</t>
  </si>
  <si>
    <t>TOTAL COSTO HORARIO DE OPERACIÓN</t>
  </si>
  <si>
    <t>Combustible</t>
  </si>
  <si>
    <t xml:space="preserve"> Aceite Motor</t>
  </si>
  <si>
    <t>Grasas</t>
  </si>
  <si>
    <t>Refrigerante</t>
  </si>
  <si>
    <t>Filtros</t>
  </si>
  <si>
    <t>Neumáticos</t>
  </si>
  <si>
    <t xml:space="preserve">Total Costo Operación </t>
  </si>
  <si>
    <t>Operador de equipo pesado</t>
  </si>
  <si>
    <t>COSTO HORARIO TOTAL</t>
  </si>
  <si>
    <t>TOTAL COSTO OPERACIÓN C/OPERADOR</t>
  </si>
  <si>
    <t xml:space="preserve">TOTAL </t>
  </si>
  <si>
    <t>Precio aceite Hidraulico/trans./dccion.</t>
  </si>
  <si>
    <t xml:space="preserve"> Aceite Transm.,T/fuerza, reductor, dirección</t>
  </si>
  <si>
    <t>Precio Grasa</t>
  </si>
  <si>
    <t>Hora operador</t>
  </si>
  <si>
    <t>TOTAL COSTO DE OPERACIÓN C/OPERADOR</t>
  </si>
  <si>
    <t>tren rodante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</si>
</sst>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.000_ ;_ * \-#,##0.000_ ;_ * &quot;-&quot;??_ ;_ @_ "/>
    <numFmt numFmtId="166" formatCode="_ * #,##0.0000_ ;_ * \-#,##0.00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1" applyFont="1"/>
    <xf numFmtId="0" fontId="0" fillId="2" borderId="2" xfId="0" applyFill="1" applyBorder="1"/>
    <xf numFmtId="0" fontId="2" fillId="0" borderId="0" xfId="0" applyFont="1"/>
    <xf numFmtId="164" fontId="0" fillId="0" borderId="1" xfId="1" applyFont="1" applyBorder="1"/>
    <xf numFmtId="164" fontId="0" fillId="3" borderId="0" xfId="1" applyFont="1" applyFill="1"/>
    <xf numFmtId="0" fontId="0" fillId="0" borderId="3" xfId="0" applyBorder="1"/>
    <xf numFmtId="0" fontId="0" fillId="2" borderId="3" xfId="0" applyFill="1" applyBorder="1"/>
    <xf numFmtId="0" fontId="0" fillId="0" borderId="0" xfId="0" applyBorder="1"/>
    <xf numFmtId="164" fontId="0" fillId="3" borderId="0" xfId="1" applyFont="1" applyFill="1" applyBorder="1"/>
    <xf numFmtId="164" fontId="2" fillId="2" borderId="4" xfId="0" applyNumberFormat="1" applyFont="1" applyFill="1" applyBorder="1"/>
    <xf numFmtId="10" fontId="0" fillId="3" borderId="0" xfId="2" applyNumberFormat="1" applyFont="1" applyFill="1"/>
    <xf numFmtId="10" fontId="0" fillId="0" borderId="1" xfId="2" applyNumberFormat="1" applyFont="1" applyBorder="1"/>
    <xf numFmtId="0" fontId="0" fillId="3" borderId="0" xfId="0" applyFill="1"/>
    <xf numFmtId="0" fontId="0" fillId="0" borderId="1" xfId="0" applyBorder="1"/>
    <xf numFmtId="0" fontId="0" fillId="2" borderId="1" xfId="0" applyFill="1" applyBorder="1"/>
    <xf numFmtId="0" fontId="2" fillId="2" borderId="3" xfId="0" applyFont="1" applyFill="1" applyBorder="1"/>
    <xf numFmtId="0" fontId="2" fillId="0" borderId="2" xfId="0" applyFont="1" applyBorder="1"/>
    <xf numFmtId="0" fontId="2" fillId="2" borderId="2" xfId="0" applyFont="1" applyFill="1" applyBorder="1"/>
    <xf numFmtId="0" fontId="2" fillId="2" borderId="4" xfId="0" applyFont="1" applyFill="1" applyBorder="1"/>
    <xf numFmtId="0" fontId="5" fillId="0" borderId="2" xfId="0" applyFont="1" applyBorder="1"/>
    <xf numFmtId="0" fontId="0" fillId="0" borderId="4" xfId="0" applyBorder="1"/>
    <xf numFmtId="0" fontId="5" fillId="0" borderId="0" xfId="0" applyFont="1" applyBorder="1"/>
    <xf numFmtId="164" fontId="7" fillId="0" borderId="0" xfId="1" applyFont="1"/>
    <xf numFmtId="0" fontId="8" fillId="2" borderId="4" xfId="0" applyFont="1" applyFill="1" applyBorder="1"/>
    <xf numFmtId="0" fontId="8" fillId="2" borderId="3" xfId="0" applyFont="1" applyFill="1" applyBorder="1"/>
    <xf numFmtId="164" fontId="0" fillId="2" borderId="4" xfId="1" applyFont="1" applyFill="1" applyBorder="1"/>
    <xf numFmtId="0" fontId="0" fillId="2" borderId="4" xfId="0" applyFill="1" applyBorder="1"/>
    <xf numFmtId="0" fontId="7" fillId="2" borderId="2" xfId="0" applyFont="1" applyFill="1" applyBorder="1"/>
    <xf numFmtId="0" fontId="5" fillId="2" borderId="4" xfId="0" applyFont="1" applyFill="1" applyBorder="1"/>
    <xf numFmtId="166" fontId="0" fillId="3" borderId="0" xfId="1" applyNumberFormat="1" applyFont="1" applyFill="1"/>
    <xf numFmtId="164" fontId="0" fillId="3" borderId="0" xfId="1" applyNumberFormat="1" applyFont="1" applyFill="1"/>
    <xf numFmtId="165" fontId="0" fillId="0" borderId="0" xfId="1" applyNumberFormat="1" applyFont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0" fillId="0" borderId="0" xfId="0" applyFill="1"/>
    <xf numFmtId="164" fontId="6" fillId="2" borderId="4" xfId="0" applyNumberFormat="1" applyFont="1" applyFill="1" applyBorder="1"/>
    <xf numFmtId="164" fontId="5" fillId="2" borderId="4" xfId="0" applyNumberFormat="1" applyFont="1" applyFill="1" applyBorder="1"/>
    <xf numFmtId="164" fontId="2" fillId="0" borderId="3" xfId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9</xdr:col>
      <xdr:colOff>478155</xdr:colOff>
      <xdr:row>21</xdr:row>
      <xdr:rowOff>167005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5612130" cy="4167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9</xdr:col>
      <xdr:colOff>478155</xdr:colOff>
      <xdr:row>21</xdr:row>
      <xdr:rowOff>167005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0"/>
          <a:ext cx="5612130" cy="4167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2:L68"/>
  <sheetViews>
    <sheetView tabSelected="1" topLeftCell="A50" workbookViewId="0">
      <selection activeCell="D29" sqref="D29"/>
    </sheetView>
  </sheetViews>
  <sheetFormatPr baseColWidth="10" defaultRowHeight="15" x14ac:dyDescent="0.25"/>
  <cols>
    <col min="1" max="1" width="23.140625" customWidth="1"/>
    <col min="3" max="3" width="12.5703125" style="1" bestFit="1" customWidth="1"/>
    <col min="7" max="7" width="15.28515625" customWidth="1"/>
    <col min="8" max="8" width="16" customWidth="1"/>
    <col min="10" max="10" width="13.7109375" customWidth="1"/>
  </cols>
  <sheetData>
    <row r="22" spans="1:12" ht="15.75" thickBot="1" x14ac:dyDescent="0.3"/>
    <row r="23" spans="1:12" ht="15.75" thickBot="1" x14ac:dyDescent="0.3">
      <c r="A23" t="s">
        <v>0</v>
      </c>
      <c r="D23" s="13" t="s">
        <v>28</v>
      </c>
      <c r="E23" s="13"/>
      <c r="G23" s="14" t="s">
        <v>29</v>
      </c>
      <c r="I23" s="15" t="s">
        <v>30</v>
      </c>
    </row>
    <row r="24" spans="1:12" ht="15.75" thickBot="1" x14ac:dyDescent="0.3"/>
    <row r="25" spans="1:12" ht="15.75" thickBot="1" x14ac:dyDescent="0.3">
      <c r="A25" t="s">
        <v>1</v>
      </c>
      <c r="C25" s="5">
        <v>250000</v>
      </c>
      <c r="F25" s="17" t="s">
        <v>38</v>
      </c>
      <c r="G25" s="6"/>
      <c r="L25">
        <f>250000*7</f>
        <v>1750000</v>
      </c>
    </row>
    <row r="26" spans="1:12" ht="15.75" thickBot="1" x14ac:dyDescent="0.3">
      <c r="A26" t="s">
        <v>2</v>
      </c>
      <c r="C26" s="5">
        <v>6</v>
      </c>
      <c r="L26">
        <f>+L25/12</f>
        <v>145833.33333333334</v>
      </c>
    </row>
    <row r="27" spans="1:12" ht="15.75" thickBot="1" x14ac:dyDescent="0.3">
      <c r="A27" t="s">
        <v>3</v>
      </c>
      <c r="C27" s="4">
        <f>+C26*2000</f>
        <v>12000</v>
      </c>
      <c r="F27" s="3" t="s">
        <v>4</v>
      </c>
      <c r="H27" s="2" t="s">
        <v>5</v>
      </c>
      <c r="I27" s="10">
        <f>+((C25-D44)*(C26+1))/(C26*2)</f>
        <v>142333.33333333334</v>
      </c>
      <c r="J27" s="7" t="s">
        <v>10</v>
      </c>
    </row>
    <row r="28" spans="1:12" ht="15.75" thickBot="1" x14ac:dyDescent="0.3">
      <c r="A28" t="s">
        <v>15</v>
      </c>
      <c r="C28" s="9">
        <v>2000</v>
      </c>
    </row>
    <row r="29" spans="1:12" ht="15.75" thickBot="1" x14ac:dyDescent="0.3">
      <c r="A29" t="s">
        <v>6</v>
      </c>
      <c r="C29" s="4">
        <f>+C25*C30</f>
        <v>50000</v>
      </c>
    </row>
    <row r="30" spans="1:12" ht="15.75" thickBot="1" x14ac:dyDescent="0.3">
      <c r="A30" t="s">
        <v>7</v>
      </c>
      <c r="C30" s="11">
        <v>0.2</v>
      </c>
      <c r="F30" t="s">
        <v>8</v>
      </c>
      <c r="H30" s="2" t="s">
        <v>9</v>
      </c>
      <c r="I30" s="10">
        <f>+(C25-C29)/C27</f>
        <v>16.666666666666668</v>
      </c>
      <c r="J30" s="7" t="s">
        <v>11</v>
      </c>
    </row>
    <row r="31" spans="1:12" ht="15.75" thickBot="1" x14ac:dyDescent="0.3">
      <c r="A31" t="s">
        <v>12</v>
      </c>
      <c r="C31" s="11">
        <v>0.25</v>
      </c>
    </row>
    <row r="32" spans="1:12" ht="15.75" thickBot="1" x14ac:dyDescent="0.3">
      <c r="A32" t="s">
        <v>16</v>
      </c>
      <c r="C32" s="11">
        <v>2.5000000000000001E-2</v>
      </c>
      <c r="F32" t="s">
        <v>13</v>
      </c>
      <c r="H32" s="2" t="s">
        <v>14</v>
      </c>
      <c r="I32" s="10">
        <f>+(I27*C31)/C28</f>
        <v>17.791666666666668</v>
      </c>
      <c r="J32" s="7" t="s">
        <v>11</v>
      </c>
    </row>
    <row r="33" spans="1:10" ht="15.75" thickBot="1" x14ac:dyDescent="0.3">
      <c r="A33" t="s">
        <v>17</v>
      </c>
      <c r="C33" s="11">
        <v>0.02</v>
      </c>
    </row>
    <row r="34" spans="1:10" ht="15.75" thickBot="1" x14ac:dyDescent="0.3">
      <c r="A34" t="s">
        <v>18</v>
      </c>
      <c r="C34" s="11">
        <v>0.01</v>
      </c>
      <c r="F34" t="s">
        <v>19</v>
      </c>
      <c r="H34" s="2" t="s">
        <v>20</v>
      </c>
      <c r="I34" s="10">
        <f>+I27*(C32+C33+C34)/C28</f>
        <v>3.914166666666667</v>
      </c>
      <c r="J34" s="7" t="s">
        <v>11</v>
      </c>
    </row>
    <row r="35" spans="1:10" ht="15.75" thickBot="1" x14ac:dyDescent="0.3">
      <c r="A35" t="s">
        <v>21</v>
      </c>
      <c r="C35" s="11">
        <v>0.9</v>
      </c>
    </row>
    <row r="36" spans="1:10" ht="15.75" thickBot="1" x14ac:dyDescent="0.3">
      <c r="A36" t="s">
        <v>22</v>
      </c>
      <c r="C36" s="12">
        <f>+C35*0.25</f>
        <v>0.22500000000000001</v>
      </c>
      <c r="F36" t="s">
        <v>24</v>
      </c>
      <c r="H36" s="2" t="s">
        <v>25</v>
      </c>
      <c r="I36" s="10">
        <f>+((($C$25-$D$44)*$C$35)*0.25)/$C$27</f>
        <v>4.5750000000000002</v>
      </c>
      <c r="J36" s="7" t="s">
        <v>11</v>
      </c>
    </row>
    <row r="37" spans="1:10" ht="15.75" thickBot="1" x14ac:dyDescent="0.3">
      <c r="A37" t="s">
        <v>23</v>
      </c>
      <c r="C37" s="12">
        <f>+C35*0.75</f>
        <v>0.67500000000000004</v>
      </c>
    </row>
    <row r="38" spans="1:10" ht="15.75" thickBot="1" x14ac:dyDescent="0.3">
      <c r="A38" t="s">
        <v>31</v>
      </c>
      <c r="C38" s="5">
        <v>25</v>
      </c>
      <c r="D38" s="30"/>
      <c r="F38" t="s">
        <v>26</v>
      </c>
      <c r="H38" s="2" t="s">
        <v>27</v>
      </c>
      <c r="I38" s="10">
        <f>+((($C$25-$D$44)*$C$35)*0.75)/$C$27</f>
        <v>13.725</v>
      </c>
      <c r="J38" s="7" t="s">
        <v>11</v>
      </c>
    </row>
    <row r="39" spans="1:10" x14ac:dyDescent="0.25">
      <c r="A39" t="s">
        <v>33</v>
      </c>
      <c r="C39" s="5">
        <v>0.9</v>
      </c>
      <c r="D39" s="31">
        <v>25</v>
      </c>
    </row>
    <row r="40" spans="1:10" ht="15.75" thickBot="1" x14ac:dyDescent="0.3">
      <c r="A40" t="s">
        <v>32</v>
      </c>
      <c r="C40" s="5">
        <v>3</v>
      </c>
      <c r="D40" s="30">
        <v>0.1444</v>
      </c>
    </row>
    <row r="41" spans="1:10" ht="15.75" thickBot="1" x14ac:dyDescent="0.3">
      <c r="A41" t="s">
        <v>51</v>
      </c>
      <c r="C41" s="5">
        <v>4.5</v>
      </c>
      <c r="D41" s="30">
        <v>0.3</v>
      </c>
      <c r="F41" s="18" t="s">
        <v>37</v>
      </c>
      <c r="G41" s="19"/>
      <c r="H41" s="19"/>
      <c r="I41" s="10">
        <f>SUM(I30:I40)</f>
        <v>56.672500000000007</v>
      </c>
      <c r="J41" s="16" t="s">
        <v>11</v>
      </c>
    </row>
    <row r="42" spans="1:10" x14ac:dyDescent="0.25">
      <c r="A42" t="s">
        <v>53</v>
      </c>
      <c r="C42" s="5">
        <v>5</v>
      </c>
      <c r="D42" s="30">
        <v>0.1</v>
      </c>
      <c r="F42" s="33"/>
      <c r="G42" s="33"/>
      <c r="H42" s="33"/>
      <c r="I42" s="34"/>
      <c r="J42" s="33"/>
    </row>
    <row r="43" spans="1:10" x14ac:dyDescent="0.25">
      <c r="A43" t="s">
        <v>34</v>
      </c>
      <c r="C43" s="5">
        <v>0.5</v>
      </c>
      <c r="D43" s="30">
        <v>7.6E-3</v>
      </c>
      <c r="F43" s="35"/>
      <c r="G43" s="35"/>
      <c r="H43" s="35"/>
      <c r="I43" s="35"/>
      <c r="J43" s="35"/>
    </row>
    <row r="44" spans="1:10" x14ac:dyDescent="0.25">
      <c r="A44" t="s">
        <v>35</v>
      </c>
      <c r="C44" s="5">
        <v>1500</v>
      </c>
      <c r="D44" s="31">
        <f>+C44*4</f>
        <v>6000</v>
      </c>
    </row>
    <row r="45" spans="1:10" ht="15.75" thickBot="1" x14ac:dyDescent="0.3">
      <c r="A45" t="s">
        <v>36</v>
      </c>
      <c r="C45" s="5">
        <v>2000</v>
      </c>
      <c r="D45" s="30"/>
    </row>
    <row r="46" spans="1:10" ht="16.5" thickBot="1" x14ac:dyDescent="0.3">
      <c r="A46" t="s">
        <v>54</v>
      </c>
      <c r="C46" s="5">
        <v>11</v>
      </c>
      <c r="F46" s="20" t="s">
        <v>39</v>
      </c>
      <c r="G46" s="21"/>
      <c r="H46" s="6"/>
    </row>
    <row r="47" spans="1:10" ht="15.75" x14ac:dyDescent="0.25">
      <c r="F47" s="22"/>
      <c r="G47" s="8"/>
      <c r="H47" s="8"/>
    </row>
    <row r="48" spans="1:10" x14ac:dyDescent="0.25">
      <c r="F48" t="s">
        <v>40</v>
      </c>
      <c r="I48" s="1">
        <f>+C39*C38</f>
        <v>22.5</v>
      </c>
    </row>
    <row r="49" spans="1:10" x14ac:dyDescent="0.25">
      <c r="F49" t="s">
        <v>41</v>
      </c>
      <c r="I49" s="1">
        <f>0.1444*C39</f>
        <v>0.12995999999999999</v>
      </c>
    </row>
    <row r="50" spans="1:10" x14ac:dyDescent="0.25">
      <c r="F50" t="s">
        <v>52</v>
      </c>
      <c r="I50" s="1">
        <f>+C41*D41</f>
        <v>1.3499999999999999</v>
      </c>
    </row>
    <row r="51" spans="1:10" x14ac:dyDescent="0.25">
      <c r="F51" t="s">
        <v>42</v>
      </c>
      <c r="I51" s="1">
        <f>+D42*C42</f>
        <v>0.5</v>
      </c>
    </row>
    <row r="52" spans="1:10" x14ac:dyDescent="0.25">
      <c r="A52">
        <f>250000*0.05</f>
        <v>12500</v>
      </c>
      <c r="F52" t="s">
        <v>43</v>
      </c>
      <c r="I52" s="32">
        <f>+C43*D43</f>
        <v>3.8E-3</v>
      </c>
    </row>
    <row r="53" spans="1:10" x14ac:dyDescent="0.25">
      <c r="A53">
        <f>+A52/200</f>
        <v>62.5</v>
      </c>
      <c r="F53" t="s">
        <v>44</v>
      </c>
      <c r="I53" s="1">
        <f>0.2*(I48+I49)</f>
        <v>4.5259920000000005</v>
      </c>
    </row>
    <row r="54" spans="1:10" ht="15.75" thickBot="1" x14ac:dyDescent="0.3">
      <c r="F54" t="s">
        <v>45</v>
      </c>
      <c r="I54" s="1">
        <f>+(C44*4)/C45</f>
        <v>3</v>
      </c>
    </row>
    <row r="55" spans="1:10" ht="15.75" thickBot="1" x14ac:dyDescent="0.3">
      <c r="F55" s="17" t="s">
        <v>46</v>
      </c>
      <c r="G55" s="21"/>
      <c r="H55" s="21"/>
      <c r="I55" s="38">
        <f>SUM(I48:I54)</f>
        <v>32.009751999999999</v>
      </c>
    </row>
    <row r="56" spans="1:10" ht="15.75" thickBot="1" x14ac:dyDescent="0.3"/>
    <row r="57" spans="1:10" ht="15.75" thickBot="1" x14ac:dyDescent="0.3">
      <c r="F57" s="17" t="s">
        <v>47</v>
      </c>
      <c r="G57" s="21"/>
      <c r="H57" s="21"/>
      <c r="I57" s="38">
        <f>+C46*1.3</f>
        <v>14.3</v>
      </c>
    </row>
    <row r="58" spans="1:10" ht="15.75" thickBot="1" x14ac:dyDescent="0.3"/>
    <row r="59" spans="1:10" ht="15.75" thickBot="1" x14ac:dyDescent="0.3">
      <c r="F59" s="18" t="s">
        <v>55</v>
      </c>
      <c r="G59" s="19"/>
      <c r="H59" s="19"/>
      <c r="I59" s="10">
        <f>SUM(I55:I57)</f>
        <v>46.309752000000003</v>
      </c>
      <c r="J59" s="16" t="s">
        <v>11</v>
      </c>
    </row>
    <row r="62" spans="1:10" ht="21" x14ac:dyDescent="0.35">
      <c r="C62" s="23" t="s">
        <v>48</v>
      </c>
    </row>
    <row r="63" spans="1:10" ht="15.75" thickBot="1" x14ac:dyDescent="0.3"/>
    <row r="64" spans="1:10" ht="16.5" thickBot="1" x14ac:dyDescent="0.3">
      <c r="B64" s="18" t="s">
        <v>37</v>
      </c>
      <c r="C64" s="19"/>
      <c r="D64" s="19"/>
      <c r="E64" s="19"/>
      <c r="F64" s="37">
        <f>+I41</f>
        <v>56.672500000000007</v>
      </c>
      <c r="G64" s="19" t="s">
        <v>11</v>
      </c>
      <c r="H64" s="7"/>
    </row>
    <row r="65" spans="2:8" ht="15.75" thickBot="1" x14ac:dyDescent="0.3"/>
    <row r="66" spans="2:8" ht="16.5" thickBot="1" x14ac:dyDescent="0.3">
      <c r="B66" s="18" t="s">
        <v>49</v>
      </c>
      <c r="C66" s="24"/>
      <c r="D66" s="24"/>
      <c r="E66" s="24"/>
      <c r="F66" s="37">
        <f>+I59</f>
        <v>46.309752000000003</v>
      </c>
      <c r="G66" s="19" t="s">
        <v>11</v>
      </c>
      <c r="H66" s="25"/>
    </row>
    <row r="67" spans="2:8" ht="15.75" thickBot="1" x14ac:dyDescent="0.3"/>
    <row r="68" spans="2:8" ht="21.75" thickBot="1" x14ac:dyDescent="0.4">
      <c r="B68" s="28" t="s">
        <v>50</v>
      </c>
      <c r="C68" s="26"/>
      <c r="D68" s="27"/>
      <c r="E68" s="27"/>
      <c r="F68" s="36">
        <f>+F64+F66</f>
        <v>102.98225200000002</v>
      </c>
      <c r="G68" s="29" t="s">
        <v>11</v>
      </c>
      <c r="H68" s="7"/>
    </row>
  </sheetData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2:L68"/>
  <sheetViews>
    <sheetView topLeftCell="A40" workbookViewId="0">
      <selection activeCell="D44" sqref="D44"/>
    </sheetView>
  </sheetViews>
  <sheetFormatPr baseColWidth="10" defaultRowHeight="15" x14ac:dyDescent="0.25"/>
  <cols>
    <col min="1" max="1" width="23.140625" customWidth="1"/>
    <col min="3" max="3" width="12.5703125" style="1" bestFit="1" customWidth="1"/>
    <col min="7" max="7" width="15.28515625" customWidth="1"/>
    <col min="8" max="8" width="16" customWidth="1"/>
    <col min="10" max="10" width="13.7109375" customWidth="1"/>
  </cols>
  <sheetData>
    <row r="22" spans="1:12" ht="15.75" thickBot="1" x14ac:dyDescent="0.3"/>
    <row r="23" spans="1:12" ht="15.75" thickBot="1" x14ac:dyDescent="0.3">
      <c r="A23" t="s">
        <v>0</v>
      </c>
      <c r="D23" s="13" t="s">
        <v>28</v>
      </c>
      <c r="E23" s="13"/>
      <c r="G23" s="14" t="s">
        <v>29</v>
      </c>
      <c r="I23" s="15" t="s">
        <v>30</v>
      </c>
    </row>
    <row r="24" spans="1:12" ht="15.75" thickBot="1" x14ac:dyDescent="0.3"/>
    <row r="25" spans="1:12" ht="15.75" thickBot="1" x14ac:dyDescent="0.3">
      <c r="A25" t="s">
        <v>1</v>
      </c>
      <c r="C25" s="5">
        <v>680000</v>
      </c>
      <c r="F25" s="17" t="s">
        <v>38</v>
      </c>
      <c r="G25" s="6"/>
      <c r="L25">
        <f>250000*7</f>
        <v>1750000</v>
      </c>
    </row>
    <row r="26" spans="1:12" ht="15.75" thickBot="1" x14ac:dyDescent="0.3">
      <c r="A26" t="s">
        <v>2</v>
      </c>
      <c r="C26" s="5">
        <v>8</v>
      </c>
      <c r="L26">
        <f>+L25/12</f>
        <v>145833.33333333334</v>
      </c>
    </row>
    <row r="27" spans="1:12" ht="15.75" thickBot="1" x14ac:dyDescent="0.3">
      <c r="A27" t="s">
        <v>3</v>
      </c>
      <c r="C27" s="4">
        <f>+C26*2000</f>
        <v>16000</v>
      </c>
      <c r="F27" s="3" t="s">
        <v>4</v>
      </c>
      <c r="H27" s="2" t="s">
        <v>5</v>
      </c>
      <c r="I27" s="10">
        <f>+((C25-D44)*(C26+1))/(C26*2)</f>
        <v>348750</v>
      </c>
      <c r="J27" s="7" t="s">
        <v>10</v>
      </c>
    </row>
    <row r="28" spans="1:12" ht="15.75" thickBot="1" x14ac:dyDescent="0.3">
      <c r="A28" t="s">
        <v>15</v>
      </c>
      <c r="C28" s="9">
        <v>2000</v>
      </c>
    </row>
    <row r="29" spans="1:12" ht="15.75" thickBot="1" x14ac:dyDescent="0.3">
      <c r="A29" t="s">
        <v>6</v>
      </c>
      <c r="C29" s="4">
        <f>+C25*C30</f>
        <v>204000</v>
      </c>
    </row>
    <row r="30" spans="1:12" ht="15.75" thickBot="1" x14ac:dyDescent="0.3">
      <c r="A30" t="s">
        <v>7</v>
      </c>
      <c r="C30" s="11">
        <v>0.3</v>
      </c>
      <c r="F30" t="s">
        <v>8</v>
      </c>
      <c r="H30" s="2" t="s">
        <v>9</v>
      </c>
      <c r="I30" s="10">
        <f>+(C25-C29)/C27</f>
        <v>29.75</v>
      </c>
      <c r="J30" s="7" t="s">
        <v>11</v>
      </c>
    </row>
    <row r="31" spans="1:12" ht="15.75" thickBot="1" x14ac:dyDescent="0.3">
      <c r="A31" t="s">
        <v>12</v>
      </c>
      <c r="C31" s="11">
        <v>0.25</v>
      </c>
    </row>
    <row r="32" spans="1:12" ht="15.75" thickBot="1" x14ac:dyDescent="0.3">
      <c r="A32" t="s">
        <v>16</v>
      </c>
      <c r="C32" s="11">
        <v>2.5000000000000001E-2</v>
      </c>
      <c r="F32" t="s">
        <v>13</v>
      </c>
      <c r="H32" s="2" t="s">
        <v>14</v>
      </c>
      <c r="I32" s="10">
        <f>+(I27*C31)/C28</f>
        <v>43.59375</v>
      </c>
      <c r="J32" s="7" t="s">
        <v>11</v>
      </c>
    </row>
    <row r="33" spans="1:10" ht="15.75" thickBot="1" x14ac:dyDescent="0.3">
      <c r="A33" t="s">
        <v>17</v>
      </c>
      <c r="C33" s="11">
        <v>0.02</v>
      </c>
    </row>
    <row r="34" spans="1:10" ht="15.75" thickBot="1" x14ac:dyDescent="0.3">
      <c r="A34" t="s">
        <v>18</v>
      </c>
      <c r="C34" s="11">
        <v>0.01</v>
      </c>
      <c r="F34" t="s">
        <v>19</v>
      </c>
      <c r="H34" s="2" t="s">
        <v>20</v>
      </c>
      <c r="I34" s="10">
        <f>+I27*(C32+C33+C34)/C28</f>
        <v>9.5906249999999993</v>
      </c>
      <c r="J34" s="7" t="s">
        <v>11</v>
      </c>
    </row>
    <row r="35" spans="1:10" ht="15.75" thickBot="1" x14ac:dyDescent="0.3">
      <c r="A35" t="s">
        <v>21</v>
      </c>
      <c r="C35" s="11">
        <v>0.9</v>
      </c>
    </row>
    <row r="36" spans="1:10" ht="15.75" thickBot="1" x14ac:dyDescent="0.3">
      <c r="A36" t="s">
        <v>22</v>
      </c>
      <c r="C36" s="12">
        <f>+C35*0.25</f>
        <v>0.22500000000000001</v>
      </c>
      <c r="F36" t="s">
        <v>24</v>
      </c>
      <c r="H36" s="2" t="s">
        <v>25</v>
      </c>
      <c r="I36" s="10">
        <f>+((($C$25-$D$44)*$C$35)*0.25)/$C$27</f>
        <v>8.71875</v>
      </c>
      <c r="J36" s="7" t="s">
        <v>11</v>
      </c>
    </row>
    <row r="37" spans="1:10" ht="15.75" thickBot="1" x14ac:dyDescent="0.3">
      <c r="A37" t="s">
        <v>23</v>
      </c>
      <c r="C37" s="12">
        <f>+C35*0.75</f>
        <v>0.67500000000000004</v>
      </c>
    </row>
    <row r="38" spans="1:10" ht="15.75" thickBot="1" x14ac:dyDescent="0.3">
      <c r="A38" t="s">
        <v>31</v>
      </c>
      <c r="C38" s="5">
        <v>35</v>
      </c>
      <c r="D38" s="30"/>
      <c r="F38" t="s">
        <v>26</v>
      </c>
      <c r="H38" s="2" t="s">
        <v>27</v>
      </c>
      <c r="I38" s="10">
        <f>+((($C$25-$D$44)*$C$35)*0.75)/$C$27</f>
        <v>26.15625</v>
      </c>
      <c r="J38" s="7" t="s">
        <v>11</v>
      </c>
    </row>
    <row r="39" spans="1:10" x14ac:dyDescent="0.25">
      <c r="A39" t="s">
        <v>33</v>
      </c>
      <c r="C39" s="5">
        <v>0.9</v>
      </c>
      <c r="D39" s="31"/>
    </row>
    <row r="40" spans="1:10" ht="15.75" thickBot="1" x14ac:dyDescent="0.3">
      <c r="A40" t="s">
        <v>32</v>
      </c>
      <c r="C40" s="5">
        <v>3</v>
      </c>
      <c r="D40" s="30">
        <v>0.1444</v>
      </c>
    </row>
    <row r="41" spans="1:10" ht="15.75" thickBot="1" x14ac:dyDescent="0.3">
      <c r="A41" t="s">
        <v>51</v>
      </c>
      <c r="C41" s="5">
        <v>4.5</v>
      </c>
      <c r="D41" s="30">
        <v>0.3</v>
      </c>
      <c r="F41" s="18" t="s">
        <v>37</v>
      </c>
      <c r="G41" s="19"/>
      <c r="H41" s="19"/>
      <c r="I41" s="10">
        <f>SUM(I30:I40)</f>
        <v>117.809375</v>
      </c>
      <c r="J41" s="16" t="s">
        <v>11</v>
      </c>
    </row>
    <row r="42" spans="1:10" x14ac:dyDescent="0.25">
      <c r="A42" t="s">
        <v>53</v>
      </c>
      <c r="C42" s="5">
        <v>5</v>
      </c>
      <c r="D42" s="30">
        <v>0.1</v>
      </c>
      <c r="F42" s="33"/>
      <c r="G42" s="33"/>
      <c r="H42" s="33"/>
      <c r="I42" s="34"/>
      <c r="J42" s="33"/>
    </row>
    <row r="43" spans="1:10" x14ac:dyDescent="0.25">
      <c r="A43" t="s">
        <v>34</v>
      </c>
      <c r="C43" s="5">
        <v>0.5</v>
      </c>
      <c r="D43" s="30">
        <v>7.6E-3</v>
      </c>
      <c r="F43" s="35"/>
      <c r="G43" s="35"/>
      <c r="H43" s="35"/>
      <c r="I43" s="35"/>
      <c r="J43" s="35"/>
    </row>
    <row r="44" spans="1:10" x14ac:dyDescent="0.25">
      <c r="A44" t="s">
        <v>35</v>
      </c>
      <c r="C44" s="5">
        <v>15000</v>
      </c>
      <c r="D44" s="31">
        <f>+C44*4</f>
        <v>60000</v>
      </c>
    </row>
    <row r="45" spans="1:10" ht="15.75" thickBot="1" x14ac:dyDescent="0.3">
      <c r="A45" t="s">
        <v>36</v>
      </c>
      <c r="C45" s="5">
        <v>6000</v>
      </c>
      <c r="D45" s="30"/>
    </row>
    <row r="46" spans="1:10" ht="16.5" thickBot="1" x14ac:dyDescent="0.3">
      <c r="A46" t="s">
        <v>54</v>
      </c>
      <c r="C46" s="5">
        <v>11</v>
      </c>
      <c r="F46" s="20" t="s">
        <v>39</v>
      </c>
      <c r="G46" s="21"/>
      <c r="H46" s="6"/>
    </row>
    <row r="47" spans="1:10" ht="15.75" x14ac:dyDescent="0.25">
      <c r="F47" s="22"/>
      <c r="G47" s="8"/>
      <c r="H47" s="8"/>
    </row>
    <row r="48" spans="1:10" x14ac:dyDescent="0.25">
      <c r="F48" t="s">
        <v>40</v>
      </c>
      <c r="I48" s="1">
        <f>+C39*C38</f>
        <v>31.5</v>
      </c>
    </row>
    <row r="49" spans="2:10" x14ac:dyDescent="0.25">
      <c r="F49" t="s">
        <v>41</v>
      </c>
      <c r="I49" s="1">
        <f>0.1444*C39</f>
        <v>0.12995999999999999</v>
      </c>
    </row>
    <row r="50" spans="2:10" x14ac:dyDescent="0.25">
      <c r="F50" t="s">
        <v>52</v>
      </c>
      <c r="I50" s="1">
        <f>+C41*D41</f>
        <v>1.3499999999999999</v>
      </c>
    </row>
    <row r="51" spans="2:10" x14ac:dyDescent="0.25">
      <c r="F51" t="s">
        <v>42</v>
      </c>
      <c r="I51" s="1">
        <f>+D42*C42</f>
        <v>0.5</v>
      </c>
    </row>
    <row r="52" spans="2:10" x14ac:dyDescent="0.25">
      <c r="F52" t="s">
        <v>43</v>
      </c>
      <c r="I52" s="32">
        <f>+C43*D43</f>
        <v>3.8E-3</v>
      </c>
    </row>
    <row r="53" spans="2:10" x14ac:dyDescent="0.25">
      <c r="F53" t="s">
        <v>44</v>
      </c>
      <c r="I53" s="1">
        <f>0.2*(I48+I49)</f>
        <v>6.3259920000000003</v>
      </c>
    </row>
    <row r="54" spans="2:10" ht="15.75" thickBot="1" x14ac:dyDescent="0.3">
      <c r="F54" t="s">
        <v>56</v>
      </c>
      <c r="I54" s="1">
        <f>+(C44*4)/C45</f>
        <v>10</v>
      </c>
    </row>
    <row r="55" spans="2:10" ht="15.75" thickBot="1" x14ac:dyDescent="0.3">
      <c r="F55" s="17" t="s">
        <v>46</v>
      </c>
      <c r="G55" s="21"/>
      <c r="H55" s="21"/>
      <c r="I55" s="38">
        <f>SUM(I48:I54)</f>
        <v>49.809751999999996</v>
      </c>
    </row>
    <row r="56" spans="2:10" ht="15.75" thickBot="1" x14ac:dyDescent="0.3"/>
    <row r="57" spans="2:10" ht="15.75" thickBot="1" x14ac:dyDescent="0.3">
      <c r="F57" s="17" t="s">
        <v>47</v>
      </c>
      <c r="G57" s="21"/>
      <c r="H57" s="21"/>
      <c r="I57" s="38">
        <f>+C46*1.3</f>
        <v>14.3</v>
      </c>
    </row>
    <row r="58" spans="2:10" ht="15.75" thickBot="1" x14ac:dyDescent="0.3"/>
    <row r="59" spans="2:10" ht="15.75" thickBot="1" x14ac:dyDescent="0.3">
      <c r="F59" s="18" t="s">
        <v>55</v>
      </c>
      <c r="G59" s="19"/>
      <c r="H59" s="19"/>
      <c r="I59" s="10">
        <f>SUM(I55:I57)</f>
        <v>64.109752</v>
      </c>
      <c r="J59" s="16" t="s">
        <v>11</v>
      </c>
    </row>
    <row r="62" spans="2:10" ht="21" x14ac:dyDescent="0.35">
      <c r="C62" s="23" t="s">
        <v>48</v>
      </c>
    </row>
    <row r="63" spans="2:10" ht="15.75" thickBot="1" x14ac:dyDescent="0.3"/>
    <row r="64" spans="2:10" ht="16.5" thickBot="1" x14ac:dyDescent="0.3">
      <c r="B64" s="18" t="s">
        <v>37</v>
      </c>
      <c r="C64" s="19"/>
      <c r="D64" s="19"/>
      <c r="E64" s="19"/>
      <c r="F64" s="37">
        <f>+I41</f>
        <v>117.809375</v>
      </c>
      <c r="G64" s="19" t="s">
        <v>11</v>
      </c>
      <c r="H64" s="7"/>
    </row>
    <row r="65" spans="2:8" ht="15.75" thickBot="1" x14ac:dyDescent="0.3"/>
    <row r="66" spans="2:8" ht="16.5" thickBot="1" x14ac:dyDescent="0.3">
      <c r="B66" s="18" t="s">
        <v>49</v>
      </c>
      <c r="C66" s="24"/>
      <c r="D66" s="24"/>
      <c r="E66" s="24"/>
      <c r="F66" s="37">
        <f>+I59</f>
        <v>64.109752</v>
      </c>
      <c r="G66" s="19" t="s">
        <v>11</v>
      </c>
      <c r="H66" s="25"/>
    </row>
    <row r="67" spans="2:8" ht="15.75" thickBot="1" x14ac:dyDescent="0.3"/>
    <row r="68" spans="2:8" ht="21.75" thickBot="1" x14ac:dyDescent="0.4">
      <c r="B68" s="28" t="s">
        <v>50</v>
      </c>
      <c r="C68" s="26"/>
      <c r="D68" s="27"/>
      <c r="E68" s="27"/>
      <c r="F68" s="36">
        <f>+F64+F66</f>
        <v>181.919127</v>
      </c>
      <c r="G68" s="29" t="s">
        <v>11</v>
      </c>
      <c r="H68" s="7"/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950L</vt:lpstr>
      <vt:lpstr>D8 T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Full name</cp:lastModifiedBy>
  <dcterms:created xsi:type="dcterms:W3CDTF">2018-09-19T20:02:52Z</dcterms:created>
  <dcterms:modified xsi:type="dcterms:W3CDTF">2019-07-27T01:32:23Z</dcterms:modified>
</cp:coreProperties>
</file>